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6"/>
  </bookViews>
  <sheets>
    <sheet name="기본정보" sheetId="13" r:id="rId1"/>
    <sheet name="교정결과" sheetId="11" r:id="rId2"/>
    <sheet name="교정결과-E" sheetId="26" r:id="rId3"/>
    <sheet name="교정결과-HY" sheetId="29" r:id="rId4"/>
    <sheet name="판정결과" sheetId="27" r:id="rId5"/>
    <sheet name="부록" sheetId="23" r:id="rId6"/>
    <sheet name="RAWDATA" sheetId="3" r:id="rId7"/>
    <sheet name="측정불확도추정보고서" sheetId="22" r:id="rId8"/>
    <sheet name="표준압력" sheetId="21" r:id="rId9"/>
    <sheet name="Calcu" sheetId="20" r:id="rId10"/>
    <sheet name="Calcu_ADJ" sheetId="33" r:id="rId11"/>
    <sheet name="STD_Data" sheetId="28" r:id="rId12"/>
    <sheet name="Pressure_2_R1" sheetId="14" r:id="rId13"/>
  </sheets>
  <definedNames>
    <definedName name="_xlnm._FilterDatabase" localSheetId="0" hidden="1">기본정보!#REF!</definedName>
    <definedName name="B_Tag" localSheetId="2">'교정결과-E'!$D$38:$J$38</definedName>
    <definedName name="B_Tag" localSheetId="3">'교정결과-HY'!$B$32:$Q$32</definedName>
    <definedName name="B_Tag">교정결과!$D$38:$J$38</definedName>
    <definedName name="B_Tag_2" localSheetId="4">판정결과!$D$31:$I$31</definedName>
    <definedName name="B_Tag_3">부록!$B$40:$I$40</definedName>
    <definedName name="Pressure_2_R1_CMC">Pressure_2_R1!$L$4:$N$33</definedName>
    <definedName name="Pressure_2_R1_Condition">Pressure_2_R1!$A$4:$K$33</definedName>
    <definedName name="Pressure_2_R1_Resolution">Pressure_2_R1!$O$4:$R$33</definedName>
    <definedName name="Pressure_2_R1_Result">Pressure_2_R1!$V$4:$X$33</definedName>
    <definedName name="Pressure_2_R1_Result_ADJ">Pressure_2_R1!$Z$4:$AB$33</definedName>
    <definedName name="Pressure_2_R1_Spec">Pressure_2_R1!$S$4:$U$33</definedName>
    <definedName name="Pressure_2_R1_STD1">Pressure_2_R1!$A$37</definedName>
    <definedName name="Pressure_2_R1_STD2">Pressure_2_R1!$A$70</definedName>
    <definedName name="Pressure_2_R1_STD3">Pressure_2_R1!$A$103</definedName>
    <definedName name="Pressure_2_R1_STD4">Pressure_2_R1!$A$136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D10" i="20" l="1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9" i="20"/>
  <c r="A50" i="13" l="1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15" i="29"/>
  <c r="B10" i="33"/>
  <c r="H10" i="33" s="1"/>
  <c r="B11" i="33"/>
  <c r="B12" i="33"/>
  <c r="B13" i="33"/>
  <c r="H13" i="33" s="1"/>
  <c r="B14" i="33"/>
  <c r="H14" i="33" s="1"/>
  <c r="B15" i="33"/>
  <c r="B16" i="33"/>
  <c r="B17" i="33"/>
  <c r="N17" i="33" s="1"/>
  <c r="B18" i="33"/>
  <c r="H18" i="33" s="1"/>
  <c r="B19" i="33"/>
  <c r="B20" i="33"/>
  <c r="B21" i="33"/>
  <c r="P21" i="33" s="1"/>
  <c r="B22" i="33"/>
  <c r="H22" i="33" s="1"/>
  <c r="B23" i="33"/>
  <c r="B24" i="33"/>
  <c r="B25" i="33"/>
  <c r="K25" i="33" s="1"/>
  <c r="P390" i="22" s="1"/>
  <c r="L425" i="22" s="1"/>
  <c r="B26" i="33"/>
  <c r="H26" i="33" s="1"/>
  <c r="B27" i="33"/>
  <c r="H27" i="33" s="1"/>
  <c r="B28" i="33"/>
  <c r="B29" i="33"/>
  <c r="P29" i="33" s="1"/>
  <c r="B30" i="33"/>
  <c r="H30" i="33" s="1"/>
  <c r="B31" i="33"/>
  <c r="G31" i="33" s="1"/>
  <c r="B32" i="33"/>
  <c r="B33" i="33"/>
  <c r="M33" i="33" s="1"/>
  <c r="AD398" i="22" s="1"/>
  <c r="Z433" i="22" s="1"/>
  <c r="B34" i="33"/>
  <c r="H34" i="33" s="1"/>
  <c r="B35" i="33"/>
  <c r="F35" i="33" s="1"/>
  <c r="B36" i="33"/>
  <c r="B37" i="33"/>
  <c r="P37" i="33" s="1"/>
  <c r="B38" i="33"/>
  <c r="H38" i="33" s="1"/>
  <c r="B9" i="33"/>
  <c r="F9" i="33" s="1"/>
  <c r="F38" i="33"/>
  <c r="H36" i="33"/>
  <c r="G36" i="33"/>
  <c r="F36" i="33"/>
  <c r="H35" i="33"/>
  <c r="G35" i="33"/>
  <c r="G34" i="33"/>
  <c r="F34" i="33"/>
  <c r="H32" i="33"/>
  <c r="G32" i="33"/>
  <c r="F32" i="33"/>
  <c r="H31" i="33"/>
  <c r="F31" i="33"/>
  <c r="G30" i="33"/>
  <c r="H28" i="33"/>
  <c r="G28" i="33"/>
  <c r="I28" i="33" s="1"/>
  <c r="F28" i="33"/>
  <c r="G27" i="33"/>
  <c r="F27" i="33"/>
  <c r="F25" i="33"/>
  <c r="H24" i="33"/>
  <c r="G24" i="33"/>
  <c r="I24" i="33" s="1"/>
  <c r="F24" i="33"/>
  <c r="H23" i="33"/>
  <c r="G23" i="33"/>
  <c r="F23" i="33"/>
  <c r="F22" i="33"/>
  <c r="H20" i="33"/>
  <c r="G20" i="33"/>
  <c r="F20" i="33"/>
  <c r="H19" i="33"/>
  <c r="G19" i="33"/>
  <c r="F19" i="33"/>
  <c r="G18" i="33"/>
  <c r="F18" i="33"/>
  <c r="H16" i="33"/>
  <c r="G16" i="33"/>
  <c r="I16" i="33" s="1"/>
  <c r="F16" i="33"/>
  <c r="H15" i="33"/>
  <c r="G15" i="33"/>
  <c r="F15" i="33"/>
  <c r="G14" i="33"/>
  <c r="H12" i="33"/>
  <c r="G12" i="33"/>
  <c r="I12" i="33" s="1"/>
  <c r="F12" i="33"/>
  <c r="H11" i="33"/>
  <c r="G11" i="33"/>
  <c r="F11" i="33"/>
  <c r="G10" i="33"/>
  <c r="H9" i="33"/>
  <c r="G9" i="33"/>
  <c r="AL368" i="22"/>
  <c r="I373" i="22"/>
  <c r="E408" i="22" s="1"/>
  <c r="I444" i="22" s="1"/>
  <c r="G536" i="22"/>
  <c r="AH536" i="22"/>
  <c r="N541" i="22"/>
  <c r="M552" i="22"/>
  <c r="U552" i="22" s="1"/>
  <c r="AP554" i="22"/>
  <c r="P620" i="22" s="1"/>
  <c r="AP555" i="22"/>
  <c r="P641" i="22" s="1"/>
  <c r="AP556" i="22"/>
  <c r="T577" i="22"/>
  <c r="H578" i="22"/>
  <c r="L582" i="22"/>
  <c r="H589" i="22"/>
  <c r="Q595" i="22"/>
  <c r="W595" i="22"/>
  <c r="AI595" i="22"/>
  <c r="G598" i="22"/>
  <c r="H603" i="22"/>
  <c r="L607" i="22"/>
  <c r="G610" i="22"/>
  <c r="H616" i="22"/>
  <c r="G624" i="22"/>
  <c r="H637" i="22"/>
  <c r="G645" i="22"/>
  <c r="H651" i="22"/>
  <c r="P655" i="22"/>
  <c r="J690" i="22"/>
  <c r="L697" i="22"/>
  <c r="K7" i="3"/>
  <c r="M10" i="3"/>
  <c r="K12" i="3"/>
  <c r="M12" i="3"/>
  <c r="K13" i="3"/>
  <c r="K14" i="3"/>
  <c r="K15" i="3"/>
  <c r="K16" i="3"/>
  <c r="K18" i="3"/>
  <c r="K19" i="3"/>
  <c r="K20" i="3"/>
  <c r="K22" i="3"/>
  <c r="K23" i="3"/>
  <c r="K24" i="3"/>
  <c r="K26" i="3"/>
  <c r="K27" i="3"/>
  <c r="K28" i="3"/>
  <c r="K31" i="3"/>
  <c r="K32" i="3"/>
  <c r="K35" i="3"/>
  <c r="K36" i="3"/>
  <c r="K39" i="3"/>
  <c r="K40" i="3"/>
  <c r="K42" i="3"/>
  <c r="B59" i="33"/>
  <c r="B79" i="33" s="1"/>
  <c r="B99" i="33" s="1"/>
  <c r="B58" i="33"/>
  <c r="B78" i="33" s="1"/>
  <c r="B98" i="33" s="1"/>
  <c r="B57" i="33"/>
  <c r="B77" i="33" s="1"/>
  <c r="B97" i="33" s="1"/>
  <c r="B56" i="33"/>
  <c r="B76" i="33" s="1"/>
  <c r="B96" i="33" s="1"/>
  <c r="B55" i="33"/>
  <c r="B75" i="33" s="1"/>
  <c r="B95" i="33" s="1"/>
  <c r="B54" i="33"/>
  <c r="B74" i="33" s="1"/>
  <c r="B94" i="33" s="1"/>
  <c r="B53" i="33"/>
  <c r="B73" i="33" s="1"/>
  <c r="B93" i="33" s="1"/>
  <c r="B52" i="33"/>
  <c r="B72" i="33" s="1"/>
  <c r="B92" i="33" s="1"/>
  <c r="B51" i="33"/>
  <c r="B71" i="33" s="1"/>
  <c r="B91" i="33" s="1"/>
  <c r="B50" i="33"/>
  <c r="B70" i="33" s="1"/>
  <c r="B90" i="33" s="1"/>
  <c r="B49" i="33"/>
  <c r="B69" i="33" s="1"/>
  <c r="B89" i="33" s="1"/>
  <c r="B48" i="33"/>
  <c r="B68" i="33" s="1"/>
  <c r="B88" i="33" s="1"/>
  <c r="B47" i="33"/>
  <c r="B67" i="33" s="1"/>
  <c r="B87" i="33" s="1"/>
  <c r="B46" i="33"/>
  <c r="B66" i="33" s="1"/>
  <c r="B86" i="33" s="1"/>
  <c r="B45" i="33"/>
  <c r="B65" i="33" s="1"/>
  <c r="B85" i="33" s="1"/>
  <c r="P38" i="33"/>
  <c r="M38" i="33"/>
  <c r="AD403" i="22" s="1"/>
  <c r="Z438" i="22" s="1"/>
  <c r="L38" i="33"/>
  <c r="W403" i="22" s="1"/>
  <c r="S438" i="22" s="1"/>
  <c r="D38" i="33"/>
  <c r="O38" i="33"/>
  <c r="O37" i="33"/>
  <c r="N36" i="33"/>
  <c r="J36" i="33"/>
  <c r="P34" i="33"/>
  <c r="M34" i="33"/>
  <c r="AD399" i="22" s="1"/>
  <c r="Z434" i="22" s="1"/>
  <c r="L34" i="33"/>
  <c r="W399" i="22" s="1"/>
  <c r="S434" i="22" s="1"/>
  <c r="E34" i="33"/>
  <c r="I399" i="22" s="1"/>
  <c r="D34" i="33"/>
  <c r="O34" i="33"/>
  <c r="N32" i="33"/>
  <c r="J32" i="33"/>
  <c r="AM31" i="33"/>
  <c r="AI31" i="33"/>
  <c r="AG31" i="33" s="1"/>
  <c r="AH31" i="33"/>
  <c r="Q31" i="33"/>
  <c r="P31" i="33"/>
  <c r="N31" i="33"/>
  <c r="M31" i="33"/>
  <c r="AD396" i="22" s="1"/>
  <c r="Z431" i="22" s="1"/>
  <c r="L31" i="33"/>
  <c r="W396" i="22" s="1"/>
  <c r="S431" i="22" s="1"/>
  <c r="J31" i="33"/>
  <c r="E31" i="33"/>
  <c r="I396" i="22" s="1"/>
  <c r="D31" i="33"/>
  <c r="O31" i="33"/>
  <c r="AM30" i="33"/>
  <c r="AI30" i="33"/>
  <c r="AH30" i="33"/>
  <c r="AG30" i="33"/>
  <c r="Q30" i="33"/>
  <c r="P30" i="33"/>
  <c r="M30" i="33"/>
  <c r="AD395" i="22" s="1"/>
  <c r="Z430" i="22" s="1"/>
  <c r="L30" i="33"/>
  <c r="W395" i="22" s="1"/>
  <c r="S430" i="22" s="1"/>
  <c r="E30" i="33"/>
  <c r="I395" i="22" s="1"/>
  <c r="D30" i="33"/>
  <c r="O30" i="33"/>
  <c r="AM29" i="33"/>
  <c r="AL29" i="33" s="1"/>
  <c r="AI29" i="33"/>
  <c r="AH29" i="33" s="1"/>
  <c r="AM28" i="33"/>
  <c r="AL28" i="33" s="1"/>
  <c r="AI28" i="33"/>
  <c r="Q28" i="33"/>
  <c r="O28" i="33"/>
  <c r="M28" i="33"/>
  <c r="AD393" i="22" s="1"/>
  <c r="Z428" i="22" s="1"/>
  <c r="K28" i="33"/>
  <c r="P393" i="22" s="1"/>
  <c r="L428" i="22" s="1"/>
  <c r="J28" i="33"/>
  <c r="E28" i="33"/>
  <c r="I393" i="22" s="1"/>
  <c r="AM27" i="33"/>
  <c r="AI27" i="33"/>
  <c r="Q27" i="33"/>
  <c r="P27" i="33"/>
  <c r="N27" i="33"/>
  <c r="M27" i="33"/>
  <c r="AD392" i="22" s="1"/>
  <c r="Z427" i="22" s="1"/>
  <c r="L27" i="33"/>
  <c r="W392" i="22" s="1"/>
  <c r="S427" i="22" s="1"/>
  <c r="J27" i="33"/>
  <c r="E27" i="33"/>
  <c r="I392" i="22" s="1"/>
  <c r="D27" i="33"/>
  <c r="O27" i="33"/>
  <c r="AM26" i="33"/>
  <c r="AL26" i="33" s="1"/>
  <c r="AI26" i="33"/>
  <c r="AH26" i="33" s="1"/>
  <c r="P26" i="33"/>
  <c r="K26" i="33"/>
  <c r="P391" i="22" s="1"/>
  <c r="L426" i="22" s="1"/>
  <c r="E26" i="33"/>
  <c r="L30" i="3" s="1"/>
  <c r="AM25" i="33"/>
  <c r="AL25" i="33" s="1"/>
  <c r="AK25" i="33"/>
  <c r="AI25" i="33"/>
  <c r="AM24" i="33"/>
  <c r="AL24" i="33" s="1"/>
  <c r="AK24" i="33"/>
  <c r="AI24" i="33"/>
  <c r="AG24" i="33" s="1"/>
  <c r="Q24" i="33"/>
  <c r="O24" i="33"/>
  <c r="M24" i="33"/>
  <c r="AD389" i="22" s="1"/>
  <c r="Z424" i="22" s="1"/>
  <c r="K24" i="33"/>
  <c r="P389" i="22" s="1"/>
  <c r="L424" i="22" s="1"/>
  <c r="J24" i="33"/>
  <c r="E24" i="33"/>
  <c r="L28" i="3" s="1"/>
  <c r="AM23" i="33"/>
  <c r="AI23" i="33"/>
  <c r="Q23" i="33"/>
  <c r="P23" i="33"/>
  <c r="N23" i="33"/>
  <c r="M23" i="33"/>
  <c r="AD388" i="22" s="1"/>
  <c r="Z423" i="22" s="1"/>
  <c r="L23" i="33"/>
  <c r="W388" i="22" s="1"/>
  <c r="S423" i="22" s="1"/>
  <c r="J23" i="33"/>
  <c r="E23" i="33"/>
  <c r="L27" i="3" s="1"/>
  <c r="D23" i="33"/>
  <c r="O23" i="33"/>
  <c r="AL22" i="33"/>
  <c r="AH22" i="33"/>
  <c r="Q22" i="33"/>
  <c r="M22" i="33"/>
  <c r="AD387" i="22" s="1"/>
  <c r="Z422" i="22" s="1"/>
  <c r="E22" i="33"/>
  <c r="L26" i="3" s="1"/>
  <c r="AM21" i="33"/>
  <c r="AL21" i="33" s="1"/>
  <c r="AI21" i="33"/>
  <c r="AH21" i="33" s="1"/>
  <c r="AM20" i="33"/>
  <c r="AL20" i="33" s="1"/>
  <c r="AI20" i="33"/>
  <c r="AG20" i="33" s="1"/>
  <c r="O20" i="33"/>
  <c r="I20" i="33"/>
  <c r="Q20" i="33"/>
  <c r="AM19" i="33"/>
  <c r="AK19" i="33" s="1"/>
  <c r="AI19" i="33"/>
  <c r="AH19" i="33" s="1"/>
  <c r="AG19" i="33"/>
  <c r="Q19" i="33"/>
  <c r="P19" i="33"/>
  <c r="N19" i="33"/>
  <c r="M19" i="33"/>
  <c r="AD384" i="22" s="1"/>
  <c r="Z419" i="22" s="1"/>
  <c r="L19" i="33"/>
  <c r="W384" i="22" s="1"/>
  <c r="S419" i="22" s="1"/>
  <c r="J19" i="33"/>
  <c r="E19" i="33"/>
  <c r="L23" i="3" s="1"/>
  <c r="D19" i="33"/>
  <c r="O19" i="33"/>
  <c r="AM18" i="33"/>
  <c r="AL18" i="33" s="1"/>
  <c r="AI18" i="33"/>
  <c r="AH18" i="33" s="1"/>
  <c r="K18" i="33"/>
  <c r="P383" i="22" s="1"/>
  <c r="L418" i="22" s="1"/>
  <c r="AM17" i="33"/>
  <c r="AL17" i="33" s="1"/>
  <c r="AI17" i="33"/>
  <c r="P17" i="33"/>
  <c r="D17" i="33"/>
  <c r="AM16" i="33"/>
  <c r="AL16" i="33" s="1"/>
  <c r="AI16" i="33"/>
  <c r="AG16" i="33" s="1"/>
  <c r="Q16" i="33"/>
  <c r="O16" i="33"/>
  <c r="M16" i="33"/>
  <c r="AD381" i="22" s="1"/>
  <c r="Z416" i="22" s="1"/>
  <c r="E16" i="33"/>
  <c r="I381" i="22" s="1"/>
  <c r="AM15" i="33"/>
  <c r="AK15" i="33" s="1"/>
  <c r="AI15" i="33"/>
  <c r="AH15" i="33" s="1"/>
  <c r="Q15" i="33"/>
  <c r="P15" i="33"/>
  <c r="N15" i="33"/>
  <c r="M15" i="33"/>
  <c r="AD380" i="22" s="1"/>
  <c r="Z415" i="22" s="1"/>
  <c r="L15" i="33"/>
  <c r="W380" i="22" s="1"/>
  <c r="S415" i="22" s="1"/>
  <c r="J15" i="33"/>
  <c r="E15" i="33"/>
  <c r="I380" i="22" s="1"/>
  <c r="D15" i="33"/>
  <c r="O15" i="33"/>
  <c r="AM14" i="33"/>
  <c r="AI14" i="33"/>
  <c r="AH14" i="33"/>
  <c r="AG14" i="33"/>
  <c r="M14" i="33"/>
  <c r="AD379" i="22" s="1"/>
  <c r="Z414" i="22" s="1"/>
  <c r="AM13" i="33"/>
  <c r="AL13" i="33"/>
  <c r="AK13" i="33"/>
  <c r="AI13" i="33"/>
  <c r="AM12" i="33"/>
  <c r="AL12" i="33" s="1"/>
  <c r="AK12" i="33"/>
  <c r="AI12" i="33"/>
  <c r="AG12" i="33" s="1"/>
  <c r="Q12" i="33"/>
  <c r="O12" i="33"/>
  <c r="M12" i="33"/>
  <c r="AD377" i="22" s="1"/>
  <c r="Z412" i="22" s="1"/>
  <c r="K12" i="33"/>
  <c r="P377" i="22" s="1"/>
  <c r="L412" i="22" s="1"/>
  <c r="J12" i="33"/>
  <c r="E12" i="33"/>
  <c r="L16" i="3" s="1"/>
  <c r="AM11" i="33"/>
  <c r="AI11" i="33"/>
  <c r="AH11" i="33" s="1"/>
  <c r="Q11" i="33"/>
  <c r="P11" i="33"/>
  <c r="N11" i="33"/>
  <c r="M11" i="33"/>
  <c r="AD376" i="22" s="1"/>
  <c r="Z411" i="22" s="1"/>
  <c r="L11" i="33"/>
  <c r="W376" i="22" s="1"/>
  <c r="S411" i="22" s="1"/>
  <c r="J11" i="33"/>
  <c r="E11" i="33"/>
  <c r="I376" i="22" s="1"/>
  <c r="D11" i="33"/>
  <c r="O11" i="33"/>
  <c r="AM10" i="33"/>
  <c r="AI10" i="33"/>
  <c r="AH10" i="33" s="1"/>
  <c r="AG10" i="33"/>
  <c r="Q10" i="33"/>
  <c r="P10" i="33"/>
  <c r="N10" i="33"/>
  <c r="M10" i="33"/>
  <c r="AD375" i="22" s="1"/>
  <c r="Z410" i="22" s="1"/>
  <c r="L10" i="33"/>
  <c r="W375" i="22" s="1"/>
  <c r="S410" i="22" s="1"/>
  <c r="J10" i="33"/>
  <c r="E10" i="33"/>
  <c r="L14" i="3" s="1"/>
  <c r="D10" i="33"/>
  <c r="O10" i="33"/>
  <c r="AM9" i="33"/>
  <c r="AI9" i="33"/>
  <c r="AH9" i="33"/>
  <c r="AG9" i="33"/>
  <c r="Q9" i="33"/>
  <c r="M9" i="33"/>
  <c r="AD374" i="22" s="1"/>
  <c r="Z409" i="22" s="1"/>
  <c r="E9" i="33"/>
  <c r="L13" i="3" s="1"/>
  <c r="P9" i="33"/>
  <c r="AM8" i="33"/>
  <c r="AL8" i="33" s="1"/>
  <c r="AK8" i="33"/>
  <c r="AI8" i="33"/>
  <c r="AH8" i="33" s="1"/>
  <c r="J8" i="33"/>
  <c r="F8" i="33"/>
  <c r="E8" i="33"/>
  <c r="D44" i="33" s="1"/>
  <c r="E44" i="33" s="1"/>
  <c r="L44" i="33" s="1"/>
  <c r="M44" i="33" s="1"/>
  <c r="N44" i="33" s="1"/>
  <c r="O44" i="33" s="1"/>
  <c r="P44" i="33" s="1"/>
  <c r="Q44" i="33" s="1"/>
  <c r="R44" i="33" s="1"/>
  <c r="S44" i="33" s="1"/>
  <c r="W44" i="33" s="1"/>
  <c r="AM7" i="33"/>
  <c r="AL7" i="33" s="1"/>
  <c r="AI7" i="33"/>
  <c r="AH7" i="33" s="1"/>
  <c r="AG7" i="33"/>
  <c r="J3" i="33"/>
  <c r="H3" i="33"/>
  <c r="I3" i="33" s="1"/>
  <c r="P64" i="33" s="1"/>
  <c r="G3" i="33"/>
  <c r="F3" i="33"/>
  <c r="E3" i="33"/>
  <c r="D3" i="33"/>
  <c r="M84" i="33" s="1"/>
  <c r="L31" i="3" l="1"/>
  <c r="L35" i="3"/>
  <c r="AM552" i="22"/>
  <c r="V553" i="22"/>
  <c r="I387" i="22"/>
  <c r="E422" i="22" s="1"/>
  <c r="I458" i="22" s="1"/>
  <c r="D8" i="33"/>
  <c r="H368" i="22" s="1"/>
  <c r="AJ601" i="22" s="1"/>
  <c r="P606" i="22" s="1"/>
  <c r="W606" i="22" s="1"/>
  <c r="K8" i="33"/>
  <c r="P373" i="22" s="1"/>
  <c r="L479" i="22" s="1"/>
  <c r="AG11" i="33"/>
  <c r="AL15" i="33"/>
  <c r="AK16" i="33"/>
  <c r="AK18" i="33"/>
  <c r="AK21" i="33"/>
  <c r="AK26" i="33"/>
  <c r="AK28" i="33"/>
  <c r="AK29" i="33"/>
  <c r="E33" i="33"/>
  <c r="I398" i="22" s="1"/>
  <c r="E433" i="22" s="1"/>
  <c r="I469" i="22" s="1"/>
  <c r="Q34" i="33"/>
  <c r="L37" i="33"/>
  <c r="W402" i="22" s="1"/>
  <c r="S437" i="22" s="1"/>
  <c r="E38" i="33"/>
  <c r="Q38" i="33"/>
  <c r="K38" i="3"/>
  <c r="K34" i="3"/>
  <c r="K30" i="3"/>
  <c r="L12" i="3"/>
  <c r="L585" i="22"/>
  <c r="I384" i="22"/>
  <c r="AK384" i="22" s="1"/>
  <c r="P455" i="22" s="1"/>
  <c r="F10" i="33"/>
  <c r="F13" i="33"/>
  <c r="G22" i="33"/>
  <c r="F26" i="33"/>
  <c r="M30" i="3" s="1"/>
  <c r="F29" i="33"/>
  <c r="G38" i="33"/>
  <c r="AK7" i="33"/>
  <c r="AG8" i="33"/>
  <c r="AH12" i="33"/>
  <c r="AK17" i="33"/>
  <c r="AG18" i="33"/>
  <c r="AL19" i="33"/>
  <c r="J21" i="33"/>
  <c r="AH24" i="33"/>
  <c r="P25" i="33"/>
  <c r="AG26" i="33"/>
  <c r="N33" i="33"/>
  <c r="Q37" i="33"/>
  <c r="L19" i="3"/>
  <c r="L15" i="3"/>
  <c r="F14" i="33"/>
  <c r="F17" i="33"/>
  <c r="G26" i="33"/>
  <c r="F30" i="33"/>
  <c r="F33" i="33"/>
  <c r="AH16" i="33"/>
  <c r="AH20" i="33"/>
  <c r="AG21" i="33"/>
  <c r="AG29" i="33"/>
  <c r="I377" i="22"/>
  <c r="AK377" i="22" s="1"/>
  <c r="P448" i="22" s="1"/>
  <c r="F21" i="33"/>
  <c r="F37" i="33"/>
  <c r="M41" i="3" s="1"/>
  <c r="AK380" i="22"/>
  <c r="P451" i="22" s="1"/>
  <c r="E415" i="22"/>
  <c r="I451" i="22" s="1"/>
  <c r="AD451" i="22" s="1"/>
  <c r="E427" i="22"/>
  <c r="I463" i="22" s="1"/>
  <c r="AK392" i="22"/>
  <c r="P463" i="22" s="1"/>
  <c r="E428" i="22"/>
  <c r="I464" i="22" s="1"/>
  <c r="W464" i="22" s="1"/>
  <c r="AK393" i="22"/>
  <c r="P464" i="22" s="1"/>
  <c r="AK395" i="22"/>
  <c r="P466" i="22" s="1"/>
  <c r="E430" i="22"/>
  <c r="I466" i="22" s="1"/>
  <c r="W458" i="22"/>
  <c r="AD458" i="22"/>
  <c r="AK396" i="22"/>
  <c r="P467" i="22" s="1"/>
  <c r="E431" i="22"/>
  <c r="I467" i="22" s="1"/>
  <c r="W467" i="22" s="1"/>
  <c r="AK399" i="22"/>
  <c r="P470" i="22" s="1"/>
  <c r="E434" i="22"/>
  <c r="I470" i="22" s="1"/>
  <c r="AD470" i="22" s="1"/>
  <c r="E411" i="22"/>
  <c r="I447" i="22" s="1"/>
  <c r="AK376" i="22"/>
  <c r="P447" i="22" s="1"/>
  <c r="E416" i="22"/>
  <c r="I452" i="22" s="1"/>
  <c r="AD452" i="22" s="1"/>
  <c r="AK381" i="22"/>
  <c r="P452" i="22" s="1"/>
  <c r="N13" i="33"/>
  <c r="J17" i="33"/>
  <c r="L21" i="33"/>
  <c r="W386" i="22" s="1"/>
  <c r="S421" i="22" s="1"/>
  <c r="D29" i="33"/>
  <c r="J33" i="33"/>
  <c r="P33" i="33"/>
  <c r="D37" i="33"/>
  <c r="M37" i="33"/>
  <c r="AD402" i="22" s="1"/>
  <c r="Z437" i="22" s="1"/>
  <c r="K41" i="3"/>
  <c r="K37" i="3"/>
  <c r="K33" i="3"/>
  <c r="K29" i="3"/>
  <c r="K25" i="3"/>
  <c r="K21" i="3"/>
  <c r="K17" i="3"/>
  <c r="E419" i="22"/>
  <c r="I455" i="22" s="1"/>
  <c r="W455" i="22" s="1"/>
  <c r="I391" i="22"/>
  <c r="I389" i="22"/>
  <c r="I388" i="22"/>
  <c r="I375" i="22"/>
  <c r="G13" i="33"/>
  <c r="G17" i="33"/>
  <c r="G21" i="33"/>
  <c r="N25" i="3" s="1"/>
  <c r="G25" i="33"/>
  <c r="G29" i="33"/>
  <c r="G33" i="33"/>
  <c r="G37" i="33"/>
  <c r="N41" i="3" s="1"/>
  <c r="O14" i="3"/>
  <c r="L17" i="33"/>
  <c r="W382" i="22" s="1"/>
  <c r="S417" i="22" s="1"/>
  <c r="Q21" i="33"/>
  <c r="N21" i="33"/>
  <c r="L29" i="33"/>
  <c r="W394" i="22" s="1"/>
  <c r="S429" i="22" s="1"/>
  <c r="O33" i="33"/>
  <c r="L33" i="33"/>
  <c r="W398" i="22" s="1"/>
  <c r="S433" i="22" s="1"/>
  <c r="Q33" i="33"/>
  <c r="E37" i="33"/>
  <c r="N37" i="33"/>
  <c r="L38" i="3"/>
  <c r="L34" i="3"/>
  <c r="L32" i="3"/>
  <c r="L20" i="3"/>
  <c r="AK387" i="22"/>
  <c r="P458" i="22" s="1"/>
  <c r="H17" i="33"/>
  <c r="H21" i="33"/>
  <c r="O25" i="3" s="1"/>
  <c r="H25" i="33"/>
  <c r="H29" i="33"/>
  <c r="H33" i="33"/>
  <c r="H37" i="33"/>
  <c r="Q17" i="33"/>
  <c r="D21" i="33"/>
  <c r="D33" i="33"/>
  <c r="J37" i="33"/>
  <c r="I374" i="22"/>
  <c r="AK374" i="22" s="1"/>
  <c r="P445" i="22" s="1"/>
  <c r="H543" i="22"/>
  <c r="AM543" i="22" s="1"/>
  <c r="M551" i="22"/>
  <c r="E505" i="22"/>
  <c r="E499" i="22"/>
  <c r="AD464" i="22"/>
  <c r="M536" i="22"/>
  <c r="N543" i="22" s="1"/>
  <c r="L408" i="22"/>
  <c r="L704" i="22"/>
  <c r="W463" i="22"/>
  <c r="E498" i="22"/>
  <c r="AD463" i="22"/>
  <c r="AD612" i="22"/>
  <c r="AC595" i="22"/>
  <c r="E493" i="22"/>
  <c r="W452" i="22"/>
  <c r="W444" i="22"/>
  <c r="AD444" i="22" s="1"/>
  <c r="E479" i="22"/>
  <c r="W447" i="22"/>
  <c r="E482" i="22"/>
  <c r="AO588" i="22"/>
  <c r="P592" i="22" s="1"/>
  <c r="W592" i="22" s="1"/>
  <c r="E486" i="22"/>
  <c r="AD447" i="22"/>
  <c r="O37" i="3"/>
  <c r="N34" i="3"/>
  <c r="M31" i="3"/>
  <c r="O21" i="3"/>
  <c r="N18" i="3"/>
  <c r="M15" i="3"/>
  <c r="O41" i="3"/>
  <c r="N38" i="3"/>
  <c r="M35" i="3"/>
  <c r="N22" i="3"/>
  <c r="M19" i="3"/>
  <c r="N42" i="3"/>
  <c r="M39" i="3"/>
  <c r="O29" i="3"/>
  <c r="N26" i="3"/>
  <c r="M23" i="3"/>
  <c r="O13" i="3"/>
  <c r="O33" i="3"/>
  <c r="N30" i="3"/>
  <c r="M27" i="3"/>
  <c r="O17" i="3"/>
  <c r="N14" i="3"/>
  <c r="M38" i="3"/>
  <c r="O36" i="3"/>
  <c r="M34" i="3"/>
  <c r="O32" i="3"/>
  <c r="O28" i="3"/>
  <c r="M26" i="3"/>
  <c r="O24" i="3"/>
  <c r="M22" i="3"/>
  <c r="N21" i="3"/>
  <c r="O20" i="3"/>
  <c r="M18" i="3"/>
  <c r="N17" i="3"/>
  <c r="O16" i="3"/>
  <c r="M14" i="3"/>
  <c r="N13" i="3"/>
  <c r="N40" i="3"/>
  <c r="O39" i="3"/>
  <c r="M37" i="3"/>
  <c r="N36" i="3"/>
  <c r="O35" i="3"/>
  <c r="M33" i="3"/>
  <c r="N32" i="3"/>
  <c r="O31" i="3"/>
  <c r="M29" i="3"/>
  <c r="N28" i="3"/>
  <c r="O27" i="3"/>
  <c r="M25" i="3"/>
  <c r="N24" i="3"/>
  <c r="O23" i="3"/>
  <c r="M21" i="3"/>
  <c r="N20" i="3"/>
  <c r="O19" i="3"/>
  <c r="M17" i="3"/>
  <c r="N16" i="3"/>
  <c r="O15" i="3"/>
  <c r="M13" i="3"/>
  <c r="M42" i="3"/>
  <c r="O40" i="3"/>
  <c r="N37" i="3"/>
  <c r="N33" i="3"/>
  <c r="N29" i="3"/>
  <c r="O42" i="3"/>
  <c r="M40" i="3"/>
  <c r="N39" i="3"/>
  <c r="O38" i="3"/>
  <c r="M36" i="3"/>
  <c r="N35" i="3"/>
  <c r="O34" i="3"/>
  <c r="M32" i="3"/>
  <c r="N31" i="3"/>
  <c r="O30" i="3"/>
  <c r="M28" i="3"/>
  <c r="N27" i="3"/>
  <c r="O26" i="3"/>
  <c r="M24" i="3"/>
  <c r="N23" i="3"/>
  <c r="O22" i="3"/>
  <c r="M20" i="3"/>
  <c r="N19" i="3"/>
  <c r="O18" i="3"/>
  <c r="M16" i="3"/>
  <c r="N15" i="3"/>
  <c r="V8" i="33"/>
  <c r="Y8" i="33"/>
  <c r="AK373" i="22" s="1"/>
  <c r="P444" i="22" s="1"/>
  <c r="L8" i="33"/>
  <c r="W373" i="22" s="1"/>
  <c r="G64" i="33"/>
  <c r="T44" i="33"/>
  <c r="U44" i="33" s="1"/>
  <c r="AH17" i="33"/>
  <c r="AG17" i="33"/>
  <c r="N18" i="33"/>
  <c r="J18" i="33"/>
  <c r="P18" i="33"/>
  <c r="L18" i="33"/>
  <c r="W383" i="22" s="1"/>
  <c r="S418" i="22" s="1"/>
  <c r="D18" i="33"/>
  <c r="Q18" i="33"/>
  <c r="O18" i="33"/>
  <c r="M18" i="33"/>
  <c r="AD383" i="22" s="1"/>
  <c r="Z418" i="22" s="1"/>
  <c r="E18" i="33"/>
  <c r="AL31" i="33"/>
  <c r="AK31" i="33"/>
  <c r="N35" i="33"/>
  <c r="J35" i="33"/>
  <c r="Q35" i="33"/>
  <c r="M35" i="33"/>
  <c r="AD400" i="22" s="1"/>
  <c r="Z435" i="22" s="1"/>
  <c r="E35" i="33"/>
  <c r="P35" i="33"/>
  <c r="O35" i="33"/>
  <c r="L35" i="33"/>
  <c r="W400" i="22" s="1"/>
  <c r="S435" i="22" s="1"/>
  <c r="D35" i="33"/>
  <c r="K35" i="33"/>
  <c r="P400" i="22" s="1"/>
  <c r="L435" i="22" s="1"/>
  <c r="I64" i="33"/>
  <c r="J64" i="33" s="1"/>
  <c r="K64" i="33" s="1"/>
  <c r="F44" i="33"/>
  <c r="G8" i="33"/>
  <c r="N12" i="3" s="1"/>
  <c r="AL9" i="33"/>
  <c r="AK9" i="33"/>
  <c r="AK11" i="33"/>
  <c r="AL11" i="33"/>
  <c r="Q13" i="33"/>
  <c r="M13" i="33"/>
  <c r="AD378" i="22" s="1"/>
  <c r="Z413" i="22" s="1"/>
  <c r="E13" i="33"/>
  <c r="L13" i="33"/>
  <c r="W378" i="22" s="1"/>
  <c r="S413" i="22" s="1"/>
  <c r="P13" i="33"/>
  <c r="K13" i="33"/>
  <c r="P378" i="22" s="1"/>
  <c r="L413" i="22" s="1"/>
  <c r="O13" i="33"/>
  <c r="J13" i="33"/>
  <c r="D13" i="33"/>
  <c r="AL10" i="33"/>
  <c r="AK10" i="33"/>
  <c r="AH13" i="33"/>
  <c r="AG13" i="33"/>
  <c r="N14" i="33"/>
  <c r="J14" i="33"/>
  <c r="Q14" i="33"/>
  <c r="L14" i="33"/>
  <c r="W379" i="22" s="1"/>
  <c r="S414" i="22" s="1"/>
  <c r="P14" i="33"/>
  <c r="K14" i="33"/>
  <c r="P379" i="22" s="1"/>
  <c r="L414" i="22" s="1"/>
  <c r="E14" i="33"/>
  <c r="O14" i="33"/>
  <c r="D14" i="33"/>
  <c r="AL14" i="33"/>
  <c r="AK14" i="33"/>
  <c r="AH23" i="33"/>
  <c r="AG23" i="33"/>
  <c r="AH27" i="33"/>
  <c r="AG27" i="33"/>
  <c r="C3" i="33"/>
  <c r="J9" i="33"/>
  <c r="N9" i="33"/>
  <c r="K10" i="33"/>
  <c r="P375" i="22" s="1"/>
  <c r="L410" i="22" s="1"/>
  <c r="P12" i="33"/>
  <c r="L12" i="33"/>
  <c r="W377" i="22" s="1"/>
  <c r="S412" i="22" s="1"/>
  <c r="D12" i="33"/>
  <c r="N12" i="33"/>
  <c r="AG15" i="33"/>
  <c r="P16" i="33"/>
  <c r="L16" i="33"/>
  <c r="W381" i="22" s="1"/>
  <c r="S416" i="22" s="1"/>
  <c r="D16" i="33"/>
  <c r="N16" i="33"/>
  <c r="J16" i="33"/>
  <c r="K16" i="33"/>
  <c r="P381" i="22" s="1"/>
  <c r="L416" i="22" s="1"/>
  <c r="AK20" i="33"/>
  <c r="N22" i="33"/>
  <c r="J22" i="33"/>
  <c r="P22" i="33"/>
  <c r="L22" i="33"/>
  <c r="W387" i="22" s="1"/>
  <c r="S422" i="22" s="1"/>
  <c r="D22" i="33"/>
  <c r="K22" i="33"/>
  <c r="P387" i="22" s="1"/>
  <c r="L422" i="22" s="1"/>
  <c r="AK23" i="33"/>
  <c r="AL23" i="33"/>
  <c r="AH25" i="33"/>
  <c r="AG25" i="33"/>
  <c r="N26" i="33"/>
  <c r="J26" i="33"/>
  <c r="O26" i="33"/>
  <c r="D26" i="33"/>
  <c r="Q26" i="33"/>
  <c r="L26" i="33"/>
  <c r="W391" i="22" s="1"/>
  <c r="S426" i="22" s="1"/>
  <c r="M26" i="33"/>
  <c r="AD391" i="22" s="1"/>
  <c r="Z426" i="22" s="1"/>
  <c r="AK27" i="33"/>
  <c r="AL27" i="33"/>
  <c r="AK30" i="33"/>
  <c r="AL30" i="33"/>
  <c r="C64" i="33"/>
  <c r="K9" i="33"/>
  <c r="O9" i="33"/>
  <c r="P20" i="33"/>
  <c r="L20" i="33"/>
  <c r="W385" i="22" s="1"/>
  <c r="S420" i="22" s="1"/>
  <c r="D20" i="33"/>
  <c r="N20" i="33"/>
  <c r="J20" i="33"/>
  <c r="K20" i="33"/>
  <c r="P385" i="22" s="1"/>
  <c r="L420" i="22" s="1"/>
  <c r="Z8" i="33"/>
  <c r="H44" i="33" s="1"/>
  <c r="D9" i="33"/>
  <c r="K3" i="33" s="1"/>
  <c r="L9" i="33"/>
  <c r="W374" i="22" s="1"/>
  <c r="S409" i="22" s="1"/>
  <c r="E20" i="33"/>
  <c r="M20" i="33"/>
  <c r="AD385" i="22" s="1"/>
  <c r="Z420" i="22" s="1"/>
  <c r="O22" i="33"/>
  <c r="Q25" i="33"/>
  <c r="M25" i="33"/>
  <c r="AD390" i="22" s="1"/>
  <c r="Z425" i="22" s="1"/>
  <c r="E25" i="33"/>
  <c r="O25" i="33"/>
  <c r="J25" i="33"/>
  <c r="D25" i="33"/>
  <c r="L25" i="33"/>
  <c r="W390" i="22" s="1"/>
  <c r="S425" i="22" s="1"/>
  <c r="N25" i="33"/>
  <c r="AH28" i="33"/>
  <c r="AG28" i="33"/>
  <c r="C44" i="33"/>
  <c r="K17" i="33"/>
  <c r="P382" i="22" s="1"/>
  <c r="L417" i="22" s="1"/>
  <c r="O17" i="33"/>
  <c r="K21" i="33"/>
  <c r="P386" i="22" s="1"/>
  <c r="L421" i="22" s="1"/>
  <c r="O21" i="33"/>
  <c r="N29" i="33"/>
  <c r="J29" i="33"/>
  <c r="Q29" i="33"/>
  <c r="M29" i="33"/>
  <c r="AD394" i="22" s="1"/>
  <c r="Z429" i="22" s="1"/>
  <c r="E29" i="33"/>
  <c r="K29" i="33"/>
  <c r="P394" i="22" s="1"/>
  <c r="L429" i="22" s="1"/>
  <c r="Q32" i="33"/>
  <c r="M32" i="33"/>
  <c r="AD397" i="22" s="1"/>
  <c r="Z432" i="22" s="1"/>
  <c r="E32" i="33"/>
  <c r="P32" i="33"/>
  <c r="L32" i="33"/>
  <c r="W397" i="22" s="1"/>
  <c r="S432" i="22" s="1"/>
  <c r="D32" i="33"/>
  <c r="K32" i="33"/>
  <c r="P397" i="22" s="1"/>
  <c r="L432" i="22" s="1"/>
  <c r="Q36" i="33"/>
  <c r="M36" i="33"/>
  <c r="AD401" i="22" s="1"/>
  <c r="Z436" i="22" s="1"/>
  <c r="E36" i="33"/>
  <c r="P36" i="33"/>
  <c r="L36" i="33"/>
  <c r="W401" i="22" s="1"/>
  <c r="S436" i="22" s="1"/>
  <c r="D36" i="33"/>
  <c r="K36" i="33"/>
  <c r="P401" i="22" s="1"/>
  <c r="L436" i="22" s="1"/>
  <c r="K11" i="33"/>
  <c r="P376" i="22" s="1"/>
  <c r="L411" i="22" s="1"/>
  <c r="K15" i="33"/>
  <c r="P380" i="22" s="1"/>
  <c r="L415" i="22" s="1"/>
  <c r="E17" i="33"/>
  <c r="M17" i="33"/>
  <c r="AD382" i="22" s="1"/>
  <c r="Z417" i="22" s="1"/>
  <c r="K19" i="33"/>
  <c r="P384" i="22" s="1"/>
  <c r="L419" i="22" s="1"/>
  <c r="E21" i="33"/>
  <c r="M21" i="33"/>
  <c r="AD386" i="22" s="1"/>
  <c r="Z421" i="22" s="1"/>
  <c r="K23" i="33"/>
  <c r="P388" i="22" s="1"/>
  <c r="L423" i="22" s="1"/>
  <c r="P24" i="33"/>
  <c r="L24" i="33"/>
  <c r="W389" i="22" s="1"/>
  <c r="S424" i="22" s="1"/>
  <c r="D24" i="33"/>
  <c r="N24" i="33"/>
  <c r="P28" i="33"/>
  <c r="L28" i="33"/>
  <c r="W393" i="22" s="1"/>
  <c r="S428" i="22" s="1"/>
  <c r="D28" i="33"/>
  <c r="N28" i="33"/>
  <c r="O29" i="33"/>
  <c r="O32" i="33"/>
  <c r="O36" i="33"/>
  <c r="K27" i="33"/>
  <c r="P392" i="22" s="1"/>
  <c r="L427" i="22" s="1"/>
  <c r="J30" i="33"/>
  <c r="N30" i="33"/>
  <c r="K31" i="33"/>
  <c r="P396" i="22" s="1"/>
  <c r="L431" i="22" s="1"/>
  <c r="K33" i="33"/>
  <c r="P398" i="22" s="1"/>
  <c r="L433" i="22" s="1"/>
  <c r="J34" i="33"/>
  <c r="N34" i="33"/>
  <c r="K37" i="33"/>
  <c r="P402" i="22" s="1"/>
  <c r="L437" i="22" s="1"/>
  <c r="J38" i="33"/>
  <c r="N38" i="33"/>
  <c r="K30" i="33"/>
  <c r="P395" i="22" s="1"/>
  <c r="L430" i="22" s="1"/>
  <c r="K34" i="33"/>
  <c r="P399" i="22" s="1"/>
  <c r="L434" i="22" s="1"/>
  <c r="K38" i="33"/>
  <c r="P403" i="22" s="1"/>
  <c r="L438" i="22" s="1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W470" i="22" l="1"/>
  <c r="E487" i="22"/>
  <c r="L37" i="3"/>
  <c r="E412" i="22"/>
  <c r="I448" i="22" s="1"/>
  <c r="AK398" i="22"/>
  <c r="P469" i="22" s="1"/>
  <c r="W469" i="22"/>
  <c r="E504" i="22"/>
  <c r="L504" i="22" s="1"/>
  <c r="AD469" i="22"/>
  <c r="W451" i="22"/>
  <c r="AD467" i="22"/>
  <c r="AD455" i="22"/>
  <c r="E490" i="22"/>
  <c r="AK490" i="22" s="1"/>
  <c r="E502" i="22"/>
  <c r="AD502" i="22" s="1"/>
  <c r="AN553" i="22"/>
  <c r="V554" i="22"/>
  <c r="R479" i="22"/>
  <c r="R536" i="22"/>
  <c r="T543" i="22" s="1"/>
  <c r="S408" i="22"/>
  <c r="L42" i="3"/>
  <c r="I403" i="22"/>
  <c r="L36" i="3"/>
  <c r="I397" i="22"/>
  <c r="I394" i="22"/>
  <c r="L33" i="3"/>
  <c r="L18" i="3"/>
  <c r="I379" i="22"/>
  <c r="AK388" i="22"/>
  <c r="P459" i="22" s="1"/>
  <c r="E423" i="22"/>
  <c r="I459" i="22" s="1"/>
  <c r="W466" i="22"/>
  <c r="AD466" i="22"/>
  <c r="E501" i="22"/>
  <c r="I401" i="22"/>
  <c r="L40" i="3"/>
  <c r="I390" i="22"/>
  <c r="L29" i="3"/>
  <c r="I378" i="22"/>
  <c r="L17" i="3"/>
  <c r="I383" i="22"/>
  <c r="L22" i="3"/>
  <c r="E424" i="22"/>
  <c r="I460" i="22" s="1"/>
  <c r="AK389" i="22"/>
  <c r="P460" i="22" s="1"/>
  <c r="L21" i="3"/>
  <c r="I382" i="22"/>
  <c r="I400" i="22"/>
  <c r="L39" i="3"/>
  <c r="I402" i="22"/>
  <c r="L41" i="3"/>
  <c r="AK391" i="22"/>
  <c r="P462" i="22" s="1"/>
  <c r="E426" i="22"/>
  <c r="I462" i="22" s="1"/>
  <c r="L24" i="3"/>
  <c r="I385" i="22"/>
  <c r="I386" i="22"/>
  <c r="L25" i="3"/>
  <c r="E410" i="22"/>
  <c r="I446" i="22" s="1"/>
  <c r="AK375" i="22"/>
  <c r="P446" i="22" s="1"/>
  <c r="AL411" i="22"/>
  <c r="E409" i="22"/>
  <c r="I445" i="22" s="1"/>
  <c r="AD445" i="22" s="1"/>
  <c r="AL410" i="22"/>
  <c r="P374" i="22"/>
  <c r="L409" i="22"/>
  <c r="X486" i="22"/>
  <c r="AD486" i="22"/>
  <c r="AK486" i="22"/>
  <c r="L486" i="22"/>
  <c r="R486" i="22"/>
  <c r="L487" i="22"/>
  <c r="AK487" i="22"/>
  <c r="R487" i="22"/>
  <c r="X487" i="22"/>
  <c r="AD487" i="22"/>
  <c r="L499" i="22"/>
  <c r="AK499" i="22"/>
  <c r="R499" i="22"/>
  <c r="X499" i="22"/>
  <c r="AD499" i="22"/>
  <c r="X482" i="22"/>
  <c r="AD482" i="22"/>
  <c r="AK482" i="22"/>
  <c r="L482" i="22"/>
  <c r="R482" i="22"/>
  <c r="L493" i="22"/>
  <c r="AK493" i="22"/>
  <c r="R493" i="22"/>
  <c r="X493" i="22"/>
  <c r="AD493" i="22"/>
  <c r="AD490" i="22"/>
  <c r="AD505" i="22"/>
  <c r="L505" i="22"/>
  <c r="AK505" i="22"/>
  <c r="R505" i="22"/>
  <c r="X505" i="22"/>
  <c r="U551" i="22"/>
  <c r="AM551" i="22" s="1"/>
  <c r="L561" i="22"/>
  <c r="E480" i="22"/>
  <c r="AJ416" i="22"/>
  <c r="AJ420" i="22"/>
  <c r="X504" i="22"/>
  <c r="R504" i="22"/>
  <c r="AK504" i="22"/>
  <c r="AK479" i="22"/>
  <c r="D670" i="22"/>
  <c r="X498" i="22"/>
  <c r="AD498" i="22"/>
  <c r="AK498" i="22"/>
  <c r="L498" i="22"/>
  <c r="R498" i="22"/>
  <c r="X502" i="22"/>
  <c r="AK502" i="22"/>
  <c r="R502" i="22"/>
  <c r="I34" i="33"/>
  <c r="I33" i="33"/>
  <c r="I17" i="33"/>
  <c r="E64" i="33"/>
  <c r="I44" i="33"/>
  <c r="AN536" i="22" s="1"/>
  <c r="M557" i="22" s="1"/>
  <c r="AM557" i="22" s="1"/>
  <c r="J663" i="22" s="1"/>
  <c r="N694" i="22" s="1"/>
  <c r="U694" i="22" s="1"/>
  <c r="I14" i="33"/>
  <c r="H8" i="33"/>
  <c r="O12" i="3" s="1"/>
  <c r="I23" i="33"/>
  <c r="I19" i="33"/>
  <c r="I21" i="33"/>
  <c r="I25" i="33"/>
  <c r="O7" i="33"/>
  <c r="AJ415" i="22" s="1"/>
  <c r="I18" i="33"/>
  <c r="M8" i="33"/>
  <c r="AD373" i="22" s="1"/>
  <c r="I31" i="33"/>
  <c r="I22" i="33"/>
  <c r="G44" i="33"/>
  <c r="AB536" i="22" s="1"/>
  <c r="AF543" i="22" s="1"/>
  <c r="I36" i="33"/>
  <c r="I29" i="33"/>
  <c r="I15" i="33"/>
  <c r="I38" i="33"/>
  <c r="I30" i="33"/>
  <c r="I37" i="33"/>
  <c r="I27" i="33"/>
  <c r="I32" i="33"/>
  <c r="I11" i="33"/>
  <c r="I9" i="33"/>
  <c r="I26" i="33"/>
  <c r="I10" i="33"/>
  <c r="S35" i="33"/>
  <c r="S29" i="33"/>
  <c r="S38" i="33"/>
  <c r="S34" i="33"/>
  <c r="S30" i="33"/>
  <c r="S26" i="33"/>
  <c r="S27" i="33"/>
  <c r="S22" i="33"/>
  <c r="S18" i="33"/>
  <c r="S14" i="33"/>
  <c r="S10" i="33"/>
  <c r="S37" i="33"/>
  <c r="S33" i="33"/>
  <c r="S31" i="33"/>
  <c r="S25" i="33"/>
  <c r="S20" i="33"/>
  <c r="S16" i="33"/>
  <c r="S28" i="33"/>
  <c r="S24" i="33"/>
  <c r="S23" i="33"/>
  <c r="S21" i="33"/>
  <c r="S13" i="33"/>
  <c r="S17" i="33"/>
  <c r="S32" i="33"/>
  <c r="S19" i="33"/>
  <c r="S11" i="33"/>
  <c r="S9" i="33"/>
  <c r="S15" i="33"/>
  <c r="S36" i="33"/>
  <c r="S12" i="33"/>
  <c r="I13" i="33"/>
  <c r="I35" i="33"/>
  <c r="AA8" i="33"/>
  <c r="AB8" i="33" s="1"/>
  <c r="AC8" i="33" s="1"/>
  <c r="AD8" i="33" s="1"/>
  <c r="W8" i="33"/>
  <c r="X8" i="33" s="1"/>
  <c r="R490" i="22" l="1"/>
  <c r="X490" i="22"/>
  <c r="L490" i="22"/>
  <c r="E483" i="22"/>
  <c r="W448" i="22"/>
  <c r="AD448" i="22"/>
  <c r="P632" i="22"/>
  <c r="P629" i="22"/>
  <c r="V634" i="22" s="1"/>
  <c r="E65" i="33"/>
  <c r="F65" i="33"/>
  <c r="L65" i="33"/>
  <c r="D65" i="33"/>
  <c r="D73" i="33"/>
  <c r="E73" i="33"/>
  <c r="F73" i="33"/>
  <c r="L73" i="33"/>
  <c r="L66" i="33"/>
  <c r="D66" i="33"/>
  <c r="E66" i="33"/>
  <c r="F66" i="33"/>
  <c r="L502" i="22"/>
  <c r="AD504" i="22"/>
  <c r="W445" i="22"/>
  <c r="AK403" i="22"/>
  <c r="P474" i="22" s="1"/>
  <c r="E438" i="22"/>
  <c r="I474" i="22" s="1"/>
  <c r="E76" i="33"/>
  <c r="F76" i="33"/>
  <c r="L76" i="33"/>
  <c r="D76" i="33"/>
  <c r="L78" i="33"/>
  <c r="D78" i="33"/>
  <c r="E78" i="33"/>
  <c r="F78" i="33"/>
  <c r="D69" i="33"/>
  <c r="E69" i="33"/>
  <c r="F69" i="33"/>
  <c r="L69" i="33"/>
  <c r="F71" i="33"/>
  <c r="L71" i="33"/>
  <c r="D71" i="33"/>
  <c r="E71" i="33"/>
  <c r="M21" i="29" s="1"/>
  <c r="F79" i="33"/>
  <c r="L79" i="33"/>
  <c r="D79" i="33"/>
  <c r="E79" i="33"/>
  <c r="M29" i="29" s="1"/>
  <c r="E68" i="33"/>
  <c r="F68" i="33"/>
  <c r="L68" i="33"/>
  <c r="D68" i="33"/>
  <c r="F67" i="33"/>
  <c r="L67" i="33"/>
  <c r="D67" i="33"/>
  <c r="E67" i="33"/>
  <c r="M17" i="29" s="1"/>
  <c r="L70" i="33"/>
  <c r="D70" i="33"/>
  <c r="E70" i="33"/>
  <c r="F70" i="33"/>
  <c r="N20" i="29" s="1"/>
  <c r="AN554" i="22"/>
  <c r="AK614" i="22"/>
  <c r="P619" i="22" s="1"/>
  <c r="W619" i="22" s="1"/>
  <c r="V555" i="22"/>
  <c r="F75" i="33"/>
  <c r="N25" i="29" s="1"/>
  <c r="L75" i="33"/>
  <c r="D75" i="33"/>
  <c r="E75" i="33"/>
  <c r="D77" i="33"/>
  <c r="E77" i="33"/>
  <c r="F77" i="33"/>
  <c r="L77" i="33"/>
  <c r="E72" i="33"/>
  <c r="M22" i="29" s="1"/>
  <c r="F72" i="33"/>
  <c r="L72" i="33"/>
  <c r="D72" i="33"/>
  <c r="L74" i="33"/>
  <c r="D74" i="33"/>
  <c r="E74" i="33"/>
  <c r="F74" i="33"/>
  <c r="Z408" i="22"/>
  <c r="X479" i="22"/>
  <c r="AD479" i="22" s="1"/>
  <c r="W536" i="22"/>
  <c r="Z543" i="22" s="1"/>
  <c r="BD368" i="22"/>
  <c r="E421" i="22"/>
  <c r="I457" i="22" s="1"/>
  <c r="AK386" i="22"/>
  <c r="P457" i="22" s="1"/>
  <c r="AK400" i="22"/>
  <c r="P471" i="22" s="1"/>
  <c r="E435" i="22"/>
  <c r="I471" i="22" s="1"/>
  <c r="W460" i="22"/>
  <c r="AD460" i="22"/>
  <c r="E495" i="22"/>
  <c r="E413" i="22"/>
  <c r="I449" i="22" s="1"/>
  <c r="AK378" i="22"/>
  <c r="P449" i="22" s="1"/>
  <c r="E436" i="22"/>
  <c r="I472" i="22" s="1"/>
  <c r="AK401" i="22"/>
  <c r="P472" i="22" s="1"/>
  <c r="AD459" i="22"/>
  <c r="W459" i="22"/>
  <c r="E494" i="22"/>
  <c r="AK385" i="22"/>
  <c r="P456" i="22" s="1"/>
  <c r="E420" i="22"/>
  <c r="I456" i="22" s="1"/>
  <c r="E417" i="22"/>
  <c r="I453" i="22" s="1"/>
  <c r="AK382" i="22"/>
  <c r="P453" i="22" s="1"/>
  <c r="R501" i="22"/>
  <c r="X501" i="22"/>
  <c r="L501" i="22"/>
  <c r="AD501" i="22"/>
  <c r="AK501" i="22"/>
  <c r="E429" i="22"/>
  <c r="I465" i="22" s="1"/>
  <c r="AK394" i="22"/>
  <c r="P465" i="22" s="1"/>
  <c r="E481" i="22"/>
  <c r="W446" i="22"/>
  <c r="AD446" i="22"/>
  <c r="E437" i="22"/>
  <c r="I473" i="22" s="1"/>
  <c r="AK402" i="22"/>
  <c r="P473" i="22" s="1"/>
  <c r="E418" i="22"/>
  <c r="I454" i="22" s="1"/>
  <c r="AK383" i="22"/>
  <c r="P454" i="22" s="1"/>
  <c r="E425" i="22"/>
  <c r="I461" i="22" s="1"/>
  <c r="AK390" i="22"/>
  <c r="P461" i="22" s="1"/>
  <c r="E414" i="22"/>
  <c r="I450" i="22" s="1"/>
  <c r="AK379" i="22"/>
  <c r="P450" i="22" s="1"/>
  <c r="E432" i="22"/>
  <c r="I468" i="22" s="1"/>
  <c r="AK397" i="22"/>
  <c r="P468" i="22" s="1"/>
  <c r="E497" i="22"/>
  <c r="AD462" i="22"/>
  <c r="W462" i="22"/>
  <c r="AX368" i="22"/>
  <c r="I670" i="22"/>
  <c r="N670" i="22" s="1"/>
  <c r="S670" i="22" s="1"/>
  <c r="X670" i="22" s="1"/>
  <c r="AC670" i="22" s="1"/>
  <c r="AH670" i="22" s="1"/>
  <c r="AM670" i="22" s="1"/>
  <c r="F704" i="22"/>
  <c r="R704" i="22" s="1"/>
  <c r="X704" i="22" s="1"/>
  <c r="AD704" i="22" s="1"/>
  <c r="X480" i="22"/>
  <c r="AD480" i="22"/>
  <c r="L480" i="22"/>
  <c r="R480" i="22"/>
  <c r="AK480" i="22"/>
  <c r="AE565" i="22"/>
  <c r="AD576" i="22" s="1"/>
  <c r="P581" i="22" s="1"/>
  <c r="W581" i="22" s="1"/>
  <c r="P569" i="22"/>
  <c r="P65" i="33"/>
  <c r="K65" i="33"/>
  <c r="N15" i="29"/>
  <c r="S65" i="33"/>
  <c r="O65" i="33"/>
  <c r="J65" i="33"/>
  <c r="M15" i="29"/>
  <c r="R65" i="33"/>
  <c r="N65" i="33"/>
  <c r="I65" i="33"/>
  <c r="C65" i="33"/>
  <c r="Q65" i="33"/>
  <c r="U45" i="33"/>
  <c r="Q45" i="33"/>
  <c r="AH671" i="22" s="1"/>
  <c r="M45" i="33"/>
  <c r="N671" i="22" s="1"/>
  <c r="I45" i="33"/>
  <c r="X705" i="22" s="1"/>
  <c r="E45" i="33"/>
  <c r="O15" i="29"/>
  <c r="X45" i="33"/>
  <c r="T45" i="33"/>
  <c r="P45" i="33"/>
  <c r="AC671" i="22" s="1"/>
  <c r="L45" i="33"/>
  <c r="I671" i="22" s="1"/>
  <c r="H45" i="33"/>
  <c r="R705" i="22" s="1"/>
  <c r="D45" i="33"/>
  <c r="D671" i="22" s="1"/>
  <c r="F705" i="22" s="1"/>
  <c r="S45" i="33"/>
  <c r="AD705" i="22" s="1"/>
  <c r="K45" i="33"/>
  <c r="C45" i="33"/>
  <c r="G65" i="33"/>
  <c r="R45" i="33"/>
  <c r="AM671" i="22" s="1"/>
  <c r="AR671" i="22" s="1"/>
  <c r="J45" i="33"/>
  <c r="W45" i="33"/>
  <c r="O45" i="33"/>
  <c r="X671" i="22" s="1"/>
  <c r="G45" i="33"/>
  <c r="L705" i="22" s="1"/>
  <c r="F45" i="33"/>
  <c r="AA9" i="33"/>
  <c r="W9" i="33"/>
  <c r="AD9" i="33"/>
  <c r="Z9" i="33"/>
  <c r="V9" i="33"/>
  <c r="V45" i="33"/>
  <c r="AC9" i="33"/>
  <c r="Y9" i="33"/>
  <c r="AB9" i="33"/>
  <c r="X9" i="33"/>
  <c r="N45" i="33"/>
  <c r="S671" i="22" s="1"/>
  <c r="S73" i="33"/>
  <c r="O73" i="33"/>
  <c r="J73" i="33"/>
  <c r="M23" i="29"/>
  <c r="Q73" i="33"/>
  <c r="K73" i="33"/>
  <c r="P73" i="33"/>
  <c r="I73" i="33"/>
  <c r="C73" i="33"/>
  <c r="N73" i="33"/>
  <c r="G73" i="33"/>
  <c r="O23" i="29"/>
  <c r="W53" i="33"/>
  <c r="S53" i="33"/>
  <c r="AD713" i="22" s="1"/>
  <c r="O53" i="33"/>
  <c r="X679" i="22" s="1"/>
  <c r="K53" i="33"/>
  <c r="G53" i="33"/>
  <c r="L713" i="22" s="1"/>
  <c r="C53" i="33"/>
  <c r="N23" i="29"/>
  <c r="V53" i="33"/>
  <c r="R53" i="33"/>
  <c r="AM679" i="22" s="1"/>
  <c r="AR679" i="22" s="1"/>
  <c r="N53" i="33"/>
  <c r="S679" i="22" s="1"/>
  <c r="J53" i="33"/>
  <c r="F53" i="33"/>
  <c r="X53" i="33"/>
  <c r="P53" i="33"/>
  <c r="AC679" i="22" s="1"/>
  <c r="H53" i="33"/>
  <c r="R713" i="22" s="1"/>
  <c r="U53" i="33"/>
  <c r="M53" i="33"/>
  <c r="N679" i="22" s="1"/>
  <c r="E53" i="33"/>
  <c r="L53" i="33"/>
  <c r="I679" i="22" s="1"/>
  <c r="AB17" i="33"/>
  <c r="X17" i="33"/>
  <c r="I53" i="33"/>
  <c r="X713" i="22" s="1"/>
  <c r="R73" i="33"/>
  <c r="T53" i="33"/>
  <c r="D53" i="33"/>
  <c r="D679" i="22" s="1"/>
  <c r="F713" i="22" s="1"/>
  <c r="AD17" i="33"/>
  <c r="Z17" i="33"/>
  <c r="V17" i="33"/>
  <c r="W17" i="33"/>
  <c r="AC17" i="33"/>
  <c r="Q53" i="33"/>
  <c r="AH679" i="22" s="1"/>
  <c r="AA17" i="33"/>
  <c r="Y17" i="33"/>
  <c r="X60" i="33"/>
  <c r="AA24" i="33"/>
  <c r="W24" i="33"/>
  <c r="AB24" i="33"/>
  <c r="V24" i="33"/>
  <c r="AD24" i="33"/>
  <c r="Y24" i="33"/>
  <c r="AC24" i="33"/>
  <c r="Z24" i="33"/>
  <c r="X24" i="33"/>
  <c r="AB25" i="33"/>
  <c r="X25" i="33"/>
  <c r="AC25" i="33"/>
  <c r="W25" i="33"/>
  <c r="Z25" i="33"/>
  <c r="AA25" i="33"/>
  <c r="Y25" i="33"/>
  <c r="V25" i="33"/>
  <c r="AD25" i="33"/>
  <c r="P66" i="33"/>
  <c r="K66" i="33"/>
  <c r="N16" i="29"/>
  <c r="S66" i="33"/>
  <c r="O66" i="33"/>
  <c r="J66" i="33"/>
  <c r="M16" i="29"/>
  <c r="R66" i="33"/>
  <c r="N66" i="33"/>
  <c r="I66" i="33"/>
  <c r="C66" i="33"/>
  <c r="Q66" i="33"/>
  <c r="G66" i="33"/>
  <c r="V46" i="33"/>
  <c r="R46" i="33"/>
  <c r="AM672" i="22" s="1"/>
  <c r="AR672" i="22" s="1"/>
  <c r="N46" i="33"/>
  <c r="S672" i="22" s="1"/>
  <c r="J46" i="33"/>
  <c r="F46" i="33"/>
  <c r="U46" i="33"/>
  <c r="Q46" i="33"/>
  <c r="AH672" i="22" s="1"/>
  <c r="M46" i="33"/>
  <c r="N672" i="22" s="1"/>
  <c r="I46" i="33"/>
  <c r="X706" i="22" s="1"/>
  <c r="E46" i="33"/>
  <c r="O16" i="29"/>
  <c r="S46" i="33"/>
  <c r="AD706" i="22" s="1"/>
  <c r="K46" i="33"/>
  <c r="C46" i="33"/>
  <c r="AC10" i="33"/>
  <c r="Y10" i="33"/>
  <c r="X46" i="33"/>
  <c r="P46" i="33"/>
  <c r="AC672" i="22" s="1"/>
  <c r="H46" i="33"/>
  <c r="R706" i="22" s="1"/>
  <c r="W46" i="33"/>
  <c r="O46" i="33"/>
  <c r="X672" i="22" s="1"/>
  <c r="G46" i="33"/>
  <c r="L706" i="22" s="1"/>
  <c r="D46" i="33"/>
  <c r="D672" i="22" s="1"/>
  <c r="F706" i="22" s="1"/>
  <c r="Z10" i="33"/>
  <c r="AD10" i="33"/>
  <c r="X10" i="33"/>
  <c r="T46" i="33"/>
  <c r="AB10" i="33"/>
  <c r="W10" i="33"/>
  <c r="AA10" i="33"/>
  <c r="L46" i="33"/>
  <c r="I672" i="22" s="1"/>
  <c r="V10" i="33"/>
  <c r="AD27" i="33"/>
  <c r="Z27" i="33"/>
  <c r="V27" i="33"/>
  <c r="AA27" i="33"/>
  <c r="AC27" i="33"/>
  <c r="X27" i="33"/>
  <c r="AB27" i="33"/>
  <c r="Y27" i="33"/>
  <c r="W27" i="33"/>
  <c r="AD38" i="33"/>
  <c r="Z38" i="33"/>
  <c r="V38" i="33"/>
  <c r="AC38" i="33"/>
  <c r="Y38" i="33"/>
  <c r="AB38" i="33"/>
  <c r="AA38" i="33"/>
  <c r="X38" i="33"/>
  <c r="W38" i="33"/>
  <c r="P67" i="33"/>
  <c r="K67" i="33"/>
  <c r="N17" i="29"/>
  <c r="S67" i="33"/>
  <c r="O67" i="33"/>
  <c r="J67" i="33"/>
  <c r="R67" i="33"/>
  <c r="N67" i="33"/>
  <c r="I67" i="33"/>
  <c r="C67" i="33"/>
  <c r="U47" i="33"/>
  <c r="Q47" i="33"/>
  <c r="AH673" i="22" s="1"/>
  <c r="M47" i="33"/>
  <c r="N673" i="22" s="1"/>
  <c r="I47" i="33"/>
  <c r="X707" i="22" s="1"/>
  <c r="Q67" i="33"/>
  <c r="W47" i="33"/>
  <c r="R47" i="33"/>
  <c r="AM673" i="22" s="1"/>
  <c r="AR673" i="22" s="1"/>
  <c r="L47" i="33"/>
  <c r="I673" i="22" s="1"/>
  <c r="G47" i="33"/>
  <c r="L707" i="22" s="1"/>
  <c r="C47" i="33"/>
  <c r="O17" i="29"/>
  <c r="V47" i="33"/>
  <c r="P47" i="33"/>
  <c r="AC673" i="22" s="1"/>
  <c r="K47" i="33"/>
  <c r="F47" i="33"/>
  <c r="T47" i="33"/>
  <c r="J47" i="33"/>
  <c r="AD11" i="33"/>
  <c r="Z11" i="33"/>
  <c r="V11" i="33"/>
  <c r="S47" i="33"/>
  <c r="AD707" i="22" s="1"/>
  <c r="H47" i="33"/>
  <c r="R707" i="22" s="1"/>
  <c r="O47" i="33"/>
  <c r="X673" i="22" s="1"/>
  <c r="E47" i="33"/>
  <c r="D47" i="33"/>
  <c r="D673" i="22" s="1"/>
  <c r="F707" i="22" s="1"/>
  <c r="AC11" i="33"/>
  <c r="X11" i="33"/>
  <c r="G67" i="33"/>
  <c r="AB11" i="33"/>
  <c r="W11" i="33"/>
  <c r="X47" i="33"/>
  <c r="AA11" i="33"/>
  <c r="Y11" i="33"/>
  <c r="N47" i="33"/>
  <c r="S673" i="22" s="1"/>
  <c r="Q7" i="33"/>
  <c r="AJ419" i="22" s="1"/>
  <c r="P614" i="22" s="1"/>
  <c r="AB36" i="33"/>
  <c r="X36" i="33"/>
  <c r="AA36" i="33"/>
  <c r="W36" i="33"/>
  <c r="Z36" i="33"/>
  <c r="Y36" i="33"/>
  <c r="AD36" i="33"/>
  <c r="V36" i="33"/>
  <c r="AC36" i="33"/>
  <c r="S75" i="33"/>
  <c r="O75" i="33"/>
  <c r="J75" i="33"/>
  <c r="M25" i="29"/>
  <c r="Q75" i="33"/>
  <c r="K75" i="33"/>
  <c r="P75" i="33"/>
  <c r="I75" i="33"/>
  <c r="C75" i="33"/>
  <c r="N75" i="33"/>
  <c r="G75" i="33"/>
  <c r="U55" i="33"/>
  <c r="Q55" i="33"/>
  <c r="AH681" i="22" s="1"/>
  <c r="M55" i="33"/>
  <c r="N681" i="22" s="1"/>
  <c r="I55" i="33"/>
  <c r="X715" i="22" s="1"/>
  <c r="E55" i="33"/>
  <c r="R75" i="33"/>
  <c r="X55" i="33"/>
  <c r="T55" i="33"/>
  <c r="P55" i="33"/>
  <c r="AC681" i="22" s="1"/>
  <c r="L55" i="33"/>
  <c r="I681" i="22" s="1"/>
  <c r="H55" i="33"/>
  <c r="R715" i="22" s="1"/>
  <c r="D55" i="33"/>
  <c r="D681" i="22" s="1"/>
  <c r="F715" i="22" s="1"/>
  <c r="O25" i="29"/>
  <c r="R55" i="33"/>
  <c r="AM681" i="22" s="1"/>
  <c r="AR681" i="22" s="1"/>
  <c r="J55" i="33"/>
  <c r="W55" i="33"/>
  <c r="O55" i="33"/>
  <c r="X681" i="22" s="1"/>
  <c r="G55" i="33"/>
  <c r="L715" i="22" s="1"/>
  <c r="K55" i="33"/>
  <c r="AD19" i="33"/>
  <c r="Z19" i="33"/>
  <c r="V19" i="33"/>
  <c r="V55" i="33"/>
  <c r="F55" i="33"/>
  <c r="S55" i="33"/>
  <c r="AD715" i="22" s="1"/>
  <c r="C55" i="33"/>
  <c r="AB19" i="33"/>
  <c r="X19" i="33"/>
  <c r="Y19" i="33"/>
  <c r="W19" i="33"/>
  <c r="N55" i="33"/>
  <c r="S681" i="22" s="1"/>
  <c r="AC19" i="33"/>
  <c r="AA19" i="33"/>
  <c r="S77" i="33"/>
  <c r="O77" i="33"/>
  <c r="J77" i="33"/>
  <c r="M27" i="29"/>
  <c r="Q77" i="33"/>
  <c r="K77" i="33"/>
  <c r="P77" i="33"/>
  <c r="I77" i="33"/>
  <c r="C77" i="33"/>
  <c r="N77" i="33"/>
  <c r="G77" i="33"/>
  <c r="O27" i="29"/>
  <c r="W57" i="33"/>
  <c r="S57" i="33"/>
  <c r="AD717" i="22" s="1"/>
  <c r="O57" i="33"/>
  <c r="X683" i="22" s="1"/>
  <c r="K57" i="33"/>
  <c r="G57" i="33"/>
  <c r="L717" i="22" s="1"/>
  <c r="C57" i="33"/>
  <c r="N27" i="29"/>
  <c r="V57" i="33"/>
  <c r="R57" i="33"/>
  <c r="AM683" i="22" s="1"/>
  <c r="AR683" i="22" s="1"/>
  <c r="N57" i="33"/>
  <c r="S683" i="22" s="1"/>
  <c r="J57" i="33"/>
  <c r="F57" i="33"/>
  <c r="R77" i="33"/>
  <c r="X57" i="33"/>
  <c r="P57" i="33"/>
  <c r="AC683" i="22" s="1"/>
  <c r="H57" i="33"/>
  <c r="R717" i="22" s="1"/>
  <c r="U57" i="33"/>
  <c r="M57" i="33"/>
  <c r="N683" i="22" s="1"/>
  <c r="E57" i="33"/>
  <c r="T57" i="33"/>
  <c r="D57" i="33"/>
  <c r="D683" i="22" s="1"/>
  <c r="F717" i="22" s="1"/>
  <c r="AB21" i="33"/>
  <c r="X21" i="33"/>
  <c r="Q57" i="33"/>
  <c r="AH683" i="22" s="1"/>
  <c r="L57" i="33"/>
  <c r="I683" i="22" s="1"/>
  <c r="AD21" i="33"/>
  <c r="Z21" i="33"/>
  <c r="V21" i="33"/>
  <c r="AC21" i="33"/>
  <c r="I57" i="33"/>
  <c r="X717" i="22" s="1"/>
  <c r="AA21" i="33"/>
  <c r="Y21" i="33"/>
  <c r="W21" i="33"/>
  <c r="S72" i="33"/>
  <c r="O72" i="33"/>
  <c r="J72" i="33"/>
  <c r="Q72" i="33"/>
  <c r="K72" i="33"/>
  <c r="P72" i="33"/>
  <c r="I72" i="33"/>
  <c r="C72" i="33"/>
  <c r="N72" i="33"/>
  <c r="G72" i="33"/>
  <c r="N22" i="29"/>
  <c r="V52" i="33"/>
  <c r="R52" i="33"/>
  <c r="AM678" i="22" s="1"/>
  <c r="AR678" i="22" s="1"/>
  <c r="N52" i="33"/>
  <c r="S678" i="22" s="1"/>
  <c r="J52" i="33"/>
  <c r="F52" i="33"/>
  <c r="U52" i="33"/>
  <c r="Q52" i="33"/>
  <c r="AH678" i="22" s="1"/>
  <c r="M52" i="33"/>
  <c r="N678" i="22" s="1"/>
  <c r="I52" i="33"/>
  <c r="X712" i="22" s="1"/>
  <c r="E52" i="33"/>
  <c r="R72" i="33"/>
  <c r="O22" i="29"/>
  <c r="X52" i="33"/>
  <c r="P52" i="33"/>
  <c r="AC678" i="22" s="1"/>
  <c r="H52" i="33"/>
  <c r="R712" i="22" s="1"/>
  <c r="W52" i="33"/>
  <c r="O52" i="33"/>
  <c r="X678" i="22" s="1"/>
  <c r="G52" i="33"/>
  <c r="L712" i="22" s="1"/>
  <c r="T52" i="33"/>
  <c r="D52" i="33"/>
  <c r="D678" i="22" s="1"/>
  <c r="F712" i="22" s="1"/>
  <c r="AA16" i="33"/>
  <c r="W16" i="33"/>
  <c r="S52" i="33"/>
  <c r="AD712" i="22" s="1"/>
  <c r="C52" i="33"/>
  <c r="L52" i="33"/>
  <c r="I678" i="22" s="1"/>
  <c r="AC16" i="33"/>
  <c r="Y16" i="33"/>
  <c r="K52" i="33"/>
  <c r="Z16" i="33"/>
  <c r="X16" i="33"/>
  <c r="AD16" i="33"/>
  <c r="V16" i="33"/>
  <c r="AB16" i="33"/>
  <c r="AA33" i="33"/>
  <c r="W33" i="33"/>
  <c r="AD33" i="33"/>
  <c r="Z33" i="33"/>
  <c r="V33" i="33"/>
  <c r="X33" i="33"/>
  <c r="AC33" i="33"/>
  <c r="AB33" i="33"/>
  <c r="Y33" i="33"/>
  <c r="S74" i="33"/>
  <c r="O74" i="33"/>
  <c r="J74" i="33"/>
  <c r="M24" i="29"/>
  <c r="Q74" i="33"/>
  <c r="K74" i="33"/>
  <c r="P74" i="33"/>
  <c r="I74" i="33"/>
  <c r="C74" i="33"/>
  <c r="N74" i="33"/>
  <c r="G74" i="33"/>
  <c r="R74" i="33"/>
  <c r="X54" i="33"/>
  <c r="T54" i="33"/>
  <c r="P54" i="33"/>
  <c r="AC680" i="22" s="1"/>
  <c r="L54" i="33"/>
  <c r="I680" i="22" s="1"/>
  <c r="H54" i="33"/>
  <c r="R714" i="22" s="1"/>
  <c r="D54" i="33"/>
  <c r="D680" i="22" s="1"/>
  <c r="F714" i="22" s="1"/>
  <c r="O24" i="29"/>
  <c r="W54" i="33"/>
  <c r="S54" i="33"/>
  <c r="AD714" i="22" s="1"/>
  <c r="O54" i="33"/>
  <c r="X680" i="22" s="1"/>
  <c r="K54" i="33"/>
  <c r="G54" i="33"/>
  <c r="L714" i="22" s="1"/>
  <c r="C54" i="33"/>
  <c r="Q54" i="33"/>
  <c r="AH680" i="22" s="1"/>
  <c r="I54" i="33"/>
  <c r="X714" i="22" s="1"/>
  <c r="N24" i="29"/>
  <c r="V54" i="33"/>
  <c r="N54" i="33"/>
  <c r="S680" i="22" s="1"/>
  <c r="F54" i="33"/>
  <c r="U54" i="33"/>
  <c r="E54" i="33"/>
  <c r="AC18" i="33"/>
  <c r="Y18" i="33"/>
  <c r="R54" i="33"/>
  <c r="AM680" i="22" s="1"/>
  <c r="AR680" i="22" s="1"/>
  <c r="M54" i="33"/>
  <c r="N680" i="22" s="1"/>
  <c r="AA18" i="33"/>
  <c r="W18" i="33"/>
  <c r="J54" i="33"/>
  <c r="AB18" i="33"/>
  <c r="Z18" i="33"/>
  <c r="X18" i="33"/>
  <c r="V18" i="33"/>
  <c r="AD18" i="33"/>
  <c r="AD30" i="33"/>
  <c r="Z30" i="33"/>
  <c r="V30" i="33"/>
  <c r="AC30" i="33"/>
  <c r="Y30" i="33"/>
  <c r="AB30" i="33"/>
  <c r="AA30" i="33"/>
  <c r="X30" i="33"/>
  <c r="W30" i="33"/>
  <c r="AC35" i="33"/>
  <c r="Y35" i="33"/>
  <c r="AB35" i="33"/>
  <c r="X35" i="33"/>
  <c r="AA35" i="33"/>
  <c r="Z35" i="33"/>
  <c r="W35" i="33"/>
  <c r="AD35" i="33"/>
  <c r="V35" i="33"/>
  <c r="P68" i="33"/>
  <c r="K68" i="33"/>
  <c r="N18" i="29"/>
  <c r="S68" i="33"/>
  <c r="O68" i="33"/>
  <c r="J68" i="33"/>
  <c r="M18" i="29"/>
  <c r="R68" i="33"/>
  <c r="N68" i="33"/>
  <c r="I68" i="33"/>
  <c r="C68" i="33"/>
  <c r="V48" i="33"/>
  <c r="R48" i="33"/>
  <c r="AM674" i="22" s="1"/>
  <c r="AR674" i="22" s="1"/>
  <c r="N48" i="33"/>
  <c r="S674" i="22" s="1"/>
  <c r="J48" i="33"/>
  <c r="F48" i="33"/>
  <c r="Q68" i="33"/>
  <c r="G68" i="33"/>
  <c r="T48" i="33"/>
  <c r="O48" i="33"/>
  <c r="X674" i="22" s="1"/>
  <c r="I48" i="33"/>
  <c r="X708" i="22" s="1"/>
  <c r="D48" i="33"/>
  <c r="D674" i="22" s="1"/>
  <c r="F708" i="22" s="1"/>
  <c r="X48" i="33"/>
  <c r="S48" i="33"/>
  <c r="AD708" i="22" s="1"/>
  <c r="M48" i="33"/>
  <c r="N674" i="22" s="1"/>
  <c r="H48" i="33"/>
  <c r="R708" i="22" s="1"/>
  <c r="C48" i="33"/>
  <c r="Q48" i="33"/>
  <c r="AH674" i="22" s="1"/>
  <c r="G48" i="33"/>
  <c r="L708" i="22" s="1"/>
  <c r="AA12" i="33"/>
  <c r="W12" i="33"/>
  <c r="P48" i="33"/>
  <c r="AC674" i="22" s="1"/>
  <c r="E48" i="33"/>
  <c r="O18" i="29"/>
  <c r="W48" i="33"/>
  <c r="L48" i="33"/>
  <c r="I674" i="22" s="1"/>
  <c r="K48" i="33"/>
  <c r="AD12" i="33"/>
  <c r="Y12" i="33"/>
  <c r="AC12" i="33"/>
  <c r="X12" i="33"/>
  <c r="AB12" i="33"/>
  <c r="V12" i="33"/>
  <c r="U48" i="33"/>
  <c r="Z12" i="33"/>
  <c r="P69" i="33"/>
  <c r="K69" i="33"/>
  <c r="N19" i="29"/>
  <c r="S69" i="33"/>
  <c r="O69" i="33"/>
  <c r="J69" i="33"/>
  <c r="M19" i="29"/>
  <c r="R69" i="33"/>
  <c r="N69" i="33"/>
  <c r="I69" i="33"/>
  <c r="C69" i="33"/>
  <c r="W49" i="33"/>
  <c r="S49" i="33"/>
  <c r="AD709" i="22" s="1"/>
  <c r="O49" i="33"/>
  <c r="X675" i="22" s="1"/>
  <c r="K49" i="33"/>
  <c r="G49" i="33"/>
  <c r="L709" i="22" s="1"/>
  <c r="C49" i="33"/>
  <c r="Q69" i="33"/>
  <c r="X49" i="33"/>
  <c r="R49" i="33"/>
  <c r="AM675" i="22" s="1"/>
  <c r="AR675" i="22" s="1"/>
  <c r="M49" i="33"/>
  <c r="N675" i="22" s="1"/>
  <c r="H49" i="33"/>
  <c r="R709" i="22" s="1"/>
  <c r="O19" i="29"/>
  <c r="V49" i="33"/>
  <c r="Q49" i="33"/>
  <c r="AH675" i="22" s="1"/>
  <c r="L49" i="33"/>
  <c r="I675" i="22" s="1"/>
  <c r="F49" i="33"/>
  <c r="N49" i="33"/>
  <c r="S675" i="22" s="1"/>
  <c r="D49" i="33"/>
  <c r="D675" i="22" s="1"/>
  <c r="F709" i="22" s="1"/>
  <c r="AB13" i="33"/>
  <c r="X13" i="33"/>
  <c r="G69" i="33"/>
  <c r="U49" i="33"/>
  <c r="J49" i="33"/>
  <c r="T49" i="33"/>
  <c r="I49" i="33"/>
  <c r="X709" i="22" s="1"/>
  <c r="P49" i="33"/>
  <c r="AC675" i="22" s="1"/>
  <c r="Z13" i="33"/>
  <c r="E49" i="33"/>
  <c r="AD13" i="33"/>
  <c r="Y13" i="33"/>
  <c r="AC13" i="33"/>
  <c r="W13" i="33"/>
  <c r="AA13" i="33"/>
  <c r="V13" i="33"/>
  <c r="AA28" i="33"/>
  <c r="W28" i="33"/>
  <c r="AB28" i="33"/>
  <c r="V28" i="33"/>
  <c r="AD28" i="33"/>
  <c r="Y28" i="33"/>
  <c r="AC28" i="33"/>
  <c r="Z28" i="33"/>
  <c r="X28" i="33"/>
  <c r="AA31" i="33"/>
  <c r="W31" i="33"/>
  <c r="AD31" i="33"/>
  <c r="Z31" i="33"/>
  <c r="V31" i="33"/>
  <c r="Y31" i="33"/>
  <c r="X31" i="33"/>
  <c r="AC31" i="33"/>
  <c r="AB31" i="33"/>
  <c r="P70" i="33"/>
  <c r="K70" i="33"/>
  <c r="S70" i="33"/>
  <c r="O70" i="33"/>
  <c r="J70" i="33"/>
  <c r="M20" i="29"/>
  <c r="R70" i="33"/>
  <c r="N70" i="33"/>
  <c r="I70" i="33"/>
  <c r="C70" i="33"/>
  <c r="X50" i="33"/>
  <c r="T50" i="33"/>
  <c r="P50" i="33"/>
  <c r="AC676" i="22" s="1"/>
  <c r="L50" i="33"/>
  <c r="I676" i="22" s="1"/>
  <c r="H50" i="33"/>
  <c r="R710" i="22" s="1"/>
  <c r="D50" i="33"/>
  <c r="D676" i="22" s="1"/>
  <c r="F710" i="22" s="1"/>
  <c r="Q70" i="33"/>
  <c r="G70" i="33"/>
  <c r="V50" i="33"/>
  <c r="Q50" i="33"/>
  <c r="AH676" i="22" s="1"/>
  <c r="K50" i="33"/>
  <c r="F50" i="33"/>
  <c r="U50" i="33"/>
  <c r="O50" i="33"/>
  <c r="X676" i="22" s="1"/>
  <c r="J50" i="33"/>
  <c r="E50" i="33"/>
  <c r="O20" i="29"/>
  <c r="W50" i="33"/>
  <c r="M50" i="33"/>
  <c r="N676" i="22" s="1"/>
  <c r="AC14" i="33"/>
  <c r="Y14" i="33"/>
  <c r="S50" i="33"/>
  <c r="AD710" i="22" s="1"/>
  <c r="I50" i="33"/>
  <c r="X710" i="22" s="1"/>
  <c r="R50" i="33"/>
  <c r="AM676" i="22" s="1"/>
  <c r="AR676" i="22" s="1"/>
  <c r="G50" i="33"/>
  <c r="L710" i="22" s="1"/>
  <c r="Z14" i="33"/>
  <c r="N50" i="33"/>
  <c r="S676" i="22" s="1"/>
  <c r="AD14" i="33"/>
  <c r="X14" i="33"/>
  <c r="C50" i="33"/>
  <c r="AB14" i="33"/>
  <c r="W14" i="33"/>
  <c r="AA14" i="33"/>
  <c r="V14" i="33"/>
  <c r="AC26" i="33"/>
  <c r="Y26" i="33"/>
  <c r="AB26" i="33"/>
  <c r="W26" i="33"/>
  <c r="Z26" i="33"/>
  <c r="V26" i="33"/>
  <c r="AD26" i="33"/>
  <c r="AA26" i="33"/>
  <c r="X26" i="33"/>
  <c r="AC29" i="33"/>
  <c r="Y29" i="33"/>
  <c r="AB29" i="33"/>
  <c r="X29" i="33"/>
  <c r="Z29" i="33"/>
  <c r="W29" i="33"/>
  <c r="AD29" i="33"/>
  <c r="V29" i="33"/>
  <c r="AA29" i="33"/>
  <c r="S71" i="33"/>
  <c r="O71" i="33"/>
  <c r="Q71" i="33"/>
  <c r="K71" i="33"/>
  <c r="N21" i="29"/>
  <c r="P71" i="33"/>
  <c r="J71" i="33"/>
  <c r="N71" i="33"/>
  <c r="I71" i="33"/>
  <c r="C71" i="33"/>
  <c r="U51" i="33"/>
  <c r="Q51" i="33"/>
  <c r="AH677" i="22" s="1"/>
  <c r="M51" i="33"/>
  <c r="N677" i="22" s="1"/>
  <c r="I51" i="33"/>
  <c r="X711" i="22" s="1"/>
  <c r="E51" i="33"/>
  <c r="R71" i="33"/>
  <c r="T51" i="33"/>
  <c r="O51" i="33"/>
  <c r="X677" i="22" s="1"/>
  <c r="J51" i="33"/>
  <c r="D51" i="33"/>
  <c r="D677" i="22" s="1"/>
  <c r="F711" i="22" s="1"/>
  <c r="O21" i="29"/>
  <c r="X51" i="33"/>
  <c r="S51" i="33"/>
  <c r="AD711" i="22" s="1"/>
  <c r="N51" i="33"/>
  <c r="S677" i="22" s="1"/>
  <c r="H51" i="33"/>
  <c r="R711" i="22" s="1"/>
  <c r="C51" i="33"/>
  <c r="V51" i="33"/>
  <c r="K51" i="33"/>
  <c r="AD15" i="33"/>
  <c r="Z15" i="33"/>
  <c r="V15" i="33"/>
  <c r="R51" i="33"/>
  <c r="AM677" i="22" s="1"/>
  <c r="AR677" i="22" s="1"/>
  <c r="G51" i="33"/>
  <c r="L711" i="22" s="1"/>
  <c r="P51" i="33"/>
  <c r="AC677" i="22" s="1"/>
  <c r="F51" i="33"/>
  <c r="AB15" i="33"/>
  <c r="X15" i="33"/>
  <c r="G71" i="33"/>
  <c r="AA15" i="33"/>
  <c r="Y15" i="33"/>
  <c r="W51" i="33"/>
  <c r="W15" i="33"/>
  <c r="L51" i="33"/>
  <c r="I677" i="22" s="1"/>
  <c r="AC15" i="33"/>
  <c r="AB32" i="33"/>
  <c r="X32" i="33"/>
  <c r="AA32" i="33"/>
  <c r="W32" i="33"/>
  <c r="Z32" i="33"/>
  <c r="Y32" i="33"/>
  <c r="AD32" i="33"/>
  <c r="V32" i="33"/>
  <c r="AC32" i="33"/>
  <c r="Q79" i="33"/>
  <c r="O29" i="29"/>
  <c r="G79" i="33"/>
  <c r="C79" i="33"/>
  <c r="O79" i="33"/>
  <c r="I79" i="33"/>
  <c r="U59" i="33"/>
  <c r="Q59" i="33"/>
  <c r="AH685" i="22" s="1"/>
  <c r="M59" i="33"/>
  <c r="N685" i="22" s="1"/>
  <c r="I59" i="33"/>
  <c r="X719" i="22" s="1"/>
  <c r="E59" i="33"/>
  <c r="S79" i="33"/>
  <c r="N79" i="33"/>
  <c r="N29" i="29"/>
  <c r="R79" i="33"/>
  <c r="K79" i="33"/>
  <c r="W59" i="33"/>
  <c r="S59" i="33"/>
  <c r="AD719" i="22" s="1"/>
  <c r="O59" i="33"/>
  <c r="X685" i="22" s="1"/>
  <c r="K59" i="33"/>
  <c r="G59" i="33"/>
  <c r="L719" i="22" s="1"/>
  <c r="C59" i="33"/>
  <c r="X59" i="33"/>
  <c r="P59" i="33"/>
  <c r="AC685" i="22" s="1"/>
  <c r="H59" i="33"/>
  <c r="R719" i="22" s="1"/>
  <c r="P79" i="33"/>
  <c r="V59" i="33"/>
  <c r="N59" i="33"/>
  <c r="S685" i="22" s="1"/>
  <c r="F59" i="33"/>
  <c r="R59" i="33"/>
  <c r="AM685" i="22" s="1"/>
  <c r="AR685" i="22" s="1"/>
  <c r="J79" i="33"/>
  <c r="L59" i="33"/>
  <c r="I685" i="22" s="1"/>
  <c r="AD23" i="33"/>
  <c r="Z23" i="33"/>
  <c r="T59" i="33"/>
  <c r="AA23" i="33"/>
  <c r="V23" i="33"/>
  <c r="J59" i="33"/>
  <c r="D59" i="33"/>
  <c r="D685" i="22" s="1"/>
  <c r="F719" i="22" s="1"/>
  <c r="AC23" i="33"/>
  <c r="X23" i="33"/>
  <c r="AB23" i="33"/>
  <c r="Y23" i="33"/>
  <c r="W23" i="33"/>
  <c r="S76" i="33"/>
  <c r="O76" i="33"/>
  <c r="J76" i="33"/>
  <c r="M26" i="29"/>
  <c r="Q76" i="33"/>
  <c r="K76" i="33"/>
  <c r="P76" i="33"/>
  <c r="I76" i="33"/>
  <c r="C76" i="33"/>
  <c r="N76" i="33"/>
  <c r="G76" i="33"/>
  <c r="N26" i="29"/>
  <c r="V56" i="33"/>
  <c r="R56" i="33"/>
  <c r="AM682" i="22" s="1"/>
  <c r="AR682" i="22" s="1"/>
  <c r="N56" i="33"/>
  <c r="S682" i="22" s="1"/>
  <c r="J56" i="33"/>
  <c r="F56" i="33"/>
  <c r="U56" i="33"/>
  <c r="Q56" i="33"/>
  <c r="AH682" i="22" s="1"/>
  <c r="M56" i="33"/>
  <c r="N682" i="22" s="1"/>
  <c r="I56" i="33"/>
  <c r="X716" i="22" s="1"/>
  <c r="E56" i="33"/>
  <c r="X56" i="33"/>
  <c r="P56" i="33"/>
  <c r="AC682" i="22" s="1"/>
  <c r="H56" i="33"/>
  <c r="R716" i="22" s="1"/>
  <c r="R76" i="33"/>
  <c r="W56" i="33"/>
  <c r="O56" i="33"/>
  <c r="X682" i="22" s="1"/>
  <c r="G56" i="33"/>
  <c r="L716" i="22" s="1"/>
  <c r="L56" i="33"/>
  <c r="I682" i="22" s="1"/>
  <c r="AA20" i="33"/>
  <c r="W20" i="33"/>
  <c r="O26" i="29"/>
  <c r="K56" i="33"/>
  <c r="T56" i="33"/>
  <c r="D56" i="33"/>
  <c r="D682" i="22" s="1"/>
  <c r="F716" i="22" s="1"/>
  <c r="AC20" i="33"/>
  <c r="Y20" i="33"/>
  <c r="C56" i="33"/>
  <c r="X20" i="33"/>
  <c r="AD20" i="33"/>
  <c r="V20" i="33"/>
  <c r="AB20" i="33"/>
  <c r="Z20" i="33"/>
  <c r="S56" i="33"/>
  <c r="AD716" i="22" s="1"/>
  <c r="AA37" i="33"/>
  <c r="W37" i="33"/>
  <c r="AD37" i="33"/>
  <c r="Z37" i="33"/>
  <c r="V37" i="33"/>
  <c r="X37" i="33"/>
  <c r="AC37" i="33"/>
  <c r="AB37" i="33"/>
  <c r="Y37" i="33"/>
  <c r="R78" i="33"/>
  <c r="N78" i="33"/>
  <c r="I78" i="33"/>
  <c r="P78" i="33"/>
  <c r="J78" i="33"/>
  <c r="C78" i="33"/>
  <c r="X58" i="33"/>
  <c r="T58" i="33"/>
  <c r="P58" i="33"/>
  <c r="AC684" i="22" s="1"/>
  <c r="L58" i="33"/>
  <c r="I684" i="22" s="1"/>
  <c r="H58" i="33"/>
  <c r="R718" i="22" s="1"/>
  <c r="D58" i="33"/>
  <c r="D684" i="22" s="1"/>
  <c r="F718" i="22" s="1"/>
  <c r="O78" i="33"/>
  <c r="G78" i="33"/>
  <c r="S78" i="33"/>
  <c r="O28" i="29"/>
  <c r="N28" i="29"/>
  <c r="V58" i="33"/>
  <c r="R58" i="33"/>
  <c r="AM684" i="22" s="1"/>
  <c r="AR684" i="22" s="1"/>
  <c r="Q78" i="33"/>
  <c r="W58" i="33"/>
  <c r="O58" i="33"/>
  <c r="X684" i="22" s="1"/>
  <c r="J58" i="33"/>
  <c r="E58" i="33"/>
  <c r="K78" i="33"/>
  <c r="U58" i="33"/>
  <c r="N58" i="33"/>
  <c r="S684" i="22" s="1"/>
  <c r="I58" i="33"/>
  <c r="X718" i="22" s="1"/>
  <c r="C58" i="33"/>
  <c r="M28" i="29"/>
  <c r="K58" i="33"/>
  <c r="S58" i="33"/>
  <c r="AD718" i="22" s="1"/>
  <c r="G58" i="33"/>
  <c r="L718" i="22" s="1"/>
  <c r="Q58" i="33"/>
  <c r="AH684" i="22" s="1"/>
  <c r="AC22" i="33"/>
  <c r="Y22" i="33"/>
  <c r="M58" i="33"/>
  <c r="N684" i="22" s="1"/>
  <c r="F58" i="33"/>
  <c r="AA22" i="33"/>
  <c r="W22" i="33"/>
  <c r="Z22" i="33"/>
  <c r="X22" i="33"/>
  <c r="AD22" i="33"/>
  <c r="V22" i="33"/>
  <c r="AB22" i="33"/>
  <c r="AD34" i="33"/>
  <c r="Z34" i="33"/>
  <c r="V34" i="33"/>
  <c r="AC34" i="33"/>
  <c r="Y34" i="33"/>
  <c r="AB34" i="33"/>
  <c r="AA34" i="33"/>
  <c r="X34" i="33"/>
  <c r="W34" i="33"/>
  <c r="D64" i="33"/>
  <c r="J44" i="33"/>
  <c r="AE647" i="22" s="1"/>
  <c r="F64" i="33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15" i="29"/>
  <c r="L483" i="22" l="1"/>
  <c r="AD483" i="22"/>
  <c r="AK483" i="22"/>
  <c r="R483" i="22"/>
  <c r="X483" i="22"/>
  <c r="AD474" i="22"/>
  <c r="W474" i="22"/>
  <c r="E509" i="22"/>
  <c r="V556" i="22"/>
  <c r="AN555" i="22"/>
  <c r="AL635" i="22"/>
  <c r="P640" i="22" s="1"/>
  <c r="W640" i="22" s="1"/>
  <c r="W465" i="22"/>
  <c r="E500" i="22"/>
  <c r="AD465" i="22"/>
  <c r="W456" i="22"/>
  <c r="E491" i="22"/>
  <c r="AD456" i="22"/>
  <c r="AD449" i="22"/>
  <c r="W449" i="22"/>
  <c r="E484" i="22"/>
  <c r="E506" i="22"/>
  <c r="W471" i="22"/>
  <c r="AD471" i="22"/>
  <c r="L497" i="22"/>
  <c r="AD497" i="22"/>
  <c r="AK497" i="22"/>
  <c r="R497" i="22"/>
  <c r="X497" i="22"/>
  <c r="W450" i="22"/>
  <c r="E485" i="22"/>
  <c r="AD450" i="22"/>
  <c r="E489" i="22"/>
  <c r="W454" i="22"/>
  <c r="AD454" i="22"/>
  <c r="R495" i="22"/>
  <c r="X495" i="22"/>
  <c r="L495" i="22"/>
  <c r="AD495" i="22"/>
  <c r="AK495" i="22"/>
  <c r="X481" i="22"/>
  <c r="L481" i="22"/>
  <c r="AD481" i="22"/>
  <c r="AK481" i="22"/>
  <c r="R481" i="22"/>
  <c r="X494" i="22"/>
  <c r="R494" i="22"/>
  <c r="AD494" i="22"/>
  <c r="AK494" i="22"/>
  <c r="L494" i="22"/>
  <c r="AD472" i="22"/>
  <c r="W472" i="22"/>
  <c r="E507" i="22"/>
  <c r="E503" i="22"/>
  <c r="W468" i="22"/>
  <c r="AD468" i="22"/>
  <c r="W461" i="22"/>
  <c r="E496" i="22"/>
  <c r="AD461" i="22"/>
  <c r="W473" i="22"/>
  <c r="AD473" i="22"/>
  <c r="E508" i="22"/>
  <c r="W453" i="22"/>
  <c r="E488" i="22"/>
  <c r="AD453" i="22"/>
  <c r="E492" i="22"/>
  <c r="AD457" i="22"/>
  <c r="W457" i="22"/>
  <c r="B368" i="22"/>
  <c r="R368" i="22"/>
  <c r="B537" i="22"/>
  <c r="J571" i="22"/>
  <c r="N368" i="22"/>
  <c r="AA601" i="22" s="1"/>
  <c r="AF368" i="22"/>
  <c r="J572" i="22"/>
  <c r="N701" i="22"/>
  <c r="Q649" i="22"/>
  <c r="O601" i="22"/>
  <c r="Q635" i="22"/>
  <c r="T368" i="22"/>
  <c r="P554" i="22" s="1"/>
  <c r="Z612" i="22"/>
  <c r="AB614" i="22" s="1"/>
  <c r="K44" i="33"/>
  <c r="E98" i="33"/>
  <c r="E96" i="33"/>
  <c r="D99" i="33"/>
  <c r="K99" i="33" s="1"/>
  <c r="E89" i="33"/>
  <c r="D87" i="33"/>
  <c r="K87" i="33" s="1"/>
  <c r="E87" i="33"/>
  <c r="B3" i="33"/>
  <c r="D98" i="33"/>
  <c r="K98" i="33" s="1"/>
  <c r="D96" i="33"/>
  <c r="K96" i="33" s="1"/>
  <c r="D88" i="33"/>
  <c r="K88" i="33" s="1"/>
  <c r="D94" i="33"/>
  <c r="K94" i="33" s="1"/>
  <c r="E92" i="33"/>
  <c r="D97" i="33"/>
  <c r="K97" i="33" s="1"/>
  <c r="E97" i="33"/>
  <c r="C85" i="33"/>
  <c r="L64" i="33"/>
  <c r="E91" i="33"/>
  <c r="D90" i="33"/>
  <c r="K90" i="33" s="1"/>
  <c r="E88" i="33"/>
  <c r="D95" i="33"/>
  <c r="K95" i="33" s="1"/>
  <c r="D86" i="33"/>
  <c r="K86" i="33" s="1"/>
  <c r="E85" i="33"/>
  <c r="E99" i="33"/>
  <c r="D91" i="33"/>
  <c r="K91" i="33" s="1"/>
  <c r="E90" i="33"/>
  <c r="D89" i="33"/>
  <c r="K89" i="33" s="1"/>
  <c r="E94" i="33"/>
  <c r="D92" i="33"/>
  <c r="K92" i="33" s="1"/>
  <c r="E95" i="33"/>
  <c r="E86" i="33"/>
  <c r="D93" i="33"/>
  <c r="K93" i="33" s="1"/>
  <c r="E93" i="33"/>
  <c r="V78" i="33"/>
  <c r="D85" i="33"/>
  <c r="V77" i="33"/>
  <c r="N64" i="33"/>
  <c r="O64" i="33" s="1"/>
  <c r="Q64" i="33" s="1"/>
  <c r="R64" i="33" s="1"/>
  <c r="S64" i="33" s="1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F9" i="29"/>
  <c r="F8" i="29"/>
  <c r="F7" i="29"/>
  <c r="F6" i="29"/>
  <c r="A4" i="29"/>
  <c r="L509" i="22" l="1"/>
  <c r="AK509" i="22"/>
  <c r="R509" i="22"/>
  <c r="AD509" i="22"/>
  <c r="X509" i="22"/>
  <c r="AL649" i="22"/>
  <c r="P654" i="22" s="1"/>
  <c r="W654" i="22" s="1"/>
  <c r="AN556" i="22"/>
  <c r="L503" i="22"/>
  <c r="AD503" i="22"/>
  <c r="AK503" i="22"/>
  <c r="R503" i="22"/>
  <c r="X503" i="22"/>
  <c r="L488" i="22"/>
  <c r="R488" i="22"/>
  <c r="X488" i="22"/>
  <c r="AK488" i="22"/>
  <c r="AD488" i="22"/>
  <c r="L507" i="22"/>
  <c r="R507" i="22"/>
  <c r="AD507" i="22"/>
  <c r="X507" i="22"/>
  <c r="AK507" i="22"/>
  <c r="AK491" i="22"/>
  <c r="R491" i="22"/>
  <c r="X491" i="22"/>
  <c r="L491" i="22"/>
  <c r="AD491" i="22"/>
  <c r="AK485" i="22"/>
  <c r="R485" i="22"/>
  <c r="X485" i="22"/>
  <c r="L485" i="22"/>
  <c r="AD485" i="22"/>
  <c r="AD492" i="22"/>
  <c r="R492" i="22"/>
  <c r="X492" i="22"/>
  <c r="AK492" i="22"/>
  <c r="L492" i="22"/>
  <c r="R496" i="22"/>
  <c r="AK496" i="22"/>
  <c r="AD496" i="22"/>
  <c r="L496" i="22"/>
  <c r="X496" i="22"/>
  <c r="AD506" i="22"/>
  <c r="AK506" i="22"/>
  <c r="R506" i="22"/>
  <c r="L506" i="22"/>
  <c r="X506" i="22"/>
  <c r="R500" i="22"/>
  <c r="AK500" i="22"/>
  <c r="AD500" i="22"/>
  <c r="X500" i="22"/>
  <c r="L500" i="22"/>
  <c r="AD508" i="22"/>
  <c r="AK508" i="22"/>
  <c r="R508" i="22"/>
  <c r="L508" i="22"/>
  <c r="X508" i="22"/>
  <c r="X489" i="22"/>
  <c r="L489" i="22"/>
  <c r="AD489" i="22"/>
  <c r="AK489" i="22"/>
  <c r="R489" i="22"/>
  <c r="R484" i="22"/>
  <c r="X484" i="22"/>
  <c r="AD484" i="22"/>
  <c r="L484" i="22"/>
  <c r="AK484" i="22"/>
  <c r="P553" i="22"/>
  <c r="AH553" i="22" s="1"/>
  <c r="I574" i="22"/>
  <c r="P551" i="22"/>
  <c r="T576" i="22"/>
  <c r="M537" i="22"/>
  <c r="B538" i="22"/>
  <c r="AB537" i="22"/>
  <c r="G537" i="22"/>
  <c r="W537" i="22"/>
  <c r="B544" i="22"/>
  <c r="AN537" i="22"/>
  <c r="I557" i="22" s="1"/>
  <c r="R537" i="22"/>
  <c r="AH537" i="22"/>
  <c r="I552" i="22" s="1"/>
  <c r="G585" i="22" s="1"/>
  <c r="A533" i="22"/>
  <c r="A540" i="22"/>
  <c r="AH554" i="22"/>
  <c r="AG614" i="22"/>
  <c r="L619" i="22" s="1"/>
  <c r="S619" i="22" s="1"/>
  <c r="T588" i="22" s="1"/>
  <c r="W594" i="22" s="1"/>
  <c r="G85" i="33"/>
  <c r="H85" i="33"/>
  <c r="H86" i="33" s="1"/>
  <c r="H87" i="33" s="1"/>
  <c r="H88" i="33" s="1"/>
  <c r="H89" i="33" s="1"/>
  <c r="H90" i="33" s="1"/>
  <c r="H91" i="33" s="1"/>
  <c r="H92" i="33" s="1"/>
  <c r="H93" i="33" s="1"/>
  <c r="H94" i="33" s="1"/>
  <c r="H95" i="33" s="1"/>
  <c r="H96" i="33" s="1"/>
  <c r="H97" i="33" s="1"/>
  <c r="H98" i="33" s="1"/>
  <c r="H99" i="33" s="1"/>
  <c r="J85" i="33"/>
  <c r="J86" i="33" s="1"/>
  <c r="J87" i="33" s="1"/>
  <c r="J88" i="33" s="1"/>
  <c r="J89" i="33" s="1"/>
  <c r="J90" i="33" s="1"/>
  <c r="J91" i="33" s="1"/>
  <c r="J92" i="33" s="1"/>
  <c r="J93" i="33" s="1"/>
  <c r="J94" i="33" s="1"/>
  <c r="J95" i="33" s="1"/>
  <c r="J96" i="33" s="1"/>
  <c r="J97" i="33" s="1"/>
  <c r="J98" i="33" s="1"/>
  <c r="J99" i="33" s="1"/>
  <c r="K85" i="33"/>
  <c r="L85" i="33" s="1"/>
  <c r="I85" i="33"/>
  <c r="I86" i="33" s="1"/>
  <c r="I87" i="33" s="1"/>
  <c r="I88" i="33" s="1"/>
  <c r="I89" i="33" s="1"/>
  <c r="I90" i="33" s="1"/>
  <c r="I91" i="33" s="1"/>
  <c r="I92" i="33" s="1"/>
  <c r="I93" i="33" s="1"/>
  <c r="I94" i="33" s="1"/>
  <c r="I95" i="33" s="1"/>
  <c r="I96" i="33" s="1"/>
  <c r="I97" i="33" s="1"/>
  <c r="I98" i="33" s="1"/>
  <c r="I99" i="33" s="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P552" i="22" l="1"/>
  <c r="AH552" i="22" s="1"/>
  <c r="AP552" i="22" s="1"/>
  <c r="AF601" i="22"/>
  <c r="L606" i="22" s="1"/>
  <c r="S606" i="22" s="1"/>
  <c r="N588" i="22" s="1"/>
  <c r="Q594" i="22" s="1"/>
  <c r="G538" i="22"/>
  <c r="H545" i="22" s="1"/>
  <c r="H544" i="22"/>
  <c r="I551" i="22"/>
  <c r="G561" i="22" s="1"/>
  <c r="Z576" i="22"/>
  <c r="L581" i="22" s="1"/>
  <c r="S581" i="22" s="1"/>
  <c r="G660" i="22" s="1"/>
  <c r="AH551" i="22"/>
  <c r="AH557" i="22" s="1"/>
  <c r="Z544" i="22"/>
  <c r="AF544" i="22"/>
  <c r="T544" i="22"/>
  <c r="N544" i="22"/>
  <c r="M538" i="22"/>
  <c r="B545" i="22"/>
  <c r="W538" i="22"/>
  <c r="R538" i="22"/>
  <c r="G86" i="33"/>
  <c r="F85" i="33"/>
  <c r="M85" i="3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13" i="3"/>
  <c r="C12" i="3"/>
  <c r="AK588" i="22" l="1"/>
  <c r="L592" i="22" s="1"/>
  <c r="S592" i="22" s="1"/>
  <c r="Q593" i="22" s="1"/>
  <c r="J689" i="22"/>
  <c r="G661" i="22"/>
  <c r="F663" i="22" s="1"/>
  <c r="N545" i="22"/>
  <c r="AF545" i="22"/>
  <c r="Z545" i="22"/>
  <c r="T545" i="22"/>
  <c r="L629" i="22"/>
  <c r="R634" i="22" s="1"/>
  <c r="AC635" i="22" s="1"/>
  <c r="AM544" i="22"/>
  <c r="P555" i="22" s="1"/>
  <c r="AA565" i="22"/>
  <c r="N576" i="22" s="1"/>
  <c r="J575" i="22" s="1"/>
  <c r="L569" i="22"/>
  <c r="Z368" i="22"/>
  <c r="O660" i="22"/>
  <c r="P689" i="22" s="1"/>
  <c r="AO593" i="22"/>
  <c r="P690" i="22"/>
  <c r="F86" i="33"/>
  <c r="G87" i="33"/>
  <c r="AM30" i="20"/>
  <c r="AL30" i="20"/>
  <c r="AK30" i="20"/>
  <c r="AI30" i="20"/>
  <c r="AH30" i="20" s="1"/>
  <c r="AH555" i="22" l="1"/>
  <c r="AH635" i="22"/>
  <c r="L640" i="22" s="1"/>
  <c r="S640" i="22" s="1"/>
  <c r="Z588" i="22" s="1"/>
  <c r="AC594" i="22" s="1"/>
  <c r="J694" i="22"/>
  <c r="Q694" i="22" s="1"/>
  <c r="J688" i="22"/>
  <c r="L632" i="22"/>
  <c r="AM545" i="22"/>
  <c r="P556" i="22"/>
  <c r="AA647" i="22"/>
  <c r="AC649" i="22" s="1"/>
  <c r="F87" i="33"/>
  <c r="G88" i="33"/>
  <c r="AG30" i="20"/>
  <c r="AM31" i="20"/>
  <c r="AL31" i="20" s="1"/>
  <c r="AI31" i="20"/>
  <c r="AH31" i="20"/>
  <c r="AG31" i="20"/>
  <c r="AM29" i="20"/>
  <c r="AL29" i="20" s="1"/>
  <c r="AK29" i="20"/>
  <c r="AI29" i="20"/>
  <c r="AH29" i="20" s="1"/>
  <c r="AM28" i="20"/>
  <c r="AL28" i="20" s="1"/>
  <c r="AI28" i="20"/>
  <c r="AH28" i="20"/>
  <c r="AG28" i="20"/>
  <c r="AM27" i="20"/>
  <c r="AL27" i="20" s="1"/>
  <c r="AK27" i="20"/>
  <c r="AI27" i="20"/>
  <c r="AH27" i="20" s="1"/>
  <c r="AM26" i="20"/>
  <c r="AL26" i="20" s="1"/>
  <c r="AI26" i="20"/>
  <c r="AH26" i="20"/>
  <c r="AG26" i="20"/>
  <c r="AM25" i="20"/>
  <c r="AL25" i="20" s="1"/>
  <c r="AK25" i="20"/>
  <c r="AI25" i="20"/>
  <c r="AH25" i="20" s="1"/>
  <c r="AM24" i="20"/>
  <c r="AL24" i="20" s="1"/>
  <c r="AI24" i="20"/>
  <c r="AH24" i="20"/>
  <c r="AG24" i="20"/>
  <c r="AM23" i="20"/>
  <c r="AL23" i="20" s="1"/>
  <c r="AK23" i="20"/>
  <c r="AI23" i="20"/>
  <c r="AH23" i="20" s="1"/>
  <c r="AL22" i="20"/>
  <c r="AH22" i="20"/>
  <c r="AM21" i="20"/>
  <c r="AL21" i="20"/>
  <c r="AK21" i="20"/>
  <c r="AI21" i="20"/>
  <c r="AH21" i="20" s="1"/>
  <c r="AM20" i="20"/>
  <c r="AL20" i="20" s="1"/>
  <c r="AI20" i="20"/>
  <c r="AH20" i="20"/>
  <c r="AG20" i="20"/>
  <c r="AM19" i="20"/>
  <c r="AL19" i="20"/>
  <c r="AK19" i="20"/>
  <c r="AI19" i="20"/>
  <c r="AH19" i="20" s="1"/>
  <c r="AM18" i="20"/>
  <c r="AL18" i="20" s="1"/>
  <c r="AI18" i="20"/>
  <c r="AH18" i="20"/>
  <c r="AG18" i="20"/>
  <c r="AM17" i="20"/>
  <c r="AL17" i="20"/>
  <c r="AK17" i="20"/>
  <c r="AI17" i="20"/>
  <c r="AH17" i="20" s="1"/>
  <c r="AM16" i="20"/>
  <c r="AK16" i="20" s="1"/>
  <c r="AL16" i="20"/>
  <c r="AI16" i="20"/>
  <c r="AH16" i="20"/>
  <c r="AG16" i="20"/>
  <c r="AM15" i="20"/>
  <c r="AL15" i="20"/>
  <c r="AK15" i="20"/>
  <c r="AI15" i="20"/>
  <c r="AH15" i="20" s="1"/>
  <c r="AM14" i="20"/>
  <c r="AK14" i="20" s="1"/>
  <c r="AL14" i="20"/>
  <c r="AI14" i="20"/>
  <c r="AH14" i="20"/>
  <c r="AG14" i="20"/>
  <c r="AM13" i="20"/>
  <c r="AL13" i="20"/>
  <c r="AK13" i="20"/>
  <c r="AI13" i="20"/>
  <c r="AH13" i="20" s="1"/>
  <c r="AM12" i="20"/>
  <c r="AK12" i="20" s="1"/>
  <c r="AL12" i="20"/>
  <c r="AI12" i="20"/>
  <c r="AH12" i="20"/>
  <c r="AG12" i="20"/>
  <c r="AM11" i="20"/>
  <c r="AL11" i="20"/>
  <c r="AK11" i="20"/>
  <c r="AI11" i="20"/>
  <c r="AH11" i="20" s="1"/>
  <c r="AM10" i="20"/>
  <c r="AK10" i="20" s="1"/>
  <c r="AL10" i="20"/>
  <c r="AI10" i="20"/>
  <c r="AH10" i="20"/>
  <c r="AG10" i="20"/>
  <c r="AM9" i="20"/>
  <c r="AL9" i="20"/>
  <c r="AK9" i="20"/>
  <c r="AI9" i="20"/>
  <c r="AH9" i="20" s="1"/>
  <c r="AM8" i="20"/>
  <c r="AK8" i="20" s="1"/>
  <c r="AL8" i="20"/>
  <c r="AI8" i="20"/>
  <c r="AH8" i="20"/>
  <c r="AG8" i="20"/>
  <c r="AM7" i="20"/>
  <c r="AL7" i="20"/>
  <c r="AK7" i="20"/>
  <c r="AI7" i="20"/>
  <c r="AH7" i="20" s="1"/>
  <c r="Y10" i="21"/>
  <c r="X10" i="21" s="1"/>
  <c r="U10" i="21"/>
  <c r="T10" i="21" s="1"/>
  <c r="Y9" i="21"/>
  <c r="X9" i="21"/>
  <c r="W9" i="21"/>
  <c r="U9" i="21"/>
  <c r="T9" i="21"/>
  <c r="S9" i="21"/>
  <c r="Y8" i="21"/>
  <c r="X8" i="21" s="1"/>
  <c r="U8" i="21"/>
  <c r="T8" i="21" s="1"/>
  <c r="Y7" i="21"/>
  <c r="X7" i="21"/>
  <c r="W7" i="21"/>
  <c r="U7" i="21"/>
  <c r="T7" i="21"/>
  <c r="S7" i="21"/>
  <c r="Y6" i="21"/>
  <c r="X6" i="21" s="1"/>
  <c r="U6" i="21"/>
  <c r="T6" i="21" s="1"/>
  <c r="Y5" i="21"/>
  <c r="X5" i="21"/>
  <c r="W5" i="21"/>
  <c r="U5" i="21"/>
  <c r="T5" i="21"/>
  <c r="S5" i="21"/>
  <c r="Y4" i="21"/>
  <c r="X4" i="21" s="1"/>
  <c r="U4" i="21"/>
  <c r="T4" i="21" s="1"/>
  <c r="Y3" i="21"/>
  <c r="X3" i="21"/>
  <c r="W3" i="21"/>
  <c r="U3" i="21"/>
  <c r="T3" i="21"/>
  <c r="S3" i="21"/>
  <c r="AH649" i="22" l="1"/>
  <c r="L654" i="22" s="1"/>
  <c r="S654" i="22" s="1"/>
  <c r="AF588" i="22" s="1"/>
  <c r="AI594" i="22" s="1"/>
  <c r="AH556" i="22"/>
  <c r="G89" i="33"/>
  <c r="F88" i="33"/>
  <c r="AG7" i="20"/>
  <c r="AG9" i="20"/>
  <c r="AG11" i="20"/>
  <c r="AG13" i="20"/>
  <c r="AG15" i="20"/>
  <c r="AG17" i="20"/>
  <c r="AG19" i="20"/>
  <c r="AG21" i="20"/>
  <c r="AG23" i="20"/>
  <c r="AG25" i="20"/>
  <c r="AG27" i="20"/>
  <c r="AG29" i="20"/>
  <c r="AK18" i="20"/>
  <c r="AK20" i="20"/>
  <c r="AK24" i="20"/>
  <c r="AK26" i="20"/>
  <c r="AK28" i="20"/>
  <c r="AK31" i="20"/>
  <c r="W4" i="21"/>
  <c r="W6" i="21"/>
  <c r="W8" i="21"/>
  <c r="W10" i="21"/>
  <c r="S4" i="21"/>
  <c r="S6" i="21"/>
  <c r="S8" i="21"/>
  <c r="S10" i="21"/>
  <c r="G90" i="33" l="1"/>
  <c r="F89" i="33"/>
  <c r="B6" i="23"/>
  <c r="G8" i="23"/>
  <c r="E8" i="23"/>
  <c r="G91" i="33" l="1"/>
  <c r="F90" i="33"/>
  <c r="I103" i="20"/>
  <c r="L103" i="20" s="1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J8" i="20"/>
  <c r="H3" i="20"/>
  <c r="I3" i="20" s="1"/>
  <c r="G3" i="20"/>
  <c r="F3" i="20"/>
  <c r="E3" i="20"/>
  <c r="D3" i="20"/>
  <c r="M121" i="20"/>
  <c r="Q121" i="20" s="1"/>
  <c r="M120" i="20"/>
  <c r="Q120" i="20" s="1"/>
  <c r="M119" i="20"/>
  <c r="Q119" i="20" s="1"/>
  <c r="M115" i="20"/>
  <c r="N115" i="20" s="1"/>
  <c r="R115" i="20" s="1"/>
  <c r="M114" i="20"/>
  <c r="O114" i="20" s="1"/>
  <c r="M113" i="20"/>
  <c r="N113" i="20" s="1"/>
  <c r="R113" i="20" s="1"/>
  <c r="M103" i="20"/>
  <c r="B59" i="20"/>
  <c r="B79" i="20" s="1"/>
  <c r="B99" i="20" s="1"/>
  <c r="B58" i="20"/>
  <c r="B78" i="20" s="1"/>
  <c r="B98" i="20" s="1"/>
  <c r="B57" i="20"/>
  <c r="B77" i="20" s="1"/>
  <c r="B97" i="20" s="1"/>
  <c r="B56" i="20"/>
  <c r="B76" i="20" s="1"/>
  <c r="B96" i="20" s="1"/>
  <c r="B55" i="20"/>
  <c r="B75" i="20" s="1"/>
  <c r="B95" i="20" s="1"/>
  <c r="B54" i="20"/>
  <c r="B74" i="20" s="1"/>
  <c r="B94" i="20" s="1"/>
  <c r="B53" i="20"/>
  <c r="B73" i="20" s="1"/>
  <c r="B93" i="20" s="1"/>
  <c r="B52" i="20"/>
  <c r="B72" i="20" s="1"/>
  <c r="B92" i="20" s="1"/>
  <c r="B51" i="20"/>
  <c r="B71" i="20" s="1"/>
  <c r="B91" i="20" s="1"/>
  <c r="B50" i="20"/>
  <c r="B70" i="20" s="1"/>
  <c r="B90" i="20" s="1"/>
  <c r="B49" i="20"/>
  <c r="B69" i="20" s="1"/>
  <c r="B89" i="20" s="1"/>
  <c r="B48" i="20"/>
  <c r="B68" i="20" s="1"/>
  <c r="B88" i="20" s="1"/>
  <c r="B47" i="20"/>
  <c r="B67" i="20" s="1"/>
  <c r="B87" i="20" s="1"/>
  <c r="B46" i="20"/>
  <c r="B66" i="20" s="1"/>
  <c r="B86" i="20" s="1"/>
  <c r="B45" i="20"/>
  <c r="B65" i="20" s="1"/>
  <c r="B85" i="20" s="1"/>
  <c r="J328" i="22"/>
  <c r="H289" i="22"/>
  <c r="G283" i="22"/>
  <c r="H275" i="22"/>
  <c r="G262" i="22"/>
  <c r="H254" i="22"/>
  <c r="G248" i="22"/>
  <c r="L245" i="22"/>
  <c r="H241" i="22"/>
  <c r="G236" i="22"/>
  <c r="Q233" i="22"/>
  <c r="H227" i="22"/>
  <c r="L220" i="22"/>
  <c r="H216" i="22"/>
  <c r="T215" i="22"/>
  <c r="AP194" i="22"/>
  <c r="AI233" i="22" s="1"/>
  <c r="AP193" i="22"/>
  <c r="AC233" i="22" s="1"/>
  <c r="AP192" i="22"/>
  <c r="P258" i="22" s="1"/>
  <c r="C7" i="3"/>
  <c r="G92" i="33" l="1"/>
  <c r="F91" i="33"/>
  <c r="Q12" i="20"/>
  <c r="P12" i="20"/>
  <c r="O12" i="20"/>
  <c r="N12" i="20"/>
  <c r="Q16" i="20"/>
  <c r="P16" i="20"/>
  <c r="O16" i="20"/>
  <c r="N16" i="20"/>
  <c r="Q20" i="20"/>
  <c r="P20" i="20"/>
  <c r="O20" i="20"/>
  <c r="N20" i="20"/>
  <c r="Q24" i="20"/>
  <c r="P24" i="20"/>
  <c r="O24" i="20"/>
  <c r="N24" i="20"/>
  <c r="Q28" i="20"/>
  <c r="P28" i="20"/>
  <c r="O28" i="20"/>
  <c r="N28" i="20"/>
  <c r="Q32" i="20"/>
  <c r="P32" i="20"/>
  <c r="O32" i="20"/>
  <c r="N32" i="20"/>
  <c r="Q36" i="20"/>
  <c r="P36" i="20"/>
  <c r="O36" i="20"/>
  <c r="N36" i="20"/>
  <c r="Q9" i="20"/>
  <c r="P9" i="20"/>
  <c r="O9" i="20"/>
  <c r="N9" i="20"/>
  <c r="Q13" i="20"/>
  <c r="P13" i="20"/>
  <c r="O13" i="20"/>
  <c r="N13" i="20"/>
  <c r="Q17" i="20"/>
  <c r="P17" i="20"/>
  <c r="O17" i="20"/>
  <c r="N17" i="20"/>
  <c r="Q21" i="20"/>
  <c r="P21" i="20"/>
  <c r="O21" i="20"/>
  <c r="N21" i="20"/>
  <c r="Q25" i="20"/>
  <c r="P25" i="20"/>
  <c r="O25" i="20"/>
  <c r="N25" i="20"/>
  <c r="Q29" i="20"/>
  <c r="P29" i="20"/>
  <c r="O29" i="20"/>
  <c r="N29" i="20"/>
  <c r="Q33" i="20"/>
  <c r="P33" i="20"/>
  <c r="O33" i="20"/>
  <c r="N33" i="20"/>
  <c r="Q37" i="20"/>
  <c r="P37" i="20"/>
  <c r="O37" i="20"/>
  <c r="N37" i="20"/>
  <c r="Q10" i="20"/>
  <c r="P10" i="20"/>
  <c r="O10" i="20"/>
  <c r="N10" i="20"/>
  <c r="Q14" i="20"/>
  <c r="P14" i="20"/>
  <c r="O14" i="20"/>
  <c r="N14" i="20"/>
  <c r="Q18" i="20"/>
  <c r="P18" i="20"/>
  <c r="O18" i="20"/>
  <c r="N18" i="20"/>
  <c r="Q22" i="20"/>
  <c r="P22" i="20"/>
  <c r="O22" i="20"/>
  <c r="N22" i="20"/>
  <c r="Q26" i="20"/>
  <c r="P26" i="20"/>
  <c r="O26" i="20"/>
  <c r="N26" i="20"/>
  <c r="Q30" i="20"/>
  <c r="P30" i="20"/>
  <c r="O30" i="20"/>
  <c r="N30" i="20"/>
  <c r="Q34" i="20"/>
  <c r="P34" i="20"/>
  <c r="O34" i="20"/>
  <c r="N34" i="20"/>
  <c r="Q38" i="20"/>
  <c r="P38" i="20"/>
  <c r="O38" i="20"/>
  <c r="N38" i="20"/>
  <c r="Q11" i="20"/>
  <c r="P11" i="20"/>
  <c r="O11" i="20"/>
  <c r="N11" i="20"/>
  <c r="Q15" i="20"/>
  <c r="P15" i="20"/>
  <c r="O15" i="20"/>
  <c r="N15" i="20"/>
  <c r="Q19" i="20"/>
  <c r="P19" i="20"/>
  <c r="O19" i="20"/>
  <c r="N19" i="20"/>
  <c r="Q23" i="20"/>
  <c r="P23" i="20"/>
  <c r="O23" i="20"/>
  <c r="N23" i="20"/>
  <c r="Q27" i="20"/>
  <c r="P27" i="20"/>
  <c r="O27" i="20"/>
  <c r="N27" i="20"/>
  <c r="Q31" i="20"/>
  <c r="P31" i="20"/>
  <c r="O31" i="20"/>
  <c r="N31" i="20"/>
  <c r="Q35" i="20"/>
  <c r="P35" i="20"/>
  <c r="O35" i="20"/>
  <c r="N35" i="20"/>
  <c r="K8" i="20"/>
  <c r="P11" i="22" s="1"/>
  <c r="L342" i="22" s="1"/>
  <c r="C25" i="23"/>
  <c r="M84" i="20"/>
  <c r="J12" i="20"/>
  <c r="L12" i="20"/>
  <c r="K12" i="20"/>
  <c r="M12" i="20"/>
  <c r="J16" i="20"/>
  <c r="M16" i="20"/>
  <c r="L16" i="20"/>
  <c r="K16" i="20"/>
  <c r="J24" i="20"/>
  <c r="M24" i="20"/>
  <c r="L24" i="20"/>
  <c r="K24" i="20"/>
  <c r="J28" i="20"/>
  <c r="L28" i="20"/>
  <c r="K28" i="20"/>
  <c r="M28" i="20"/>
  <c r="J32" i="20"/>
  <c r="M32" i="20"/>
  <c r="AD35" i="22" s="1"/>
  <c r="Z70" i="22" s="1"/>
  <c r="L32" i="20"/>
  <c r="K32" i="20"/>
  <c r="P35" i="22" s="1"/>
  <c r="L70" i="22" s="1"/>
  <c r="J36" i="20"/>
  <c r="K36" i="20"/>
  <c r="M36" i="20"/>
  <c r="AD39" i="22" s="1"/>
  <c r="Z74" i="22" s="1"/>
  <c r="L36" i="20"/>
  <c r="J9" i="20"/>
  <c r="K9" i="20"/>
  <c r="M9" i="20"/>
  <c r="L9" i="20"/>
  <c r="J21" i="20"/>
  <c r="K21" i="20"/>
  <c r="M21" i="20"/>
  <c r="AD24" i="22" s="1"/>
  <c r="Z59" i="22" s="1"/>
  <c r="L21" i="20"/>
  <c r="W24" i="22" s="1"/>
  <c r="S59" i="22" s="1"/>
  <c r="J33" i="20"/>
  <c r="K33" i="20"/>
  <c r="P36" i="22" s="1"/>
  <c r="L71" i="22" s="1"/>
  <c r="M33" i="20"/>
  <c r="L33" i="20"/>
  <c r="W36" i="22" s="1"/>
  <c r="S71" i="22" s="1"/>
  <c r="J10" i="20"/>
  <c r="L10" i="20"/>
  <c r="K10" i="20"/>
  <c r="P13" i="22" s="1"/>
  <c r="L48" i="22" s="1"/>
  <c r="M10" i="20"/>
  <c r="J14" i="20"/>
  <c r="L14" i="20"/>
  <c r="M14" i="20"/>
  <c r="AD17" i="22" s="1"/>
  <c r="Z52" i="22" s="1"/>
  <c r="K14" i="20"/>
  <c r="P17" i="22" s="1"/>
  <c r="L52" i="22" s="1"/>
  <c r="J18" i="20"/>
  <c r="L18" i="20"/>
  <c r="K18" i="20"/>
  <c r="M18" i="20"/>
  <c r="J22" i="20"/>
  <c r="L22" i="20"/>
  <c r="M22" i="20"/>
  <c r="K22" i="20"/>
  <c r="J26" i="20"/>
  <c r="L26" i="20"/>
  <c r="K26" i="20"/>
  <c r="M26" i="20"/>
  <c r="J30" i="20"/>
  <c r="L30" i="20"/>
  <c r="M30" i="20"/>
  <c r="K30" i="20"/>
  <c r="J34" i="20"/>
  <c r="L34" i="20"/>
  <c r="K34" i="20"/>
  <c r="P37" i="22" s="1"/>
  <c r="L72" i="22" s="1"/>
  <c r="M34" i="20"/>
  <c r="AD37" i="22" s="1"/>
  <c r="Z72" i="22" s="1"/>
  <c r="J38" i="20"/>
  <c r="L38" i="20"/>
  <c r="W41" i="22" s="1"/>
  <c r="S76" i="22" s="1"/>
  <c r="M38" i="20"/>
  <c r="K38" i="20"/>
  <c r="J20" i="20"/>
  <c r="L20" i="20"/>
  <c r="K20" i="20"/>
  <c r="P23" i="22" s="1"/>
  <c r="L58" i="22" s="1"/>
  <c r="M20" i="20"/>
  <c r="J13" i="20"/>
  <c r="K13" i="20"/>
  <c r="M13" i="20"/>
  <c r="L13" i="20"/>
  <c r="J17" i="20"/>
  <c r="K17" i="20"/>
  <c r="M17" i="20"/>
  <c r="L17" i="20"/>
  <c r="J25" i="20"/>
  <c r="K25" i="20"/>
  <c r="M25" i="20"/>
  <c r="AD28" i="22" s="1"/>
  <c r="Z63" i="22" s="1"/>
  <c r="L25" i="20"/>
  <c r="J29" i="20"/>
  <c r="K29" i="20"/>
  <c r="M29" i="20"/>
  <c r="L29" i="20"/>
  <c r="J37" i="20"/>
  <c r="K37" i="20"/>
  <c r="M37" i="20"/>
  <c r="AD40" i="22" s="1"/>
  <c r="Z75" i="22" s="1"/>
  <c r="L37" i="20"/>
  <c r="W40" i="22" s="1"/>
  <c r="S75" i="22" s="1"/>
  <c r="J11" i="20"/>
  <c r="M11" i="20"/>
  <c r="L11" i="20"/>
  <c r="K11" i="20"/>
  <c r="P14" i="22" s="1"/>
  <c r="L49" i="22" s="1"/>
  <c r="J15" i="20"/>
  <c r="M15" i="20"/>
  <c r="K15" i="20"/>
  <c r="L15" i="20"/>
  <c r="J19" i="20"/>
  <c r="M19" i="20"/>
  <c r="L19" i="20"/>
  <c r="K19" i="20"/>
  <c r="J23" i="20"/>
  <c r="M23" i="20"/>
  <c r="K23" i="20"/>
  <c r="L23" i="20"/>
  <c r="J27" i="20"/>
  <c r="M27" i="20"/>
  <c r="L27" i="20"/>
  <c r="K27" i="20"/>
  <c r="J31" i="20"/>
  <c r="M31" i="20"/>
  <c r="AD34" i="22" s="1"/>
  <c r="Z69" i="22" s="1"/>
  <c r="K31" i="20"/>
  <c r="L31" i="20"/>
  <c r="J35" i="20"/>
  <c r="M35" i="20"/>
  <c r="AD38" i="22" s="1"/>
  <c r="Z73" i="22" s="1"/>
  <c r="L35" i="20"/>
  <c r="W38" i="22" s="1"/>
  <c r="S73" i="22" s="1"/>
  <c r="K35" i="20"/>
  <c r="H17" i="20"/>
  <c r="H25" i="20"/>
  <c r="E29" i="20"/>
  <c r="I32" i="22" s="1"/>
  <c r="H33" i="20"/>
  <c r="H10" i="20"/>
  <c r="G14" i="20"/>
  <c r="H18" i="20"/>
  <c r="G22" i="20"/>
  <c r="H26" i="20"/>
  <c r="G30" i="20"/>
  <c r="I30" i="20" s="1"/>
  <c r="H34" i="20"/>
  <c r="G38" i="20"/>
  <c r="I38" i="20" s="1"/>
  <c r="F11" i="20"/>
  <c r="F15" i="20"/>
  <c r="F19" i="20"/>
  <c r="F23" i="20"/>
  <c r="F27" i="20"/>
  <c r="F35" i="20"/>
  <c r="H9" i="20"/>
  <c r="G16" i="20"/>
  <c r="I16" i="20" s="1"/>
  <c r="G24" i="20"/>
  <c r="I24" i="20" s="1"/>
  <c r="G32" i="20"/>
  <c r="I32" i="20" s="1"/>
  <c r="AD36" i="22"/>
  <c r="Z71" i="22" s="1"/>
  <c r="P41" i="22"/>
  <c r="L76" i="22" s="1"/>
  <c r="E17" i="20"/>
  <c r="I20" i="22" s="1"/>
  <c r="E9" i="20"/>
  <c r="E14" i="20"/>
  <c r="I17" i="22" s="1"/>
  <c r="E22" i="20"/>
  <c r="I25" i="22" s="1"/>
  <c r="H32" i="20"/>
  <c r="F16" i="20"/>
  <c r="P279" i="22"/>
  <c r="P293" i="22"/>
  <c r="O115" i="20"/>
  <c r="E25" i="20"/>
  <c r="I28" i="22" s="1"/>
  <c r="O113" i="20"/>
  <c r="L118" i="20"/>
  <c r="S118" i="20" s="1"/>
  <c r="H16" i="20"/>
  <c r="F24" i="20"/>
  <c r="E30" i="20"/>
  <c r="I33" i="22" s="1"/>
  <c r="E68" i="22" s="1"/>
  <c r="I104" i="22" s="1"/>
  <c r="E139" i="22" s="1"/>
  <c r="E33" i="20"/>
  <c r="I36" i="22" s="1"/>
  <c r="E71" i="22" s="1"/>
  <c r="I107" i="22" s="1"/>
  <c r="E142" i="22" s="1"/>
  <c r="H24" i="20"/>
  <c r="F32" i="20"/>
  <c r="E38" i="20"/>
  <c r="I41" i="22" s="1"/>
  <c r="E76" i="22" s="1"/>
  <c r="I112" i="22" s="1"/>
  <c r="AD112" i="22" s="1"/>
  <c r="H21" i="20"/>
  <c r="H37" i="20"/>
  <c r="E21" i="20"/>
  <c r="I24" i="22" s="1"/>
  <c r="E37" i="20"/>
  <c r="I40" i="22" s="1"/>
  <c r="E75" i="22" s="1"/>
  <c r="I111" i="22" s="1"/>
  <c r="W111" i="22" s="1"/>
  <c r="G10" i="20"/>
  <c r="I10" i="20" s="1"/>
  <c r="E10" i="20"/>
  <c r="I13" i="22" s="1"/>
  <c r="G12" i="20"/>
  <c r="H12" i="20"/>
  <c r="F12" i="20"/>
  <c r="G18" i="20"/>
  <c r="E18" i="20"/>
  <c r="I21" i="22" s="1"/>
  <c r="G20" i="20"/>
  <c r="I20" i="20" s="1"/>
  <c r="H20" i="20"/>
  <c r="F20" i="20"/>
  <c r="G26" i="20"/>
  <c r="E26" i="20"/>
  <c r="I29" i="22" s="1"/>
  <c r="G28" i="20"/>
  <c r="I28" i="20" s="1"/>
  <c r="H28" i="20"/>
  <c r="F28" i="20"/>
  <c r="F31" i="20"/>
  <c r="G34" i="20"/>
  <c r="I34" i="20" s="1"/>
  <c r="E34" i="20"/>
  <c r="I37" i="22" s="1"/>
  <c r="E72" i="22" s="1"/>
  <c r="I108" i="22" s="1"/>
  <c r="AD108" i="22" s="1"/>
  <c r="W37" i="22"/>
  <c r="S72" i="22" s="1"/>
  <c r="G36" i="20"/>
  <c r="I36" i="20" s="1"/>
  <c r="H36" i="20"/>
  <c r="F36" i="20"/>
  <c r="H13" i="20"/>
  <c r="H29" i="20"/>
  <c r="E13" i="20"/>
  <c r="I16" i="22" s="1"/>
  <c r="N114" i="20"/>
  <c r="R114" i="20" s="1"/>
  <c r="F10" i="20"/>
  <c r="F18" i="20"/>
  <c r="F26" i="20"/>
  <c r="F34" i="20"/>
  <c r="F14" i="20"/>
  <c r="F22" i="20"/>
  <c r="F30" i="20"/>
  <c r="F38" i="20"/>
  <c r="H14" i="20"/>
  <c r="H22" i="20"/>
  <c r="H30" i="20"/>
  <c r="H38" i="20"/>
  <c r="W34" i="22"/>
  <c r="S69" i="22" s="1"/>
  <c r="F9" i="20"/>
  <c r="H11" i="20"/>
  <c r="E12" i="20"/>
  <c r="I15" i="22" s="1"/>
  <c r="F13" i="20"/>
  <c r="H15" i="20"/>
  <c r="E16" i="20"/>
  <c r="I19" i="22" s="1"/>
  <c r="F17" i="20"/>
  <c r="H19" i="20"/>
  <c r="E20" i="20"/>
  <c r="I23" i="22" s="1"/>
  <c r="F21" i="20"/>
  <c r="H23" i="20"/>
  <c r="E24" i="20"/>
  <c r="I27" i="22" s="1"/>
  <c r="F25" i="20"/>
  <c r="H27" i="20"/>
  <c r="E28" i="20"/>
  <c r="I31" i="22" s="1"/>
  <c r="F29" i="20"/>
  <c r="H31" i="20"/>
  <c r="E32" i="20"/>
  <c r="I35" i="22" s="1"/>
  <c r="E70" i="22" s="1"/>
  <c r="I106" i="22" s="1"/>
  <c r="AD106" i="22" s="1"/>
  <c r="F33" i="20"/>
  <c r="H35" i="20"/>
  <c r="E36" i="20"/>
  <c r="I39" i="22" s="1"/>
  <c r="E74" i="22" s="1"/>
  <c r="I110" i="22" s="1"/>
  <c r="W110" i="22" s="1"/>
  <c r="F37" i="20"/>
  <c r="G11" i="20"/>
  <c r="I11" i="20" s="1"/>
  <c r="G31" i="20"/>
  <c r="I31" i="20" s="1"/>
  <c r="G35" i="20"/>
  <c r="I35" i="20" s="1"/>
  <c r="G9" i="20"/>
  <c r="E11" i="20"/>
  <c r="I14" i="22" s="1"/>
  <c r="G13" i="20"/>
  <c r="E15" i="20"/>
  <c r="I18" i="22" s="1"/>
  <c r="G17" i="20"/>
  <c r="I17" i="20" s="1"/>
  <c r="E19" i="20"/>
  <c r="I22" i="22" s="1"/>
  <c r="G21" i="20"/>
  <c r="I21" i="20" s="1"/>
  <c r="E23" i="20"/>
  <c r="I26" i="22" s="1"/>
  <c r="G25" i="20"/>
  <c r="I25" i="20" s="1"/>
  <c r="E27" i="20"/>
  <c r="I30" i="22" s="1"/>
  <c r="G29" i="20"/>
  <c r="I29" i="20" s="1"/>
  <c r="E31" i="20"/>
  <c r="I34" i="22" s="1"/>
  <c r="G33" i="20"/>
  <c r="I33" i="20" s="1"/>
  <c r="E35" i="20"/>
  <c r="I38" i="22" s="1"/>
  <c r="E73" i="22" s="1"/>
  <c r="I109" i="22" s="1"/>
  <c r="AD109" i="22" s="1"/>
  <c r="G37" i="20"/>
  <c r="I37" i="20" s="1"/>
  <c r="G15" i="20"/>
  <c r="I15" i="20" s="1"/>
  <c r="G19" i="20"/>
  <c r="I19" i="20" s="1"/>
  <c r="G23" i="20"/>
  <c r="I23" i="20" s="1"/>
  <c r="G27" i="20"/>
  <c r="K3" i="20"/>
  <c r="Y8" i="20"/>
  <c r="V8" i="20"/>
  <c r="L8" i="20"/>
  <c r="P64" i="20"/>
  <c r="J3" i="20"/>
  <c r="P24" i="22"/>
  <c r="L59" i="22" s="1"/>
  <c r="W39" i="22"/>
  <c r="S74" i="22" s="1"/>
  <c r="P39" i="22"/>
  <c r="L74" i="22" s="1"/>
  <c r="P15" i="22"/>
  <c r="L50" i="22" s="1"/>
  <c r="P28" i="22"/>
  <c r="L63" i="22" s="1"/>
  <c r="W35" i="22"/>
  <c r="S70" i="22" s="1"/>
  <c r="C3" i="20"/>
  <c r="F8" i="20"/>
  <c r="P16" i="22"/>
  <c r="L51" i="22" s="1"/>
  <c r="P21" i="22"/>
  <c r="L56" i="22" s="1"/>
  <c r="P25" i="22"/>
  <c r="L60" i="22" s="1"/>
  <c r="P29" i="22"/>
  <c r="L64" i="22" s="1"/>
  <c r="P38" i="22"/>
  <c r="L73" i="22" s="1"/>
  <c r="P30" i="22"/>
  <c r="L65" i="22" s="1"/>
  <c r="P34" i="22"/>
  <c r="L69" i="22" s="1"/>
  <c r="AD41" i="22"/>
  <c r="Z76" i="22" s="1"/>
  <c r="P40" i="22"/>
  <c r="L75" i="22" s="1"/>
  <c r="N103" i="20"/>
  <c r="M174" i="22"/>
  <c r="N181" i="22" s="1"/>
  <c r="L46" i="22"/>
  <c r="L117" i="22"/>
  <c r="AD250" i="22"/>
  <c r="W233" i="22"/>
  <c r="F92" i="33" l="1"/>
  <c r="G93" i="33"/>
  <c r="I12" i="22"/>
  <c r="E47" i="22" s="1"/>
  <c r="I83" i="22" s="1"/>
  <c r="E118" i="22" s="1"/>
  <c r="AK36" i="22"/>
  <c r="P107" i="22" s="1"/>
  <c r="AK33" i="22"/>
  <c r="P104" i="22" s="1"/>
  <c r="N118" i="20"/>
  <c r="P118" i="20" s="1"/>
  <c r="O118" i="20"/>
  <c r="R118" i="20"/>
  <c r="T118" i="20" s="1"/>
  <c r="L119" i="20"/>
  <c r="O119" i="20" s="1"/>
  <c r="E141" i="22"/>
  <c r="AD141" i="22" s="1"/>
  <c r="AK38" i="22"/>
  <c r="P109" i="22" s="1"/>
  <c r="E144" i="22"/>
  <c r="AK144" i="22" s="1"/>
  <c r="AK35" i="22"/>
  <c r="P106" i="22" s="1"/>
  <c r="E143" i="22"/>
  <c r="AD143" i="22" s="1"/>
  <c r="W106" i="22"/>
  <c r="AK37" i="22"/>
  <c r="P108" i="22" s="1"/>
  <c r="W112" i="22"/>
  <c r="E147" i="22"/>
  <c r="R147" i="22" s="1"/>
  <c r="E145" i="22"/>
  <c r="AD145" i="22" s="1"/>
  <c r="AK41" i="22"/>
  <c r="P112" i="22" s="1"/>
  <c r="AD107" i="22"/>
  <c r="W107" i="22"/>
  <c r="AD111" i="22"/>
  <c r="P31" i="22"/>
  <c r="L66" i="22" s="1"/>
  <c r="P26" i="22"/>
  <c r="L61" i="22" s="1"/>
  <c r="W18" i="22"/>
  <c r="S53" i="22" s="1"/>
  <c r="P18" i="22"/>
  <c r="L53" i="22" s="1"/>
  <c r="W20" i="22"/>
  <c r="S55" i="22" s="1"/>
  <c r="P20" i="22"/>
  <c r="L55" i="22" s="1"/>
  <c r="M8" i="20"/>
  <c r="AD11" i="22" s="1"/>
  <c r="W11" i="22"/>
  <c r="E146" i="22"/>
  <c r="L146" i="22" s="1"/>
  <c r="P33" i="22"/>
  <c r="L68" i="22" s="1"/>
  <c r="AD23" i="22"/>
  <c r="Z58" i="22" s="1"/>
  <c r="W23" i="22"/>
  <c r="S58" i="22" s="1"/>
  <c r="AK34" i="22"/>
  <c r="P105" i="22" s="1"/>
  <c r="E69" i="22"/>
  <c r="I105" i="22" s="1"/>
  <c r="AK39" i="22"/>
  <c r="P110" i="22" s="1"/>
  <c r="W108" i="22"/>
  <c r="P32" i="22"/>
  <c r="L67" i="22" s="1"/>
  <c r="G44" i="20"/>
  <c r="AB174" i="22" s="1"/>
  <c r="AF181" i="22" s="1"/>
  <c r="AK11" i="22"/>
  <c r="P82" i="22" s="1"/>
  <c r="W109" i="22"/>
  <c r="W22" i="22"/>
  <c r="S57" i="22" s="1"/>
  <c r="P22" i="22"/>
  <c r="L57" i="22" s="1"/>
  <c r="AD110" i="22"/>
  <c r="AK40" i="22"/>
  <c r="P111" i="22" s="1"/>
  <c r="W27" i="22"/>
  <c r="S62" i="22" s="1"/>
  <c r="P27" i="22"/>
  <c r="L62" i="22" s="1"/>
  <c r="P19" i="22"/>
  <c r="L54" i="22" s="1"/>
  <c r="P12" i="22"/>
  <c r="L47" i="22"/>
  <c r="AD20" i="22"/>
  <c r="Z55" i="22" s="1"/>
  <c r="AD18" i="22"/>
  <c r="Z53" i="22" s="1"/>
  <c r="AD22" i="22"/>
  <c r="Z57" i="22" s="1"/>
  <c r="AD27" i="22"/>
  <c r="Z62" i="22" s="1"/>
  <c r="N119" i="20"/>
  <c r="L120" i="20"/>
  <c r="I12" i="20"/>
  <c r="W28" i="22"/>
  <c r="S63" i="22" s="1"/>
  <c r="I13" i="20"/>
  <c r="C103" i="20"/>
  <c r="J103" i="20" s="1"/>
  <c r="I64" i="20"/>
  <c r="G8" i="20"/>
  <c r="H8" i="20" s="1"/>
  <c r="D103" i="20"/>
  <c r="K103" i="20" s="1"/>
  <c r="F12" i="26" s="1"/>
  <c r="F44" i="20"/>
  <c r="AA8" i="20"/>
  <c r="AB8" i="20" s="1"/>
  <c r="AC8" i="20" s="1"/>
  <c r="AD8" i="20" s="1"/>
  <c r="W8" i="20"/>
  <c r="X8" i="20" s="1"/>
  <c r="I27" i="20"/>
  <c r="I22" i="20"/>
  <c r="W17" i="22"/>
  <c r="S52" i="22" s="1"/>
  <c r="I14" i="20"/>
  <c r="I9" i="20"/>
  <c r="W12" i="22"/>
  <c r="S47" i="22" s="1"/>
  <c r="I26" i="20"/>
  <c r="I18" i="20"/>
  <c r="S38" i="20"/>
  <c r="Z38" i="20" s="1"/>
  <c r="S34" i="20"/>
  <c r="Z34" i="20" s="1"/>
  <c r="S28" i="20"/>
  <c r="Z28" i="20" s="1"/>
  <c r="S37" i="20"/>
  <c r="Z37" i="20" s="1"/>
  <c r="S35" i="20"/>
  <c r="Z35" i="20" s="1"/>
  <c r="S30" i="20"/>
  <c r="Z30" i="20" s="1"/>
  <c r="S23" i="20"/>
  <c r="S19" i="20"/>
  <c r="S15" i="20"/>
  <c r="S36" i="20"/>
  <c r="Z36" i="20" s="1"/>
  <c r="S27" i="20"/>
  <c r="Z27" i="20" s="1"/>
  <c r="S25" i="20"/>
  <c r="Z25" i="20" s="1"/>
  <c r="S17" i="20"/>
  <c r="S10" i="20"/>
  <c r="S12" i="20"/>
  <c r="S32" i="20"/>
  <c r="Z32" i="20" s="1"/>
  <c r="S24" i="20"/>
  <c r="Z24" i="20" s="1"/>
  <c r="S22" i="20"/>
  <c r="S14" i="20"/>
  <c r="S11" i="20"/>
  <c r="S31" i="20"/>
  <c r="Z31" i="20" s="1"/>
  <c r="S29" i="20"/>
  <c r="Z29" i="20" s="1"/>
  <c r="S26" i="20"/>
  <c r="Z26" i="20" s="1"/>
  <c r="S20" i="20"/>
  <c r="S18" i="20"/>
  <c r="S9" i="20"/>
  <c r="S21" i="20"/>
  <c r="S13" i="20"/>
  <c r="S33" i="20"/>
  <c r="Z33" i="20" s="1"/>
  <c r="S16" i="20"/>
  <c r="M112" i="20"/>
  <c r="R142" i="22"/>
  <c r="AK142" i="22"/>
  <c r="L142" i="22"/>
  <c r="X142" i="22"/>
  <c r="AD142" i="22"/>
  <c r="N9" i="21"/>
  <c r="J38" i="21" l="1"/>
  <c r="J22" i="21"/>
  <c r="J14" i="21"/>
  <c r="J34" i="21"/>
  <c r="J18" i="21"/>
  <c r="J30" i="21"/>
  <c r="J42" i="21"/>
  <c r="J26" i="21"/>
  <c r="J16" i="21"/>
  <c r="J41" i="21"/>
  <c r="J36" i="21"/>
  <c r="J31" i="21"/>
  <c r="J39" i="21"/>
  <c r="J33" i="21"/>
  <c r="J37" i="21"/>
  <c r="J27" i="21"/>
  <c r="J29" i="21"/>
  <c r="J21" i="21"/>
  <c r="J28" i="21"/>
  <c r="J23" i="21"/>
  <c r="J20" i="21"/>
  <c r="J15" i="21"/>
  <c r="J40" i="21"/>
  <c r="J17" i="21"/>
  <c r="J35" i="21"/>
  <c r="J32" i="21"/>
  <c r="J25" i="21"/>
  <c r="J24" i="21"/>
  <c r="J43" i="21"/>
  <c r="J19" i="21"/>
  <c r="F93" i="33"/>
  <c r="G94" i="33"/>
  <c r="I72" i="20"/>
  <c r="J72" i="20"/>
  <c r="I65" i="20"/>
  <c r="J65" i="20"/>
  <c r="J78" i="20"/>
  <c r="I78" i="20"/>
  <c r="J66" i="20"/>
  <c r="I66" i="20"/>
  <c r="I71" i="20"/>
  <c r="J71" i="20"/>
  <c r="J74" i="20"/>
  <c r="I74" i="20"/>
  <c r="I69" i="20"/>
  <c r="J69" i="20"/>
  <c r="I67" i="20"/>
  <c r="J67" i="20"/>
  <c r="I75" i="20"/>
  <c r="J75" i="20"/>
  <c r="I73" i="20"/>
  <c r="J73" i="20"/>
  <c r="I76" i="20"/>
  <c r="J76" i="20"/>
  <c r="I77" i="20"/>
  <c r="J77" i="20"/>
  <c r="J70" i="20"/>
  <c r="I70" i="20"/>
  <c r="I68" i="20"/>
  <c r="J68" i="20"/>
  <c r="I79" i="20"/>
  <c r="J79" i="20"/>
  <c r="AK12" i="22"/>
  <c r="P83" i="22" s="1"/>
  <c r="G57" i="20"/>
  <c r="Z21" i="20"/>
  <c r="G50" i="20"/>
  <c r="Z14" i="20"/>
  <c r="G48" i="20"/>
  <c r="Z12" i="20"/>
  <c r="G52" i="20"/>
  <c r="Z16" i="20"/>
  <c r="G45" i="20"/>
  <c r="Z9" i="20"/>
  <c r="G54" i="20"/>
  <c r="Z18" i="20"/>
  <c r="G53" i="20"/>
  <c r="Z17" i="20"/>
  <c r="G51" i="20"/>
  <c r="Z15" i="20"/>
  <c r="G59" i="20"/>
  <c r="Z23" i="20"/>
  <c r="G58" i="20"/>
  <c r="Z22" i="20"/>
  <c r="G46" i="20"/>
  <c r="Z10" i="20"/>
  <c r="G49" i="20"/>
  <c r="Z13" i="20"/>
  <c r="G56" i="20"/>
  <c r="Z20" i="20"/>
  <c r="G47" i="20"/>
  <c r="Z11" i="20"/>
  <c r="G55" i="20"/>
  <c r="Z19" i="20"/>
  <c r="S119" i="20"/>
  <c r="R119" i="20"/>
  <c r="T119" i="20" s="1"/>
  <c r="X144" i="22"/>
  <c r="AD144" i="22"/>
  <c r="R144" i="22"/>
  <c r="L144" i="22"/>
  <c r="AK145" i="22"/>
  <c r="J64" i="20"/>
  <c r="K64" i="20" s="1"/>
  <c r="G15" i="27" s="1"/>
  <c r="R141" i="22"/>
  <c r="N74" i="20"/>
  <c r="G74" i="20"/>
  <c r="Q24" i="29" s="1"/>
  <c r="A30" i="26"/>
  <c r="N179" i="22"/>
  <c r="F12" i="11"/>
  <c r="L335" i="22"/>
  <c r="L141" i="22"/>
  <c r="N69" i="20"/>
  <c r="G69" i="20"/>
  <c r="Q19" i="29" s="1"/>
  <c r="A25" i="26"/>
  <c r="G76" i="20"/>
  <c r="Q26" i="29" s="1"/>
  <c r="N76" i="20"/>
  <c r="A32" i="26"/>
  <c r="X146" i="22"/>
  <c r="X141" i="22"/>
  <c r="N77" i="20"/>
  <c r="G77" i="20"/>
  <c r="Q27" i="29" s="1"/>
  <c r="A33" i="26"/>
  <c r="N70" i="20"/>
  <c r="G70" i="20"/>
  <c r="Q20" i="29" s="1"/>
  <c r="A26" i="26"/>
  <c r="G68" i="20"/>
  <c r="Q18" i="29" s="1"/>
  <c r="N68" i="20"/>
  <c r="A24" i="11"/>
  <c r="A24" i="26"/>
  <c r="G79" i="20"/>
  <c r="Q29" i="29" s="1"/>
  <c r="N79" i="20"/>
  <c r="A35" i="26"/>
  <c r="G73" i="20"/>
  <c r="Q23" i="29" s="1"/>
  <c r="N73" i="20"/>
  <c r="A29" i="26"/>
  <c r="G71" i="20"/>
  <c r="Q21" i="29" s="1"/>
  <c r="N71" i="20"/>
  <c r="A27" i="26"/>
  <c r="L143" i="22"/>
  <c r="G67" i="20"/>
  <c r="Q17" i="29" s="1"/>
  <c r="N67" i="20"/>
  <c r="A23" i="26"/>
  <c r="A23" i="11"/>
  <c r="G75" i="20"/>
  <c r="Q25" i="29" s="1"/>
  <c r="N75" i="20"/>
  <c r="A31" i="26"/>
  <c r="AK141" i="22"/>
  <c r="N72" i="20"/>
  <c r="G72" i="20"/>
  <c r="Q22" i="29" s="1"/>
  <c r="A28" i="26"/>
  <c r="G65" i="20"/>
  <c r="Q15" i="29" s="1"/>
  <c r="N65" i="20"/>
  <c r="W45" i="20"/>
  <c r="A21" i="26"/>
  <c r="A21" i="11"/>
  <c r="N78" i="20"/>
  <c r="G78" i="20"/>
  <c r="Q28" i="29" s="1"/>
  <c r="A34" i="26"/>
  <c r="N66" i="20"/>
  <c r="G66" i="20"/>
  <c r="Q16" i="29" s="1"/>
  <c r="A22" i="11"/>
  <c r="A22" i="26"/>
  <c r="AX6" i="22"/>
  <c r="B6" i="22" s="1"/>
  <c r="D64" i="20"/>
  <c r="AK146" i="22"/>
  <c r="R143" i="22"/>
  <c r="AK147" i="22"/>
  <c r="AK143" i="22"/>
  <c r="X147" i="22"/>
  <c r="P112" i="20"/>
  <c r="X143" i="22"/>
  <c r="L147" i="22"/>
  <c r="AD147" i="22"/>
  <c r="L145" i="22"/>
  <c r="X145" i="22"/>
  <c r="R145" i="22"/>
  <c r="AD146" i="22"/>
  <c r="R146" i="22"/>
  <c r="J44" i="20"/>
  <c r="K44" i="20" s="1"/>
  <c r="AD29" i="22"/>
  <c r="Z64" i="22" s="1"/>
  <c r="W29" i="22"/>
  <c r="S64" i="22" s="1"/>
  <c r="AD14" i="22"/>
  <c r="Z49" i="22" s="1"/>
  <c r="W14" i="22"/>
  <c r="S49" i="22" s="1"/>
  <c r="AD21" i="22"/>
  <c r="Z56" i="22" s="1"/>
  <c r="W21" i="22"/>
  <c r="S56" i="22" s="1"/>
  <c r="AD13" i="22"/>
  <c r="Z48" i="22" s="1"/>
  <c r="W13" i="22"/>
  <c r="S48" i="22" s="1"/>
  <c r="AD30" i="22"/>
  <c r="Z65" i="22" s="1"/>
  <c r="W30" i="22"/>
  <c r="S65" i="22" s="1"/>
  <c r="AD16" i="22"/>
  <c r="Z51" i="22" s="1"/>
  <c r="W16" i="22"/>
  <c r="S51" i="22" s="1"/>
  <c r="AD15" i="22"/>
  <c r="Z50" i="22" s="1"/>
  <c r="W15" i="22"/>
  <c r="S50" i="22" s="1"/>
  <c r="P267" i="22"/>
  <c r="V272" i="22" s="1"/>
  <c r="P270" i="22"/>
  <c r="AD32" i="22"/>
  <c r="Z67" i="22" s="1"/>
  <c r="W32" i="22"/>
  <c r="S67" i="22" s="1"/>
  <c r="AD25" i="22"/>
  <c r="Z60" i="22" s="1"/>
  <c r="W25" i="22"/>
  <c r="S60" i="22" s="1"/>
  <c r="W33" i="22"/>
  <c r="S68" i="22" s="1"/>
  <c r="AD19" i="22"/>
  <c r="Z54" i="22" s="1"/>
  <c r="W19" i="22"/>
  <c r="S54" i="22" s="1"/>
  <c r="R117" i="22"/>
  <c r="S46" i="22"/>
  <c r="R174" i="22"/>
  <c r="T181" i="22" s="1"/>
  <c r="AD105" i="22"/>
  <c r="W105" i="22"/>
  <c r="E140" i="22"/>
  <c r="Z46" i="22"/>
  <c r="W174" i="22"/>
  <c r="Z181" i="22" s="1"/>
  <c r="X117" i="22"/>
  <c r="AD117" i="22" s="1"/>
  <c r="AD26" i="22"/>
  <c r="Z61" i="22" s="1"/>
  <c r="W26" i="22"/>
  <c r="S61" i="22" s="1"/>
  <c r="AD33" i="22"/>
  <c r="Z68" i="22" s="1"/>
  <c r="AD31" i="22"/>
  <c r="Z66" i="22" s="1"/>
  <c r="W31" i="22"/>
  <c r="S66" i="22" s="1"/>
  <c r="E49" i="20"/>
  <c r="T49" i="20"/>
  <c r="F49" i="20"/>
  <c r="F55" i="20"/>
  <c r="E55" i="20"/>
  <c r="T55" i="20"/>
  <c r="E50" i="20"/>
  <c r="F50" i="20"/>
  <c r="T50" i="20"/>
  <c r="T48" i="20"/>
  <c r="F48" i="20"/>
  <c r="E48" i="20"/>
  <c r="F59" i="20"/>
  <c r="T59" i="20"/>
  <c r="E59" i="20"/>
  <c r="T52" i="20"/>
  <c r="F52" i="20"/>
  <c r="E52" i="20"/>
  <c r="T45" i="20"/>
  <c r="E45" i="20"/>
  <c r="F45" i="20"/>
  <c r="E58" i="20"/>
  <c r="F58" i="20"/>
  <c r="T58" i="20"/>
  <c r="E46" i="20"/>
  <c r="F46" i="20"/>
  <c r="T46" i="20"/>
  <c r="T56" i="20"/>
  <c r="F56" i="20"/>
  <c r="E56" i="20"/>
  <c r="F47" i="20"/>
  <c r="E47" i="20"/>
  <c r="T47" i="20"/>
  <c r="E57" i="20"/>
  <c r="T57" i="20"/>
  <c r="F57" i="20"/>
  <c r="E54" i="20"/>
  <c r="F54" i="20"/>
  <c r="T54" i="20"/>
  <c r="T53" i="20"/>
  <c r="E53" i="20"/>
  <c r="F53" i="20"/>
  <c r="F51" i="20"/>
  <c r="T51" i="20"/>
  <c r="E51" i="20"/>
  <c r="O112" i="20"/>
  <c r="N112" i="20"/>
  <c r="V33" i="20"/>
  <c r="W33" i="20"/>
  <c r="AB33" i="20" s="1"/>
  <c r="X33" i="20"/>
  <c r="C54" i="20"/>
  <c r="V18" i="20"/>
  <c r="W18" i="20"/>
  <c r="AB18" i="20" s="1"/>
  <c r="X18" i="20"/>
  <c r="X31" i="20"/>
  <c r="W31" i="20"/>
  <c r="V31" i="20"/>
  <c r="AA31" i="20" s="1"/>
  <c r="Y31" i="20"/>
  <c r="X24" i="20"/>
  <c r="W24" i="20"/>
  <c r="V24" i="20"/>
  <c r="C53" i="20"/>
  <c r="W17" i="20"/>
  <c r="X17" i="20"/>
  <c r="V17" i="20"/>
  <c r="AA17" i="20" s="1"/>
  <c r="C51" i="20"/>
  <c r="V15" i="20"/>
  <c r="AA15" i="20" s="1"/>
  <c r="X15" i="20"/>
  <c r="J51" i="20" s="1"/>
  <c r="W15" i="20"/>
  <c r="AB15" i="20" s="1"/>
  <c r="AB35" i="20"/>
  <c r="X35" i="20"/>
  <c r="AC35" i="20"/>
  <c r="W35" i="20"/>
  <c r="AA35" i="20"/>
  <c r="Y35" i="20"/>
  <c r="V35" i="20"/>
  <c r="AD35" i="20"/>
  <c r="AC38" i="20"/>
  <c r="Y38" i="20"/>
  <c r="AA38" i="20"/>
  <c r="V38" i="20"/>
  <c r="AD38" i="20"/>
  <c r="W38" i="20"/>
  <c r="AB38" i="20"/>
  <c r="X38" i="20"/>
  <c r="C49" i="20"/>
  <c r="W13" i="20"/>
  <c r="AB13" i="20" s="1"/>
  <c r="X13" i="20"/>
  <c r="V13" i="20"/>
  <c r="Y13" i="20" s="1"/>
  <c r="R76" i="20"/>
  <c r="D76" i="20"/>
  <c r="Q76" i="20"/>
  <c r="L76" i="20"/>
  <c r="H27" i="27" s="1"/>
  <c r="C76" i="20"/>
  <c r="F26" i="29" s="1"/>
  <c r="P76" i="20"/>
  <c r="F76" i="20"/>
  <c r="K26" i="29" s="1"/>
  <c r="W56" i="20"/>
  <c r="S56" i="20"/>
  <c r="AD354" i="22" s="1"/>
  <c r="O56" i="20"/>
  <c r="X320" i="22" s="1"/>
  <c r="K56" i="20"/>
  <c r="C56" i="20"/>
  <c r="K76" i="20"/>
  <c r="G27" i="27" s="1"/>
  <c r="N56" i="20"/>
  <c r="S320" i="22" s="1"/>
  <c r="I56" i="20"/>
  <c r="X354" i="22" s="1"/>
  <c r="D56" i="20"/>
  <c r="D96" i="20" s="1"/>
  <c r="K96" i="20" s="1"/>
  <c r="X56" i="20"/>
  <c r="R56" i="20"/>
  <c r="AM320" i="22" s="1"/>
  <c r="AR320" i="22" s="1"/>
  <c r="M56" i="20"/>
  <c r="N320" i="22" s="1"/>
  <c r="H56" i="20"/>
  <c r="R354" i="22" s="1"/>
  <c r="E76" i="20"/>
  <c r="V56" i="20"/>
  <c r="L56" i="20"/>
  <c r="I320" i="22" s="1"/>
  <c r="U56" i="20"/>
  <c r="J56" i="20"/>
  <c r="AB20" i="20"/>
  <c r="X20" i="20"/>
  <c r="O76" i="20"/>
  <c r="AA20" i="20"/>
  <c r="V20" i="20"/>
  <c r="AD20" i="20"/>
  <c r="Y20" i="20"/>
  <c r="S76" i="20"/>
  <c r="P56" i="20"/>
  <c r="AC320" i="22" s="1"/>
  <c r="W20" i="20"/>
  <c r="Q56" i="20"/>
  <c r="AH320" i="22" s="1"/>
  <c r="AC20" i="20"/>
  <c r="X11" i="20"/>
  <c r="W11" i="20"/>
  <c r="AB11" i="20" s="1"/>
  <c r="V11" i="20"/>
  <c r="Y11" i="20" s="1"/>
  <c r="C47" i="20"/>
  <c r="W32" i="20"/>
  <c r="AB32" i="20" s="1"/>
  <c r="X32" i="20"/>
  <c r="V32" i="20"/>
  <c r="J53" i="20" s="1"/>
  <c r="W25" i="20"/>
  <c r="AB25" i="20" s="1"/>
  <c r="X25" i="20"/>
  <c r="V25" i="20"/>
  <c r="Y25" i="20" s="1"/>
  <c r="C55" i="20"/>
  <c r="X19" i="20"/>
  <c r="W19" i="20"/>
  <c r="V19" i="20"/>
  <c r="Y19" i="20" s="1"/>
  <c r="AD37" i="20"/>
  <c r="V37" i="20"/>
  <c r="Y37" i="20"/>
  <c r="AB37" i="20"/>
  <c r="AC37" i="20"/>
  <c r="AA37" i="20"/>
  <c r="X37" i="20"/>
  <c r="W37" i="20"/>
  <c r="R77" i="20"/>
  <c r="D77" i="20"/>
  <c r="Q77" i="20"/>
  <c r="L77" i="20"/>
  <c r="C77" i="20"/>
  <c r="F27" i="29" s="1"/>
  <c r="P77" i="20"/>
  <c r="F77" i="20"/>
  <c r="K27" i="29" s="1"/>
  <c r="X57" i="20"/>
  <c r="P57" i="20"/>
  <c r="AC321" i="22" s="1"/>
  <c r="L57" i="20"/>
  <c r="I321" i="22" s="1"/>
  <c r="H57" i="20"/>
  <c r="R355" i="22" s="1"/>
  <c r="D57" i="20"/>
  <c r="D97" i="20" s="1"/>
  <c r="K97" i="20" s="1"/>
  <c r="S77" i="20"/>
  <c r="E77" i="20"/>
  <c r="W57" i="20"/>
  <c r="R57" i="20"/>
  <c r="AM321" i="22" s="1"/>
  <c r="AR321" i="22" s="1"/>
  <c r="M57" i="20"/>
  <c r="N321" i="22" s="1"/>
  <c r="O77" i="20"/>
  <c r="V57" i="20"/>
  <c r="Q57" i="20"/>
  <c r="AH321" i="22" s="1"/>
  <c r="K57" i="20"/>
  <c r="S57" i="20"/>
  <c r="AD355" i="22" s="1"/>
  <c r="I57" i="20"/>
  <c r="X355" i="22" s="1"/>
  <c r="O57" i="20"/>
  <c r="X321" i="22" s="1"/>
  <c r="AA21" i="20"/>
  <c r="W21" i="20"/>
  <c r="C57" i="20"/>
  <c r="AC21" i="20"/>
  <c r="X21" i="20"/>
  <c r="J57" i="20"/>
  <c r="AD21" i="20"/>
  <c r="K77" i="20"/>
  <c r="U57" i="20"/>
  <c r="AB21" i="20"/>
  <c r="V21" i="20"/>
  <c r="N57" i="20"/>
  <c r="S321" i="22" s="1"/>
  <c r="Y21" i="20"/>
  <c r="V26" i="20"/>
  <c r="J47" i="20" s="1"/>
  <c r="W26" i="20"/>
  <c r="AB26" i="20" s="1"/>
  <c r="X26" i="20"/>
  <c r="V14" i="20"/>
  <c r="Y14" i="20" s="1"/>
  <c r="C50" i="20"/>
  <c r="W14" i="20"/>
  <c r="AB14" i="20" s="1"/>
  <c r="X14" i="20"/>
  <c r="C48" i="20"/>
  <c r="W12" i="20"/>
  <c r="V12" i="20"/>
  <c r="Y12" i="20"/>
  <c r="X12" i="20"/>
  <c r="V27" i="20"/>
  <c r="J48" i="20" s="1"/>
  <c r="X27" i="20"/>
  <c r="W27" i="20"/>
  <c r="Y27" i="20" s="1"/>
  <c r="P79" i="20"/>
  <c r="K79" i="20"/>
  <c r="G30" i="27" s="1"/>
  <c r="F79" i="20"/>
  <c r="K29" i="29" s="1"/>
  <c r="V59" i="20"/>
  <c r="R59" i="20"/>
  <c r="AM323" i="22" s="1"/>
  <c r="AR323" i="22" s="1"/>
  <c r="N59" i="20"/>
  <c r="S323" i="22" s="1"/>
  <c r="J59" i="20"/>
  <c r="S79" i="20"/>
  <c r="O79" i="20"/>
  <c r="E79" i="20"/>
  <c r="D79" i="20"/>
  <c r="U59" i="20"/>
  <c r="P59" i="20"/>
  <c r="AC323" i="22" s="1"/>
  <c r="K59" i="20"/>
  <c r="Q79" i="20"/>
  <c r="C79" i="20"/>
  <c r="F29" i="29" s="1"/>
  <c r="W59" i="20"/>
  <c r="O59" i="20"/>
  <c r="X323" i="22" s="1"/>
  <c r="H59" i="20"/>
  <c r="R357" i="22" s="1"/>
  <c r="C59" i="20"/>
  <c r="L79" i="20"/>
  <c r="H30" i="27" s="1"/>
  <c r="M59" i="20"/>
  <c r="N323" i="22" s="1"/>
  <c r="R79" i="20"/>
  <c r="L59" i="20"/>
  <c r="I323" i="22" s="1"/>
  <c r="X59" i="20"/>
  <c r="I59" i="20"/>
  <c r="X357" i="22" s="1"/>
  <c r="AC23" i="20"/>
  <c r="Y23" i="20"/>
  <c r="Q59" i="20"/>
  <c r="AH323" i="22" s="1"/>
  <c r="AA23" i="20"/>
  <c r="V23" i="20"/>
  <c r="S59" i="20"/>
  <c r="AD357" i="22" s="1"/>
  <c r="D59" i="20"/>
  <c r="D99" i="20" s="1"/>
  <c r="K99" i="20" s="1"/>
  <c r="AD23" i="20"/>
  <c r="X23" i="20"/>
  <c r="AB23" i="20"/>
  <c r="W23" i="20"/>
  <c r="V28" i="20"/>
  <c r="X28" i="20"/>
  <c r="W28" i="20"/>
  <c r="AB28" i="20" s="1"/>
  <c r="L121" i="20"/>
  <c r="S120" i="20"/>
  <c r="O120" i="20"/>
  <c r="N120" i="20"/>
  <c r="R120" i="20"/>
  <c r="C52" i="20"/>
  <c r="X16" i="20"/>
  <c r="V16" i="20"/>
  <c r="Y16" i="20" s="1"/>
  <c r="W16" i="20"/>
  <c r="D45" i="20"/>
  <c r="C45" i="20"/>
  <c r="V9" i="20"/>
  <c r="AA27" i="20" s="1"/>
  <c r="W9" i="20"/>
  <c r="AB12" i="20" s="1"/>
  <c r="X29" i="20"/>
  <c r="V29" i="20"/>
  <c r="AA29" i="20" s="1"/>
  <c r="W29" i="20"/>
  <c r="Q78" i="20"/>
  <c r="L78" i="20"/>
  <c r="C78" i="20"/>
  <c r="F28" i="29" s="1"/>
  <c r="P78" i="20"/>
  <c r="K78" i="20"/>
  <c r="F78" i="20"/>
  <c r="K28" i="29" s="1"/>
  <c r="O78" i="20"/>
  <c r="E78" i="20"/>
  <c r="U58" i="20"/>
  <c r="Q58" i="20"/>
  <c r="AH322" i="22" s="1"/>
  <c r="M58" i="20"/>
  <c r="N322" i="22" s="1"/>
  <c r="I58" i="20"/>
  <c r="X356" i="22" s="1"/>
  <c r="V58" i="20"/>
  <c r="P58" i="20"/>
  <c r="AC322" i="22" s="1"/>
  <c r="K58" i="20"/>
  <c r="S78" i="20"/>
  <c r="O58" i="20"/>
  <c r="X322" i="22" s="1"/>
  <c r="J58" i="20"/>
  <c r="D58" i="20"/>
  <c r="D98" i="20" s="1"/>
  <c r="K98" i="20" s="1"/>
  <c r="R58" i="20"/>
  <c r="AM322" i="22" s="1"/>
  <c r="AR322" i="22" s="1"/>
  <c r="D78" i="20"/>
  <c r="X58" i="20"/>
  <c r="N58" i="20"/>
  <c r="S322" i="22" s="1"/>
  <c r="C58" i="20"/>
  <c r="AD22" i="20"/>
  <c r="V22" i="20"/>
  <c r="W58" i="20"/>
  <c r="Y22" i="20"/>
  <c r="R78" i="20"/>
  <c r="H58" i="20"/>
  <c r="R356" i="22" s="1"/>
  <c r="S58" i="20"/>
  <c r="AD356" i="22" s="1"/>
  <c r="AC22" i="20"/>
  <c r="X22" i="20"/>
  <c r="L58" i="20"/>
  <c r="I322" i="22" s="1"/>
  <c r="AB22" i="20"/>
  <c r="W22" i="20"/>
  <c r="AA22" i="20"/>
  <c r="C46" i="20"/>
  <c r="J46" i="20"/>
  <c r="W10" i="20"/>
  <c r="AB10" i="20" s="1"/>
  <c r="X10" i="20"/>
  <c r="V10" i="20"/>
  <c r="Y10" i="20" s="1"/>
  <c r="AA36" i="20"/>
  <c r="W36" i="20"/>
  <c r="AD36" i="20"/>
  <c r="Y36" i="20"/>
  <c r="X36" i="20"/>
  <c r="AC36" i="20"/>
  <c r="AB36" i="20"/>
  <c r="V36" i="20"/>
  <c r="W30" i="20"/>
  <c r="AB30" i="20" s="1"/>
  <c r="Y30" i="20"/>
  <c r="X30" i="20"/>
  <c r="V30" i="20"/>
  <c r="AA30" i="20" s="1"/>
  <c r="Y34" i="20"/>
  <c r="AA34" i="20"/>
  <c r="V34" i="20"/>
  <c r="J55" i="20" s="1"/>
  <c r="X34" i="20"/>
  <c r="AB34" i="20"/>
  <c r="W34" i="20"/>
  <c r="P119" i="20"/>
  <c r="B6" i="21"/>
  <c r="B4" i="21"/>
  <c r="B7" i="21"/>
  <c r="E10" i="3"/>
  <c r="F12" i="27"/>
  <c r="F30" i="27" l="1"/>
  <c r="J29" i="29"/>
  <c r="F28" i="27"/>
  <c r="J27" i="29"/>
  <c r="F27" i="27"/>
  <c r="J26" i="29"/>
  <c r="F29" i="27"/>
  <c r="J28" i="29"/>
  <c r="G95" i="33"/>
  <c r="F94" i="33"/>
  <c r="P113" i="20"/>
  <c r="Q113" i="20" s="1"/>
  <c r="D309" i="22"/>
  <c r="F343" i="22" s="1"/>
  <c r="D85" i="20"/>
  <c r="L356" i="22"/>
  <c r="E98" i="20"/>
  <c r="L355" i="22"/>
  <c r="E97" i="20"/>
  <c r="L354" i="22"/>
  <c r="E96" i="20"/>
  <c r="L357" i="22"/>
  <c r="E99" i="20"/>
  <c r="D320" i="22"/>
  <c r="F354" i="22" s="1"/>
  <c r="G29" i="27"/>
  <c r="G28" i="27"/>
  <c r="D322" i="22"/>
  <c r="F356" i="22" s="1"/>
  <c r="D323" i="22"/>
  <c r="F357" i="22" s="1"/>
  <c r="H29" i="27"/>
  <c r="D321" i="22"/>
  <c r="F355" i="22" s="1"/>
  <c r="H28" i="27"/>
  <c r="J210" i="22"/>
  <c r="AE285" i="22"/>
  <c r="J209" i="22"/>
  <c r="R6" i="22"/>
  <c r="B175" i="22"/>
  <c r="AB175" i="22" s="1"/>
  <c r="N64" i="20"/>
  <c r="F20" i="11"/>
  <c r="F20" i="26"/>
  <c r="AF6" i="22"/>
  <c r="N6" i="22"/>
  <c r="AA239" i="22" s="1"/>
  <c r="F35" i="26"/>
  <c r="F35" i="11"/>
  <c r="F34" i="11"/>
  <c r="F34" i="26"/>
  <c r="F32" i="26"/>
  <c r="F32" i="11"/>
  <c r="F33" i="26"/>
  <c r="F33" i="11"/>
  <c r="H35" i="11"/>
  <c r="H35" i="26"/>
  <c r="E33" i="26"/>
  <c r="E33" i="11"/>
  <c r="E34" i="26"/>
  <c r="E34" i="11"/>
  <c r="G35" i="26"/>
  <c r="G35" i="11"/>
  <c r="I33" i="26"/>
  <c r="I33" i="11"/>
  <c r="I32" i="11"/>
  <c r="I32" i="26"/>
  <c r="H34" i="26"/>
  <c r="H34" i="11"/>
  <c r="I34" i="11"/>
  <c r="I34" i="26"/>
  <c r="E35" i="26"/>
  <c r="E35" i="11"/>
  <c r="H33" i="26"/>
  <c r="H33" i="11"/>
  <c r="H32" i="26"/>
  <c r="H32" i="11"/>
  <c r="G34" i="26"/>
  <c r="G34" i="11"/>
  <c r="E32" i="11"/>
  <c r="E32" i="26"/>
  <c r="I35" i="26"/>
  <c r="I35" i="11"/>
  <c r="G33" i="26"/>
  <c r="G33" i="11"/>
  <c r="G32" i="26"/>
  <c r="G32" i="11"/>
  <c r="Q112" i="20"/>
  <c r="AD12" i="22"/>
  <c r="Z47" i="22" s="1"/>
  <c r="AK140" i="22"/>
  <c r="L140" i="22"/>
  <c r="AD140" i="22"/>
  <c r="R140" i="22"/>
  <c r="X140" i="22"/>
  <c r="AC19" i="20"/>
  <c r="AC32" i="20"/>
  <c r="L68" i="20"/>
  <c r="H19" i="27" s="1"/>
  <c r="AD15" i="20"/>
  <c r="AC34" i="20"/>
  <c r="AD34" i="20" s="1"/>
  <c r="AC27" i="20"/>
  <c r="AC13" i="20"/>
  <c r="AC16" i="20"/>
  <c r="AC33" i="20"/>
  <c r="AA12" i="20"/>
  <c r="AA19" i="20"/>
  <c r="AA28" i="20"/>
  <c r="AA14" i="20"/>
  <c r="Y26" i="20"/>
  <c r="Y15" i="20"/>
  <c r="AB24" i="20"/>
  <c r="AB16" i="20"/>
  <c r="J52" i="20"/>
  <c r="AA25" i="20"/>
  <c r="AC15" i="20"/>
  <c r="Y24" i="20"/>
  <c r="Y18" i="20"/>
  <c r="J54" i="20"/>
  <c r="Y29" i="20"/>
  <c r="X9" i="20"/>
  <c r="AC29" i="20" s="1"/>
  <c r="J50" i="20"/>
  <c r="AA32" i="20"/>
  <c r="AD32" i="20" s="1"/>
  <c r="AA11" i="20"/>
  <c r="J49" i="20"/>
  <c r="Y17" i="20"/>
  <c r="AB31" i="20"/>
  <c r="AA33" i="20"/>
  <c r="AD33" i="20" s="1"/>
  <c r="Y33" i="20"/>
  <c r="R112" i="20"/>
  <c r="S112" i="20" s="1"/>
  <c r="AA16" i="20"/>
  <c r="AB19" i="20"/>
  <c r="AA24" i="20"/>
  <c r="AA18" i="20"/>
  <c r="AA10" i="20"/>
  <c r="AB29" i="20"/>
  <c r="AD29" i="20" s="1"/>
  <c r="Y28" i="20"/>
  <c r="AB27" i="20"/>
  <c r="AD27" i="20" s="1"/>
  <c r="AA26" i="20"/>
  <c r="AA13" i="20"/>
  <c r="AB17" i="20"/>
  <c r="AA9" i="20"/>
  <c r="T120" i="20"/>
  <c r="AB9" i="20"/>
  <c r="P120" i="20"/>
  <c r="S121" i="20"/>
  <c r="O121" i="20"/>
  <c r="R121" i="20"/>
  <c r="N121" i="20"/>
  <c r="P121" i="20" s="1"/>
  <c r="Y32" i="20"/>
  <c r="B13" i="21"/>
  <c r="C13" i="21" s="1"/>
  <c r="E8" i="20" s="1"/>
  <c r="G96" i="33" l="1"/>
  <c r="F95" i="33"/>
  <c r="B182" i="22"/>
  <c r="B176" i="22"/>
  <c r="R176" i="22" s="1"/>
  <c r="R175" i="22"/>
  <c r="AN175" i="22"/>
  <c r="D44" i="20"/>
  <c r="D8" i="20"/>
  <c r="I11" i="22"/>
  <c r="Z8" i="20"/>
  <c r="H44" i="20" s="1"/>
  <c r="K85" i="20"/>
  <c r="L348" i="22"/>
  <c r="E90" i="20"/>
  <c r="L346" i="22"/>
  <c r="E88" i="20"/>
  <c r="L353" i="22"/>
  <c r="E95" i="20"/>
  <c r="L344" i="22"/>
  <c r="E86" i="20"/>
  <c r="L347" i="22"/>
  <c r="E89" i="20"/>
  <c r="L350" i="22"/>
  <c r="E92" i="20"/>
  <c r="L345" i="22"/>
  <c r="E87" i="20"/>
  <c r="Z250" i="22"/>
  <c r="AH175" i="22"/>
  <c r="M175" i="22"/>
  <c r="W175" i="22"/>
  <c r="N182" i="22"/>
  <c r="Z182" i="22"/>
  <c r="AF182" i="22"/>
  <c r="L267" i="22" s="1"/>
  <c r="T182" i="22"/>
  <c r="W176" i="22"/>
  <c r="P114" i="20"/>
  <c r="Q114" i="20" s="1"/>
  <c r="P70" i="20"/>
  <c r="D70" i="20" s="1"/>
  <c r="L70" i="20"/>
  <c r="H21" i="27" s="1"/>
  <c r="P69" i="20"/>
  <c r="D69" i="20" s="1"/>
  <c r="L69" i="20"/>
  <c r="H20" i="27" s="1"/>
  <c r="P66" i="20"/>
  <c r="D66" i="20" s="1"/>
  <c r="T121" i="20"/>
  <c r="P115" i="20" s="1"/>
  <c r="Q115" i="20" s="1"/>
  <c r="J45" i="20"/>
  <c r="AD13" i="20"/>
  <c r="AD10" i="20"/>
  <c r="AD19" i="20"/>
  <c r="K55" i="20" s="1"/>
  <c r="AC26" i="20"/>
  <c r="D75" i="20"/>
  <c r="P75" i="20"/>
  <c r="L66" i="20"/>
  <c r="H17" i="27" s="1"/>
  <c r="L75" i="20"/>
  <c r="H26" i="27" s="1"/>
  <c r="AD9" i="20"/>
  <c r="K45" i="20" s="1"/>
  <c r="AD24" i="20"/>
  <c r="P72" i="20"/>
  <c r="D72" i="20" s="1"/>
  <c r="L72" i="20"/>
  <c r="H23" i="27" s="1"/>
  <c r="K51" i="20"/>
  <c r="P68" i="20"/>
  <c r="D68" i="20" s="1"/>
  <c r="D67" i="20"/>
  <c r="P67" i="20"/>
  <c r="AD26" i="20"/>
  <c r="AD16" i="20"/>
  <c r="AC24" i="20"/>
  <c r="AC18" i="20"/>
  <c r="AD18" i="20" s="1"/>
  <c r="K54" i="20" s="1"/>
  <c r="AC17" i="20"/>
  <c r="AD17" i="20" s="1"/>
  <c r="K53" i="20" s="1"/>
  <c r="AC14" i="20"/>
  <c r="AD14" i="20" s="1"/>
  <c r="K50" i="20" s="1"/>
  <c r="AC30" i="20"/>
  <c r="AD30" i="20" s="1"/>
  <c r="AC25" i="20"/>
  <c r="AD25" i="20" s="1"/>
  <c r="AC28" i="20"/>
  <c r="AD28" i="20" s="1"/>
  <c r="AC9" i="20"/>
  <c r="AC31" i="20"/>
  <c r="AD31" i="20" s="1"/>
  <c r="Y9" i="20"/>
  <c r="AD12" i="20"/>
  <c r="K48" i="20" s="1"/>
  <c r="AC11" i="20"/>
  <c r="AD11" i="20" s="1"/>
  <c r="K47" i="20" s="1"/>
  <c r="AC12" i="20"/>
  <c r="AC10" i="20"/>
  <c r="L67" i="20"/>
  <c r="H18" i="27" s="1"/>
  <c r="M176" i="22" l="1"/>
  <c r="B183" i="22"/>
  <c r="F96" i="33"/>
  <c r="G97" i="33"/>
  <c r="I44" i="20"/>
  <c r="E64" i="20"/>
  <c r="G174" i="22"/>
  <c r="E46" i="22"/>
  <c r="H6" i="22"/>
  <c r="C44" i="20"/>
  <c r="M118" i="20"/>
  <c r="Q118" i="20" s="1"/>
  <c r="C64" i="20"/>
  <c r="E44" i="20"/>
  <c r="L44" i="20" s="1"/>
  <c r="M44" i="20" s="1"/>
  <c r="L349" i="22"/>
  <c r="E91" i="20"/>
  <c r="L351" i="22"/>
  <c r="E93" i="20"/>
  <c r="L352" i="22"/>
  <c r="E94" i="20"/>
  <c r="F31" i="26"/>
  <c r="F31" i="11"/>
  <c r="F22" i="11"/>
  <c r="F22" i="26"/>
  <c r="F25" i="26"/>
  <c r="F25" i="11"/>
  <c r="F23" i="26"/>
  <c r="F23" i="11"/>
  <c r="F26" i="11"/>
  <c r="F26" i="26"/>
  <c r="F24" i="26"/>
  <c r="F24" i="11"/>
  <c r="F28" i="26"/>
  <c r="F28" i="11"/>
  <c r="Z183" i="22"/>
  <c r="N183" i="22"/>
  <c r="T183" i="22"/>
  <c r="AF183" i="22"/>
  <c r="K46" i="20"/>
  <c r="K52" i="20"/>
  <c r="P71" i="20"/>
  <c r="D71" i="20"/>
  <c r="L71" i="20"/>
  <c r="H22" i="27" s="1"/>
  <c r="K49" i="20"/>
  <c r="P74" i="20"/>
  <c r="D74" i="20" s="1"/>
  <c r="L74" i="20"/>
  <c r="H25" i="27" s="1"/>
  <c r="P73" i="20"/>
  <c r="D73" i="20"/>
  <c r="L73" i="20"/>
  <c r="H24" i="27" s="1"/>
  <c r="F97" i="33" l="1"/>
  <c r="G98" i="33"/>
  <c r="H181" i="22"/>
  <c r="AM181" i="22" s="1"/>
  <c r="M189" i="22"/>
  <c r="E20" i="11"/>
  <c r="E20" i="26"/>
  <c r="F15" i="27"/>
  <c r="G20" i="26"/>
  <c r="G20" i="11"/>
  <c r="AJ58" i="22"/>
  <c r="AJ54" i="22"/>
  <c r="I82" i="22"/>
  <c r="N44" i="20"/>
  <c r="O44" i="20" s="1"/>
  <c r="P44" i="20" s="1"/>
  <c r="Q44" i="20" s="1"/>
  <c r="R44" i="20" s="1"/>
  <c r="S44" i="20" s="1"/>
  <c r="W44" i="20" s="1"/>
  <c r="AH174" i="22"/>
  <c r="M190" i="22" s="1"/>
  <c r="AJ239" i="22"/>
  <c r="P244" i="22" s="1"/>
  <c r="W244" i="22" s="1"/>
  <c r="A178" i="22"/>
  <c r="A171" i="22"/>
  <c r="F64" i="20"/>
  <c r="AN174" i="22"/>
  <c r="M195" i="22" s="1"/>
  <c r="AM195" i="22" s="1"/>
  <c r="J301" i="22" s="1"/>
  <c r="N332" i="22" s="1"/>
  <c r="U332" i="22" s="1"/>
  <c r="C85" i="20"/>
  <c r="E11" i="23" s="1"/>
  <c r="E85" i="20"/>
  <c r="L343" i="22"/>
  <c r="F30" i="11"/>
  <c r="F30" i="26"/>
  <c r="F29" i="26"/>
  <c r="F29" i="11"/>
  <c r="F27" i="26"/>
  <c r="F27" i="11"/>
  <c r="P65" i="20"/>
  <c r="D65" i="20" s="1"/>
  <c r="L65" i="20"/>
  <c r="L64" i="20" s="1"/>
  <c r="K7" i="21"/>
  <c r="K6" i="21"/>
  <c r="G99" i="33" l="1"/>
  <c r="F99" i="33" s="1"/>
  <c r="F98" i="33"/>
  <c r="H16" i="27"/>
  <c r="H20" i="11"/>
  <c r="H20" i="26"/>
  <c r="T44" i="20"/>
  <c r="U44" i="20" s="1"/>
  <c r="G64" i="20"/>
  <c r="U190" i="22"/>
  <c r="L223" i="22"/>
  <c r="W82" i="22"/>
  <c r="AD82" i="22" s="1"/>
  <c r="E117" i="22"/>
  <c r="L199" i="22"/>
  <c r="U189" i="22"/>
  <c r="AM189" i="22" s="1"/>
  <c r="H85" i="20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G85" i="20"/>
  <c r="F21" i="26"/>
  <c r="F21" i="11"/>
  <c r="G7" i="21"/>
  <c r="F7" i="21"/>
  <c r="E7" i="21"/>
  <c r="D7" i="21"/>
  <c r="J7" i="21" s="1"/>
  <c r="G6" i="21"/>
  <c r="F6" i="21"/>
  <c r="E6" i="21"/>
  <c r="D6" i="21"/>
  <c r="J6" i="21" s="1"/>
  <c r="I4" i="21"/>
  <c r="H4" i="21"/>
  <c r="G4" i="21"/>
  <c r="K4" i="21"/>
  <c r="F4" i="21"/>
  <c r="E4" i="21"/>
  <c r="D4" i="21"/>
  <c r="J4" i="21" s="1"/>
  <c r="I20" i="26" l="1"/>
  <c r="I20" i="11"/>
  <c r="D308" i="22"/>
  <c r="AK117" i="22"/>
  <c r="AE203" i="22"/>
  <c r="AD214" i="22" s="1"/>
  <c r="P219" i="22" s="1"/>
  <c r="W219" i="22" s="1"/>
  <c r="P207" i="22"/>
  <c r="AM190" i="22"/>
  <c r="V191" i="22"/>
  <c r="AO226" i="22"/>
  <c r="P230" i="22" s="1"/>
  <c r="W230" i="22" s="1"/>
  <c r="M85" i="20"/>
  <c r="E25" i="23" s="1"/>
  <c r="G86" i="20"/>
  <c r="F13" i="21"/>
  <c r="AL6" i="22" s="1"/>
  <c r="I212" i="22" s="1"/>
  <c r="V192" i="22" l="1"/>
  <c r="AN191" i="22"/>
  <c r="I308" i="22"/>
  <c r="N308" i="22" s="1"/>
  <c r="S308" i="22" s="1"/>
  <c r="X308" i="22" s="1"/>
  <c r="AC308" i="22" s="1"/>
  <c r="AH308" i="22" s="1"/>
  <c r="AM308" i="22" s="1"/>
  <c r="F342" i="22"/>
  <c r="R342" i="22" s="1"/>
  <c r="X342" i="22" s="1"/>
  <c r="AD342" i="22" s="1"/>
  <c r="G87" i="20"/>
  <c r="G56" i="21"/>
  <c r="K56" i="21" s="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AW43" i="21"/>
  <c r="AV43" i="21"/>
  <c r="AU43" i="21"/>
  <c r="AT43" i="21"/>
  <c r="AS43" i="21"/>
  <c r="AR43" i="21"/>
  <c r="AQ43" i="21"/>
  <c r="AP43" i="21"/>
  <c r="AO43" i="21"/>
  <c r="AN43" i="21"/>
  <c r="AM43" i="21"/>
  <c r="AL43" i="21"/>
  <c r="AK43" i="21"/>
  <c r="AJ43" i="21"/>
  <c r="AI43" i="21"/>
  <c r="AH43" i="21"/>
  <c r="AW42" i="21"/>
  <c r="AV42" i="21"/>
  <c r="AU42" i="21"/>
  <c r="AT42" i="21"/>
  <c r="AS42" i="21"/>
  <c r="AR42" i="21"/>
  <c r="AQ42" i="21"/>
  <c r="AP42" i="21"/>
  <c r="AO42" i="21"/>
  <c r="AN42" i="21"/>
  <c r="AM42" i="21"/>
  <c r="AL42" i="21"/>
  <c r="AK42" i="21"/>
  <c r="AJ42" i="21"/>
  <c r="AI42" i="21"/>
  <c r="AH42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W40" i="21"/>
  <c r="AV40" i="21"/>
  <c r="AU40" i="21"/>
  <c r="AT40" i="21"/>
  <c r="AS40" i="21"/>
  <c r="AR40" i="21"/>
  <c r="AQ40" i="21"/>
  <c r="AP40" i="21"/>
  <c r="AO40" i="21"/>
  <c r="AN40" i="21"/>
  <c r="AM40" i="21"/>
  <c r="AL40" i="21"/>
  <c r="AK40" i="21"/>
  <c r="AJ40" i="21"/>
  <c r="AI40" i="21"/>
  <c r="AH40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AI39" i="21"/>
  <c r="AH39" i="21"/>
  <c r="AW38" i="21"/>
  <c r="AV38" i="21"/>
  <c r="AU38" i="21"/>
  <c r="AT38" i="21"/>
  <c r="AS38" i="21"/>
  <c r="AR38" i="21"/>
  <c r="AQ38" i="21"/>
  <c r="AP38" i="21"/>
  <c r="AO38" i="21"/>
  <c r="AN38" i="21"/>
  <c r="AM38" i="21"/>
  <c r="AL38" i="21"/>
  <c r="AK38" i="21"/>
  <c r="AJ38" i="21"/>
  <c r="AI38" i="21"/>
  <c r="AH38" i="21"/>
  <c r="AW37" i="21"/>
  <c r="AV37" i="21"/>
  <c r="AU37" i="21"/>
  <c r="AT37" i="21"/>
  <c r="AS37" i="21"/>
  <c r="AR37" i="21"/>
  <c r="AQ37" i="21"/>
  <c r="AP37" i="21"/>
  <c r="AO37" i="21"/>
  <c r="AN37" i="21"/>
  <c r="AM37" i="21"/>
  <c r="AL37" i="21"/>
  <c r="AK37" i="21"/>
  <c r="AJ37" i="21"/>
  <c r="AI37" i="21"/>
  <c r="AH37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AI35" i="21"/>
  <c r="AH35" i="21"/>
  <c r="AW34" i="21"/>
  <c r="AV34" i="21"/>
  <c r="AU34" i="21"/>
  <c r="AT34" i="21"/>
  <c r="AS34" i="21"/>
  <c r="AR34" i="21"/>
  <c r="AQ34" i="21"/>
  <c r="AP34" i="21"/>
  <c r="AO34" i="21"/>
  <c r="AN34" i="21"/>
  <c r="AM34" i="21"/>
  <c r="AL34" i="21"/>
  <c r="AK34" i="21"/>
  <c r="AJ34" i="21"/>
  <c r="AI34" i="21"/>
  <c r="AH34" i="21"/>
  <c r="AW33" i="21"/>
  <c r="AV33" i="2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W32" i="21"/>
  <c r="AV32" i="21"/>
  <c r="AU32" i="21"/>
  <c r="AT32" i="21"/>
  <c r="AS32" i="21"/>
  <c r="AR32" i="21"/>
  <c r="AQ32" i="21"/>
  <c r="AP32" i="21"/>
  <c r="AO32" i="21"/>
  <c r="AN32" i="21"/>
  <c r="AM32" i="21"/>
  <c r="AL32" i="21"/>
  <c r="AK32" i="21"/>
  <c r="AJ32" i="21"/>
  <c r="AI32" i="21"/>
  <c r="AH32" i="21"/>
  <c r="AW31" i="21"/>
  <c r="AV31" i="21"/>
  <c r="AU31" i="21"/>
  <c r="AT31" i="21"/>
  <c r="AS31" i="21"/>
  <c r="AR31" i="21"/>
  <c r="AQ31" i="21"/>
  <c r="AP31" i="21"/>
  <c r="AO31" i="21"/>
  <c r="AN31" i="21"/>
  <c r="AM31" i="21"/>
  <c r="AL31" i="21"/>
  <c r="AK31" i="21"/>
  <c r="AJ31" i="21"/>
  <c r="AI31" i="21"/>
  <c r="AH31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W29" i="21"/>
  <c r="AV29" i="21"/>
  <c r="AU29" i="21"/>
  <c r="AT29" i="21"/>
  <c r="AS29" i="21"/>
  <c r="AR29" i="21"/>
  <c r="AQ29" i="21"/>
  <c r="AP29" i="21"/>
  <c r="AO29" i="21"/>
  <c r="AN29" i="21"/>
  <c r="AM29" i="21"/>
  <c r="AL29" i="21"/>
  <c r="AK29" i="21"/>
  <c r="AJ29" i="21"/>
  <c r="AI29" i="21"/>
  <c r="AH29" i="21"/>
  <c r="AW28" i="21"/>
  <c r="AV28" i="21"/>
  <c r="AU28" i="21"/>
  <c r="AT28" i="21"/>
  <c r="AS28" i="21"/>
  <c r="AR28" i="21"/>
  <c r="AQ28" i="21"/>
  <c r="AP28" i="21"/>
  <c r="AO28" i="21"/>
  <c r="AN28" i="21"/>
  <c r="AM28" i="21"/>
  <c r="AL28" i="21"/>
  <c r="AK28" i="21"/>
  <c r="AJ28" i="21"/>
  <c r="AI28" i="21"/>
  <c r="AH28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AI27" i="21"/>
  <c r="AH27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AI26" i="21"/>
  <c r="AH26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AI25" i="21"/>
  <c r="AH25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AI22" i="21"/>
  <c r="AH22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AI21" i="21"/>
  <c r="AH21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AI19" i="21"/>
  <c r="AH19" i="21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P5" i="21"/>
  <c r="P4" i="21"/>
  <c r="P3" i="21"/>
  <c r="R61" i="21"/>
  <c r="J61" i="21"/>
  <c r="R60" i="21"/>
  <c r="J60" i="21"/>
  <c r="R59" i="21"/>
  <c r="J59" i="21"/>
  <c r="D59" i="21"/>
  <c r="G59" i="21" s="1"/>
  <c r="R58" i="21"/>
  <c r="J58" i="21"/>
  <c r="R57" i="21"/>
  <c r="J57" i="21"/>
  <c r="D57" i="21"/>
  <c r="G57" i="21" s="1"/>
  <c r="R56" i="21"/>
  <c r="R55" i="21"/>
  <c r="J55" i="21"/>
  <c r="K55" i="21" s="1"/>
  <c r="R54" i="21"/>
  <c r="J54" i="21"/>
  <c r="R53" i="21"/>
  <c r="J53" i="21"/>
  <c r="R52" i="21"/>
  <c r="J52" i="21"/>
  <c r="R51" i="21"/>
  <c r="J51" i="21"/>
  <c r="G51" i="21"/>
  <c r="N51" i="21" s="1"/>
  <c r="R50" i="21"/>
  <c r="N50" i="21"/>
  <c r="G50" i="21"/>
  <c r="K50" i="21" s="1"/>
  <c r="R49" i="21"/>
  <c r="J49" i="21"/>
  <c r="G49" i="21"/>
  <c r="R48" i="21"/>
  <c r="N48" i="21"/>
  <c r="J48" i="21"/>
  <c r="K48" i="21" s="1"/>
  <c r="R47" i="21"/>
  <c r="AD15" i="21"/>
  <c r="AD16" i="21" s="1"/>
  <c r="AD17" i="21" s="1"/>
  <c r="AD18" i="21" s="1"/>
  <c r="AD19" i="21" s="1"/>
  <c r="AD20" i="21" s="1"/>
  <c r="AD21" i="21" s="1"/>
  <c r="AD22" i="21" s="1"/>
  <c r="AD23" i="21" s="1"/>
  <c r="AD24" i="21" s="1"/>
  <c r="AD25" i="21" s="1"/>
  <c r="AD26" i="21" s="1"/>
  <c r="AD27" i="21" s="1"/>
  <c r="AD28" i="21" s="1"/>
  <c r="AD29" i="21" s="1"/>
  <c r="AD30" i="21" s="1"/>
  <c r="AD31" i="21" s="1"/>
  <c r="AD32" i="21" s="1"/>
  <c r="AD33" i="21" s="1"/>
  <c r="AD34" i="21" s="1"/>
  <c r="AD35" i="21" s="1"/>
  <c r="AD36" i="21" s="1"/>
  <c r="AD37" i="21" s="1"/>
  <c r="AD38" i="21" s="1"/>
  <c r="AD39" i="21" s="1"/>
  <c r="AD40" i="21" s="1"/>
  <c r="AD41" i="21" s="1"/>
  <c r="AD42" i="21" s="1"/>
  <c r="AD43" i="21" s="1"/>
  <c r="W15" i="2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P15" i="2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O15" i="2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M15" i="21"/>
  <c r="M16" i="21" s="1"/>
  <c r="AC16" i="21" s="1"/>
  <c r="AC14" i="21"/>
  <c r="V193" i="22" l="1"/>
  <c r="AK252" i="22"/>
  <c r="P257" i="22" s="1"/>
  <c r="W257" i="22" s="1"/>
  <c r="AN192" i="22"/>
  <c r="G88" i="20"/>
  <c r="AE28" i="21"/>
  <c r="AE40" i="21"/>
  <c r="AE27" i="21"/>
  <c r="AE35" i="21"/>
  <c r="AE29" i="21"/>
  <c r="AE33" i="21"/>
  <c r="AE37" i="21"/>
  <c r="AE41" i="21"/>
  <c r="AE31" i="21"/>
  <c r="AE39" i="21"/>
  <c r="AE43" i="21"/>
  <c r="AE32" i="21"/>
  <c r="AE36" i="21"/>
  <c r="AE14" i="21"/>
  <c r="AE30" i="21"/>
  <c r="AE34" i="21"/>
  <c r="AE38" i="21"/>
  <c r="AE42" i="21"/>
  <c r="N55" i="21"/>
  <c r="P55" i="21" s="1"/>
  <c r="S55" i="21" s="1"/>
  <c r="P6" i="21"/>
  <c r="D55" i="21" s="1"/>
  <c r="N57" i="21" s="1"/>
  <c r="L18" i="21"/>
  <c r="L38" i="21"/>
  <c r="K57" i="21"/>
  <c r="P48" i="21"/>
  <c r="S48" i="21" s="1"/>
  <c r="K49" i="21"/>
  <c r="P50" i="21"/>
  <c r="S50" i="21" s="1"/>
  <c r="L15" i="21"/>
  <c r="L17" i="21"/>
  <c r="L20" i="21"/>
  <c r="L22" i="21"/>
  <c r="L30" i="21"/>
  <c r="L16" i="21"/>
  <c r="L24" i="21"/>
  <c r="L26" i="21"/>
  <c r="L28" i="21"/>
  <c r="L32" i="21"/>
  <c r="L34" i="21"/>
  <c r="L36" i="21"/>
  <c r="L40" i="21"/>
  <c r="L42" i="21"/>
  <c r="K51" i="21"/>
  <c r="P51" i="21" s="1"/>
  <c r="S51" i="21" s="1"/>
  <c r="M17" i="21"/>
  <c r="M18" i="21" s="1"/>
  <c r="AC15" i="21"/>
  <c r="U14" i="2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D48" i="21"/>
  <c r="N49" i="21" s="1"/>
  <c r="Q14" i="21"/>
  <c r="K59" i="21"/>
  <c r="L14" i="21"/>
  <c r="L19" i="21"/>
  <c r="L21" i="21"/>
  <c r="L23" i="21"/>
  <c r="L25" i="21"/>
  <c r="L27" i="21"/>
  <c r="L29" i="21"/>
  <c r="L31" i="21"/>
  <c r="L33" i="21"/>
  <c r="L35" i="21"/>
  <c r="L37" i="21"/>
  <c r="L39" i="21"/>
  <c r="L41" i="21"/>
  <c r="L43" i="21"/>
  <c r="D52" i="21"/>
  <c r="G52" i="21" s="1"/>
  <c r="K52" i="21" s="1"/>
  <c r="P52" i="21" s="1"/>
  <c r="S52" i="21" s="1"/>
  <c r="AN193" i="22" l="1"/>
  <c r="AL273" i="22"/>
  <c r="P278" i="22" s="1"/>
  <c r="W278" i="22" s="1"/>
  <c r="V194" i="22"/>
  <c r="G89" i="20"/>
  <c r="P57" i="21"/>
  <c r="S57" i="21" s="1"/>
  <c r="N14" i="21"/>
  <c r="AB14" i="21" s="1"/>
  <c r="P49" i="21"/>
  <c r="S49" i="21" s="1"/>
  <c r="D54" i="21"/>
  <c r="N53" i="21" s="1"/>
  <c r="AC17" i="21"/>
  <c r="AC18" i="21"/>
  <c r="M19" i="21"/>
  <c r="D47" i="21"/>
  <c r="T14" i="21"/>
  <c r="N15" i="21"/>
  <c r="X14" i="2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D56" i="21"/>
  <c r="D61" i="21"/>
  <c r="Q15" i="2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AL287" i="22" l="1"/>
  <c r="P292" i="22" s="1"/>
  <c r="W292" i="22" s="1"/>
  <c r="AN194" i="22"/>
  <c r="G90" i="20"/>
  <c r="A48" i="13"/>
  <c r="G54" i="21"/>
  <c r="K54" i="21" s="1"/>
  <c r="M20" i="21"/>
  <c r="AC19" i="21"/>
  <c r="N16" i="21"/>
  <c r="AB15" i="21"/>
  <c r="N47" i="21"/>
  <c r="G47" i="21"/>
  <c r="K47" i="21" s="1"/>
  <c r="N56" i="21"/>
  <c r="P56" i="21" s="1"/>
  <c r="S56" i="21" s="1"/>
  <c r="D53" i="21"/>
  <c r="G61" i="21"/>
  <c r="K61" i="21" s="1"/>
  <c r="N60" i="21"/>
  <c r="T15" i="21"/>
  <c r="R14" i="21"/>
  <c r="G91" i="20" l="1"/>
  <c r="P47" i="21"/>
  <c r="S47" i="21" s="1"/>
  <c r="M21" i="21"/>
  <c r="AC20" i="21"/>
  <c r="T16" i="21"/>
  <c r="AB16" i="21"/>
  <c r="N17" i="21"/>
  <c r="N58" i="21"/>
  <c r="G53" i="21"/>
  <c r="K53" i="21" s="1"/>
  <c r="P53" i="21" s="1"/>
  <c r="S53" i="21" s="1"/>
  <c r="N54" i="21"/>
  <c r="P54" i="21" s="1"/>
  <c r="S54" i="21" s="1"/>
  <c r="D60" i="21"/>
  <c r="R15" i="21"/>
  <c r="S14" i="21"/>
  <c r="G92" i="20" l="1"/>
  <c r="M22" i="21"/>
  <c r="AC21" i="21"/>
  <c r="G60" i="21"/>
  <c r="K60" i="21" s="1"/>
  <c r="P60" i="21" s="1"/>
  <c r="S60" i="21" s="1"/>
  <c r="N61" i="21"/>
  <c r="P61" i="21" s="1"/>
  <c r="S61" i="21" s="1"/>
  <c r="V14" i="21"/>
  <c r="Y14" i="21" s="1"/>
  <c r="Z14" i="21" s="1"/>
  <c r="AA14" i="21" s="1"/>
  <c r="N18" i="21"/>
  <c r="AB17" i="21"/>
  <c r="T17" i="21"/>
  <c r="R16" i="21"/>
  <c r="S15" i="21"/>
  <c r="G93" i="20" l="1"/>
  <c r="M23" i="21"/>
  <c r="AC22" i="21"/>
  <c r="AF14" i="21"/>
  <c r="C14" i="21" s="1"/>
  <c r="V15" i="21"/>
  <c r="Y15" i="21" s="1"/>
  <c r="Z15" i="21" s="1"/>
  <c r="AA15" i="21" s="1"/>
  <c r="R17" i="21"/>
  <c r="S16" i="21"/>
  <c r="T18" i="21"/>
  <c r="N19" i="21"/>
  <c r="AB18" i="21"/>
  <c r="G94" i="20" l="1"/>
  <c r="AC23" i="21"/>
  <c r="M24" i="21"/>
  <c r="AE15" i="21"/>
  <c r="AF15" i="21" s="1"/>
  <c r="C15" i="21" s="1"/>
  <c r="V16" i="21"/>
  <c r="Y16" i="21" s="1"/>
  <c r="Z16" i="21" s="1"/>
  <c r="AA16" i="21" s="1"/>
  <c r="N20" i="21"/>
  <c r="AB19" i="21"/>
  <c r="R18" i="21"/>
  <c r="S17" i="21"/>
  <c r="T19" i="21"/>
  <c r="G95" i="20" l="1"/>
  <c r="AC24" i="21"/>
  <c r="M25" i="21"/>
  <c r="V17" i="21"/>
  <c r="Y17" i="21" s="1"/>
  <c r="Z17" i="21" s="1"/>
  <c r="AA17" i="21" s="1"/>
  <c r="N21" i="21"/>
  <c r="AB20" i="21"/>
  <c r="R19" i="21"/>
  <c r="S18" i="21"/>
  <c r="T20" i="21"/>
  <c r="G96" i="20" l="1"/>
  <c r="AC25" i="21"/>
  <c r="M26" i="21"/>
  <c r="T21" i="21"/>
  <c r="N22" i="21"/>
  <c r="AB21" i="21"/>
  <c r="V18" i="21"/>
  <c r="Y18" i="21" s="1"/>
  <c r="Z18" i="21" s="1"/>
  <c r="AA18" i="21" s="1"/>
  <c r="AE17" i="21"/>
  <c r="AF17" i="21" s="1"/>
  <c r="C17" i="21" s="1"/>
  <c r="AE16" i="21"/>
  <c r="AF16" i="21" s="1"/>
  <c r="C16" i="21" s="1"/>
  <c r="R20" i="21"/>
  <c r="S19" i="21"/>
  <c r="G97" i="20" l="1"/>
  <c r="M27" i="21"/>
  <c r="AC26" i="21"/>
  <c r="N23" i="21"/>
  <c r="AB22" i="21"/>
  <c r="V19" i="21"/>
  <c r="Y19" i="21" s="1"/>
  <c r="Z19" i="21" s="1"/>
  <c r="AA19" i="21" s="1"/>
  <c r="R21" i="21"/>
  <c r="S20" i="21"/>
  <c r="AE18" i="21"/>
  <c r="AF18" i="21" s="1"/>
  <c r="C18" i="21" s="1"/>
  <c r="T22" i="21"/>
  <c r="G98" i="20" l="1"/>
  <c r="AC27" i="21"/>
  <c r="M28" i="21"/>
  <c r="V20" i="21"/>
  <c r="Y20" i="21" s="1"/>
  <c r="Z20" i="21" s="1"/>
  <c r="AA20" i="21" s="1"/>
  <c r="T23" i="21"/>
  <c r="R22" i="21"/>
  <c r="S21" i="21"/>
  <c r="AE19" i="21"/>
  <c r="AF19" i="21" s="1"/>
  <c r="C19" i="21" s="1"/>
  <c r="N24" i="21"/>
  <c r="AB23" i="21"/>
  <c r="G99" i="20" l="1"/>
  <c r="AC28" i="21"/>
  <c r="M29" i="21"/>
  <c r="AE20" i="21"/>
  <c r="AF20" i="21" s="1"/>
  <c r="C20" i="21" s="1"/>
  <c r="V21" i="21"/>
  <c r="Y21" i="21" s="1"/>
  <c r="Z21" i="21" s="1"/>
  <c r="AA21" i="21" s="1"/>
  <c r="N25" i="21"/>
  <c r="AB24" i="21"/>
  <c r="R23" i="21"/>
  <c r="S22" i="21"/>
  <c r="T24" i="21"/>
  <c r="AC29" i="21" l="1"/>
  <c r="M30" i="21"/>
  <c r="AE21" i="21"/>
  <c r="AF21" i="21" s="1"/>
  <c r="C21" i="21" s="1"/>
  <c r="T25" i="21"/>
  <c r="N26" i="21"/>
  <c r="AB25" i="21"/>
  <c r="V22" i="21"/>
  <c r="Y22" i="21" s="1"/>
  <c r="Z22" i="21" s="1"/>
  <c r="AA22" i="21" s="1"/>
  <c r="R24" i="21"/>
  <c r="S23" i="21"/>
  <c r="M31" i="21" l="1"/>
  <c r="AC30" i="21"/>
  <c r="AE22" i="21"/>
  <c r="AF22" i="21" s="1"/>
  <c r="C22" i="21" s="1"/>
  <c r="R25" i="21"/>
  <c r="S24" i="21"/>
  <c r="T26" i="21"/>
  <c r="V23" i="21"/>
  <c r="Y23" i="21" s="1"/>
  <c r="Z23" i="21" s="1"/>
  <c r="AA23" i="21" s="1"/>
  <c r="N27" i="21"/>
  <c r="AB26" i="21"/>
  <c r="M32" i="21" l="1"/>
  <c r="AC31" i="21"/>
  <c r="AE23" i="21"/>
  <c r="AF23" i="21" s="1"/>
  <c r="C23" i="21" s="1"/>
  <c r="V24" i="21"/>
  <c r="Y24" i="21" s="1"/>
  <c r="Z24" i="21" s="1"/>
  <c r="AA24" i="21" s="1"/>
  <c r="N28" i="21"/>
  <c r="AB27" i="21"/>
  <c r="T27" i="21"/>
  <c r="R26" i="21"/>
  <c r="S25" i="21"/>
  <c r="M33" i="21" l="1"/>
  <c r="AC32" i="21"/>
  <c r="V25" i="21"/>
  <c r="Y25" i="21" s="1"/>
  <c r="Z25" i="21" s="1"/>
  <c r="AA25" i="21" s="1"/>
  <c r="R27" i="21"/>
  <c r="S26" i="21"/>
  <c r="T28" i="21"/>
  <c r="N29" i="21"/>
  <c r="AB28" i="21"/>
  <c r="AE24" i="21"/>
  <c r="AF24" i="21" s="1"/>
  <c r="C24" i="21" s="1"/>
  <c r="AC33" i="21" l="1"/>
  <c r="M34" i="21"/>
  <c r="AE25" i="21"/>
  <c r="AF25" i="21" s="1"/>
  <c r="C25" i="21" s="1"/>
  <c r="R28" i="21"/>
  <c r="S27" i="21"/>
  <c r="T29" i="21"/>
  <c r="N30" i="21"/>
  <c r="AB29" i="21"/>
  <c r="V26" i="21"/>
  <c r="Y26" i="21" s="1"/>
  <c r="Z26" i="21" s="1"/>
  <c r="AA26" i="21" s="1"/>
  <c r="M35" i="21" l="1"/>
  <c r="AC34" i="21"/>
  <c r="AE26" i="21"/>
  <c r="AF26" i="21" s="1"/>
  <c r="C26" i="21" s="1"/>
  <c r="N31" i="21"/>
  <c r="AB30" i="21"/>
  <c r="V27" i="21"/>
  <c r="Y27" i="21" s="1"/>
  <c r="Z27" i="21" s="1"/>
  <c r="AA27" i="21" s="1"/>
  <c r="T30" i="21"/>
  <c r="R29" i="21"/>
  <c r="S28" i="21"/>
  <c r="AC35" i="21" l="1"/>
  <c r="M36" i="21"/>
  <c r="AF27" i="21"/>
  <c r="C27" i="21" s="1"/>
  <c r="V28" i="21"/>
  <c r="Y28" i="21" s="1"/>
  <c r="Z28" i="21" s="1"/>
  <c r="AA28" i="21" s="1"/>
  <c r="R30" i="21"/>
  <c r="S29" i="21"/>
  <c r="T31" i="21"/>
  <c r="N32" i="21"/>
  <c r="AB31" i="21"/>
  <c r="AC36" i="21" l="1"/>
  <c r="M37" i="21"/>
  <c r="AF28" i="21"/>
  <c r="C28" i="21" s="1"/>
  <c r="V29" i="21"/>
  <c r="Y29" i="21" s="1"/>
  <c r="Z29" i="21" s="1"/>
  <c r="AA29" i="21" s="1"/>
  <c r="R31" i="21"/>
  <c r="S30" i="21"/>
  <c r="T32" i="21"/>
  <c r="N33" i="21"/>
  <c r="AB32" i="21"/>
  <c r="AC37" i="21" l="1"/>
  <c r="M38" i="21"/>
  <c r="AF29" i="21"/>
  <c r="C29" i="21" s="1"/>
  <c r="T33" i="21"/>
  <c r="V30" i="21"/>
  <c r="Y30" i="21" s="1"/>
  <c r="Z30" i="21" s="1"/>
  <c r="AA30" i="21" s="1"/>
  <c r="N34" i="21"/>
  <c r="AB33" i="21"/>
  <c r="R32" i="21"/>
  <c r="S31" i="21"/>
  <c r="M39" i="21" l="1"/>
  <c r="AC38" i="21"/>
  <c r="AF30" i="21"/>
  <c r="C30" i="21" s="1"/>
  <c r="V31" i="21"/>
  <c r="Y31" i="21" s="1"/>
  <c r="Z31" i="21" s="1"/>
  <c r="AA31" i="21" s="1"/>
  <c r="R33" i="21"/>
  <c r="S32" i="21"/>
  <c r="N35" i="21"/>
  <c r="AB34" i="21"/>
  <c r="T34" i="21"/>
  <c r="AC39" i="21" l="1"/>
  <c r="M40" i="21"/>
  <c r="N36" i="21"/>
  <c r="AB35" i="21"/>
  <c r="V32" i="21"/>
  <c r="Y32" i="21" s="1"/>
  <c r="Z32" i="21" s="1"/>
  <c r="AA32" i="21" s="1"/>
  <c r="AF31" i="21"/>
  <c r="C31" i="21" s="1"/>
  <c r="T35" i="21"/>
  <c r="R34" i="21"/>
  <c r="S33" i="21"/>
  <c r="M41" i="21" l="1"/>
  <c r="AC40" i="21"/>
  <c r="AF32" i="21"/>
  <c r="C32" i="21" s="1"/>
  <c r="V33" i="21"/>
  <c r="Y33" i="21" s="1"/>
  <c r="Z33" i="21" s="1"/>
  <c r="AA33" i="21" s="1"/>
  <c r="R35" i="21"/>
  <c r="S34" i="21"/>
  <c r="T36" i="21"/>
  <c r="N37" i="21"/>
  <c r="AB36" i="21"/>
  <c r="AC41" i="21" l="1"/>
  <c r="M42" i="21"/>
  <c r="AF33" i="21"/>
  <c r="C33" i="21" s="1"/>
  <c r="T37" i="21"/>
  <c r="V34" i="21"/>
  <c r="Y34" i="21" s="1"/>
  <c r="Z34" i="21" s="1"/>
  <c r="AA34" i="21" s="1"/>
  <c r="R36" i="21"/>
  <c r="S35" i="21"/>
  <c r="N38" i="21"/>
  <c r="AB37" i="21"/>
  <c r="AC42" i="21" l="1"/>
  <c r="M43" i="21"/>
  <c r="AC43" i="21" s="1"/>
  <c r="N39" i="21"/>
  <c r="AB38" i="21"/>
  <c r="R37" i="21"/>
  <c r="S36" i="21"/>
  <c r="T38" i="21"/>
  <c r="AF34" i="21"/>
  <c r="C34" i="21" s="1"/>
  <c r="V35" i="21"/>
  <c r="Y35" i="21" s="1"/>
  <c r="Z35" i="21" s="1"/>
  <c r="AA35" i="21" s="1"/>
  <c r="AF35" i="21" l="1"/>
  <c r="C35" i="21" s="1"/>
  <c r="N40" i="21"/>
  <c r="AB39" i="21"/>
  <c r="V36" i="21"/>
  <c r="Y36" i="21" s="1"/>
  <c r="Z36" i="21" s="1"/>
  <c r="AA36" i="21" s="1"/>
  <c r="R38" i="21"/>
  <c r="S37" i="21"/>
  <c r="T39" i="21"/>
  <c r="AF36" i="21" l="1"/>
  <c r="C36" i="21" s="1"/>
  <c r="V37" i="21"/>
  <c r="Y37" i="21" s="1"/>
  <c r="Z37" i="21" s="1"/>
  <c r="AA37" i="21" s="1"/>
  <c r="T40" i="21"/>
  <c r="R39" i="21"/>
  <c r="S38" i="21"/>
  <c r="N41" i="21"/>
  <c r="AB40" i="21"/>
  <c r="AF37" i="21" l="1"/>
  <c r="C37" i="21" s="1"/>
  <c r="N42" i="21"/>
  <c r="AB41" i="21"/>
  <c r="T41" i="21"/>
  <c r="V38" i="21"/>
  <c r="Y38" i="21" s="1"/>
  <c r="Z38" i="21" s="1"/>
  <c r="AA38" i="21" s="1"/>
  <c r="R40" i="21"/>
  <c r="S39" i="21"/>
  <c r="AF38" i="21" l="1"/>
  <c r="C38" i="21" s="1"/>
  <c r="V39" i="21"/>
  <c r="Y39" i="21" s="1"/>
  <c r="Z39" i="21" s="1"/>
  <c r="AA39" i="21" s="1"/>
  <c r="R41" i="21"/>
  <c r="S40" i="21"/>
  <c r="T42" i="21"/>
  <c r="AB42" i="21"/>
  <c r="N43" i="21"/>
  <c r="AF39" i="21" l="1"/>
  <c r="C39" i="21" s="1"/>
  <c r="AB43" i="21"/>
  <c r="T43" i="21"/>
  <c r="V40" i="21"/>
  <c r="Y40" i="21" s="1"/>
  <c r="Z40" i="21" s="1"/>
  <c r="AA40" i="21" s="1"/>
  <c r="R42" i="21"/>
  <c r="S41" i="21"/>
  <c r="AF40" i="21" l="1"/>
  <c r="C40" i="21" s="1"/>
  <c r="V41" i="21"/>
  <c r="Y41" i="21" s="1"/>
  <c r="Z41" i="21" s="1"/>
  <c r="AA41" i="21" s="1"/>
  <c r="R43" i="21"/>
  <c r="S43" i="21" s="1"/>
  <c r="S42" i="21"/>
  <c r="AF41" i="21" l="1"/>
  <c r="C41" i="21" s="1"/>
  <c r="V42" i="21"/>
  <c r="Y42" i="21" s="1"/>
  <c r="Z42" i="21" s="1"/>
  <c r="AA42" i="21" s="1"/>
  <c r="V43" i="21"/>
  <c r="Y43" i="21" s="1"/>
  <c r="Z43" i="21" s="1"/>
  <c r="AA43" i="21" s="1"/>
  <c r="AF42" i="21" l="1"/>
  <c r="C42" i="21" s="1"/>
  <c r="AF43" i="21"/>
  <c r="C43" i="21" s="1"/>
  <c r="D58" i="21"/>
  <c r="G58" i="21" l="1"/>
  <c r="K58" i="21" s="1"/>
  <c r="P58" i="21" s="1"/>
  <c r="N59" i="21"/>
  <c r="P59" i="21" s="1"/>
  <c r="S59" i="21" s="1"/>
  <c r="S58" i="21" l="1"/>
  <c r="S62" i="21" s="1"/>
  <c r="P62" i="21"/>
  <c r="P63" i="21" l="1"/>
  <c r="P64" i="21" s="1"/>
  <c r="P65" i="21" s="1"/>
  <c r="E43" i="21" l="1"/>
  <c r="E39" i="21"/>
  <c r="E35" i="21"/>
  <c r="E31" i="21"/>
  <c r="E27" i="21"/>
  <c r="E23" i="21"/>
  <c r="E19" i="21"/>
  <c r="E15" i="21"/>
  <c r="E40" i="21"/>
  <c r="E28" i="21"/>
  <c r="E20" i="21"/>
  <c r="E16" i="21"/>
  <c r="E42" i="21"/>
  <c r="E38" i="21"/>
  <c r="E34" i="21"/>
  <c r="E30" i="21"/>
  <c r="E26" i="21"/>
  <c r="E22" i="21"/>
  <c r="E18" i="21"/>
  <c r="E14" i="21"/>
  <c r="E13" i="21" s="1"/>
  <c r="E41" i="21"/>
  <c r="E37" i="21"/>
  <c r="E33" i="21"/>
  <c r="E29" i="21"/>
  <c r="E25" i="21"/>
  <c r="E21" i="21"/>
  <c r="E17" i="21"/>
  <c r="E36" i="21"/>
  <c r="E32" i="21"/>
  <c r="E24" i="21"/>
  <c r="V56" i="21"/>
  <c r="F27" i="21" l="1"/>
  <c r="F19" i="21"/>
  <c r="F40" i="21"/>
  <c r="F38" i="21"/>
  <c r="F32" i="21"/>
  <c r="F30" i="21"/>
  <c r="F24" i="21"/>
  <c r="F22" i="21"/>
  <c r="F16" i="21"/>
  <c r="F14" i="21"/>
  <c r="M9" i="21"/>
  <c r="F39" i="21" s="1"/>
  <c r="D42" i="3"/>
  <c r="D41" i="3"/>
  <c r="D40" i="3"/>
  <c r="D39" i="3"/>
  <c r="D38" i="3"/>
  <c r="D35" i="3"/>
  <c r="D34" i="3"/>
  <c r="G12" i="3"/>
  <c r="F12" i="3"/>
  <c r="E12" i="3"/>
  <c r="D12" i="3"/>
  <c r="H4" i="3"/>
  <c r="E4" i="3"/>
  <c r="C4" i="3"/>
  <c r="H3" i="3"/>
  <c r="E3" i="3"/>
  <c r="C3" i="3"/>
  <c r="E33" i="3"/>
  <c r="F17" i="21" l="1"/>
  <c r="F25" i="21"/>
  <c r="F33" i="21"/>
  <c r="F41" i="21"/>
  <c r="F35" i="21"/>
  <c r="F43" i="21"/>
  <c r="F18" i="21"/>
  <c r="F26" i="21"/>
  <c r="F34" i="21"/>
  <c r="F42" i="21"/>
  <c r="F21" i="21"/>
  <c r="F29" i="21"/>
  <c r="F37" i="21"/>
  <c r="F20" i="21"/>
  <c r="F28" i="21"/>
  <c r="F36" i="21"/>
  <c r="F15" i="21"/>
  <c r="F23" i="21"/>
  <c r="F31" i="21"/>
  <c r="D13" i="3"/>
  <c r="D36" i="3"/>
  <c r="A29" i="11"/>
  <c r="A24" i="27"/>
  <c r="A18" i="27"/>
  <c r="A23" i="27"/>
  <c r="A28" i="11"/>
  <c r="D37" i="3"/>
  <c r="A30" i="11"/>
  <c r="A25" i="27"/>
  <c r="A27" i="27"/>
  <c r="A32" i="11"/>
  <c r="F29" i="3"/>
  <c r="F13" i="3"/>
  <c r="F21" i="3"/>
  <c r="F18" i="3"/>
  <c r="F26" i="3"/>
  <c r="F17" i="3"/>
  <c r="F25" i="3"/>
  <c r="F14" i="3"/>
  <c r="F22" i="3"/>
  <c r="F30" i="3"/>
  <c r="F16" i="3"/>
  <c r="F20" i="3"/>
  <c r="F24" i="3"/>
  <c r="F28" i="3"/>
  <c r="F15" i="3"/>
  <c r="F19" i="3"/>
  <c r="F23" i="3"/>
  <c r="F27" i="3"/>
  <c r="G13" i="3"/>
  <c r="G22" i="3"/>
  <c r="G24" i="3"/>
  <c r="E31" i="3"/>
  <c r="E35" i="3"/>
  <c r="E37" i="3"/>
  <c r="E40" i="3"/>
  <c r="G14" i="3"/>
  <c r="G16" i="3"/>
  <c r="G19" i="3"/>
  <c r="G20" i="3"/>
  <c r="G23" i="3"/>
  <c r="G26" i="3"/>
  <c r="G28" i="3"/>
  <c r="G29" i="3"/>
  <c r="G42" i="3"/>
  <c r="G41" i="3"/>
  <c r="G40" i="3"/>
  <c r="G39" i="3"/>
  <c r="G38" i="3"/>
  <c r="G37" i="3"/>
  <c r="G36" i="3"/>
  <c r="G35" i="3"/>
  <c r="G34" i="3"/>
  <c r="G33" i="3"/>
  <c r="G32" i="3"/>
  <c r="G31" i="3"/>
  <c r="F42" i="3"/>
  <c r="F41" i="3"/>
  <c r="F40" i="3"/>
  <c r="F39" i="3"/>
  <c r="F38" i="3"/>
  <c r="F37" i="3"/>
  <c r="F36" i="3"/>
  <c r="F35" i="3"/>
  <c r="F34" i="3"/>
  <c r="F33" i="3"/>
  <c r="F32" i="3"/>
  <c r="F31" i="3"/>
  <c r="G15" i="3"/>
  <c r="G17" i="3"/>
  <c r="G18" i="3"/>
  <c r="G21" i="3"/>
  <c r="G25" i="3"/>
  <c r="G27" i="3"/>
  <c r="G30" i="3"/>
  <c r="E32" i="3"/>
  <c r="E34" i="3"/>
  <c r="E36" i="3"/>
  <c r="E38" i="3"/>
  <c r="E39" i="3"/>
  <c r="E41" i="3"/>
  <c r="E4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A6" i="26"/>
  <c r="A13" i="26" l="1"/>
  <c r="A15" i="26"/>
  <c r="A12" i="26"/>
  <c r="A14" i="26"/>
  <c r="A8" i="26"/>
  <c r="A17" i="26" s="1"/>
  <c r="A30" i="27"/>
  <c r="A35" i="11"/>
  <c r="A19" i="27"/>
  <c r="A22" i="27"/>
  <c r="A27" i="11"/>
  <c r="A33" i="11"/>
  <c r="A28" i="27"/>
  <c r="A17" i="27"/>
  <c r="A25" i="11"/>
  <c r="A20" i="27"/>
  <c r="A26" i="27"/>
  <c r="A31" i="11"/>
  <c r="A34" i="11"/>
  <c r="A29" i="27"/>
  <c r="A26" i="11"/>
  <c r="A21" i="27"/>
  <c r="A16" i="27"/>
  <c r="A10" i="26"/>
  <c r="A19" i="26" s="1"/>
  <c r="A11" i="26"/>
  <c r="A20" i="26" s="1"/>
  <c r="A9" i="26"/>
  <c r="A18" i="26" s="1"/>
  <c r="A7" i="26"/>
  <c r="A16" i="26" s="1"/>
  <c r="A6" i="27"/>
  <c r="A11" i="27" l="1"/>
  <c r="A8" i="27"/>
  <c r="A12" i="27"/>
  <c r="A7" i="27"/>
  <c r="A15" i="27"/>
  <c r="A9" i="27"/>
  <c r="A13" i="27"/>
  <c r="A10" i="27"/>
  <c r="A14" i="27"/>
  <c r="A6" i="11" l="1"/>
  <c r="A13" i="11" l="1"/>
  <c r="A9" i="11"/>
  <c r="A18" i="11" s="1"/>
  <c r="A12" i="11"/>
  <c r="A8" i="11"/>
  <c r="A17" i="11" s="1"/>
  <c r="A11" i="11"/>
  <c r="A20" i="11" s="1"/>
  <c r="A14" i="11"/>
  <c r="A15" i="11"/>
  <c r="A7" i="11"/>
  <c r="A16" i="11" s="1"/>
  <c r="A10" i="11"/>
  <c r="A19" i="11" s="1"/>
  <c r="A4" i="26" l="1"/>
  <c r="D30" i="27" l="1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9" i="11"/>
  <c r="D8" i="11"/>
  <c r="D7" i="11"/>
  <c r="D6" i="11"/>
  <c r="E15" i="27" l="1"/>
  <c r="E27" i="27" l="1"/>
  <c r="E30" i="27"/>
  <c r="E28" i="27"/>
  <c r="E29" i="27"/>
  <c r="D9" i="27" l="1"/>
  <c r="D8" i="27"/>
  <c r="D7" i="27"/>
  <c r="D6" i="27"/>
  <c r="D9" i="26"/>
  <c r="D8" i="26"/>
  <c r="D7" i="26"/>
  <c r="D6" i="26"/>
  <c r="A4" i="11" l="1"/>
  <c r="AB252" i="22" l="1"/>
  <c r="L270" i="22" l="1"/>
  <c r="R272" i="22" s="1"/>
  <c r="AC273" i="22" s="1"/>
  <c r="D46" i="20" l="1"/>
  <c r="D86" i="20" s="1"/>
  <c r="K86" i="20" l="1"/>
  <c r="D310" i="22"/>
  <c r="F344" i="22" s="1"/>
  <c r="E48" i="22"/>
  <c r="I84" i="22" s="1"/>
  <c r="AK13" i="22"/>
  <c r="P84" i="22" s="1"/>
  <c r="D14" i="3"/>
  <c r="D47" i="20" l="1"/>
  <c r="D87" i="20" s="1"/>
  <c r="D48" i="20"/>
  <c r="D88" i="20" s="1"/>
  <c r="K88" i="20" s="1"/>
  <c r="E119" i="22"/>
  <c r="K87" i="20" l="1"/>
  <c r="D312" i="22"/>
  <c r="F346" i="22" s="1"/>
  <c r="D311" i="22"/>
  <c r="F345" i="22" s="1"/>
  <c r="D49" i="20"/>
  <c r="D89" i="20" s="1"/>
  <c r="K89" i="20" s="1"/>
  <c r="AK15" i="22"/>
  <c r="P86" i="22" s="1"/>
  <c r="E50" i="22"/>
  <c r="I86" i="22" s="1"/>
  <c r="E49" i="22"/>
  <c r="I85" i="22" s="1"/>
  <c r="AK14" i="22"/>
  <c r="P85" i="22" s="1"/>
  <c r="D16" i="3"/>
  <c r="D15" i="3"/>
  <c r="D313" i="22" l="1"/>
  <c r="F347" i="22" s="1"/>
  <c r="D50" i="20"/>
  <c r="D90" i="20" s="1"/>
  <c r="K90" i="20" s="1"/>
  <c r="E51" i="22"/>
  <c r="I87" i="22" s="1"/>
  <c r="AK16" i="22"/>
  <c r="P87" i="22" s="1"/>
  <c r="E120" i="22"/>
  <c r="E121" i="22"/>
  <c r="D17" i="3"/>
  <c r="D314" i="22" l="1"/>
  <c r="F348" i="22" s="1"/>
  <c r="D51" i="20"/>
  <c r="D91" i="20" s="1"/>
  <c r="K91" i="20" s="1"/>
  <c r="E52" i="22"/>
  <c r="I88" i="22" s="1"/>
  <c r="AK17" i="22"/>
  <c r="P88" i="22" s="1"/>
  <c r="G175" i="22"/>
  <c r="E122" i="22"/>
  <c r="D18" i="3"/>
  <c r="D315" i="22" l="1"/>
  <c r="F349" i="22" s="1"/>
  <c r="D52" i="20"/>
  <c r="D92" i="20" s="1"/>
  <c r="K92" i="20" s="1"/>
  <c r="E123" i="22"/>
  <c r="AK18" i="22"/>
  <c r="P89" i="22" s="1"/>
  <c r="E53" i="22"/>
  <c r="I89" i="22" s="1"/>
  <c r="H182" i="22"/>
  <c r="G176" i="22"/>
  <c r="H183" i="22" s="1"/>
  <c r="I189" i="22"/>
  <c r="G199" i="22" s="1"/>
  <c r="D19" i="3"/>
  <c r="D316" i="22" l="1"/>
  <c r="F350" i="22" s="1"/>
  <c r="D53" i="20"/>
  <c r="D93" i="20" s="1"/>
  <c r="K93" i="20" s="1"/>
  <c r="AK19" i="22"/>
  <c r="P90" i="22" s="1"/>
  <c r="E54" i="22"/>
  <c r="I90" i="22" s="1"/>
  <c r="E124" i="22"/>
  <c r="AA203" i="22"/>
  <c r="N214" i="22" s="1"/>
  <c r="J213" i="22" s="1"/>
  <c r="L207" i="22"/>
  <c r="D20" i="3"/>
  <c r="D317" i="22" l="1"/>
  <c r="F351" i="22" s="1"/>
  <c r="D54" i="20"/>
  <c r="D94" i="20" s="1"/>
  <c r="K94" i="20" s="1"/>
  <c r="E125" i="22"/>
  <c r="E55" i="22"/>
  <c r="I91" i="22" s="1"/>
  <c r="AK20" i="22"/>
  <c r="P91" i="22" s="1"/>
  <c r="D21" i="3"/>
  <c r="D318" i="22" l="1"/>
  <c r="F352" i="22" s="1"/>
  <c r="D55" i="20"/>
  <c r="D95" i="20" s="1"/>
  <c r="AK21" i="22"/>
  <c r="P92" i="22" s="1"/>
  <c r="E56" i="22"/>
  <c r="I92" i="22" s="1"/>
  <c r="E126" i="22"/>
  <c r="D22" i="3"/>
  <c r="K95" i="20" l="1"/>
  <c r="J85" i="20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I85" i="20"/>
  <c r="D319" i="22"/>
  <c r="F353" i="22" s="1"/>
  <c r="E127" i="22"/>
  <c r="AK22" i="22"/>
  <c r="P93" i="22" s="1"/>
  <c r="E57" i="22"/>
  <c r="I93" i="22" s="1"/>
  <c r="D23" i="3"/>
  <c r="I86" i="20" l="1"/>
  <c r="F85" i="20"/>
  <c r="L85" i="20" s="1"/>
  <c r="E18" i="23" s="1"/>
  <c r="E128" i="22"/>
  <c r="E58" i="22"/>
  <c r="I94" i="22" s="1"/>
  <c r="AK23" i="22"/>
  <c r="P94" i="22" s="1"/>
  <c r="D24" i="3"/>
  <c r="I87" i="20" l="1"/>
  <c r="F86" i="20"/>
  <c r="E59" i="22"/>
  <c r="I95" i="22" s="1"/>
  <c r="AK24" i="22"/>
  <c r="P95" i="22" s="1"/>
  <c r="E129" i="22"/>
  <c r="D25" i="3"/>
  <c r="I88" i="20" l="1"/>
  <c r="F87" i="20"/>
  <c r="E60" i="22"/>
  <c r="I96" i="22" s="1"/>
  <c r="AK25" i="22"/>
  <c r="P96" i="22" s="1"/>
  <c r="E130" i="22"/>
  <c r="D26" i="3"/>
  <c r="I89" i="20" l="1"/>
  <c r="F88" i="20"/>
  <c r="AK26" i="22"/>
  <c r="P97" i="22" s="1"/>
  <c r="E61" i="22"/>
  <c r="I97" i="22" s="1"/>
  <c r="E131" i="22"/>
  <c r="D27" i="3"/>
  <c r="I90" i="20" l="1"/>
  <c r="F89" i="20"/>
  <c r="E62" i="22"/>
  <c r="I98" i="22" s="1"/>
  <c r="AK27" i="22"/>
  <c r="P98" i="22" s="1"/>
  <c r="E132" i="22"/>
  <c r="D28" i="3"/>
  <c r="I91" i="20" l="1"/>
  <c r="F90" i="20"/>
  <c r="E63" i="22"/>
  <c r="I99" i="22" s="1"/>
  <c r="AK28" i="22"/>
  <c r="P99" i="22" s="1"/>
  <c r="E133" i="22"/>
  <c r="D29" i="3"/>
  <c r="I92" i="20" l="1"/>
  <c r="F91" i="20"/>
  <c r="E64" i="22"/>
  <c r="I100" i="22" s="1"/>
  <c r="AK29" i="22"/>
  <c r="P100" i="22" s="1"/>
  <c r="E134" i="22"/>
  <c r="D30" i="3"/>
  <c r="I93" i="20" l="1"/>
  <c r="F92" i="20"/>
  <c r="AK30" i="22"/>
  <c r="P101" i="22" s="1"/>
  <c r="E65" i="22"/>
  <c r="I101" i="22" s="1"/>
  <c r="E135" i="22"/>
  <c r="D31" i="3"/>
  <c r="I94" i="20" l="1"/>
  <c r="F93" i="20"/>
  <c r="AL49" i="22"/>
  <c r="AK31" i="22"/>
  <c r="P102" i="22" s="1"/>
  <c r="E66" i="22"/>
  <c r="I102" i="22" s="1"/>
  <c r="E136" i="22"/>
  <c r="D32" i="3"/>
  <c r="I95" i="20" l="1"/>
  <c r="F94" i="20"/>
  <c r="AL48" i="22"/>
  <c r="O7" i="20"/>
  <c r="E137" i="22"/>
  <c r="E67" i="22"/>
  <c r="I103" i="22" s="1"/>
  <c r="AK32" i="22"/>
  <c r="P103" i="22" s="1"/>
  <c r="BD6" i="22"/>
  <c r="D33" i="3"/>
  <c r="I96" i="20" l="1"/>
  <c r="F95" i="20"/>
  <c r="R136" i="22"/>
  <c r="Q7" i="20"/>
  <c r="AJ57" i="22" s="1"/>
  <c r="N339" i="22" s="1"/>
  <c r="F17" i="11" s="1"/>
  <c r="AJ53" i="22"/>
  <c r="X136" i="22"/>
  <c r="M50" i="20"/>
  <c r="N314" i="22" s="1"/>
  <c r="M45" i="20"/>
  <c r="N309" i="22" s="1"/>
  <c r="M54" i="20"/>
  <c r="N318" i="22" s="1"/>
  <c r="M49" i="20"/>
  <c r="N313" i="22" s="1"/>
  <c r="M51" i="20"/>
  <c r="N315" i="22" s="1"/>
  <c r="M46" i="20"/>
  <c r="N310" i="22" s="1"/>
  <c r="P46" i="20"/>
  <c r="AC310" i="22" s="1"/>
  <c r="M52" i="20"/>
  <c r="N316" i="22" s="1"/>
  <c r="M48" i="20"/>
  <c r="N312" i="22" s="1"/>
  <c r="M47" i="20"/>
  <c r="N311" i="22" s="1"/>
  <c r="P47" i="20"/>
  <c r="AC311" i="22" s="1"/>
  <c r="N45" i="20"/>
  <c r="S309" i="22" s="1"/>
  <c r="M53" i="20"/>
  <c r="N317" i="22" s="1"/>
  <c r="N54" i="20"/>
  <c r="S318" i="22" s="1"/>
  <c r="N47" i="20"/>
  <c r="S311" i="22" s="1"/>
  <c r="N48" i="20"/>
  <c r="S312" i="22" s="1"/>
  <c r="N50" i="20"/>
  <c r="S314" i="22" s="1"/>
  <c r="P53" i="20"/>
  <c r="AC317" i="22" s="1"/>
  <c r="P48" i="20"/>
  <c r="AC312" i="22" s="1"/>
  <c r="P51" i="20"/>
  <c r="AC315" i="22" s="1"/>
  <c r="P55" i="20"/>
  <c r="AC319" i="22" s="1"/>
  <c r="M55" i="20"/>
  <c r="N51" i="20"/>
  <c r="S315" i="22" s="1"/>
  <c r="N53" i="20"/>
  <c r="S317" i="22" s="1"/>
  <c r="P49" i="20"/>
  <c r="AC313" i="22" s="1"/>
  <c r="P50" i="20"/>
  <c r="AC314" i="22" s="1"/>
  <c r="N55" i="20"/>
  <c r="S319" i="22" s="1"/>
  <c r="P54" i="20"/>
  <c r="AC318" i="22" s="1"/>
  <c r="N52" i="20"/>
  <c r="S316" i="22" s="1"/>
  <c r="N46" i="20"/>
  <c r="S310" i="22" s="1"/>
  <c r="N49" i="20"/>
  <c r="S313" i="22" s="1"/>
  <c r="P52" i="20"/>
  <c r="AC316" i="22" s="1"/>
  <c r="O50" i="20"/>
  <c r="X314" i="22" s="1"/>
  <c r="P45" i="20"/>
  <c r="AC309" i="22" s="1"/>
  <c r="O51" i="20"/>
  <c r="X315" i="22" s="1"/>
  <c r="O53" i="20"/>
  <c r="X317" i="22" s="1"/>
  <c r="O55" i="20"/>
  <c r="X319" i="22" s="1"/>
  <c r="O47" i="20"/>
  <c r="X311" i="22" s="1"/>
  <c r="O49" i="20"/>
  <c r="X313" i="22" s="1"/>
  <c r="O48" i="20"/>
  <c r="X312" i="22" s="1"/>
  <c r="O54" i="20"/>
  <c r="X318" i="22" s="1"/>
  <c r="O45" i="20"/>
  <c r="X309" i="22" s="1"/>
  <c r="O52" i="20"/>
  <c r="X316" i="22" s="1"/>
  <c r="O46" i="20"/>
  <c r="X310" i="22" s="1"/>
  <c r="R139" i="22"/>
  <c r="L139" i="22"/>
  <c r="X139" i="22"/>
  <c r="L118" i="22"/>
  <c r="X118" i="22"/>
  <c r="R118" i="22"/>
  <c r="AD118" i="22" s="1"/>
  <c r="R119" i="22"/>
  <c r="X119" i="22"/>
  <c r="L119" i="22"/>
  <c r="X121" i="22"/>
  <c r="L121" i="22"/>
  <c r="X120" i="22"/>
  <c r="R120" i="22"/>
  <c r="R121" i="22"/>
  <c r="L120" i="22"/>
  <c r="L122" i="22"/>
  <c r="X122" i="22"/>
  <c r="R122" i="22"/>
  <c r="AD122" i="22" s="1"/>
  <c r="L123" i="22"/>
  <c r="X123" i="22"/>
  <c r="R123" i="22"/>
  <c r="X124" i="22"/>
  <c r="L124" i="22"/>
  <c r="R124" i="22"/>
  <c r="L125" i="22"/>
  <c r="R125" i="22"/>
  <c r="X125" i="22"/>
  <c r="R126" i="22"/>
  <c r="L126" i="22"/>
  <c r="X126" i="22"/>
  <c r="X127" i="22"/>
  <c r="L127" i="22"/>
  <c r="R127" i="22"/>
  <c r="R128" i="22"/>
  <c r="X128" i="22"/>
  <c r="L128" i="22"/>
  <c r="R129" i="22"/>
  <c r="X129" i="22"/>
  <c r="L129" i="22"/>
  <c r="X130" i="22"/>
  <c r="L130" i="22"/>
  <c r="R130" i="22"/>
  <c r="AD130" i="22" s="1"/>
  <c r="L131" i="22"/>
  <c r="X131" i="22"/>
  <c r="R131" i="22"/>
  <c r="R132" i="22"/>
  <c r="X132" i="22"/>
  <c r="L132" i="22"/>
  <c r="L133" i="22"/>
  <c r="R133" i="22"/>
  <c r="X133" i="22"/>
  <c r="L134" i="22"/>
  <c r="R134" i="22"/>
  <c r="X134" i="22"/>
  <c r="X135" i="22"/>
  <c r="R135" i="22"/>
  <c r="L135" i="22"/>
  <c r="L136" i="22"/>
  <c r="AD136" i="22" s="1"/>
  <c r="E138" i="22"/>
  <c r="X137" i="22"/>
  <c r="L137" i="22"/>
  <c r="R137" i="22"/>
  <c r="AD137" i="22" s="1"/>
  <c r="I97" i="20" l="1"/>
  <c r="F96" i="20"/>
  <c r="Q55" i="20"/>
  <c r="AH319" i="22" s="1"/>
  <c r="N319" i="22"/>
  <c r="F17" i="26"/>
  <c r="T6" i="22"/>
  <c r="Q49" i="20"/>
  <c r="AH313" i="22" s="1"/>
  <c r="Q47" i="20"/>
  <c r="AH311" i="22" s="1"/>
  <c r="Q54" i="20"/>
  <c r="AH318" i="22" s="1"/>
  <c r="Q53" i="20"/>
  <c r="AH317" i="22" s="1"/>
  <c r="Q48" i="20"/>
  <c r="AH312" i="22" s="1"/>
  <c r="Q46" i="20"/>
  <c r="AH310" i="22" s="1"/>
  <c r="Q45" i="20"/>
  <c r="AH309" i="22" s="1"/>
  <c r="AD119" i="22"/>
  <c r="Q52" i="20"/>
  <c r="AH316" i="22" s="1"/>
  <c r="Q51" i="20"/>
  <c r="AH315" i="22" s="1"/>
  <c r="Q50" i="20"/>
  <c r="AH314" i="22" s="1"/>
  <c r="AD133" i="22"/>
  <c r="AD132" i="22"/>
  <c r="AD121" i="22"/>
  <c r="AD134" i="22"/>
  <c r="AD131" i="22"/>
  <c r="AD129" i="22"/>
  <c r="AD127" i="22"/>
  <c r="AD123" i="22"/>
  <c r="AD120" i="22"/>
  <c r="AD139" i="22"/>
  <c r="R138" i="22"/>
  <c r="L138" i="22"/>
  <c r="X138" i="22"/>
  <c r="AD128" i="22"/>
  <c r="AD125" i="22"/>
  <c r="AD135" i="22"/>
  <c r="AD126" i="22"/>
  <c r="AD124" i="22"/>
  <c r="I98" i="20" l="1"/>
  <c r="F97" i="20"/>
  <c r="AD138" i="22"/>
  <c r="I99" i="20" l="1"/>
  <c r="F99" i="20" s="1"/>
  <c r="F98" i="20"/>
  <c r="L53" i="20"/>
  <c r="L47" i="20"/>
  <c r="L45" i="20"/>
  <c r="L55" i="20"/>
  <c r="L48" i="20"/>
  <c r="L49" i="20"/>
  <c r="L52" i="20"/>
  <c r="L51" i="20"/>
  <c r="L46" i="20"/>
  <c r="L54" i="20"/>
  <c r="R51" i="20" l="1"/>
  <c r="I315" i="22"/>
  <c r="R55" i="20"/>
  <c r="I319" i="22"/>
  <c r="R45" i="20"/>
  <c r="I309" i="22"/>
  <c r="R54" i="20"/>
  <c r="I318" i="22"/>
  <c r="R47" i="20"/>
  <c r="I311" i="22"/>
  <c r="R52" i="20"/>
  <c r="I316" i="22"/>
  <c r="R49" i="20"/>
  <c r="I313" i="22"/>
  <c r="R46" i="20"/>
  <c r="I310" i="22"/>
  <c r="R48" i="20"/>
  <c r="I312" i="22"/>
  <c r="R53" i="20"/>
  <c r="I317" i="22"/>
  <c r="U52" i="20"/>
  <c r="U49" i="20"/>
  <c r="X49" i="20"/>
  <c r="U55" i="20"/>
  <c r="U54" i="20"/>
  <c r="X51" i="20"/>
  <c r="U51" i="20"/>
  <c r="U45" i="20"/>
  <c r="T214" i="22"/>
  <c r="L50" i="20"/>
  <c r="U46" i="20"/>
  <c r="X48" i="20"/>
  <c r="U48" i="20"/>
  <c r="U47" i="20"/>
  <c r="X47" i="20"/>
  <c r="X53" i="20"/>
  <c r="U53" i="20"/>
  <c r="P189" i="22"/>
  <c r="S53" i="20" l="1"/>
  <c r="AD351" i="22" s="1"/>
  <c r="AM317" i="22"/>
  <c r="S46" i="20"/>
  <c r="AD344" i="22" s="1"/>
  <c r="AM310" i="22"/>
  <c r="S52" i="20"/>
  <c r="AD350" i="22" s="1"/>
  <c r="AM316" i="22"/>
  <c r="S54" i="20"/>
  <c r="AD352" i="22" s="1"/>
  <c r="AM318" i="22"/>
  <c r="S55" i="20"/>
  <c r="AD353" i="22" s="1"/>
  <c r="AM319" i="22"/>
  <c r="R50" i="20"/>
  <c r="I314" i="22"/>
  <c r="S48" i="20"/>
  <c r="AD346" i="22" s="1"/>
  <c r="AM312" i="22"/>
  <c r="S49" i="20"/>
  <c r="AD347" i="22" s="1"/>
  <c r="AM313" i="22"/>
  <c r="S47" i="20"/>
  <c r="AD345" i="22" s="1"/>
  <c r="AM311" i="22"/>
  <c r="S45" i="20"/>
  <c r="AD343" i="22" s="1"/>
  <c r="AM309" i="22"/>
  <c r="S51" i="20"/>
  <c r="AD349" i="22" s="1"/>
  <c r="AM315" i="22"/>
  <c r="X46" i="20"/>
  <c r="X45" i="20"/>
  <c r="X54" i="20"/>
  <c r="U50" i="20"/>
  <c r="X55" i="20"/>
  <c r="X52" i="20"/>
  <c r="Z214" i="22"/>
  <c r="L219" i="22" s="1"/>
  <c r="S219" i="22" s="1"/>
  <c r="G298" i="22" s="1"/>
  <c r="AH189" i="22"/>
  <c r="S50" i="20" l="1"/>
  <c r="AD348" i="22" s="1"/>
  <c r="AM314" i="22"/>
  <c r="V50" i="20"/>
  <c r="W50" i="20" s="1"/>
  <c r="X50" i="20"/>
  <c r="B3" i="20" s="1"/>
  <c r="C43" i="13" s="1"/>
  <c r="X60" i="20"/>
  <c r="J327" i="22"/>
  <c r="O64" i="20" l="1"/>
  <c r="I46" i="20"/>
  <c r="X344" i="22" s="1"/>
  <c r="I50" i="20"/>
  <c r="X348" i="22" s="1"/>
  <c r="I51" i="20"/>
  <c r="X349" i="22" s="1"/>
  <c r="I52" i="20"/>
  <c r="X350" i="22" s="1"/>
  <c r="I54" i="20"/>
  <c r="X352" i="22" s="1"/>
  <c r="H48" i="20"/>
  <c r="R346" i="22" s="1"/>
  <c r="H54" i="20"/>
  <c r="R352" i="22" s="1"/>
  <c r="H52" i="20"/>
  <c r="R350" i="22" s="1"/>
  <c r="H49" i="20"/>
  <c r="R347" i="22" s="1"/>
  <c r="H47" i="20"/>
  <c r="H53" i="20"/>
  <c r="H51" i="20"/>
  <c r="R349" i="22" s="1"/>
  <c r="H50" i="20"/>
  <c r="R348" i="22" s="1"/>
  <c r="H46" i="20"/>
  <c r="R344" i="22" s="1"/>
  <c r="H55" i="20"/>
  <c r="R353" i="22" s="1"/>
  <c r="H45" i="20"/>
  <c r="R343" i="22" s="1"/>
  <c r="V47" i="20"/>
  <c r="W48" i="20"/>
  <c r="V55" i="20"/>
  <c r="V52" i="20"/>
  <c r="V53" i="20"/>
  <c r="W53" i="20" s="1"/>
  <c r="W55" i="20"/>
  <c r="V45" i="20"/>
  <c r="W54" i="20"/>
  <c r="W47" i="20"/>
  <c r="V48" i="20"/>
  <c r="W52" i="20"/>
  <c r="V46" i="20"/>
  <c r="W46" i="20" s="1"/>
  <c r="V54" i="20"/>
  <c r="V49" i="20"/>
  <c r="W49" i="20" s="1"/>
  <c r="W51" i="20"/>
  <c r="V51" i="20"/>
  <c r="I53" i="20" l="1"/>
  <c r="X351" i="22" s="1"/>
  <c r="R351" i="22"/>
  <c r="I47" i="20"/>
  <c r="X345" i="22" s="1"/>
  <c r="R345" i="22"/>
  <c r="R73" i="20"/>
  <c r="F73" i="20" s="1"/>
  <c r="K23" i="29" s="1"/>
  <c r="R67" i="20"/>
  <c r="F67" i="20" s="1"/>
  <c r="K17" i="29" s="1"/>
  <c r="R66" i="20"/>
  <c r="F66" i="20" s="1"/>
  <c r="K16" i="29" s="1"/>
  <c r="Q66" i="20"/>
  <c r="K66" i="20" s="1"/>
  <c r="G17" i="27" s="1"/>
  <c r="Q69" i="20"/>
  <c r="K69" i="20" s="1"/>
  <c r="G20" i="27" s="1"/>
  <c r="I55" i="20"/>
  <c r="X353" i="22" s="1"/>
  <c r="R71" i="20"/>
  <c r="F71" i="20" s="1"/>
  <c r="K21" i="29" s="1"/>
  <c r="V78" i="20"/>
  <c r="V77" i="20"/>
  <c r="Q71" i="20"/>
  <c r="K71" i="20" s="1"/>
  <c r="G22" i="27" s="1"/>
  <c r="Q72" i="20"/>
  <c r="K72" i="20" s="1"/>
  <c r="G23" i="27" s="1"/>
  <c r="I49" i="20"/>
  <c r="X347" i="22" s="1"/>
  <c r="I48" i="20"/>
  <c r="X346" i="22" s="1"/>
  <c r="I45" i="20"/>
  <c r="X343" i="22" s="1"/>
  <c r="R74" i="20"/>
  <c r="F74" i="20" s="1"/>
  <c r="K24" i="29" s="1"/>
  <c r="Q64" i="20"/>
  <c r="R64" i="20" s="1"/>
  <c r="S64" i="20" s="1"/>
  <c r="O70" i="20"/>
  <c r="C70" i="20" s="1"/>
  <c r="F20" i="29" s="1"/>
  <c r="O68" i="20"/>
  <c r="C68" i="20" s="1"/>
  <c r="F18" i="29" s="1"/>
  <c r="O75" i="20"/>
  <c r="C75" i="20" s="1"/>
  <c r="F25" i="29" s="1"/>
  <c r="O73" i="20"/>
  <c r="C73" i="20" s="1"/>
  <c r="F23" i="29" s="1"/>
  <c r="O74" i="20"/>
  <c r="C74" i="20" s="1"/>
  <c r="F24" i="29" s="1"/>
  <c r="O69" i="20"/>
  <c r="C69" i="20" s="1"/>
  <c r="F19" i="29" s="1"/>
  <c r="O72" i="20"/>
  <c r="C72" i="20" s="1"/>
  <c r="F22" i="29" s="1"/>
  <c r="O65" i="20"/>
  <c r="C65" i="20" s="1"/>
  <c r="F15" i="29" s="1"/>
  <c r="O66" i="20"/>
  <c r="C66" i="20" s="1"/>
  <c r="F16" i="29" s="1"/>
  <c r="O71" i="20"/>
  <c r="C71" i="20" s="1"/>
  <c r="F21" i="29" s="1"/>
  <c r="O67" i="20"/>
  <c r="C67" i="20" s="1"/>
  <c r="F17" i="29" s="1"/>
  <c r="Q73" i="20"/>
  <c r="K73" i="20" s="1"/>
  <c r="G24" i="27" s="1"/>
  <c r="R72" i="20"/>
  <c r="F72" i="20" s="1"/>
  <c r="K22" i="29" s="1"/>
  <c r="Q67" i="20"/>
  <c r="K67" i="20" s="1"/>
  <c r="G18" i="27" s="1"/>
  <c r="E67" i="20"/>
  <c r="F18" i="27" l="1"/>
  <c r="J17" i="29"/>
  <c r="E21" i="11"/>
  <c r="E21" i="26"/>
  <c r="E29" i="26"/>
  <c r="E29" i="11"/>
  <c r="G23" i="11"/>
  <c r="G23" i="26"/>
  <c r="E23" i="26"/>
  <c r="E23" i="11"/>
  <c r="E28" i="26"/>
  <c r="E28" i="11"/>
  <c r="E31" i="26"/>
  <c r="E31" i="11"/>
  <c r="H30" i="26"/>
  <c r="H30" i="11"/>
  <c r="H27" i="11"/>
  <c r="H27" i="26"/>
  <c r="H22" i="11"/>
  <c r="H22" i="26"/>
  <c r="E27" i="26"/>
  <c r="E27" i="11"/>
  <c r="H23" i="11"/>
  <c r="H23" i="26"/>
  <c r="E25" i="26"/>
  <c r="E25" i="11"/>
  <c r="E24" i="26"/>
  <c r="E24" i="11"/>
  <c r="H28" i="11"/>
  <c r="H28" i="26"/>
  <c r="E22" i="26"/>
  <c r="E22" i="11"/>
  <c r="E30" i="26"/>
  <c r="E30" i="11"/>
  <c r="E26" i="26"/>
  <c r="E26" i="11"/>
  <c r="H29" i="11"/>
  <c r="H29" i="26"/>
  <c r="R68" i="20"/>
  <c r="F68" i="20"/>
  <c r="K18" i="29" s="1"/>
  <c r="E73" i="20"/>
  <c r="F69" i="20"/>
  <c r="K19" i="29" s="1"/>
  <c r="R69" i="20"/>
  <c r="E71" i="20"/>
  <c r="Q65" i="20"/>
  <c r="F75" i="20"/>
  <c r="K25" i="29" s="1"/>
  <c r="R75" i="20"/>
  <c r="Q70" i="20"/>
  <c r="E66" i="20"/>
  <c r="R70" i="20"/>
  <c r="F70" i="20" s="1"/>
  <c r="K20" i="29" s="1"/>
  <c r="Q75" i="20"/>
  <c r="S73" i="20"/>
  <c r="S65" i="20"/>
  <c r="S70" i="20"/>
  <c r="S75" i="20"/>
  <c r="S74" i="20"/>
  <c r="S71" i="20"/>
  <c r="S67" i="20"/>
  <c r="S72" i="20"/>
  <c r="S69" i="20"/>
  <c r="S68" i="20"/>
  <c r="S66" i="20"/>
  <c r="R65" i="20"/>
  <c r="F65" i="20"/>
  <c r="K15" i="29" s="1"/>
  <c r="E72" i="20"/>
  <c r="E69" i="20"/>
  <c r="Q68" i="20"/>
  <c r="Q74" i="20"/>
  <c r="F22" i="27" l="1"/>
  <c r="J21" i="29"/>
  <c r="F20" i="27"/>
  <c r="J19" i="29"/>
  <c r="F23" i="27"/>
  <c r="J22" i="29"/>
  <c r="F17" i="27"/>
  <c r="J16" i="29"/>
  <c r="F24" i="27"/>
  <c r="J23" i="29"/>
  <c r="G25" i="26"/>
  <c r="G25" i="11"/>
  <c r="I23" i="26"/>
  <c r="I23" i="11"/>
  <c r="H26" i="26"/>
  <c r="H26" i="11"/>
  <c r="H25" i="26"/>
  <c r="H25" i="11"/>
  <c r="G28" i="26"/>
  <c r="G28" i="11"/>
  <c r="I24" i="11"/>
  <c r="I24" i="26"/>
  <c r="I27" i="26"/>
  <c r="I27" i="11"/>
  <c r="G22" i="26"/>
  <c r="G22" i="11"/>
  <c r="G29" i="26"/>
  <c r="G29" i="11"/>
  <c r="I22" i="26"/>
  <c r="I22" i="11"/>
  <c r="I26" i="26"/>
  <c r="I26" i="11"/>
  <c r="H31" i="11"/>
  <c r="H31" i="26"/>
  <c r="I25" i="26"/>
  <c r="I25" i="11"/>
  <c r="I29" i="26"/>
  <c r="I29" i="11"/>
  <c r="G27" i="11"/>
  <c r="G27" i="26"/>
  <c r="H24" i="26"/>
  <c r="H24" i="11"/>
  <c r="H21" i="26"/>
  <c r="H21" i="11"/>
  <c r="I30" i="26"/>
  <c r="I30" i="11"/>
  <c r="I28" i="11"/>
  <c r="I28" i="26"/>
  <c r="I31" i="26"/>
  <c r="I31" i="11"/>
  <c r="I21" i="26"/>
  <c r="I21" i="11"/>
  <c r="K65" i="20"/>
  <c r="G16" i="27" s="1"/>
  <c r="E65" i="20"/>
  <c r="K74" i="20"/>
  <c r="G25" i="27" s="1"/>
  <c r="E74" i="20"/>
  <c r="K70" i="20"/>
  <c r="G21" i="27" s="1"/>
  <c r="E70" i="20"/>
  <c r="K68" i="20"/>
  <c r="G19" i="27" s="1"/>
  <c r="E68" i="20"/>
  <c r="K75" i="20"/>
  <c r="G26" i="27" s="1"/>
  <c r="E75" i="20"/>
  <c r="E25" i="27"/>
  <c r="E21" i="27"/>
  <c r="E23" i="27"/>
  <c r="E24" i="27"/>
  <c r="E20" i="27"/>
  <c r="E19" i="27"/>
  <c r="E26" i="27"/>
  <c r="E18" i="27"/>
  <c r="E17" i="27"/>
  <c r="E22" i="27"/>
  <c r="E16" i="27"/>
  <c r="F19" i="27" l="1"/>
  <c r="J18" i="29"/>
  <c r="F26" i="27"/>
  <c r="J25" i="29"/>
  <c r="F21" i="27"/>
  <c r="J20" i="29"/>
  <c r="F16" i="27"/>
  <c r="J15" i="29"/>
  <c r="F25" i="27"/>
  <c r="J24" i="29"/>
  <c r="G26" i="26"/>
  <c r="G26" i="11"/>
  <c r="G21" i="11"/>
  <c r="G21" i="26"/>
  <c r="G24" i="26"/>
  <c r="G24" i="11"/>
  <c r="G30" i="26"/>
  <c r="G30" i="11"/>
  <c r="G31" i="26"/>
  <c r="G31" i="11"/>
  <c r="Q273" i="22" l="1"/>
  <c r="P252" i="22"/>
  <c r="Q287" i="22"/>
  <c r="O239" i="22"/>
  <c r="P191" i="22"/>
  <c r="W104" i="22"/>
  <c r="AD104" i="22" s="1"/>
  <c r="W83" i="22"/>
  <c r="AD83" i="22" s="1"/>
  <c r="AM182" i="22"/>
  <c r="Z6" i="22"/>
  <c r="P192" i="22"/>
  <c r="AM183" i="22"/>
  <c r="W84" i="22"/>
  <c r="AD84" i="22" s="1"/>
  <c r="W85" i="22"/>
  <c r="AD85" i="22" s="1"/>
  <c r="W86" i="22"/>
  <c r="AD86" i="22" s="1"/>
  <c r="W87" i="22"/>
  <c r="AD87" i="22" s="1"/>
  <c r="W88" i="22"/>
  <c r="AD88" i="22" s="1"/>
  <c r="W89" i="22"/>
  <c r="AD89" i="22" s="1"/>
  <c r="W90" i="22"/>
  <c r="AD90" i="22" s="1"/>
  <c r="W91" i="22"/>
  <c r="AD91" i="22" s="1"/>
  <c r="W92" i="22"/>
  <c r="AD92" i="22" s="1"/>
  <c r="W93" i="22"/>
  <c r="AD93" i="22" s="1"/>
  <c r="W94" i="22"/>
  <c r="AD94" i="22" s="1"/>
  <c r="W95" i="22"/>
  <c r="AD95" i="22" s="1"/>
  <c r="W96" i="22"/>
  <c r="AD96" i="22" s="1"/>
  <c r="W97" i="22"/>
  <c r="AD97" i="22" s="1"/>
  <c r="W98" i="22"/>
  <c r="AD98" i="22" s="1"/>
  <c r="W99" i="22"/>
  <c r="AD99" i="22" s="1"/>
  <c r="W100" i="22"/>
  <c r="AD100" i="22" s="1"/>
  <c r="W101" i="22"/>
  <c r="AD101" i="22" s="1"/>
  <c r="W102" i="22"/>
  <c r="AD102" i="22" s="1"/>
  <c r="W103" i="22"/>
  <c r="AD103" i="22" s="1"/>
  <c r="AK137" i="22"/>
  <c r="AK119" i="22"/>
  <c r="AK118" i="22"/>
  <c r="AK136" i="22"/>
  <c r="AK122" i="22"/>
  <c r="AK130" i="22"/>
  <c r="AK138" i="22"/>
  <c r="AK125" i="22"/>
  <c r="AK134" i="22"/>
  <c r="AK123" i="22"/>
  <c r="AK139" i="22"/>
  <c r="AK133" i="22"/>
  <c r="AK120" i="22"/>
  <c r="AK121" i="22"/>
  <c r="AK129" i="22"/>
  <c r="AK127" i="22"/>
  <c r="AK131" i="22"/>
  <c r="AK124" i="22"/>
  <c r="AK135" i="22"/>
  <c r="AK126" i="22"/>
  <c r="AK132" i="22"/>
  <c r="AK128" i="22"/>
  <c r="P193" i="22" l="1"/>
  <c r="AH192" i="22"/>
  <c r="AG252" i="22"/>
  <c r="L257" i="22" s="1"/>
  <c r="S257" i="22" s="1"/>
  <c r="T226" i="22" s="1"/>
  <c r="W232" i="22" s="1"/>
  <c r="P194" i="22"/>
  <c r="AA285" i="22"/>
  <c r="AC287" i="22" s="1"/>
  <c r="AF239" i="22"/>
  <c r="L244" i="22" s="1"/>
  <c r="S244" i="22" s="1"/>
  <c r="N226" i="22" s="1"/>
  <c r="Q232" i="22" s="1"/>
  <c r="AH191" i="22"/>
  <c r="P190" i="22"/>
  <c r="AK226" i="22" l="1"/>
  <c r="L230" i="22" s="1"/>
  <c r="S230" i="22" s="1"/>
  <c r="AH190" i="22"/>
  <c r="AH195" i="22" s="1"/>
  <c r="AH287" i="22"/>
  <c r="L292" i="22" s="1"/>
  <c r="S292" i="22" s="1"/>
  <c r="AF226" i="22" s="1"/>
  <c r="AI232" i="22" s="1"/>
  <c r="AH194" i="22"/>
  <c r="AH273" i="22"/>
  <c r="L278" i="22" s="1"/>
  <c r="S278" i="22" s="1"/>
  <c r="Z226" i="22" s="1"/>
  <c r="AC232" i="22" s="1"/>
  <c r="AH193" i="22"/>
  <c r="AP190" i="22" l="1"/>
  <c r="O298" i="22"/>
  <c r="Q231" i="22"/>
  <c r="P327" i="22" l="1"/>
  <c r="G299" i="22"/>
  <c r="F301" i="22" s="1"/>
  <c r="P328" i="22"/>
  <c r="AO231" i="22"/>
  <c r="J326" i="22" l="1"/>
  <c r="J332" i="22"/>
  <c r="Q332" i="22" s="1"/>
  <c r="I190" i="22" l="1"/>
  <c r="G223" i="22" s="1"/>
  <c r="I195" i="22" l="1"/>
  <c r="AR318" i="22" l="1"/>
  <c r="AR313" i="22"/>
  <c r="AR319" i="22"/>
  <c r="AR311" i="22"/>
  <c r="AR312" i="22"/>
  <c r="AR317" i="22"/>
  <c r="AR310" i="22"/>
  <c r="AR316" i="22"/>
  <c r="AR315" i="22"/>
  <c r="AR309" i="22"/>
  <c r="AR314" i="22" l="1"/>
</calcChain>
</file>

<file path=xl/sharedStrings.xml><?xml version="1.0" encoding="utf-8"?>
<sst xmlns="http://schemas.openxmlformats.org/spreadsheetml/2006/main" count="1371" uniqueCount="736">
  <si>
    <r>
      <t>3회</t>
    </r>
    <r>
      <rPr>
        <b/>
        <sz val="9"/>
        <color indexed="9"/>
        <rFont val="굴림"/>
        <family val="3"/>
        <charset val="129"/>
      </rPr>
      <t/>
    </r>
  </si>
  <si>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5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</si>
  <si>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5" type="noConversion"/>
  </si>
  <si>
    <t>등록번호</t>
    <phoneticPr fontId="5" type="noConversion"/>
  </si>
  <si>
    <r>
      <rPr>
        <sz val="8"/>
        <rFont val="맑은 고딕"/>
        <family val="3"/>
        <charset val="129"/>
      </rPr>
      <t>접수번호</t>
    </r>
    <phoneticPr fontId="5" type="noConversion"/>
  </si>
  <si>
    <r>
      <rPr>
        <sz val="8"/>
        <rFont val="맑은 고딕"/>
        <family val="3"/>
        <charset val="129"/>
      </rPr>
      <t>의뢰기관</t>
    </r>
    <phoneticPr fontId="5" type="noConversion"/>
  </si>
  <si>
    <r>
      <rPr>
        <sz val="8"/>
        <rFont val="맑은 고딕"/>
        <family val="3"/>
        <charset val="129"/>
      </rPr>
      <t>교정일자</t>
    </r>
    <phoneticPr fontId="5" type="noConversion"/>
  </si>
  <si>
    <r>
      <rPr>
        <sz val="8"/>
        <rFont val="맑은 고딕"/>
        <family val="3"/>
        <charset val="129"/>
      </rPr>
      <t>기기명</t>
    </r>
    <phoneticPr fontId="5" type="noConversion"/>
  </si>
  <si>
    <t>교정절차서1</t>
    <phoneticPr fontId="5" type="noConversion"/>
  </si>
  <si>
    <r>
      <rPr>
        <sz val="8"/>
        <rFont val="맑은 고딕"/>
        <family val="3"/>
        <charset val="129"/>
      </rPr>
      <t>제작회사</t>
    </r>
    <phoneticPr fontId="5" type="noConversion"/>
  </si>
  <si>
    <t>교정절차서2</t>
    <phoneticPr fontId="5" type="noConversion"/>
  </si>
  <si>
    <r>
      <rPr>
        <sz val="8"/>
        <rFont val="맑은 고딕"/>
        <family val="3"/>
        <charset val="129"/>
      </rPr>
      <t>형식</t>
    </r>
    <phoneticPr fontId="5" type="noConversion"/>
  </si>
  <si>
    <t>접수확인자</t>
    <phoneticPr fontId="5" type="noConversion"/>
  </si>
  <si>
    <r>
      <rPr>
        <sz val="8"/>
        <rFont val="맑은 고딕"/>
        <family val="3"/>
        <charset val="129"/>
      </rPr>
      <t>기기번호</t>
    </r>
    <phoneticPr fontId="5" type="noConversion"/>
  </si>
  <si>
    <t>인증교정자</t>
    <phoneticPr fontId="5" type="noConversion"/>
  </si>
  <si>
    <t>기술책임자</t>
    <phoneticPr fontId="5" type="noConversion"/>
  </si>
  <si>
    <r>
      <rPr>
        <sz val="8"/>
        <rFont val="맑은 고딕"/>
        <family val="3"/>
        <charset val="129"/>
      </rPr>
      <t>교정주기</t>
    </r>
    <phoneticPr fontId="5" type="noConversion"/>
  </si>
  <si>
    <r>
      <t>KOLAS</t>
    </r>
    <r>
      <rPr>
        <sz val="8"/>
        <rFont val="맑은 고딕"/>
        <family val="3"/>
        <charset val="129"/>
      </rPr>
      <t>유무</t>
    </r>
    <phoneticPr fontId="5" type="noConversion"/>
  </si>
  <si>
    <t>1: KOLAS 성적서
0: 비공인성적서</t>
    <phoneticPr fontId="5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</si>
  <si>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</si>
  <si>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최저온도</t>
    </r>
    <phoneticPr fontId="5" type="noConversion"/>
  </si>
  <si>
    <t>최저습도</t>
    <phoneticPr fontId="5" type="noConversion"/>
  </si>
  <si>
    <t>최저기압</t>
    <phoneticPr fontId="5" type="noConversion"/>
  </si>
  <si>
    <t>교정장소</t>
    <phoneticPr fontId="5" type="noConversion"/>
  </si>
  <si>
    <t>0: KC00-011 고정표준실
1: 현장교정
4: KC10-244 고정표준실</t>
    <phoneticPr fontId="5" type="noConversion"/>
  </si>
  <si>
    <r>
      <rPr>
        <sz val="8"/>
        <rFont val="맑은 고딕"/>
        <family val="3"/>
        <charset val="129"/>
      </rPr>
      <t>최고온도</t>
    </r>
    <phoneticPr fontId="5" type="noConversion"/>
  </si>
  <si>
    <r>
      <rPr>
        <sz val="8"/>
        <rFont val="맑은 고딕"/>
        <family val="3"/>
        <charset val="129"/>
      </rPr>
      <t>최고습도</t>
    </r>
    <phoneticPr fontId="5" type="noConversion"/>
  </si>
  <si>
    <t>최고기압</t>
    <phoneticPr fontId="5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</si>
  <si>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5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</si>
  <si>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</si>
  <si>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등록번호</t>
    </r>
    <phoneticPr fontId="5" type="noConversion"/>
  </si>
  <si>
    <t>기기명</t>
    <phoneticPr fontId="5" type="noConversion"/>
  </si>
  <si>
    <t>제작회사</t>
    <phoneticPr fontId="5" type="noConversion"/>
  </si>
  <si>
    <t>기기번호</t>
    <phoneticPr fontId="5" type="noConversion"/>
  </si>
  <si>
    <t>차기교정예정일자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</si>
  <si>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</si>
  <si>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>세부분류코드</t>
    <phoneticPr fontId="5" type="noConversion"/>
  </si>
  <si>
    <t xml:space="preserve"> 성적서발급번호(Certificate No) :</t>
    <phoneticPr fontId="5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</si>
  <si>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5" type="noConversion"/>
  </si>
  <si>
    <t>전체</t>
    <phoneticPr fontId="5" type="noConversion"/>
  </si>
  <si>
    <t>특이사항</t>
    <phoneticPr fontId="5" type="noConversion"/>
  </si>
  <si>
    <t>PASS</t>
    <phoneticPr fontId="5" type="noConversion"/>
  </si>
  <si>
    <t>FIAL</t>
    <phoneticPr fontId="5" type="noConversion"/>
  </si>
  <si>
    <t>교정자 확인</t>
    <phoneticPr fontId="5" type="noConversion"/>
  </si>
  <si>
    <t>확인전</t>
  </si>
  <si>
    <t>CONDITION</t>
    <phoneticPr fontId="5" type="noConversion"/>
  </si>
  <si>
    <t>MEASURED VALUE</t>
    <phoneticPr fontId="5" type="noConversion"/>
  </si>
  <si>
    <t>번호</t>
    <phoneticPr fontId="5" type="noConversion"/>
  </si>
  <si>
    <t>명목압력
(SI단위)</t>
    <phoneticPr fontId="5" type="noConversion"/>
  </si>
  <si>
    <t>표준기압력
(SI단위)</t>
    <phoneticPr fontId="5" type="noConversion"/>
  </si>
  <si>
    <t>SI단위</t>
    <phoneticPr fontId="5" type="noConversion"/>
  </si>
  <si>
    <t>CMC</t>
    <phoneticPr fontId="5" type="noConversion"/>
  </si>
  <si>
    <t>분해능</t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</si>
  <si>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</si>
  <si>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지시값
평균</t>
    <phoneticPr fontId="5" type="noConversion"/>
  </si>
  <si>
    <t>[Pressure Calibration]</t>
    <phoneticPr fontId="5" type="noConversion"/>
  </si>
  <si>
    <t>CMC 검토</t>
    <phoneticPr fontId="5" type="noConversion"/>
  </si>
  <si>
    <t>측정점
번호</t>
    <phoneticPr fontId="5" type="noConversion"/>
  </si>
  <si>
    <t>번호</t>
  </si>
  <si>
    <t>등록번호</t>
  </si>
  <si>
    <t>단위</t>
  </si>
  <si>
    <t>확장불확도</t>
  </si>
  <si>
    <t>k</t>
  </si>
  <si>
    <t>기준기교정일</t>
  </si>
  <si>
    <t>표준압력</t>
    <phoneticPr fontId="5" type="noConversion"/>
  </si>
  <si>
    <t>1회</t>
    <phoneticPr fontId="5" type="noConversion"/>
  </si>
  <si>
    <t>2회</t>
    <phoneticPr fontId="5" type="noConversion"/>
  </si>
  <si>
    <t>=</t>
    <phoneticPr fontId="5" type="noConversion"/>
  </si>
  <si>
    <t>D5. 불확도 기여량 :</t>
    <phoneticPr fontId="5" type="noConversion"/>
  </si>
  <si>
    <t>표준기</t>
    <phoneticPr fontId="5" type="noConversion"/>
  </si>
  <si>
    <t>히스테리시스</t>
    <phoneticPr fontId="5" type="noConversion"/>
  </si>
  <si>
    <t>단위</t>
    <phoneticPr fontId="5" type="noConversion"/>
  </si>
  <si>
    <t>부록</t>
    <phoneticPr fontId="5" type="noConversion"/>
  </si>
  <si>
    <t>Spec</t>
    <phoneticPr fontId="5" type="noConversion"/>
  </si>
  <si>
    <t>● 교정결과</t>
    <phoneticPr fontId="5" type="noConversion"/>
  </si>
  <si>
    <t>기준기명(종류)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</si>
  <si>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</si>
  <si>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</si>
  <si>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</si>
  <si>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</si>
  <si>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</si>
  <si>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</si>
  <si>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</si>
  <si>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최소눈금</t>
  </si>
  <si>
    <t>적용단위</t>
  </si>
  <si>
    <t>a</t>
  </si>
  <si>
    <t>b</t>
  </si>
  <si>
    <t>교정일자</t>
  </si>
  <si>
    <t>Resolution</t>
    <phoneticPr fontId="5" type="noConversion"/>
  </si>
  <si>
    <t>Display</t>
    <phoneticPr fontId="5" type="noConversion"/>
  </si>
  <si>
    <t>SPEC</t>
    <phoneticPr fontId="5" type="noConversion"/>
  </si>
  <si>
    <t>MIN</t>
    <phoneticPr fontId="5" type="noConversion"/>
  </si>
  <si>
    <t>MAX</t>
    <phoneticPr fontId="5" type="noConversion"/>
  </si>
  <si>
    <t>UNIT</t>
    <phoneticPr fontId="5" type="noConversion"/>
  </si>
  <si>
    <t>3회</t>
    <phoneticPr fontId="5" type="noConversion"/>
  </si>
  <si>
    <t>STD Name</t>
    <phoneticPr fontId="5" type="noConversion"/>
  </si>
  <si>
    <t>최대압력</t>
    <phoneticPr fontId="5" type="noConversion"/>
  </si>
  <si>
    <t>DUT단위</t>
    <phoneticPr fontId="5" type="noConversion"/>
  </si>
  <si>
    <t>Nominal</t>
    <phoneticPr fontId="5" type="noConversion"/>
  </si>
  <si>
    <t>Standard</t>
    <phoneticPr fontId="5" type="noConversion"/>
  </si>
  <si>
    <t>Measured</t>
    <phoneticPr fontId="5" type="noConversion"/>
  </si>
  <si>
    <t>Unit</t>
    <phoneticPr fontId="5" type="noConversion"/>
  </si>
  <si>
    <t>Correction</t>
    <phoneticPr fontId="5" type="noConversion"/>
  </si>
  <si>
    <t>● Calibration Result</t>
    <phoneticPr fontId="5" type="noConversion"/>
  </si>
  <si>
    <t>측정불확도</t>
    <phoneticPr fontId="5" type="noConversion"/>
  </si>
  <si>
    <t>판정결과</t>
  </si>
  <si>
    <t>교정번호</t>
    <phoneticPr fontId="5" type="noConversion"/>
  </si>
  <si>
    <t>t</t>
    <phoneticPr fontId="69" type="noConversion"/>
  </si>
  <si>
    <t>℃</t>
    <phoneticPr fontId="69" type="noConversion"/>
  </si>
  <si>
    <t>공기밀도</t>
    <phoneticPr fontId="69" type="noConversion"/>
  </si>
  <si>
    <t>kg/㎥</t>
    <phoneticPr fontId="69" type="noConversion"/>
  </si>
  <si>
    <t>압력변형계수</t>
    <phoneticPr fontId="5" type="noConversion"/>
  </si>
  <si>
    <t>kgf/㎡</t>
  </si>
  <si>
    <t>Format</t>
  </si>
  <si>
    <t>#</t>
  </si>
  <si>
    <t>##</t>
  </si>
  <si>
    <t># ##</t>
  </si>
  <si>
    <t>## ##</t>
  </si>
  <si>
    <t>### ##</t>
  </si>
  <si>
    <t># ### ##</t>
  </si>
  <si>
    <t>## ### ##</t>
  </si>
  <si>
    <t>보정값</t>
    <phoneticPr fontId="5" type="noConversion"/>
  </si>
  <si>
    <t>● 교정결과</t>
    <phoneticPr fontId="5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</si>
  <si>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5" type="noConversion"/>
  </si>
  <si>
    <t>교정자</t>
    <phoneticPr fontId="5" type="noConversion"/>
  </si>
  <si>
    <t>기기번호</t>
    <phoneticPr fontId="5" type="noConversion"/>
  </si>
  <si>
    <t>교정일자</t>
    <phoneticPr fontId="5" type="noConversion"/>
  </si>
  <si>
    <t>기술책임자</t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</si>
  <si>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1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</si>
  <si>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5" type="noConversion"/>
  </si>
  <si>
    <r>
      <rPr>
        <b/>
        <sz val="9"/>
        <color indexed="9"/>
        <rFont val="돋움"/>
        <family val="3"/>
        <charset val="129"/>
      </rPr>
      <t>측정점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번호</t>
    </r>
    <phoneticPr fontId="5" type="noConversion"/>
  </si>
  <si>
    <t>표준압력
Pr</t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</si>
  <si>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</si>
  <si>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kPa</t>
    <phoneticPr fontId="5" type="noConversion"/>
  </si>
  <si>
    <t>MPa</t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</si>
  <si>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5" type="noConversion"/>
  </si>
  <si>
    <t>○ Range 1</t>
    <phoneticPr fontId="5" type="noConversion"/>
  </si>
  <si>
    <t>측정점 번호</t>
    <phoneticPr fontId="5" type="noConversion"/>
  </si>
  <si>
    <t>표준불확도</t>
    <phoneticPr fontId="5" type="noConversion"/>
  </si>
  <si>
    <t>자유도</t>
    <phoneticPr fontId="5" type="noConversion"/>
  </si>
  <si>
    <t>A</t>
    <phoneticPr fontId="5" type="noConversion"/>
  </si>
  <si>
    <t>∞</t>
    <phoneticPr fontId="5" type="noConversion"/>
  </si>
  <si>
    <t>C</t>
    <phoneticPr fontId="5" type="noConversion"/>
  </si>
  <si>
    <t>D</t>
    <phoneticPr fontId="5" type="noConversion"/>
  </si>
  <si>
    <t>※ 분동식 압력계 사용시</t>
    <phoneticPr fontId="5" type="noConversion"/>
  </si>
  <si>
    <t>※ 아래의 공식에 의해 구해진 표준압력값은</t>
    <phoneticPr fontId="5" type="noConversion"/>
  </si>
  <si>
    <t>a</t>
    <phoneticPr fontId="5" type="noConversion"/>
  </si>
  <si>
    <t>b</t>
    <phoneticPr fontId="5" type="noConversion"/>
  </si>
  <si>
    <t>+</t>
    <phoneticPr fontId="5" type="noConversion"/>
  </si>
  <si>
    <t>B3. 확률분포 :</t>
    <phoneticPr fontId="5" type="noConversion"/>
  </si>
  <si>
    <t>B4. 감도계수 :</t>
    <phoneticPr fontId="5" type="noConversion"/>
  </si>
  <si>
    <t>B5. 불확도 기여량 :</t>
    <phoneticPr fontId="5" type="noConversion"/>
  </si>
  <si>
    <t>| -1 ×</t>
    <phoneticPr fontId="5" type="noConversion"/>
  </si>
  <si>
    <t>|=</t>
    <phoneticPr fontId="5" type="noConversion"/>
  </si>
  <si>
    <t>B6. 자유도 :</t>
    <phoneticPr fontId="5" type="noConversion"/>
  </si>
  <si>
    <t>C1. 추정값 :</t>
    <phoneticPr fontId="5" type="noConversion"/>
  </si>
  <si>
    <t>C2. 표준불확도 :</t>
    <phoneticPr fontId="5" type="noConversion"/>
  </si>
  <si>
    <t>C3. 확률분포 :</t>
    <phoneticPr fontId="5" type="noConversion"/>
  </si>
  <si>
    <t>C6. 자유도 :</t>
    <phoneticPr fontId="5" type="noConversion"/>
  </si>
  <si>
    <t>D1. 추정값 :</t>
    <phoneticPr fontId="5" type="noConversion"/>
  </si>
  <si>
    <t>D2. 표준불확도 :</t>
    <phoneticPr fontId="5" type="noConversion"/>
  </si>
  <si>
    <t>※ 영점오차 : 가압과 감압 측정시 영점을 읽은 값을 의미하며, 다음과 같이 계산한다.</t>
    <phoneticPr fontId="5" type="noConversion"/>
  </si>
  <si>
    <t>1 ×</t>
    <phoneticPr fontId="5" type="noConversion"/>
  </si>
  <si>
    <t>E2. 표준불확도 :</t>
    <phoneticPr fontId="5" type="noConversion"/>
  </si>
  <si>
    <t>결정되며 영점에 의해 보정된 값들로부터 구한다.</t>
    <phoneticPr fontId="5" type="noConversion"/>
  </si>
  <si>
    <t>※ 감압측정에서의 반복성</t>
    <phoneticPr fontId="5" type="noConversion"/>
  </si>
  <si>
    <r>
      <t xml:space="preserve">가압 측정에서의 반복성과 감압 측정에서의 반복성 중 최대값이 반복성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이므로</t>
    </r>
    <phoneticPr fontId="5" type="noConversion"/>
  </si>
  <si>
    <t>F1. 추정값 :</t>
    <phoneticPr fontId="5" type="noConversion"/>
  </si>
  <si>
    <t>F2. 표준불확도 :</t>
    <phoneticPr fontId="5" type="noConversion"/>
  </si>
  <si>
    <t>※ 히스테리시스는 가압과 감압시에 측정되는 지시값의 출력차로부터 결정된다.</t>
    <phoneticPr fontId="5" type="noConversion"/>
  </si>
  <si>
    <t>F4. 감도계수 :</t>
    <phoneticPr fontId="5" type="noConversion"/>
  </si>
  <si>
    <t>2 ×</t>
    <phoneticPr fontId="5" type="noConversion"/>
  </si>
  <si>
    <t>확장불확도</t>
    <phoneticPr fontId="5" type="noConversion"/>
  </si>
  <si>
    <t>STANDARD CALIBRATION DATA (Dead Weight Set)</t>
    <phoneticPr fontId="5" type="noConversion"/>
  </si>
  <si>
    <t>STANDARD CALIBRATION DATA (Dead Weight Uncertainty)</t>
    <phoneticPr fontId="5" type="noConversion"/>
  </si>
  <si>
    <t>확장불확도</t>
    <phoneticPr fontId="5" type="noConversion"/>
  </si>
  <si>
    <t>단위</t>
    <phoneticPr fontId="5" type="noConversion"/>
  </si>
  <si>
    <t>hPa</t>
    <phoneticPr fontId="69" type="noConversion"/>
  </si>
  <si>
    <t>대기온도</t>
    <phoneticPr fontId="69" type="noConversion"/>
  </si>
  <si>
    <t>상대습도</t>
    <phoneticPr fontId="69" type="noConversion"/>
  </si>
  <si>
    <t>H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</si>
  <si>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</rPr>
      <t>a</t>
    </r>
    <phoneticPr fontId="69" type="noConversion"/>
  </si>
  <si>
    <t>STANDARD CALIBRATION DATA</t>
    <phoneticPr fontId="5" type="noConversion"/>
  </si>
  <si>
    <t>명목압력</t>
    <phoneticPr fontId="5" type="noConversion"/>
  </si>
  <si>
    <t>N.F</t>
    <phoneticPr fontId="5" type="noConversion"/>
  </si>
  <si>
    <t>명목압력</t>
    <phoneticPr fontId="5" type="noConversion"/>
  </si>
  <si>
    <t>○ Range 1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</si>
  <si>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공기밀도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</si>
  <si>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대기압</t>
    <phoneticPr fontId="69" type="noConversion"/>
  </si>
  <si>
    <t>P</t>
    <phoneticPr fontId="69" type="noConversion"/>
  </si>
  <si>
    <t>기준온도</t>
    <phoneticPr fontId="5" type="noConversion"/>
  </si>
  <si>
    <t>% R.H.</t>
    <phoneticPr fontId="69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</si>
  <si>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사용분동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세트</t>
    </r>
    <phoneticPr fontId="5" type="noConversion"/>
  </si>
  <si>
    <t>분모항</t>
    <phoneticPr fontId="5" type="noConversion"/>
  </si>
  <si>
    <t>발생압력</t>
    <phoneticPr fontId="5" type="noConversion"/>
  </si>
  <si>
    <t>보정항</t>
    <phoneticPr fontId="5" type="noConversion"/>
  </si>
  <si>
    <t>표준압력</t>
    <phoneticPr fontId="5" type="noConversion"/>
  </si>
  <si>
    <t>분동합 (kg)</t>
    <phoneticPr fontId="5" type="noConversion"/>
  </si>
  <si>
    <t>중력가속도</t>
    <phoneticPr fontId="5" type="noConversion"/>
  </si>
  <si>
    <t>공기밀도</t>
    <phoneticPr fontId="5" type="noConversion"/>
  </si>
  <si>
    <t>분동밀도</t>
    <phoneticPr fontId="5" type="noConversion"/>
  </si>
  <si>
    <t>Tilt Angle</t>
    <phoneticPr fontId="5" type="noConversion"/>
  </si>
  <si>
    <t>표면장력</t>
    <phoneticPr fontId="5" type="noConversion"/>
  </si>
  <si>
    <t>피스톤원둘레</t>
    <phoneticPr fontId="5" type="noConversion"/>
  </si>
  <si>
    <t>[ 힘 ]</t>
    <phoneticPr fontId="5" type="noConversion"/>
  </si>
  <si>
    <t>유효단면적</t>
    <phoneticPr fontId="5" type="noConversion"/>
  </si>
  <si>
    <t>압력변형계수</t>
    <phoneticPr fontId="5" type="noConversion"/>
  </si>
  <si>
    <t>P/C열팽창
계수합</t>
    <phoneticPr fontId="5" type="noConversion"/>
  </si>
  <si>
    <t>온도차</t>
    <phoneticPr fontId="5" type="noConversion"/>
  </si>
  <si>
    <t>[ 단면적 ]</t>
    <phoneticPr fontId="5" type="noConversion"/>
  </si>
  <si>
    <t>유체밀도</t>
    <phoneticPr fontId="5" type="noConversion"/>
  </si>
  <si>
    <t>높이차</t>
    <phoneticPr fontId="5" type="noConversion"/>
  </si>
  <si>
    <t>[ 수두보정 ]</t>
    <phoneticPr fontId="5" type="noConversion"/>
  </si>
  <si>
    <t>[ 표준압력 ]</t>
    <phoneticPr fontId="5" type="noConversion"/>
  </si>
  <si>
    <t>a</t>
    <phoneticPr fontId="5" type="noConversion"/>
  </si>
  <si>
    <t>b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</si>
  <si>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분동식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압력계</t>
    </r>
    <r>
      <rPr>
        <b/>
        <sz val="10"/>
        <rFont val="Tahoma"/>
        <family val="2"/>
      </rPr>
      <t xml:space="preserve"> BMC </t>
    </r>
    <r>
      <rPr>
        <b/>
        <sz val="10"/>
        <rFont val="돋움"/>
        <family val="3"/>
        <charset val="129"/>
      </rPr>
      <t>불확도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총괄표</t>
    </r>
    <phoneticPr fontId="5" type="noConversion"/>
  </si>
  <si>
    <t>항목</t>
    <phoneticPr fontId="69" type="noConversion"/>
  </si>
  <si>
    <t>기호</t>
    <phoneticPr fontId="69" type="noConversion"/>
  </si>
  <si>
    <t>값</t>
    <phoneticPr fontId="69" type="noConversion"/>
  </si>
  <si>
    <t>Unit</t>
    <phoneticPr fontId="69" type="noConversion"/>
  </si>
  <si>
    <t>요인</t>
    <phoneticPr fontId="69" type="noConversion"/>
  </si>
  <si>
    <t>나눔수</t>
    <phoneticPr fontId="69" type="noConversion"/>
  </si>
  <si>
    <t>표준불확도</t>
    <phoneticPr fontId="69" type="noConversion"/>
  </si>
  <si>
    <t>감도계수</t>
    <phoneticPr fontId="69" type="noConversion"/>
  </si>
  <si>
    <t>상대불확도 기여량</t>
    <phoneticPr fontId="69" type="noConversion"/>
  </si>
  <si>
    <t>신뢰도</t>
    <phoneticPr fontId="69" type="noConversion"/>
  </si>
  <si>
    <t>자유도</t>
    <phoneticPr fontId="69" type="noConversion"/>
  </si>
  <si>
    <r>
      <t>u</t>
    </r>
    <r>
      <rPr>
        <b/>
        <i/>
        <vertAlign val="subscript"/>
        <sz val="10"/>
        <color theme="0"/>
        <rFont val="맑은 고딕"/>
        <family val="3"/>
        <charset val="129"/>
        <scheme val="minor"/>
      </rPr>
      <t>i</t>
    </r>
    <r>
      <rPr>
        <b/>
        <vertAlign val="superscript"/>
        <sz val="10"/>
        <color theme="0"/>
        <rFont val="맑은 고딕"/>
        <family val="3"/>
        <charset val="129"/>
        <scheme val="minor"/>
      </rPr>
      <t>4</t>
    </r>
    <r>
      <rPr>
        <b/>
        <sz val="10"/>
        <color theme="0"/>
        <rFont val="맑은 고딕"/>
        <family val="3"/>
        <charset val="129"/>
        <scheme val="minor"/>
      </rPr>
      <t>/</t>
    </r>
    <r>
      <rPr>
        <b/>
        <i/>
        <sz val="10"/>
        <color theme="0"/>
        <rFont val="맑은 고딕"/>
        <family val="3"/>
        <charset val="129"/>
        <scheme val="minor"/>
      </rPr>
      <t>ν</t>
    </r>
    <r>
      <rPr>
        <b/>
        <i/>
        <vertAlign val="subscript"/>
        <sz val="10"/>
        <color theme="0"/>
        <rFont val="맑은 고딕"/>
        <family val="3"/>
        <charset val="129"/>
        <scheme val="minor"/>
      </rPr>
      <t>i</t>
    </r>
    <phoneticPr fontId="69" type="noConversion"/>
  </si>
  <si>
    <t>P/C 유효단면적</t>
    <phoneticPr fontId="69" type="noConversion"/>
  </si>
  <si>
    <r>
      <t>A</t>
    </r>
    <r>
      <rPr>
        <i/>
        <vertAlign val="subscript"/>
        <sz val="10"/>
        <color theme="1"/>
        <rFont val="맑은 고딕"/>
        <family val="3"/>
        <charset val="129"/>
        <scheme val="minor"/>
      </rPr>
      <t>0</t>
    </r>
    <phoneticPr fontId="69" type="noConversion"/>
  </si>
  <si>
    <t>㎡</t>
    <phoneticPr fontId="69" type="noConversion"/>
  </si>
  <si>
    <t>U</t>
    <phoneticPr fontId="69" type="noConversion"/>
  </si>
  <si>
    <t>k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</si>
  <si>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A</t>
    </r>
    <r>
      <rPr>
        <i/>
        <vertAlign val="subscript"/>
        <sz val="10"/>
        <color theme="1"/>
        <rFont val="맑은 고딕"/>
        <family val="3"/>
        <charset val="129"/>
        <scheme val="minor"/>
      </rPr>
      <t>0</t>
    </r>
    <phoneticPr fontId="69" type="noConversion"/>
  </si>
  <si>
    <t>/㎡</t>
    <phoneticPr fontId="69" type="noConversion"/>
  </si>
  <si>
    <t>P/C 온도</t>
    <phoneticPr fontId="69" type="noConversion"/>
  </si>
  <si>
    <r>
      <t>T - T</t>
    </r>
    <r>
      <rPr>
        <i/>
        <vertAlign val="subscript"/>
        <sz val="10"/>
        <color theme="1"/>
        <rFont val="맑은 고딕"/>
        <family val="3"/>
        <charset val="129"/>
        <scheme val="minor"/>
      </rPr>
      <t>r</t>
    </r>
    <phoneticPr fontId="69" type="noConversion"/>
  </si>
  <si>
    <t>℃</t>
    <phoneticPr fontId="69" type="noConversion"/>
  </si>
  <si>
    <t>온도변화</t>
    <phoneticPr fontId="69" type="noConversion"/>
  </si>
  <si>
    <t>√3</t>
    <phoneticPr fontId="69" type="noConversion"/>
  </si>
  <si>
    <r>
      <t>α</t>
    </r>
    <r>
      <rPr>
        <i/>
        <vertAlign val="subscript"/>
        <sz val="10"/>
        <color theme="1"/>
        <rFont val="맑은 고딕"/>
        <family val="3"/>
        <charset val="129"/>
        <scheme val="minor"/>
      </rPr>
      <t>p</t>
    </r>
    <r>
      <rPr>
        <i/>
        <sz val="10"/>
        <color theme="1"/>
        <rFont val="맑은 고딕"/>
        <family val="3"/>
        <charset val="129"/>
        <scheme val="minor"/>
      </rPr>
      <t xml:space="preserve"> + α</t>
    </r>
    <r>
      <rPr>
        <i/>
        <vertAlign val="subscript"/>
        <sz val="10"/>
        <color theme="1"/>
        <rFont val="맑은 고딕"/>
        <family val="3"/>
        <charset val="129"/>
        <scheme val="minor"/>
      </rPr>
      <t>c</t>
    </r>
    <phoneticPr fontId="69" type="noConversion"/>
  </si>
  <si>
    <t>/℃</t>
    <phoneticPr fontId="69" type="noConversion"/>
  </si>
  <si>
    <t>P/C 열팽창계수</t>
    <phoneticPr fontId="69" type="noConversion"/>
  </si>
  <si>
    <t>중력가속도</t>
    <phoneticPr fontId="69" type="noConversion"/>
  </si>
  <si>
    <t>g</t>
    <phoneticPr fontId="69" type="noConversion"/>
  </si>
  <si>
    <r>
      <t>m/s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</si>
  <si>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g</t>
    </r>
    <phoneticPr fontId="69" type="noConversion"/>
  </si>
  <si>
    <r>
      <t>s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맑은 고딕"/>
        <family val="3"/>
        <charset val="129"/>
        <scheme val="minor"/>
      </rPr>
      <t>/m</t>
    </r>
    <phoneticPr fontId="69" type="noConversion"/>
  </si>
  <si>
    <t>P/C 수직성</t>
    <phoneticPr fontId="69" type="noConversion"/>
  </si>
  <si>
    <t>θ</t>
    <phoneticPr fontId="69" type="noConversion"/>
  </si>
  <si>
    <t>min</t>
    <phoneticPr fontId="69" type="noConversion"/>
  </si>
  <si>
    <t>radian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</si>
  <si>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tan</t>
    </r>
    <r>
      <rPr>
        <i/>
        <sz val="10"/>
        <color theme="1"/>
        <rFont val="맑은 고딕"/>
        <family val="3"/>
        <charset val="129"/>
        <scheme val="minor"/>
      </rPr>
      <t>θ</t>
    </r>
    <phoneticPr fontId="69" type="noConversion"/>
  </si>
  <si>
    <t>재현성</t>
    <phoneticPr fontId="69" type="noConversion"/>
  </si>
  <si>
    <t>R</t>
    <phoneticPr fontId="69" type="noConversion"/>
  </si>
  <si>
    <t>ppm</t>
    <phoneticPr fontId="69" type="noConversion"/>
  </si>
  <si>
    <t>명목압력</t>
    <phoneticPr fontId="69" type="noConversion"/>
  </si>
  <si>
    <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</si>
  <si>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Pa</t>
    <phoneticPr fontId="69" type="noConversion"/>
  </si>
  <si>
    <t>50ppm</t>
    <phoneticPr fontId="69" type="noConversion"/>
  </si>
  <si>
    <t>λ</t>
    <phoneticPr fontId="69" type="noConversion"/>
  </si>
  <si>
    <t>/Pa</t>
    <phoneticPr fontId="69" type="noConversion"/>
  </si>
  <si>
    <t>압력변형계수</t>
    <phoneticPr fontId="69" type="noConversion"/>
  </si>
  <si>
    <t>공기밀도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</si>
  <si>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a</t>
    </r>
    <phoneticPr fontId="69" type="noConversion"/>
  </si>
  <si>
    <t>kg/㎥</t>
    <phoneticPr fontId="69" type="noConversion"/>
  </si>
  <si>
    <t>0.05 kg/㎥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</si>
  <si>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</si>
  <si>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㎥/kg</t>
    <phoneticPr fontId="69" type="noConversion"/>
  </si>
  <si>
    <t>분동</t>
    <phoneticPr fontId="69" type="noConversion"/>
  </si>
  <si>
    <t>M</t>
    <phoneticPr fontId="69" type="noConversion"/>
  </si>
  <si>
    <t>kg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</si>
  <si>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</si>
  <si>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/kg</t>
    <phoneticPr fontId="69" type="noConversion"/>
  </si>
  <si>
    <t>분동밀도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</si>
  <si>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</si>
  <si>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a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</si>
  <si>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유체밀도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</si>
  <si>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f</t>
    </r>
    <phoneticPr fontId="69" type="noConversion"/>
  </si>
  <si>
    <r>
      <t>g</t>
    </r>
    <r>
      <rPr>
        <sz val="10"/>
        <color theme="1"/>
        <rFont val="맑은 고딕"/>
        <family val="3"/>
        <charset val="129"/>
        <scheme val="minor"/>
      </rPr>
      <t>×</t>
    </r>
    <r>
      <rPr>
        <i/>
        <sz val="10"/>
        <color theme="1"/>
        <rFont val="맑은 고딕"/>
        <family val="3"/>
        <charset val="129"/>
        <scheme val="minor"/>
      </rPr>
      <t>h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</si>
  <si>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수두높이</t>
    <phoneticPr fontId="69" type="noConversion"/>
  </si>
  <si>
    <t>h</t>
    <phoneticPr fontId="69" type="noConversion"/>
  </si>
  <si>
    <t>m</t>
    <phoneticPr fontId="69" type="noConversion"/>
  </si>
  <si>
    <r>
      <t>g</t>
    </r>
    <r>
      <rPr>
        <sz val="10"/>
        <color theme="1"/>
        <rFont val="맑은 고딕"/>
        <family val="3"/>
        <charset val="129"/>
        <scheme val="minor"/>
      </rPr>
      <t>×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f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</si>
  <si>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/m</t>
    <phoneticPr fontId="69" type="noConversion"/>
  </si>
  <si>
    <t>피스톤 원둘레</t>
    <phoneticPr fontId="69" type="noConversion"/>
  </si>
  <si>
    <t>C</t>
    <phoneticPr fontId="69" type="noConversion"/>
  </si>
  <si>
    <r>
      <t>γg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r>
      <rPr>
        <i/>
        <sz val="10"/>
        <color theme="1"/>
        <rFont val="맑은 고딕"/>
        <family val="3"/>
        <charset val="129"/>
        <scheme val="minor"/>
      </rPr>
      <t>m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phoneticPr fontId="69" type="noConversion"/>
  </si>
  <si>
    <t>표면장력</t>
    <phoneticPr fontId="69" type="noConversion"/>
  </si>
  <si>
    <t>γ</t>
    <phoneticPr fontId="69" type="noConversion"/>
  </si>
  <si>
    <t>N/m</t>
    <phoneticPr fontId="69" type="noConversion"/>
  </si>
  <si>
    <r>
      <t>Cg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r>
      <rPr>
        <i/>
        <sz val="10"/>
        <color theme="1"/>
        <rFont val="맑은 고딕"/>
        <family val="3"/>
        <charset val="129"/>
        <scheme val="minor"/>
      </rPr>
      <t>m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phoneticPr fontId="69" type="noConversion"/>
  </si>
  <si>
    <t>m/N</t>
    <phoneticPr fontId="69" type="noConversion"/>
  </si>
  <si>
    <t>합성표준불확도</t>
    <phoneticPr fontId="69" type="noConversion"/>
  </si>
  <si>
    <r>
      <rPr>
        <sz val="10"/>
        <rFont val="맑은 고딕"/>
        <family val="3"/>
        <charset val="129"/>
        <scheme val="minor"/>
      </rPr>
      <t>∑</t>
    </r>
    <r>
      <rPr>
        <i/>
        <sz val="10"/>
        <rFont val="맑은 고딕"/>
        <family val="3"/>
        <charset val="129"/>
        <scheme val="minor"/>
      </rPr>
      <t>u</t>
    </r>
    <r>
      <rPr>
        <i/>
        <vertAlign val="subscript"/>
        <sz val="10"/>
        <rFont val="맑은 고딕"/>
        <family val="3"/>
        <charset val="129"/>
        <scheme val="minor"/>
      </rPr>
      <t>i</t>
    </r>
    <r>
      <rPr>
        <vertAlign val="superscript"/>
        <sz val="10"/>
        <rFont val="맑은 고딕"/>
        <family val="3"/>
        <charset val="129"/>
        <scheme val="minor"/>
      </rPr>
      <t>4</t>
    </r>
    <r>
      <rPr>
        <sz val="10"/>
        <rFont val="맑은 고딕"/>
        <family val="3"/>
        <charset val="129"/>
        <scheme val="minor"/>
      </rPr>
      <t>/</t>
    </r>
    <r>
      <rPr>
        <i/>
        <sz val="10"/>
        <rFont val="맑은 고딕"/>
        <family val="3"/>
        <charset val="129"/>
        <scheme val="minor"/>
      </rPr>
      <t>ν</t>
    </r>
    <r>
      <rPr>
        <i/>
        <vertAlign val="subscript"/>
        <sz val="10"/>
        <rFont val="맑은 고딕"/>
        <family val="3"/>
        <charset val="129"/>
        <scheme val="minor"/>
      </rPr>
      <t>i</t>
    </r>
    <phoneticPr fontId="69" type="noConversion"/>
  </si>
  <si>
    <t>유효자유도</t>
    <phoneticPr fontId="69" type="noConversion"/>
  </si>
  <si>
    <t>측정불확도</t>
    <phoneticPr fontId="69" type="noConversion"/>
  </si>
  <si>
    <t>% of Reading</t>
    <phoneticPr fontId="69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</si>
  <si>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표준압력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</si>
  <si>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</si>
  <si>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</si>
  <si>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CALIBRATION RESULT</t>
    <phoneticPr fontId="5" type="noConversion"/>
  </si>
  <si>
    <t>kg</t>
    <phoneticPr fontId="5" type="noConversion"/>
  </si>
  <si>
    <t>압력교정기</t>
    <phoneticPr fontId="5" type="noConversion"/>
  </si>
  <si>
    <t>Coefficient 1</t>
  </si>
  <si>
    <t>Coefficient 2</t>
  </si>
  <si>
    <t>Coefficient 3</t>
  </si>
  <si>
    <t>Coefficient 4</t>
  </si>
  <si>
    <t>※ 공압 분동식 압력계 최대용량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</si>
  <si>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기준기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정보</t>
    </r>
    <phoneticPr fontId="5" type="noConversion"/>
  </si>
  <si>
    <t>측정기명</t>
    <phoneticPr fontId="5" type="noConversion"/>
  </si>
  <si>
    <t>모델</t>
    <phoneticPr fontId="5" type="noConversion"/>
  </si>
  <si>
    <t>최대용량</t>
    <phoneticPr fontId="5" type="noConversion"/>
  </si>
  <si>
    <t>유효단면적</t>
    <phoneticPr fontId="5" type="noConversion"/>
  </si>
  <si>
    <t>분동식압력계 분자항</t>
    <phoneticPr fontId="5" type="noConversion"/>
  </si>
  <si>
    <t>명목압력</t>
    <phoneticPr fontId="5" type="noConversion"/>
  </si>
  <si>
    <t>Pa</t>
    <phoneticPr fontId="5" type="noConversion"/>
  </si>
  <si>
    <t>기준기불확도</t>
    <phoneticPr fontId="5" type="noConversion"/>
  </si>
  <si>
    <t>환산계수</t>
    <phoneticPr fontId="5" type="noConversion"/>
  </si>
  <si>
    <t>hPa</t>
    <phoneticPr fontId="5" type="noConversion"/>
  </si>
  <si>
    <t>세부분류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</si>
  <si>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</si>
  <si>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</si>
  <si>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</si>
  <si>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</si>
  <si>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STANDARD CALIBRATION DATA (DMM)</t>
    <phoneticPr fontId="5" type="noConversion"/>
  </si>
  <si>
    <t>최소출력</t>
    <phoneticPr fontId="5" type="noConversion"/>
  </si>
  <si>
    <t>정격출력</t>
    <phoneticPr fontId="5" type="noConversion"/>
  </si>
  <si>
    <t>입력전압(V)</t>
    <phoneticPr fontId="5" type="noConversion"/>
  </si>
  <si>
    <t>최소출력</t>
  </si>
  <si>
    <t>정격출력</t>
  </si>
  <si>
    <t>입력전압(V)</t>
  </si>
  <si>
    <t>이론적출력값</t>
    <phoneticPr fontId="5" type="noConversion"/>
  </si>
  <si>
    <t>출력단위</t>
    <phoneticPr fontId="5" type="noConversion"/>
  </si>
  <si>
    <t xml:space="preserve"> 측정값</t>
    <phoneticPr fontId="5" type="noConversion"/>
  </si>
  <si>
    <t>등록번호</t>
    <phoneticPr fontId="5" type="noConversion"/>
  </si>
  <si>
    <t>기준값</t>
    <phoneticPr fontId="5" type="noConversion"/>
  </si>
  <si>
    <t>단위</t>
    <phoneticPr fontId="5" type="noConversion"/>
  </si>
  <si>
    <t>확장불확도</t>
    <phoneticPr fontId="5" type="noConversion"/>
  </si>
  <si>
    <t>장기안정도1</t>
    <phoneticPr fontId="5" type="noConversion"/>
  </si>
  <si>
    <t>장기안정도2</t>
    <phoneticPr fontId="5" type="noConversion"/>
  </si>
  <si>
    <t>xi*yi 3</t>
    <phoneticPr fontId="5" type="noConversion"/>
  </si>
  <si>
    <t>CMC검토</t>
    <phoneticPr fontId="5" type="noConversion"/>
  </si>
  <si>
    <t>1. 교정결과</t>
    <phoneticPr fontId="5" type="noConversion"/>
  </si>
  <si>
    <t>DMM 지시값, yi;Vi</t>
    <phoneticPr fontId="5" type="noConversion"/>
  </si>
  <si>
    <t>반복측정?</t>
    <phoneticPr fontId="5" type="noConversion"/>
  </si>
  <si>
    <t>DMM 보정값</t>
    <phoneticPr fontId="5" type="noConversion"/>
  </si>
  <si>
    <t>지시값 변환 및 DMM보정값 적용</t>
    <phoneticPr fontId="5" type="noConversion"/>
  </si>
  <si>
    <t>구분</t>
    <phoneticPr fontId="5" type="noConversion"/>
  </si>
  <si>
    <t>DMM 지시값</t>
    <phoneticPr fontId="5" type="noConversion"/>
  </si>
  <si>
    <t>S</t>
    <phoneticPr fontId="5" type="noConversion"/>
  </si>
  <si>
    <t>평균값, Vi</t>
    <phoneticPr fontId="5" type="noConversion"/>
  </si>
  <si>
    <t>압력변환</t>
    <phoneticPr fontId="5" type="noConversion"/>
  </si>
  <si>
    <t>반복성</t>
    <phoneticPr fontId="5" type="noConversion"/>
  </si>
  <si>
    <t>xi*yi 1</t>
    <phoneticPr fontId="5" type="noConversion"/>
  </si>
  <si>
    <t>mbar</t>
    <phoneticPr fontId="5" type="noConversion"/>
  </si>
  <si>
    <t>감압</t>
    <phoneticPr fontId="5" type="noConversion"/>
  </si>
  <si>
    <t>2. 불확도계산</t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</si>
  <si>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</si>
  <si>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</si>
  <si>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t>CMC
검토</t>
    <phoneticPr fontId="5" type="noConversion"/>
  </si>
  <si>
    <t>영점</t>
    <phoneticPr fontId="5" type="noConversion"/>
  </si>
  <si>
    <t>선택</t>
    <phoneticPr fontId="5" type="noConversion"/>
  </si>
  <si>
    <t>5%rule?</t>
    <phoneticPr fontId="5" type="noConversion"/>
  </si>
  <si>
    <t>자리수맞춤</t>
    <phoneticPr fontId="5" type="noConversion"/>
  </si>
  <si>
    <t>b'</t>
    <phoneticPr fontId="5" type="noConversion"/>
  </si>
  <si>
    <r>
      <rPr>
        <b/>
        <sz val="9"/>
        <color indexed="9"/>
        <rFont val="돋움"/>
        <family val="3"/>
        <charset val="129"/>
      </rPr>
      <t>하한</t>
    </r>
    <phoneticPr fontId="5" type="noConversion"/>
  </si>
  <si>
    <t>지시값 평균</t>
    <phoneticPr fontId="5" type="noConversion"/>
  </si>
  <si>
    <t>측정점수</t>
    <phoneticPr fontId="5" type="noConversion"/>
  </si>
  <si>
    <t>DMM
최소눈금</t>
    <phoneticPr fontId="5" type="noConversion"/>
  </si>
  <si>
    <t>DMM
분해능</t>
    <phoneticPr fontId="5" type="noConversion"/>
  </si>
  <si>
    <t>분해능단위</t>
    <phoneticPr fontId="5" type="noConversion"/>
  </si>
  <si>
    <t>교정점 수</t>
    <phoneticPr fontId="5" type="noConversion"/>
  </si>
  <si>
    <t>DMM 지시값 (영점보정)</t>
    <phoneticPr fontId="5" type="noConversion"/>
  </si>
  <si>
    <t>2회</t>
    <phoneticPr fontId="5" type="noConversion"/>
  </si>
  <si>
    <r>
      <t>교정대상기기(압력변환기/전송기) 불확도인자 표준불확도 (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=1)</t>
    </r>
    <phoneticPr fontId="5" type="noConversion"/>
  </si>
  <si>
    <t>반복도</t>
    <phoneticPr fontId="5" type="noConversion"/>
  </si>
  <si>
    <t>출력신호측정
(분해능)</t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</si>
  <si>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</si>
  <si>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상한</t>
    </r>
    <phoneticPr fontId="5" type="noConversion"/>
  </si>
  <si>
    <t>불확도</t>
    <phoneticPr fontId="5" type="noConversion"/>
  </si>
  <si>
    <t>0.000 00</t>
    <phoneticPr fontId="5" type="noConversion"/>
  </si>
  <si>
    <t>0.000 0</t>
    <phoneticPr fontId="5" type="noConversion"/>
  </si>
  <si>
    <t>0.000</t>
    <phoneticPr fontId="5" type="noConversion"/>
  </si>
  <si>
    <t>0.0</t>
    <phoneticPr fontId="5" type="noConversion"/>
  </si>
  <si>
    <t>측정기명</t>
    <phoneticPr fontId="5" type="noConversion"/>
  </si>
  <si>
    <t>기준기1</t>
    <phoneticPr fontId="5" type="noConversion"/>
  </si>
  <si>
    <t>기준기3</t>
    <phoneticPr fontId="5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</si>
  <si>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5" type="noConversion"/>
  </si>
  <si>
    <t>세부분류번호</t>
    <phoneticPr fontId="5" type="noConversion"/>
  </si>
  <si>
    <t>조건3</t>
    <phoneticPr fontId="5" type="noConversion"/>
  </si>
  <si>
    <t>추가수수료</t>
    <phoneticPr fontId="5" type="noConversion"/>
  </si>
  <si>
    <t>게이지압</t>
    <phoneticPr fontId="5" type="noConversion"/>
  </si>
  <si>
    <t>&lt;</t>
    <phoneticPr fontId="5" type="noConversion"/>
  </si>
  <si>
    <t>&gt;=</t>
    <phoneticPr fontId="5" type="noConversion"/>
  </si>
  <si>
    <t>입력전압</t>
    <phoneticPr fontId="5" type="noConversion"/>
  </si>
  <si>
    <t>◆ 측정불확도 추정보고서 ◆</t>
    <phoneticPr fontId="5" type="noConversion"/>
  </si>
  <si>
    <t>■ 측정기본정보</t>
    <phoneticPr fontId="5" type="noConversion"/>
  </si>
  <si>
    <t>교정점</t>
    <phoneticPr fontId="5" type="noConversion"/>
  </si>
  <si>
    <t>DMM불확도</t>
    <phoneticPr fontId="5" type="noConversion"/>
  </si>
  <si>
    <t>영점오차</t>
    <phoneticPr fontId="5" type="noConversion"/>
  </si>
  <si>
    <t>k</t>
    <phoneticPr fontId="5" type="noConversion"/>
  </si>
  <si>
    <t>■ 반복측정 결과</t>
    <phoneticPr fontId="5" type="noConversion"/>
  </si>
  <si>
    <r>
      <t>표준기</t>
    </r>
    <r>
      <rPr>
        <sz val="10"/>
        <rFont val="맑은 고딕"/>
        <family val="1"/>
        <scheme val="major"/>
      </rPr>
      <t xml:space="preserve"> </t>
    </r>
    <r>
      <rPr>
        <sz val="10"/>
        <rFont val="맑은 고딕"/>
        <family val="3"/>
        <charset val="129"/>
        <scheme val="major"/>
      </rPr>
      <t xml:space="preserve">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</si>
  <si>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rPr>
        <sz val="10"/>
        <rFont val="맑은 고딕"/>
        <family val="3"/>
        <charset val="129"/>
        <scheme val="minor"/>
      </rPr>
      <t xml:space="preserve">DMM 지시값, </t>
    </r>
    <r>
      <rPr>
        <i/>
        <sz val="10"/>
        <rFont val="Times New Roman"/>
        <family val="1"/>
      </rPr>
      <t>V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</si>
  <si>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</si>
  <si>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</si>
  <si>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</si>
  <si>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평균값,</t>
    <phoneticPr fontId="5" type="noConversion"/>
  </si>
  <si>
    <t>평균값,</t>
    <phoneticPr fontId="5" type="noConversion"/>
  </si>
  <si>
    <t>■ 전송계수(기울기) 산출</t>
    <phoneticPr fontId="5" type="noConversion"/>
  </si>
  <si>
    <t>측정점 번호</t>
    <phoneticPr fontId="5" type="noConversion"/>
  </si>
  <si>
    <r>
      <rPr>
        <i/>
        <sz val="10"/>
        <rFont val="Times New Roman"/>
        <family val="1"/>
      </rPr>
      <t>y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;</t>
    </r>
    <r>
      <rPr>
        <i/>
        <sz val="10"/>
        <rFont val="Times New Roman"/>
        <family val="1"/>
      </rPr>
      <t>V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</si>
  <si>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1회</t>
    <phoneticPr fontId="5" type="noConversion"/>
  </si>
  <si>
    <t>3회</t>
    <phoneticPr fontId="5" type="noConversion"/>
  </si>
  <si>
    <t>비고</t>
    <phoneticPr fontId="5" type="noConversion"/>
  </si>
  <si>
    <r>
      <rPr>
        <sz val="10"/>
        <rFont val="맑은 고딕"/>
        <family val="3"/>
        <charset val="129"/>
      </rPr>
      <t>∑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· </t>
    </r>
    <r>
      <rPr>
        <i/>
        <sz val="10"/>
        <rFont val="Times New Roman"/>
        <family val="1"/>
      </rPr>
      <t>y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=</t>
    </r>
    <phoneticPr fontId="5" type="noConversion"/>
  </si>
  <si>
    <r>
      <rPr>
        <sz val="10"/>
        <rFont val="맑은 고딕"/>
        <family val="3"/>
        <charset val="129"/>
      </rPr>
      <t>∑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=</t>
    </r>
    <phoneticPr fontId="5" type="noConversion"/>
  </si>
  <si>
    <t>따라서</t>
    <phoneticPr fontId="5" type="noConversion"/>
  </si>
  <si>
    <t>=</t>
    <phoneticPr fontId="5" type="noConversion"/>
  </si>
  <si>
    <t>또 그 역수는</t>
    <phoneticPr fontId="5" type="noConversion"/>
  </si>
  <si>
    <t>■ 전송계수를 이용한 지시값의 단위 변환</t>
    <phoneticPr fontId="5" type="noConversion"/>
  </si>
  <si>
    <t>DMM 지시값</t>
    <phoneticPr fontId="5" type="noConversion"/>
  </si>
  <si>
    <r>
      <t xml:space="preserve">모델에 의해 계산한 값, 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</si>
  <si>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 xml:space="preserve">보정값, </t>
    </r>
    <r>
      <rPr>
        <i/>
        <sz val="10"/>
        <rFont val="Times New Roman"/>
        <family val="1"/>
      </rPr>
      <t>c</t>
    </r>
    <phoneticPr fontId="5" type="noConversion"/>
  </si>
  <si>
    <t>■ 영점조정 후, 반복도 산출</t>
    <phoneticPr fontId="5" type="noConversion"/>
  </si>
  <si>
    <t>측정점 번호</t>
    <phoneticPr fontId="5" type="noConversion"/>
  </si>
  <si>
    <t>표준압력</t>
    <phoneticPr fontId="5" type="noConversion"/>
  </si>
  <si>
    <t>압력변환기의 출력값 (영점보정)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</si>
  <si>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</si>
  <si>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</si>
  <si>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</si>
  <si>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변화구간(반복도)</t>
    <phoneticPr fontId="5" type="noConversion"/>
  </si>
  <si>
    <t>■ 수학적 모델</t>
    <phoneticPr fontId="5" type="noConversion"/>
  </si>
  <si>
    <t>c</t>
    <phoneticPr fontId="5" type="noConversion"/>
  </si>
  <si>
    <t>: 보정값</t>
    <phoneticPr fontId="5" type="noConversion"/>
  </si>
  <si>
    <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</si>
  <si>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: 압력표준기의 압력</t>
    <phoneticPr fontId="5" type="noConversion"/>
  </si>
  <si>
    <r>
      <t>p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</si>
  <si>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 xml:space="preserve">: DMM의 지시값 </t>
    </r>
    <r>
      <rPr>
        <i/>
        <sz val="10"/>
        <rFont val="Times New Roman"/>
        <family val="1"/>
      </rPr>
      <t>V</t>
    </r>
    <r>
      <rPr>
        <i/>
        <vertAlign val="subscript"/>
        <sz val="10"/>
        <rFont val="Times New Roman"/>
        <family val="1"/>
      </rPr>
      <t>i</t>
    </r>
    <r>
      <rPr>
        <sz val="10"/>
        <rFont val="맑은 고딕"/>
        <family val="3"/>
        <charset val="129"/>
        <scheme val="minor"/>
      </rPr>
      <t xml:space="preserve"> 를 전송계수 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inor"/>
      </rPr>
      <t>를 이용하여 변환한 값</t>
    </r>
    <phoneticPr fontId="5" type="noConversion"/>
  </si>
  <si>
    <r>
      <t xml:space="preserve">※ 전송계수 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inor"/>
      </rPr>
      <t>는 다음과 같이 산출 할 수 있다.</t>
    </r>
    <phoneticPr fontId="5" type="noConversion"/>
  </si>
  <si>
    <t>■ 합성표준불확도 관계식</t>
    <phoneticPr fontId="5" type="noConversion"/>
  </si>
  <si>
    <t>※ 감도계수</t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</si>
  <si>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</si>
  <si>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rPr>
        <sz val="10"/>
        <rFont val="맑은 고딕"/>
        <family val="3"/>
        <charset val="129"/>
        <scheme val="minor"/>
      </rPr>
      <t xml:space="preserve">DMM  지시값, </t>
    </r>
    <r>
      <rPr>
        <i/>
        <sz val="10"/>
        <rFont val="Times New Roman"/>
        <family val="1"/>
      </rPr>
      <t>V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</si>
  <si>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2회</t>
    <phoneticPr fontId="5" type="noConversion"/>
  </si>
  <si>
    <t>평균값</t>
    <phoneticPr fontId="5" type="noConversion"/>
  </si>
  <si>
    <t>보정값</t>
    <phoneticPr fontId="5" type="noConversion"/>
  </si>
  <si>
    <t>변화구간 (반복성)</t>
    <phoneticPr fontId="5" type="noConversion"/>
  </si>
  <si>
    <t>■ 불확도 총괄표</t>
    <phoneticPr fontId="5" type="noConversion"/>
  </si>
  <si>
    <t>불확도 성분</t>
    <phoneticPr fontId="5" type="noConversion"/>
  </si>
  <si>
    <t>추정값</t>
    <phoneticPr fontId="5" type="noConversion"/>
  </si>
  <si>
    <t>확률분포</t>
    <phoneticPr fontId="5" type="noConversion"/>
  </si>
  <si>
    <t>감도계수</t>
    <phoneticPr fontId="5" type="noConversion"/>
  </si>
  <si>
    <t>불확도 기여량</t>
    <phoneticPr fontId="5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</si>
  <si>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</si>
  <si>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</si>
  <si>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</si>
  <si>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  <phoneticPr fontId="5" type="noConversion"/>
  </si>
  <si>
    <r>
      <t>u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</si>
  <si>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정규</t>
    <phoneticPr fontId="5" type="noConversion"/>
  </si>
  <si>
    <t>∞</t>
    <phoneticPr fontId="5" type="noConversion"/>
  </si>
  <si>
    <t>B</t>
    <phoneticPr fontId="5" type="noConversion"/>
  </si>
  <si>
    <r>
      <t>u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</si>
  <si>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직사각형</t>
    <phoneticPr fontId="5" type="noConversion"/>
  </si>
  <si>
    <r>
      <t>u</t>
    </r>
    <r>
      <rPr>
        <i/>
        <vertAlign val="subscript"/>
        <sz val="10"/>
        <rFont val="Times New Roman"/>
        <family val="1"/>
      </rPr>
      <t>DMM</t>
    </r>
    <phoneticPr fontId="5" type="noConversion"/>
  </si>
  <si>
    <r>
      <t>u</t>
    </r>
    <r>
      <rPr>
        <i/>
        <vertAlign val="subscript"/>
        <sz val="10"/>
        <rFont val="Times New Roman"/>
        <family val="1"/>
      </rPr>
      <t>zero</t>
    </r>
    <phoneticPr fontId="5" type="noConversion"/>
  </si>
  <si>
    <t>직사각형</t>
    <phoneticPr fontId="5" type="noConversion"/>
  </si>
  <si>
    <t>E</t>
    <phoneticPr fontId="5" type="noConversion"/>
  </si>
  <si>
    <r>
      <t>u</t>
    </r>
    <r>
      <rPr>
        <i/>
        <vertAlign val="subscript"/>
        <sz val="10"/>
        <rFont val="Times New Roman"/>
        <family val="1"/>
      </rPr>
      <t>rep</t>
    </r>
    <phoneticPr fontId="5" type="noConversion"/>
  </si>
  <si>
    <t>직사각형</t>
    <phoneticPr fontId="5" type="noConversion"/>
  </si>
  <si>
    <t>F</t>
    <phoneticPr fontId="5" type="noConversion"/>
  </si>
  <si>
    <r>
      <t>u</t>
    </r>
    <r>
      <rPr>
        <i/>
        <vertAlign val="subscript"/>
        <sz val="10"/>
        <rFont val="Times New Roman"/>
        <family val="1"/>
      </rPr>
      <t>hys</t>
    </r>
    <phoneticPr fontId="5" type="noConversion"/>
  </si>
  <si>
    <t>G</t>
    <phoneticPr fontId="5" type="noConversion"/>
  </si>
  <si>
    <r>
      <t>u</t>
    </r>
    <r>
      <rPr>
        <i/>
        <vertAlign val="subscript"/>
        <sz val="10"/>
        <rFont val="Times New Roman"/>
        <family val="1"/>
      </rPr>
      <t>c</t>
    </r>
    <phoneticPr fontId="5" type="noConversion"/>
  </si>
  <si>
    <t>-</t>
    <phoneticPr fontId="5" type="noConversion"/>
  </si>
  <si>
    <t>-</t>
    <phoneticPr fontId="5" type="noConversion"/>
  </si>
  <si>
    <t>∞</t>
    <phoneticPr fontId="5" type="noConversion"/>
  </si>
  <si>
    <t>■ 표준불확도 성분의 계산</t>
    <phoneticPr fontId="5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</si>
  <si>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표준기의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s</t>
    </r>
    <phoneticPr fontId="5" type="noConversion"/>
  </si>
  <si>
    <t>A1. 추정값 :</t>
    <phoneticPr fontId="5" type="noConversion"/>
  </si>
  <si>
    <t>※ 압력교정기 사용시</t>
    <phoneticPr fontId="5" type="noConversion"/>
  </si>
  <si>
    <t>※ 아래의 공식에 의해 구해진 표준압력값은</t>
    <phoneticPr fontId="5" type="noConversion"/>
  </si>
  <si>
    <t>=</t>
    <phoneticPr fontId="5" type="noConversion"/>
  </si>
  <si>
    <t>Y</t>
    <phoneticPr fontId="5" type="noConversion"/>
  </si>
  <si>
    <t>=</t>
    <phoneticPr fontId="5" type="noConversion"/>
  </si>
  <si>
    <t>표준압력</t>
    <phoneticPr fontId="5" type="noConversion"/>
  </si>
  <si>
    <t>a</t>
    <phoneticPr fontId="5" type="noConversion"/>
  </si>
  <si>
    <t>=</t>
    <phoneticPr fontId="5" type="noConversion"/>
  </si>
  <si>
    <t>b</t>
    <phoneticPr fontId="5" type="noConversion"/>
  </si>
  <si>
    <t>X</t>
    <phoneticPr fontId="5" type="noConversion"/>
  </si>
  <si>
    <t>표준기 지시값</t>
    <phoneticPr fontId="5" type="noConversion"/>
  </si>
  <si>
    <t>A2. 표준불확도 :</t>
    <phoneticPr fontId="5" type="noConversion"/>
  </si>
  <si>
    <t>×</t>
    <phoneticPr fontId="5" type="noConversion"/>
  </si>
  <si>
    <t>=</t>
    <phoneticPr fontId="5" type="noConversion"/>
  </si>
  <si>
    <t>A3. 확률분포 :</t>
    <phoneticPr fontId="5" type="noConversion"/>
  </si>
  <si>
    <t>A4. 감도계수 :</t>
    <phoneticPr fontId="5" type="noConversion"/>
  </si>
  <si>
    <t>A5. 불확도 기여량 :</t>
    <phoneticPr fontId="5" type="noConversion"/>
  </si>
  <si>
    <t>1 ×</t>
    <phoneticPr fontId="5" type="noConversion"/>
  </si>
  <si>
    <t>=</t>
    <phoneticPr fontId="5" type="noConversion"/>
  </si>
  <si>
    <t>A6. 자유도 :</t>
    <phoneticPr fontId="5" type="noConversion"/>
  </si>
  <si>
    <r>
      <rPr>
        <i/>
        <sz val="10"/>
        <rFont val="Times New Roman"/>
        <family val="1"/>
      </rPr>
      <t>ν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=</t>
    </r>
    <phoneticPr fontId="5" type="noConversion"/>
  </si>
  <si>
    <r>
      <t>2</t>
    </r>
    <r>
      <rPr>
        <b/>
        <sz val="10"/>
        <rFont val="맑은 고딕"/>
        <family val="3"/>
        <charset val="129"/>
        <scheme val="major"/>
      </rPr>
      <t xml:space="preserve">. 교정대상기기의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i</t>
    </r>
    <phoneticPr fontId="5" type="noConversion"/>
  </si>
  <si>
    <t>B1. 추정값 :</t>
    <phoneticPr fontId="5" type="noConversion"/>
  </si>
  <si>
    <t>B2. 표준불확도 :</t>
    <phoneticPr fontId="5" type="noConversion"/>
  </si>
  <si>
    <t>교정대상기기의 불확도에 영향을 주는 인자로는 출력신호 측정, 영점오차, 반복도, 히스테리시스가 있다.</t>
    <phoneticPr fontId="5" type="noConversion"/>
  </si>
  <si>
    <t>+</t>
    <phoneticPr fontId="5" type="noConversion"/>
  </si>
  <si>
    <t>=</t>
    <phoneticPr fontId="5" type="noConversion"/>
  </si>
  <si>
    <r>
      <t>가</t>
    </r>
    <r>
      <rPr>
        <b/>
        <sz val="10"/>
        <rFont val="맑은 고딕"/>
        <family val="3"/>
        <charset val="129"/>
        <scheme val="major"/>
      </rPr>
      <t xml:space="preserve">) 출력신호 측정에 의한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DMM</t>
    </r>
    <phoneticPr fontId="5" type="noConversion"/>
  </si>
  <si>
    <t>※ 전압/전류 등을 측정하기 위해 별도의 멀티미터(DMM)을 사용하였으므로</t>
    <phoneticPr fontId="5" type="noConversion"/>
  </si>
  <si>
    <t>DMM의 측정불확도에 전송계수를 적용하여 계산하면</t>
    <phoneticPr fontId="5" type="noConversion"/>
  </si>
  <si>
    <t>×</t>
    <phoneticPr fontId="5" type="noConversion"/>
  </si>
  <si>
    <t>C4. 감도계수 :</t>
    <phoneticPr fontId="5" type="noConversion"/>
  </si>
  <si>
    <t>C5. 불확도 기여량 :</t>
    <phoneticPr fontId="5" type="noConversion"/>
  </si>
  <si>
    <r>
      <rPr>
        <i/>
        <sz val="10"/>
        <rFont val="Times New Roman"/>
        <family val="1"/>
      </rPr>
      <t>ν</t>
    </r>
    <r>
      <rPr>
        <i/>
        <vertAlign val="subscript"/>
        <sz val="10"/>
        <rFont val="Times New Roman"/>
        <family val="1"/>
      </rPr>
      <t>DMM</t>
    </r>
    <r>
      <rPr>
        <sz val="10"/>
        <rFont val="Times New Roman"/>
        <family val="1"/>
      </rPr>
      <t>=</t>
    </r>
    <phoneticPr fontId="5" type="noConversion"/>
  </si>
  <si>
    <r>
      <rPr>
        <b/>
        <sz val="10"/>
        <rFont val="맑은 고딕"/>
        <family val="1"/>
        <scheme val="major"/>
      </rPr>
      <t>나</t>
    </r>
    <r>
      <rPr>
        <b/>
        <sz val="10"/>
        <rFont val="맑은 고딕"/>
        <family val="3"/>
        <charset val="129"/>
        <scheme val="major"/>
      </rPr>
      <t xml:space="preserve">) 영점오차에 의한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zero</t>
    </r>
    <phoneticPr fontId="5" type="noConversion"/>
  </si>
  <si>
    <t>D3. 확률분포 :</t>
    <phoneticPr fontId="5" type="noConversion"/>
  </si>
  <si>
    <t>D4. 감도계수 :</t>
    <phoneticPr fontId="5" type="noConversion"/>
  </si>
  <si>
    <t>D6. 자유도 :</t>
    <phoneticPr fontId="5" type="noConversion"/>
  </si>
  <si>
    <r>
      <t>다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반복성에 의한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rep</t>
    </r>
    <phoneticPr fontId="5" type="noConversion"/>
  </si>
  <si>
    <t>E1. 추정값 :</t>
    <phoneticPr fontId="5" type="noConversion"/>
  </si>
  <si>
    <r>
      <t xml:space="preserve">※ 반복도 :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는 설치가 변하지 않았을 때 측정시리즈에서 반복 측정된 값들 사이의 차이로부터</t>
    </r>
    <phoneticPr fontId="5" type="noConversion"/>
  </si>
  <si>
    <t>※ 가압측정에서의 반복성</t>
    <phoneticPr fontId="5" type="noConversion"/>
  </si>
  <si>
    <t>E3. 확률분포 :</t>
    <phoneticPr fontId="5" type="noConversion"/>
  </si>
  <si>
    <t>E4. 감도계수 :</t>
    <phoneticPr fontId="5" type="noConversion"/>
  </si>
  <si>
    <t>E5. 불확도 기여량 :</t>
    <phoneticPr fontId="5" type="noConversion"/>
  </si>
  <si>
    <t>1 ×</t>
    <phoneticPr fontId="5" type="noConversion"/>
  </si>
  <si>
    <t>=</t>
    <phoneticPr fontId="5" type="noConversion"/>
  </si>
  <si>
    <t>E6. 자유도 :</t>
    <phoneticPr fontId="5" type="noConversion"/>
  </si>
  <si>
    <r>
      <rPr>
        <b/>
        <sz val="10"/>
        <rFont val="맑은 고딕"/>
        <family val="1"/>
        <scheme val="major"/>
      </rPr>
      <t>라</t>
    </r>
    <r>
      <rPr>
        <b/>
        <sz val="10"/>
        <rFont val="맑은 고딕"/>
        <family val="3"/>
        <charset val="129"/>
        <scheme val="major"/>
      </rPr>
      <t xml:space="preserve">) 히스테리시스에 의한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hys</t>
    </r>
    <phoneticPr fontId="5" type="noConversion"/>
  </si>
  <si>
    <t>×</t>
    <phoneticPr fontId="5" type="noConversion"/>
  </si>
  <si>
    <t>=</t>
    <phoneticPr fontId="5" type="noConversion"/>
  </si>
  <si>
    <t>F3. 확률분포 :</t>
    <phoneticPr fontId="5" type="noConversion"/>
  </si>
  <si>
    <t>F5. 불확도 기여량 :</t>
    <phoneticPr fontId="5" type="noConversion"/>
  </si>
  <si>
    <t>F6. 자유도 :</t>
    <phoneticPr fontId="5" type="noConversion"/>
  </si>
  <si>
    <t>■ 합성표준불확도 계산</t>
    <phoneticPr fontId="5" type="noConversion"/>
  </si>
  <si>
    <t>+</t>
    <phoneticPr fontId="5" type="noConversion"/>
  </si>
  <si>
    <r>
      <t>u</t>
    </r>
    <r>
      <rPr>
        <i/>
        <vertAlign val="subscript"/>
        <sz val="10"/>
        <rFont val="Times New Roman"/>
        <family val="1"/>
      </rPr>
      <t>c</t>
    </r>
    <r>
      <rPr>
        <i/>
        <sz val="10"/>
        <rFont val="Times New Roman"/>
        <family val="1"/>
      </rPr>
      <t>=</t>
    </r>
    <phoneticPr fontId="5" type="noConversion"/>
  </si>
  <si>
    <t>■ 유효자유도</t>
    <phoneticPr fontId="5" type="noConversion"/>
  </si>
  <si>
    <t>∞</t>
    <phoneticPr fontId="5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</si>
  <si>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5" type="noConversion"/>
  </si>
  <si>
    <t>≒</t>
    <phoneticPr fontId="5" type="noConversion"/>
  </si>
  <si>
    <t>소수점 자리수</t>
    <phoneticPr fontId="5" type="noConversion"/>
  </si>
  <si>
    <t>2. 결과계산</t>
    <phoneticPr fontId="5" type="noConversion"/>
  </si>
  <si>
    <t>사용?</t>
    <phoneticPr fontId="5" type="noConversion"/>
  </si>
  <si>
    <t>표준압력
xi; ps</t>
    <phoneticPr fontId="5" type="noConversion"/>
  </si>
  <si>
    <t>전송계수산출</t>
    <phoneticPr fontId="5" type="noConversion"/>
  </si>
  <si>
    <t>1/S</t>
    <phoneticPr fontId="5" type="noConversion"/>
  </si>
  <si>
    <t>xi^2</t>
    <phoneticPr fontId="5" type="noConversion"/>
  </si>
  <si>
    <t>xi*yi 2</t>
    <phoneticPr fontId="5" type="noConversion"/>
  </si>
  <si>
    <t>가압</t>
    <phoneticPr fontId="5" type="noConversion"/>
  </si>
  <si>
    <t>측정점번호</t>
    <phoneticPr fontId="5" type="noConversion"/>
  </si>
  <si>
    <t>명목압력</t>
    <phoneticPr fontId="5" type="noConversion"/>
  </si>
  <si>
    <t>표준압력
ps</t>
    <phoneticPr fontId="5" type="noConversion"/>
  </si>
  <si>
    <r>
      <t xml:space="preserve">표준기
확장불확도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</si>
  <si>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DMM
불확도</t>
    <phoneticPr fontId="5" type="noConversion"/>
  </si>
  <si>
    <t>교정대상기기(압력변환기/전송기) 특성</t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</si>
  <si>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</si>
  <si>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평균값</t>
    <phoneticPr fontId="5" type="noConversion"/>
  </si>
  <si>
    <t>반복도</t>
    <phoneticPr fontId="5" type="noConversion"/>
  </si>
  <si>
    <t>합성</t>
    <phoneticPr fontId="5" type="noConversion"/>
  </si>
  <si>
    <t>계산값</t>
    <phoneticPr fontId="5" type="noConversion"/>
  </si>
  <si>
    <t>Vi</t>
    <phoneticPr fontId="5" type="noConversion"/>
  </si>
  <si>
    <t>pi</t>
    <phoneticPr fontId="5" type="noConversion"/>
  </si>
  <si>
    <t>ps-pi</t>
    <phoneticPr fontId="5" type="noConversion"/>
  </si>
  <si>
    <t>pi,dn-pi,up</t>
    <phoneticPr fontId="5" type="noConversion"/>
  </si>
  <si>
    <t>3. 성적서용</t>
    <phoneticPr fontId="5" type="noConversion"/>
  </si>
  <si>
    <t>4. 합불판정</t>
    <phoneticPr fontId="5" type="noConversion"/>
  </si>
  <si>
    <t>표준압력</t>
    <phoneticPr fontId="5" type="noConversion"/>
  </si>
  <si>
    <t>교정대상기기(압력변환기/전송기)</t>
    <phoneticPr fontId="5" type="noConversion"/>
  </si>
  <si>
    <t>Spec</t>
    <phoneticPr fontId="5" type="noConversion"/>
  </si>
  <si>
    <r>
      <rPr>
        <b/>
        <sz val="9"/>
        <color indexed="9"/>
        <rFont val="돋움"/>
        <family val="3"/>
        <charset val="129"/>
      </rPr>
      <t>판정</t>
    </r>
    <phoneticPr fontId="5" type="noConversion"/>
  </si>
  <si>
    <t>소수점</t>
    <phoneticPr fontId="5" type="noConversion"/>
  </si>
  <si>
    <t>Number Format</t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</si>
  <si>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</si>
  <si>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Number</t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</si>
  <si>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</si>
  <si>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지시값 평균</t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</si>
  <si>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</si>
  <si>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t>자리수</t>
    <phoneticPr fontId="5" type="noConversion"/>
  </si>
  <si>
    <t>명목압력</t>
    <phoneticPr fontId="5" type="noConversion"/>
  </si>
  <si>
    <t>보정값</t>
    <phoneticPr fontId="5" type="noConversion"/>
  </si>
  <si>
    <t>0.000 000 0</t>
    <phoneticPr fontId="5" type="noConversion"/>
  </si>
  <si>
    <t>0.000 000</t>
    <phoneticPr fontId="5" type="noConversion"/>
  </si>
  <si>
    <t>0.00</t>
    <phoneticPr fontId="5" type="noConversion"/>
  </si>
  <si>
    <t>4. 기타정보</t>
    <phoneticPr fontId="5" type="noConversion"/>
  </si>
  <si>
    <t>선형보정계수</t>
    <phoneticPr fontId="5" type="noConversion"/>
  </si>
  <si>
    <t>a</t>
    <phoneticPr fontId="69" type="noConversion"/>
  </si>
  <si>
    <t>b</t>
    <phoneticPr fontId="69" type="noConversion"/>
  </si>
  <si>
    <t>세부분류번호</t>
    <phoneticPr fontId="5" type="noConversion"/>
  </si>
  <si>
    <t>측정기명</t>
    <phoneticPr fontId="5" type="noConversion"/>
  </si>
  <si>
    <t>영문명</t>
    <phoneticPr fontId="5" type="noConversion"/>
  </si>
  <si>
    <t>기준기2</t>
    <phoneticPr fontId="5" type="noConversion"/>
  </si>
  <si>
    <t>기준기3</t>
    <phoneticPr fontId="5" type="noConversion"/>
  </si>
  <si>
    <t>조건1</t>
    <phoneticPr fontId="5" type="noConversion"/>
  </si>
  <si>
    <t>조건2</t>
    <phoneticPr fontId="5" type="noConversion"/>
  </si>
  <si>
    <t>기본수수료</t>
    <phoneticPr fontId="5" type="noConversion"/>
  </si>
  <si>
    <t>항목</t>
    <phoneticPr fontId="5" type="noConversion"/>
  </si>
  <si>
    <t>측정점수</t>
    <phoneticPr fontId="5" type="noConversion"/>
  </si>
  <si>
    <t>교정여부</t>
    <phoneticPr fontId="5" type="noConversion"/>
  </si>
  <si>
    <t>추가측정점수</t>
    <phoneticPr fontId="5" type="noConversion"/>
  </si>
  <si>
    <t>소계</t>
    <phoneticPr fontId="5" type="noConversion"/>
  </si>
  <si>
    <t>합계</t>
    <phoneticPr fontId="5" type="noConversion"/>
  </si>
  <si>
    <t>미압</t>
    <phoneticPr fontId="5" type="noConversion"/>
  </si>
  <si>
    <t>&lt;=</t>
    <phoneticPr fontId="5" type="noConversion"/>
  </si>
  <si>
    <t>표준, 종합교정시 실비</t>
    <phoneticPr fontId="5" type="noConversion"/>
  </si>
  <si>
    <t>Range 1</t>
    <phoneticPr fontId="5" type="noConversion"/>
  </si>
  <si>
    <t>Range 2</t>
    <phoneticPr fontId="5" type="noConversion"/>
  </si>
  <si>
    <t>고압</t>
    <phoneticPr fontId="5" type="noConversion"/>
  </si>
  <si>
    <t>Range 3</t>
    <phoneticPr fontId="5" type="noConversion"/>
  </si>
  <si>
    <t>Range 4</t>
    <phoneticPr fontId="5" type="noConversion"/>
  </si>
  <si>
    <t>세부분류</t>
    <phoneticPr fontId="5" type="noConversion"/>
  </si>
  <si>
    <t>최대용량 (MPa)</t>
    <phoneticPr fontId="5" type="noConversion"/>
  </si>
  <si>
    <t>※ 교정점 16 Point(가압, 감압 교정+반복측정) 를 1 Range로 간주하였음.</t>
    <phoneticPr fontId="5" type="noConversion"/>
  </si>
  <si>
    <t>기본교정시 최소 측정점이 16점이므로 측정점이 16점 이상 발생시 측정점수당 기본수수료의 6.25 % 추가함.</t>
    <phoneticPr fontId="5" type="noConversion"/>
  </si>
  <si>
    <t>기본, 표준교정시 교정점 1 Point 추가시 측정점수가 2점 증가하며 종합교정시 측정점수가 6점 증가함.</t>
    <phoneticPr fontId="5" type="noConversion"/>
  </si>
  <si>
    <t>표준, 종합 교정시 실비 이므로 위와 같이 계산해도 무방할것으로 보임.</t>
    <phoneticPr fontId="5" type="noConversion"/>
  </si>
  <si>
    <t>■ 표준기와 교정대상기기의 불확도 요소</t>
    <phoneticPr fontId="5" type="noConversion"/>
  </si>
  <si>
    <r>
      <t>합성표준불확도(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=1)</t>
    </r>
    <phoneticPr fontId="5" type="noConversion"/>
  </si>
  <si>
    <r>
      <t>표준불확도(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=1)</t>
    </r>
    <phoneticPr fontId="5" type="noConversion"/>
  </si>
  <si>
    <r>
      <t>불확도인자 표준불확도(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=1)</t>
    </r>
    <phoneticPr fontId="5" type="noConversion"/>
  </si>
  <si>
    <t>■ 결과보고</t>
    <phoneticPr fontId="5" type="noConversion"/>
  </si>
  <si>
    <t>평균출력값 및
모델에 의한 압력값</t>
    <phoneticPr fontId="5" type="noConversion"/>
  </si>
  <si>
    <r>
      <t>측정불확도
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=2)</t>
    </r>
    <phoneticPr fontId="5" type="noConversion"/>
  </si>
  <si>
    <r>
      <t xml:space="preserve">압력, 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</si>
  <si>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표준기</t>
    <phoneticPr fontId="5" type="noConversion"/>
  </si>
  <si>
    <t>교정대상기기</t>
    <phoneticPr fontId="5" type="noConversion"/>
  </si>
  <si>
    <t>보정값</t>
    <phoneticPr fontId="5" type="noConversion"/>
  </si>
  <si>
    <t>압력</t>
    <phoneticPr fontId="5" type="noConversion"/>
  </si>
  <si>
    <r>
      <t>표준불확도
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=1)</t>
    </r>
    <phoneticPr fontId="5" type="noConversion"/>
  </si>
  <si>
    <t>자유도</t>
    <phoneticPr fontId="5" type="noConversion"/>
  </si>
  <si>
    <t>출력신호
측정</t>
    <phoneticPr fontId="5" type="noConversion"/>
  </si>
  <si>
    <t>반복도</t>
    <phoneticPr fontId="5" type="noConversion"/>
  </si>
  <si>
    <t>-</t>
    <phoneticPr fontId="5" type="noConversion"/>
  </si>
  <si>
    <t>측정점
번호</t>
  </si>
  <si>
    <t>표준기
압력</t>
  </si>
  <si>
    <t>평균출력값 및</t>
  </si>
  <si>
    <t>모델식에 의한 압력값</t>
  </si>
  <si>
    <r>
      <t>측정불확도
(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=2)</t>
    </r>
    <phoneticPr fontId="5" type="noConversion"/>
  </si>
  <si>
    <t>No.</t>
    <phoneticPr fontId="5" type="noConversion"/>
  </si>
  <si>
    <t>Standard
Pressure</t>
    <phoneticPr fontId="5" type="noConversion"/>
  </si>
  <si>
    <t>Mean value and pressure value by model equation</t>
    <phoneticPr fontId="5" type="noConversion"/>
  </si>
  <si>
    <t>Correction
value</t>
    <phoneticPr fontId="5" type="noConversion"/>
  </si>
  <si>
    <r>
      <t>Measurement
Uncertainty
(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=2)</t>
    </r>
    <phoneticPr fontId="5" type="noConversion"/>
  </si>
  <si>
    <t>◇ Confidence level about 95 %</t>
    <phoneticPr fontId="5" type="noConversion"/>
  </si>
  <si>
    <t>◇ 신뢰수준 약 95 %</t>
    <phoneticPr fontId="5" type="noConversion"/>
  </si>
  <si>
    <t>※ IEC 61298-2 규격에 의해 계산되었음.</t>
  </si>
  <si>
    <t>※ Non-Linearity 는 Terminal Point Non-Linearity 를 근거로 계산되었음.</t>
  </si>
  <si>
    <t>㈜에이치시티</t>
  </si>
  <si>
    <t>경기도 이천시 마장면 서이천로 578번길 74(장암리) 17383</t>
  </si>
  <si>
    <t>TEL : 031 - 645 - 6921</t>
  </si>
  <si>
    <t>FAX : 031 - 645 - 6969</t>
  </si>
  <si>
    <t>MODEL / SN</t>
    <phoneticPr fontId="5" type="noConversion"/>
  </si>
  <si>
    <t>1) Hysteresis</t>
    <phoneticPr fontId="5" type="noConversion"/>
  </si>
  <si>
    <t>2) Non-Linearity</t>
    <phoneticPr fontId="5" type="noConversion"/>
  </si>
  <si>
    <t>5. 부록</t>
    <phoneticPr fontId="5" type="noConversion"/>
  </si>
  <si>
    <t>히스테리시스</t>
    <phoneticPr fontId="5" type="noConversion"/>
  </si>
  <si>
    <t>% R.O.</t>
    <phoneticPr fontId="5" type="noConversion"/>
  </si>
  <si>
    <t>Non-Linearity (% R.O.)</t>
    <phoneticPr fontId="5" type="noConversion"/>
  </si>
  <si>
    <t>X</t>
    <phoneticPr fontId="69" type="noConversion"/>
  </si>
  <si>
    <t>Ys</t>
    <phoneticPr fontId="69" type="noConversion"/>
  </si>
  <si>
    <t>Ym</t>
    <phoneticPr fontId="69" type="noConversion"/>
  </si>
  <si>
    <t>Ymax</t>
    <phoneticPr fontId="69" type="noConversion"/>
  </si>
  <si>
    <t>Ymin</t>
    <phoneticPr fontId="69" type="noConversion"/>
  </si>
  <si>
    <t>Xmax</t>
    <phoneticPr fontId="69" type="noConversion"/>
  </si>
  <si>
    <t>Xmin</t>
    <phoneticPr fontId="69" type="noConversion"/>
  </si>
  <si>
    <t>출력편차(%)</t>
    <phoneticPr fontId="69" type="noConversion"/>
  </si>
  <si>
    <t>최대출력편차(%)</t>
    <phoneticPr fontId="69" type="noConversion"/>
  </si>
  <si>
    <t>파워서플라이</t>
    <phoneticPr fontId="5" type="noConversion"/>
  </si>
  <si>
    <t>최소명목압력</t>
    <phoneticPr fontId="5" type="noConversion"/>
  </si>
  <si>
    <t>감도</t>
    <phoneticPr fontId="69" type="noConversion"/>
  </si>
  <si>
    <t>교정포인트를 늘려달라는 업체 요구가 증가 함에 따라, 교정점 추가분을 적용하였음.</t>
    <phoneticPr fontId="5" type="noConversion"/>
  </si>
  <si>
    <t>교정점 추가분</t>
    <phoneticPr fontId="5" type="noConversion"/>
  </si>
  <si>
    <t>Decision</t>
  </si>
  <si>
    <t>■ 측정불확도</t>
    <phoneticPr fontId="5" type="noConversion"/>
  </si>
  <si>
    <t>측정불확도</t>
    <phoneticPr fontId="5" type="noConversion"/>
  </si>
  <si>
    <r>
      <t xml:space="preserve">유효자유도가 10 이상으로 충분히 큰 경우 포함인자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=2(신뢰수준 약 95 %)를 사용하여 측정불확도를 구한다.</t>
    </r>
    <phoneticPr fontId="5" type="noConversion"/>
  </si>
  <si>
    <t>사용중지?</t>
  </si>
  <si>
    <t>COID</t>
    <phoneticPr fontId="5" type="noConversion"/>
  </si>
  <si>
    <r>
      <t>U+</t>
    </r>
    <r>
      <rPr>
        <sz val="9"/>
        <rFont val="돋움"/>
        <family val="3"/>
        <charset val="129"/>
      </rPr>
      <t>α</t>
    </r>
    <phoneticPr fontId="5" type="noConversion"/>
  </si>
  <si>
    <t>단위</t>
    <phoneticPr fontId="5" type="noConversion"/>
  </si>
  <si>
    <t>Pa</t>
    <phoneticPr fontId="5" type="noConversion"/>
  </si>
  <si>
    <t>kPa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</si>
  <si>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</si>
  <si>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</si>
  <si>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</si>
  <si>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</si>
  <si>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MPa</t>
    <phoneticPr fontId="5" type="noConversion"/>
  </si>
  <si>
    <t>kPa abs.</t>
    <phoneticPr fontId="5" type="noConversion"/>
  </si>
  <si>
    <t>MPa abs.</t>
    <phoneticPr fontId="5" type="noConversion"/>
  </si>
  <si>
    <t>kPa</t>
    <phoneticPr fontId="5" type="noConversion"/>
  </si>
  <si>
    <t>bar</t>
    <phoneticPr fontId="5" type="noConversion"/>
  </si>
  <si>
    <t>psi</t>
    <phoneticPr fontId="5" type="noConversion"/>
  </si>
  <si>
    <t>kgf/㎠</t>
    <phoneticPr fontId="5" type="noConversion"/>
  </si>
  <si>
    <t>inHg</t>
    <phoneticPr fontId="5" type="noConversion"/>
  </si>
  <si>
    <t>mmHg</t>
    <phoneticPr fontId="5" type="noConversion"/>
  </si>
  <si>
    <t>cmHg</t>
    <phoneticPr fontId="5" type="noConversion"/>
  </si>
  <si>
    <t>inH2O</t>
    <phoneticPr fontId="5" type="noConversion"/>
  </si>
  <si>
    <t>mmH2O</t>
    <phoneticPr fontId="5" type="noConversion"/>
  </si>
  <si>
    <t>cmH2O</t>
    <phoneticPr fontId="5" type="noConversion"/>
  </si>
  <si>
    <t>N/㎠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</si>
  <si>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</si>
  <si>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</si>
  <si>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</si>
  <si>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</si>
  <si>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mbar abs.</t>
    <phoneticPr fontId="5" type="noConversion"/>
  </si>
  <si>
    <t>bar abs.</t>
    <phoneticPr fontId="5" type="noConversion"/>
  </si>
  <si>
    <t>psi abs.</t>
    <phoneticPr fontId="5" type="noConversion"/>
  </si>
  <si>
    <t>atm</t>
    <phoneticPr fontId="5" type="noConversion"/>
  </si>
  <si>
    <t>kgf/㎠ abs.</t>
    <phoneticPr fontId="5" type="noConversion"/>
  </si>
  <si>
    <t>fees</t>
    <phoneticPr fontId="5" type="noConversion"/>
  </si>
  <si>
    <t>P/F</t>
    <phoneticPr fontId="5" type="noConversion"/>
  </si>
  <si>
    <t>표시단위</t>
    <phoneticPr fontId="5" type="noConversion"/>
  </si>
  <si>
    <t>명목압력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</si>
  <si>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</si>
  <si>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 xml:space="preserve"> 성적서발급번호(Certificate No) :</t>
    <phoneticPr fontId="5" type="noConversion"/>
  </si>
  <si>
    <t>Standard Value</t>
    <phoneticPr fontId="5" type="noConversion"/>
  </si>
  <si>
    <t>Spec</t>
    <phoneticPr fontId="5" type="noConversion"/>
  </si>
  <si>
    <t>조정 전</t>
    <phoneticPr fontId="5" type="noConversion"/>
  </si>
  <si>
    <t>조정 후</t>
    <phoneticPr fontId="5" type="noConversion"/>
  </si>
  <si>
    <t>Measurement Uncertainty</t>
    <phoneticPr fontId="5" type="noConversion"/>
  </si>
  <si>
    <t>Measured
Value</t>
    <phoneticPr fontId="5" type="noConversion"/>
  </si>
  <si>
    <t>Correction
Value</t>
    <phoneticPr fontId="5" type="noConversion"/>
  </si>
  <si>
    <t>Correction
Value</t>
    <phoneticPr fontId="5" type="noConversion"/>
  </si>
  <si>
    <t>Pass
/Fail</t>
    <phoneticPr fontId="5" type="noConversion"/>
  </si>
  <si>
    <t>Measured
Value</t>
    <phoneticPr fontId="5" type="noConversion"/>
  </si>
  <si>
    <t>Pass
/Fail</t>
    <phoneticPr fontId="5" type="noConversion"/>
  </si>
  <si>
    <t>MEASURED VALUE (조정후)</t>
    <phoneticPr fontId="5" type="noConversion"/>
  </si>
  <si>
    <t>※ 신뢰수준 약 95 %,</t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</si>
  <si>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1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</si>
  <si>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t>◆ 측정불확도 추정보고서 (조정후) ◆</t>
    <phoneticPr fontId="5" type="noConversion"/>
  </si>
  <si>
    <t>U &amp; r</t>
  </si>
  <si>
    <t>20412-2</t>
    <phoneticPr fontId="5" type="noConversion"/>
  </si>
  <si>
    <t>Pressure Calibrator(abs)</t>
    <phoneticPr fontId="5" type="noConversion"/>
  </si>
  <si>
    <t>20412-2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</si>
</sst>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4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\ 000"/>
    <numFmt numFmtId="190" formatCode="0.000"/>
    <numFmt numFmtId="191" formatCode="0.000000E+00"/>
    <numFmt numFmtId="192" formatCode="0_ "/>
    <numFmt numFmtId="193" formatCode="0.000_ "/>
    <numFmt numFmtId="194" formatCode="0.000\ 0"/>
    <numFmt numFmtId="195" formatCode="0.0_ "/>
    <numFmt numFmtId="196" formatCode="0.000000_ "/>
    <numFmt numFmtId="197" formatCode="0.00\ &quot;μm&quot;"/>
    <numFmt numFmtId="198" formatCode="0.0"/>
    <numFmt numFmtId="199" formatCode="0.000\ 000\ &quot;m/MPa&quot;"/>
    <numFmt numFmtId="200" formatCode="0.000\ 000\ &quot;MPa&quot;"/>
    <numFmt numFmtId="201" formatCode="0.000\ &quot;μm&quot;"/>
    <numFmt numFmtId="202" formatCode="0.00\ \˝"/>
    <numFmt numFmtId="203" formatCode="#\ ###\ ###"/>
    <numFmt numFmtId="204" formatCode="#\ ##0.000\ 0"/>
    <numFmt numFmtId="205" formatCode="0.000000"/>
    <numFmt numFmtId="206" formatCode="####\-##\-##"/>
    <numFmt numFmtId="207" formatCode="0\ \(&quot;가&quot;&quot;압&quot;\)"/>
    <numFmt numFmtId="208" formatCode="0\ \(&quot;감&quot;&quot;압&quot;\)"/>
    <numFmt numFmtId="209" formatCode="0.###\ ###"/>
    <numFmt numFmtId="210" formatCode="0\ &quot;MPa&quot;"/>
    <numFmt numFmtId="211" formatCode="0.000\ 000\ 0"/>
    <numFmt numFmtId="212" formatCode="0.000\ 00"/>
    <numFmt numFmtId="213" formatCode="0.000\ 0\ "/>
    <numFmt numFmtId="214" formatCode="0.0\ &quot;㎷&quot;"/>
    <numFmt numFmtId="215" formatCode="\±\ 0.0"/>
    <numFmt numFmtId="216" formatCode="0.000\ %"/>
    <numFmt numFmtId="217" formatCode="0.00\ %"/>
  </numFmts>
  <fonts count="12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b/>
      <sz val="9"/>
      <color indexed="9"/>
      <name val="굴림"/>
      <family val="3"/>
      <charset val="129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b/>
      <sz val="9"/>
      <color indexed="10"/>
      <name val="Tahoma"/>
      <family val="2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i/>
      <sz val="10"/>
      <color theme="1"/>
      <name val="맑은 고딕"/>
      <family val="3"/>
      <charset val="129"/>
    </font>
    <font>
      <i/>
      <vertAlign val="subscript"/>
      <sz val="10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i/>
      <sz val="10"/>
      <color theme="0"/>
      <name val="맑은 고딕"/>
      <family val="3"/>
      <charset val="129"/>
      <scheme val="minor"/>
    </font>
    <font>
      <b/>
      <i/>
      <vertAlign val="subscript"/>
      <sz val="10"/>
      <color theme="0"/>
      <name val="맑은 고딕"/>
      <family val="3"/>
      <charset val="129"/>
      <scheme val="minor"/>
    </font>
    <font>
      <b/>
      <vertAlign val="superscript"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i/>
      <vertAlign val="subscript"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i/>
      <vertAlign val="subscript"/>
      <sz val="1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i/>
      <sz val="9"/>
      <name val="Arial Unicode MS"/>
      <family val="3"/>
      <charset val="129"/>
    </font>
    <font>
      <b/>
      <sz val="10"/>
      <name val="Tahoma"/>
      <family val="2"/>
    </font>
    <font>
      <b/>
      <sz val="10"/>
      <name val="돋움"/>
      <family val="3"/>
      <charset val="129"/>
    </font>
    <font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b/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name val="Times New Roman"/>
      <family val="1"/>
    </font>
    <font>
      <b/>
      <sz val="10"/>
      <name val="맑은 고딕"/>
      <family val="1"/>
      <scheme val="major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b/>
      <sz val="20"/>
      <name val="맑은 고딕"/>
      <family val="3"/>
      <charset val="129"/>
      <scheme val="minor"/>
    </font>
    <font>
      <sz val="9"/>
      <color rgb="FFFF0000"/>
      <name val="Arial Unicode MS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b/>
      <i/>
      <sz val="9"/>
      <color indexed="9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0070C0"/>
      <name val="Arial Unicode MS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9"/>
      <color rgb="FFFF0000"/>
      <name val="돋움"/>
      <family val="3"/>
      <charset val="129"/>
    </font>
    <font>
      <b/>
      <sz val="20"/>
      <name val="Felix Titling"/>
      <family val="5"/>
    </font>
    <font>
      <b/>
      <sz val="10"/>
      <name val="맑은 고딕"/>
      <family val="3"/>
      <charset val="129"/>
    </font>
    <font>
      <sz val="10"/>
      <name val="맑은 고딕"/>
      <family val="1"/>
      <scheme val="major"/>
    </font>
    <font>
      <vertAlign val="superscript"/>
      <sz val="10"/>
      <name val="Times New Roman"/>
      <family val="1"/>
    </font>
    <font>
      <sz val="9"/>
      <name val="Arial"/>
      <family val="2"/>
    </font>
    <font>
      <b/>
      <sz val="9"/>
      <color theme="0"/>
      <name val="Tahoma"/>
      <family val="2"/>
    </font>
    <font>
      <b/>
      <sz val="9"/>
      <color theme="0"/>
      <name val="돋움"/>
      <family val="3"/>
      <charset val="129"/>
    </font>
    <font>
      <b/>
      <sz val="9"/>
      <color indexed="9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sz val="9"/>
      <color indexed="8"/>
      <name val="Arial Unicode MS"/>
      <family val="3"/>
      <charset val="129"/>
    </font>
    <font>
      <b/>
      <sz val="9"/>
      <color indexed="8"/>
      <name val="Arial Unicode MS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theme="0" tint="-0.24994659260841701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theme="0" tint="-0.24994659260841701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theme="0" tint="-0.2499465926084170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46">
    <xf numFmtId="0" fontId="0" fillId="0" borderId="0">
      <alignment vertical="center"/>
    </xf>
    <xf numFmtId="0" fontId="15" fillId="0" borderId="0"/>
    <xf numFmtId="0" fontId="15" fillId="0" borderId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9" fillId="0" borderId="0"/>
    <xf numFmtId="0" fontId="39" fillId="0" borderId="0"/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6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6" fillId="0" borderId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38" fontId="37" fillId="16" borderId="0" applyNumberFormat="0" applyBorder="0" applyAlignment="0" applyProtection="0"/>
    <xf numFmtId="10" fontId="37" fillId="17" borderId="1" applyNumberFormat="0" applyBorder="0" applyAlignment="0" applyProtection="0"/>
    <xf numFmtId="0" fontId="38" fillId="0" borderId="0"/>
    <xf numFmtId="0" fontId="8" fillId="0" borderId="0"/>
    <xf numFmtId="10" fontId="8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4" fillId="23" borderId="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4" fillId="0" borderId="0"/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8" fillId="0" borderId="0"/>
    <xf numFmtId="0" fontId="25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7" borderId="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10" applyNumberFormat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5" fillId="0" borderId="0">
      <alignment vertical="center"/>
    </xf>
    <xf numFmtId="0" fontId="4" fillId="0" borderId="0">
      <alignment vertical="center"/>
    </xf>
    <xf numFmtId="0" fontId="4" fillId="0" borderId="0"/>
    <xf numFmtId="0" fontId="53" fillId="0" borderId="0">
      <alignment vertical="center"/>
    </xf>
    <xf numFmtId="0" fontId="16" fillId="0" borderId="0">
      <alignment vertical="center"/>
    </xf>
    <xf numFmtId="0" fontId="4" fillId="0" borderId="0"/>
    <xf numFmtId="0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0" fontId="37" fillId="17" borderId="49" applyNumberFormat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7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23" borderId="46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72" applyNumberFormat="0" applyFill="0" applyAlignment="0" applyProtection="0">
      <alignment vertical="center"/>
    </xf>
    <xf numFmtId="0" fontId="27" fillId="7" borderId="7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73" applyNumberFormat="0" applyAlignment="0" applyProtection="0">
      <alignment vertical="center"/>
    </xf>
    <xf numFmtId="0" fontId="1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114" fillId="0" borderId="0"/>
    <xf numFmtId="0" fontId="8" fillId="0" borderId="0"/>
    <xf numFmtId="41" fontId="4" fillId="0" borderId="0" applyFont="0" applyFill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4" fillId="23" borderId="3" applyNumberFormat="0" applyFont="0" applyAlignment="0" applyProtection="0">
      <alignment vertical="center"/>
    </xf>
    <xf numFmtId="0" fontId="27" fillId="7" borderId="2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0" fontId="37" fillId="17" borderId="136" applyNumberFormat="0" applyBorder="0" applyAlignment="0" applyProtection="0"/>
    <xf numFmtId="0" fontId="19" fillId="22" borderId="137" applyNumberFormat="0" applyAlignment="0" applyProtection="0">
      <alignment vertical="center"/>
    </xf>
    <xf numFmtId="0" fontId="4" fillId="23" borderId="135" applyNumberFormat="0" applyFont="0" applyAlignment="0" applyProtection="0">
      <alignment vertical="center"/>
    </xf>
    <xf numFmtId="0" fontId="26" fillId="0" borderId="138" applyNumberFormat="0" applyFill="0" applyAlignment="0" applyProtection="0">
      <alignment vertical="center"/>
    </xf>
    <xf numFmtId="0" fontId="27" fillId="7" borderId="137" applyNumberFormat="0" applyAlignment="0" applyProtection="0">
      <alignment vertical="center"/>
    </xf>
    <xf numFmtId="0" fontId="33" fillId="22" borderId="139" applyNumberFormat="0" applyAlignment="0" applyProtection="0">
      <alignment vertical="center"/>
    </xf>
  </cellStyleXfs>
  <cellXfs count="930">
    <xf numFmtId="0" fontId="0" fillId="0" borderId="0" xfId="0">
      <alignment vertical="center"/>
    </xf>
    <xf numFmtId="49" fontId="2" fillId="0" borderId="0" xfId="79" applyNumberFormat="1" applyFont="1" applyFill="1" applyBorder="1" applyAlignment="1">
      <alignment horizontal="left" vertical="center"/>
    </xf>
    <xf numFmtId="49" fontId="2" fillId="0" borderId="0" xfId="79" applyNumberFormat="1" applyFont="1" applyFill="1" applyAlignment="1">
      <alignment horizontal="left" vertical="center"/>
    </xf>
    <xf numFmtId="0" fontId="2" fillId="0" borderId="0" xfId="0" applyFont="1" applyFill="1" applyBorder="1">
      <alignment vertical="center"/>
    </xf>
    <xf numFmtId="0" fontId="43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4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85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43" fillId="0" borderId="1" xfId="0" applyFont="1" applyFill="1" applyBorder="1" applyAlignment="1" applyProtection="1">
      <alignment horizontal="center" vertical="center"/>
    </xf>
    <xf numFmtId="186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187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>
      <alignment vertical="center"/>
    </xf>
    <xf numFmtId="0" fontId="10" fillId="0" borderId="1" xfId="0" applyFont="1" applyFill="1" applyBorder="1" applyAlignment="1" applyProtection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14" fontId="2" fillId="0" borderId="0" xfId="0" applyNumberFormat="1" applyFont="1" applyFill="1" applyBorder="1">
      <alignment vertical="center"/>
    </xf>
    <xf numFmtId="0" fontId="51" fillId="0" borderId="0" xfId="79" applyFont="1"/>
    <xf numFmtId="0" fontId="51" fillId="0" borderId="0" xfId="0" applyFont="1">
      <alignment vertical="center"/>
    </xf>
    <xf numFmtId="49" fontId="51" fillId="0" borderId="19" xfId="79" applyNumberFormat="1" applyFont="1" applyFill="1" applyBorder="1" applyAlignment="1">
      <alignment horizontal="left" vertical="center"/>
    </xf>
    <xf numFmtId="49" fontId="51" fillId="0" borderId="19" xfId="79" applyNumberFormat="1" applyFont="1" applyFill="1" applyBorder="1" applyAlignment="1">
      <alignment horizontal="center" vertical="center"/>
    </xf>
    <xf numFmtId="0" fontId="51" fillId="0" borderId="19" xfId="79" applyNumberFormat="1" applyFont="1" applyFill="1" applyBorder="1" applyAlignment="1">
      <alignment horizontal="righ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horizontal="center" vertical="center"/>
    </xf>
    <xf numFmtId="0" fontId="55" fillId="26" borderId="0" xfId="0" applyFont="1" applyFill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5" fillId="26" borderId="0" xfId="0" applyFont="1" applyFill="1" applyAlignment="1">
      <alignment horizontal="center" vertical="center" wrapText="1"/>
    </xf>
    <xf numFmtId="0" fontId="58" fillId="0" borderId="0" xfId="0" applyFont="1" applyAlignment="1">
      <alignment horizontal="lef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6" fillId="0" borderId="0" xfId="0" applyFont="1" applyAlignment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9" fillId="0" borderId="0" xfId="0" applyFont="1" applyBorder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1" fillId="0" borderId="19" xfId="79" applyNumberFormat="1" applyFont="1" applyFill="1" applyBorder="1" applyAlignment="1">
      <alignment vertical="center"/>
    </xf>
    <xf numFmtId="0" fontId="51" fillId="0" borderId="0" xfId="79" applyNumberFormat="1" applyFont="1"/>
    <xf numFmtId="0" fontId="51" fillId="0" borderId="19" xfId="79" applyNumberFormat="1" applyFont="1" applyFill="1" applyBorder="1" applyAlignment="1">
      <alignment horizontal="left" vertical="center"/>
    </xf>
    <xf numFmtId="0" fontId="57" fillId="0" borderId="25" xfId="0" applyFont="1" applyBorder="1" applyAlignment="1">
      <alignment horizontal="center" vertical="center"/>
    </xf>
    <xf numFmtId="0" fontId="54" fillId="0" borderId="25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 inden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49" fontId="57" fillId="0" borderId="1" xfId="0" applyNumberFormat="1" applyFont="1" applyBorder="1" applyAlignment="1">
      <alignment horizontal="center" vertical="center"/>
    </xf>
    <xf numFmtId="0" fontId="10" fillId="30" borderId="11" xfId="0" applyFont="1" applyFill="1" applyBorder="1" applyAlignment="1" applyProtection="1">
      <alignment horizontal="center" vertical="center"/>
      <protection locked="0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49" fontId="51" fillId="0" borderId="0" xfId="79" applyNumberFormat="1" applyFont="1" applyFill="1" applyBorder="1" applyAlignment="1">
      <alignment vertical="center"/>
    </xf>
    <xf numFmtId="0" fontId="51" fillId="0" borderId="0" xfId="79" applyNumberFormat="1" applyFont="1" applyFill="1" applyBorder="1" applyAlignment="1">
      <alignment vertical="center"/>
    </xf>
    <xf numFmtId="49" fontId="51" fillId="0" borderId="0" xfId="79" applyNumberFormat="1" applyFont="1" applyFill="1" applyAlignment="1">
      <alignment horizontal="center" vertical="center"/>
    </xf>
    <xf numFmtId="0" fontId="51" fillId="0" borderId="0" xfId="79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 indent="1"/>
    </xf>
    <xf numFmtId="0" fontId="51" fillId="0" borderId="0" xfId="79" applyNumberFormat="1" applyFont="1" applyFill="1" applyAlignment="1">
      <alignment vertical="center"/>
    </xf>
    <xf numFmtId="0" fontId="13" fillId="0" borderId="0" xfId="0" applyFont="1" applyFill="1" applyBorder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49" fontId="57" fillId="0" borderId="28" xfId="0" applyNumberFormat="1" applyFont="1" applyBorder="1" applyAlignment="1">
      <alignment horizontal="center" vertical="center"/>
    </xf>
    <xf numFmtId="0" fontId="57" fillId="0" borderId="28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63" fillId="0" borderId="0" xfId="0" applyFont="1">
      <alignment vertical="center"/>
    </xf>
    <xf numFmtId="0" fontId="72" fillId="0" borderId="0" xfId="0" applyFont="1" applyAlignment="1">
      <alignment horizontal="center" vertical="center"/>
    </xf>
    <xf numFmtId="0" fontId="73" fillId="0" borderId="0" xfId="0" applyFont="1">
      <alignment vertical="center"/>
    </xf>
    <xf numFmtId="0" fontId="63" fillId="0" borderId="38" xfId="0" applyFont="1" applyBorder="1" applyAlignment="1">
      <alignment horizontal="center" vertical="center"/>
    </xf>
    <xf numFmtId="0" fontId="63" fillId="0" borderId="39" xfId="0" applyFont="1" applyBorder="1" applyAlignment="1">
      <alignment horizontal="center" vertical="center"/>
    </xf>
    <xf numFmtId="0" fontId="63" fillId="30" borderId="38" xfId="0" applyFont="1" applyFill="1" applyBorder="1" applyAlignment="1">
      <alignment horizontal="center" vertical="center"/>
    </xf>
    <xf numFmtId="0" fontId="63" fillId="30" borderId="39" xfId="0" applyFont="1" applyFill="1" applyBorder="1" applyAlignment="1">
      <alignment horizontal="center" vertical="center"/>
    </xf>
    <xf numFmtId="0" fontId="63" fillId="30" borderId="40" xfId="0" applyFont="1" applyFill="1" applyBorder="1" applyAlignment="1">
      <alignment horizontal="center" vertical="center"/>
    </xf>
    <xf numFmtId="0" fontId="63" fillId="30" borderId="41" xfId="0" applyFont="1" applyFill="1" applyBorder="1" applyAlignment="1">
      <alignment horizontal="center" vertical="center"/>
    </xf>
    <xf numFmtId="0" fontId="63" fillId="30" borderId="42" xfId="0" applyFont="1" applyFill="1" applyBorder="1" applyAlignment="1">
      <alignment horizontal="center" vertical="center"/>
    </xf>
    <xf numFmtId="0" fontId="61" fillId="27" borderId="35" xfId="81" applyFont="1" applyFill="1" applyBorder="1" applyAlignment="1">
      <alignment horizontal="center" vertical="center"/>
    </xf>
    <xf numFmtId="0" fontId="61" fillId="27" borderId="36" xfId="81" applyFont="1" applyFill="1" applyBorder="1" applyAlignment="1">
      <alignment horizontal="center" vertical="center"/>
    </xf>
    <xf numFmtId="0" fontId="61" fillId="27" borderId="37" xfId="81" applyFont="1" applyFill="1" applyBorder="1" applyAlignment="1">
      <alignment horizontal="center" vertical="center"/>
    </xf>
    <xf numFmtId="0" fontId="73" fillId="0" borderId="38" xfId="0" applyFont="1" applyFill="1" applyBorder="1" applyAlignment="1">
      <alignment horizontal="center" vertical="center"/>
    </xf>
    <xf numFmtId="0" fontId="73" fillId="0" borderId="40" xfId="0" applyFont="1" applyFill="1" applyBorder="1" applyAlignment="1">
      <alignment horizontal="center" vertical="center"/>
    </xf>
    <xf numFmtId="0" fontId="73" fillId="0" borderId="41" xfId="0" applyFont="1" applyFill="1" applyBorder="1" applyAlignment="1">
      <alignment horizontal="center" vertical="center"/>
    </xf>
    <xf numFmtId="0" fontId="61" fillId="27" borderId="36" xfId="81" applyFont="1" applyFill="1" applyBorder="1" applyAlignment="1">
      <alignment horizontal="center" vertical="center" wrapText="1"/>
    </xf>
    <xf numFmtId="0" fontId="73" fillId="0" borderId="38" xfId="0" applyFont="1" applyBorder="1" applyAlignment="1">
      <alignment horizontal="center" vertical="center"/>
    </xf>
    <xf numFmtId="0" fontId="73" fillId="35" borderId="39" xfId="0" applyFont="1" applyFill="1" applyBorder="1" applyAlignment="1">
      <alignment horizontal="center" vertical="center"/>
    </xf>
    <xf numFmtId="0" fontId="73" fillId="0" borderId="40" xfId="0" applyFont="1" applyBorder="1" applyAlignment="1">
      <alignment horizontal="center" vertical="center"/>
    </xf>
    <xf numFmtId="0" fontId="73" fillId="0" borderId="41" xfId="0" applyFont="1" applyBorder="1" applyAlignment="1">
      <alignment horizontal="center" vertical="center"/>
    </xf>
    <xf numFmtId="0" fontId="73" fillId="35" borderId="42" xfId="0" applyFont="1" applyFill="1" applyBorder="1" applyAlignment="1">
      <alignment horizontal="center" vertical="center"/>
    </xf>
    <xf numFmtId="0" fontId="61" fillId="27" borderId="43" xfId="81" applyFont="1" applyFill="1" applyBorder="1" applyAlignment="1">
      <alignment horizontal="center" vertical="center"/>
    </xf>
    <xf numFmtId="0" fontId="73" fillId="36" borderId="39" xfId="0" applyFont="1" applyFill="1" applyBorder="1" applyAlignment="1">
      <alignment horizontal="center" vertical="center"/>
    </xf>
    <xf numFmtId="0" fontId="73" fillId="36" borderId="42" xfId="0" applyFont="1" applyFill="1" applyBorder="1" applyAlignment="1">
      <alignment horizontal="center" vertical="center"/>
    </xf>
    <xf numFmtId="0" fontId="48" fillId="0" borderId="0" xfId="0" applyNumberFormat="1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190" fontId="2" fillId="0" borderId="46" xfId="78" applyNumberFormat="1" applyFont="1" applyFill="1" applyBorder="1" applyAlignment="1">
      <alignment horizontal="center" vertical="center"/>
    </xf>
    <xf numFmtId="0" fontId="2" fillId="0" borderId="46" xfId="78" applyNumberFormat="1" applyFont="1" applyFill="1" applyBorder="1" applyAlignment="1">
      <alignment horizontal="center" vertical="center"/>
    </xf>
    <xf numFmtId="0" fontId="77" fillId="0" borderId="0" xfId="0" applyFont="1">
      <alignment vertical="center"/>
    </xf>
    <xf numFmtId="0" fontId="77" fillId="0" borderId="0" xfId="0" applyNumberFormat="1" applyFont="1">
      <alignment vertical="center"/>
    </xf>
    <xf numFmtId="0" fontId="63" fillId="30" borderId="49" xfId="0" applyFont="1" applyFill="1" applyBorder="1" applyAlignment="1">
      <alignment horizontal="center" vertical="center"/>
    </xf>
    <xf numFmtId="0" fontId="63" fillId="0" borderId="49" xfId="0" applyFont="1" applyBorder="1" applyAlignment="1">
      <alignment horizontal="center" vertical="center"/>
    </xf>
    <xf numFmtId="0" fontId="2" fillId="0" borderId="46" xfId="0" applyNumberFormat="1" applyFont="1" applyFill="1" applyBorder="1" applyAlignment="1">
      <alignment horizontal="left" vertical="center"/>
    </xf>
    <xf numFmtId="0" fontId="51" fillId="0" borderId="52" xfId="79" applyNumberFormat="1" applyFont="1" applyFill="1" applyBorder="1" applyAlignment="1">
      <alignment horizontal="center" vertical="center"/>
    </xf>
    <xf numFmtId="0" fontId="51" fillId="0" borderId="53" xfId="79" applyNumberFormat="1" applyFont="1" applyFill="1" applyBorder="1" applyAlignment="1">
      <alignment horizontal="center" vertical="center"/>
    </xf>
    <xf numFmtId="0" fontId="51" fillId="0" borderId="58" xfId="79" applyNumberFormat="1" applyFont="1" applyFill="1" applyBorder="1" applyAlignment="1">
      <alignment horizontal="center" vertical="center"/>
    </xf>
    <xf numFmtId="0" fontId="51" fillId="0" borderId="60" xfId="79" applyNumberFormat="1" applyFont="1" applyFill="1" applyBorder="1" applyAlignment="1">
      <alignment horizontal="center" vertical="center"/>
    </xf>
    <xf numFmtId="0" fontId="61" fillId="27" borderId="61" xfId="81" applyFont="1" applyFill="1" applyBorder="1" applyAlignment="1">
      <alignment horizontal="center" vertical="center"/>
    </xf>
    <xf numFmtId="0" fontId="61" fillId="27" borderId="62" xfId="81" applyFont="1" applyFill="1" applyBorder="1" applyAlignment="1">
      <alignment horizontal="center" vertical="center"/>
    </xf>
    <xf numFmtId="0" fontId="62" fillId="27" borderId="62" xfId="81" applyFont="1" applyFill="1" applyBorder="1" applyAlignment="1">
      <alignment horizontal="center" vertical="center"/>
    </xf>
    <xf numFmtId="188" fontId="51" fillId="0" borderId="0" xfId="0" applyNumberFormat="1" applyFont="1" applyBorder="1" applyAlignment="1">
      <alignment vertical="center"/>
    </xf>
    <xf numFmtId="0" fontId="54" fillId="0" borderId="49" xfId="0" applyFont="1" applyBorder="1" applyAlignment="1">
      <alignment horizontal="center" vertical="center"/>
    </xf>
    <xf numFmtId="0" fontId="68" fillId="0" borderId="49" xfId="0" applyFont="1" applyBorder="1" applyAlignment="1">
      <alignment horizontal="center" vertical="center"/>
    </xf>
    <xf numFmtId="0" fontId="70" fillId="0" borderId="49" xfId="0" applyFont="1" applyBorder="1" applyAlignment="1">
      <alignment horizontal="center" vertical="center"/>
    </xf>
    <xf numFmtId="0" fontId="68" fillId="28" borderId="49" xfId="0" applyFont="1" applyFill="1" applyBorder="1" applyAlignment="1">
      <alignment horizontal="center" vertical="center"/>
    </xf>
    <xf numFmtId="0" fontId="70" fillId="28" borderId="49" xfId="0" applyFont="1" applyFill="1" applyBorder="1" applyAlignment="1">
      <alignment horizontal="center" vertical="center"/>
    </xf>
    <xf numFmtId="0" fontId="73" fillId="28" borderId="49" xfId="0" applyFont="1" applyFill="1" applyBorder="1" applyAlignment="1">
      <alignment horizontal="center" vertical="center"/>
    </xf>
    <xf numFmtId="0" fontId="73" fillId="0" borderId="49" xfId="0" applyFont="1" applyFill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0" fontId="55" fillId="26" borderId="49" xfId="0" applyFont="1" applyFill="1" applyBorder="1" applyAlignment="1">
      <alignment horizontal="center" vertical="center"/>
    </xf>
    <xf numFmtId="0" fontId="74" fillId="26" borderId="49" xfId="0" applyFont="1" applyFill="1" applyBorder="1" applyAlignment="1">
      <alignment horizontal="center" vertical="center"/>
    </xf>
    <xf numFmtId="0" fontId="77" fillId="0" borderId="64" xfId="0" applyFont="1" applyBorder="1" applyAlignment="1">
      <alignment horizontal="center" vertical="center"/>
    </xf>
    <xf numFmtId="0" fontId="78" fillId="0" borderId="49" xfId="0" applyFont="1" applyFill="1" applyBorder="1" applyAlignment="1">
      <alignment horizontal="center" vertical="center"/>
    </xf>
    <xf numFmtId="191" fontId="77" fillId="30" borderId="49" xfId="0" applyNumberFormat="1" applyFont="1" applyFill="1" applyBorder="1" applyAlignment="1">
      <alignment horizontal="center" vertical="center"/>
    </xf>
    <xf numFmtId="0" fontId="80" fillId="0" borderId="49" xfId="0" applyFont="1" applyFill="1" applyBorder="1" applyAlignment="1">
      <alignment horizontal="center" vertical="center"/>
    </xf>
    <xf numFmtId="191" fontId="77" fillId="37" borderId="49" xfId="0" applyNumberFormat="1" applyFont="1" applyFill="1" applyBorder="1" applyAlignment="1">
      <alignment horizontal="center" vertical="center"/>
    </xf>
    <xf numFmtId="0" fontId="78" fillId="0" borderId="49" xfId="0" applyNumberFormat="1" applyFont="1" applyFill="1" applyBorder="1" applyAlignment="1">
      <alignment horizontal="center" vertical="center"/>
    </xf>
    <xf numFmtId="193" fontId="77" fillId="37" borderId="49" xfId="0" applyNumberFormat="1" applyFont="1" applyFill="1" applyBorder="1" applyAlignment="1">
      <alignment horizontal="center" vertical="center"/>
    </xf>
    <xf numFmtId="11" fontId="77" fillId="37" borderId="49" xfId="0" applyNumberFormat="1" applyFont="1" applyFill="1" applyBorder="1" applyAlignment="1">
      <alignment horizontal="center" vertical="center"/>
    </xf>
    <xf numFmtId="192" fontId="77" fillId="37" borderId="49" xfId="0" applyNumberFormat="1" applyFont="1" applyFill="1" applyBorder="1" applyAlignment="1">
      <alignment horizontal="center" vertical="center"/>
    </xf>
    <xf numFmtId="0" fontId="77" fillId="0" borderId="49" xfId="0" applyNumberFormat="1" applyFont="1" applyFill="1" applyBorder="1" applyAlignment="1">
      <alignment horizontal="center" vertical="center"/>
    </xf>
    <xf numFmtId="0" fontId="78" fillId="0" borderId="49" xfId="0" applyFont="1" applyBorder="1" applyAlignment="1">
      <alignment horizontal="center" vertical="center"/>
    </xf>
    <xf numFmtId="0" fontId="77" fillId="30" borderId="49" xfId="0" applyNumberFormat="1" applyFont="1" applyFill="1" applyBorder="1" applyAlignment="1">
      <alignment horizontal="center" vertical="center"/>
    </xf>
    <xf numFmtId="0" fontId="77" fillId="0" borderId="49" xfId="0" applyFont="1" applyBorder="1" applyAlignment="1">
      <alignment horizontal="center" vertical="center"/>
    </xf>
    <xf numFmtId="0" fontId="77" fillId="32" borderId="49" xfId="0" applyNumberFormat="1" applyFont="1" applyFill="1" applyBorder="1" applyAlignment="1">
      <alignment horizontal="center" vertical="center"/>
    </xf>
    <xf numFmtId="11" fontId="77" fillId="30" borderId="49" xfId="0" applyNumberFormat="1" applyFont="1" applyFill="1" applyBorder="1" applyAlignment="1">
      <alignment horizontal="center" vertical="center"/>
    </xf>
    <xf numFmtId="9" fontId="80" fillId="0" borderId="49" xfId="0" applyNumberFormat="1" applyFont="1" applyFill="1" applyBorder="1" applyAlignment="1">
      <alignment horizontal="center" vertical="center"/>
    </xf>
    <xf numFmtId="0" fontId="77" fillId="37" borderId="49" xfId="0" applyNumberFormat="1" applyFont="1" applyFill="1" applyBorder="1" applyAlignment="1">
      <alignment horizontal="center" vertical="center"/>
    </xf>
    <xf numFmtId="195" fontId="77" fillId="37" borderId="49" xfId="0" applyNumberFormat="1" applyFont="1" applyFill="1" applyBorder="1" applyAlignment="1">
      <alignment horizontal="center" vertical="center"/>
    </xf>
    <xf numFmtId="0" fontId="77" fillId="28" borderId="49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9" fontId="78" fillId="0" borderId="49" xfId="0" applyNumberFormat="1" applyFont="1" applyFill="1" applyBorder="1" applyAlignment="1">
      <alignment horizontal="center" vertical="center"/>
    </xf>
    <xf numFmtId="0" fontId="77" fillId="32" borderId="49" xfId="0" applyFont="1" applyFill="1" applyBorder="1" applyAlignment="1">
      <alignment horizontal="center" vertical="center"/>
    </xf>
    <xf numFmtId="0" fontId="77" fillId="28" borderId="49" xfId="0" applyNumberFormat="1" applyFont="1" applyFill="1" applyBorder="1" applyAlignment="1">
      <alignment horizontal="center" vertical="center"/>
    </xf>
    <xf numFmtId="11" fontId="77" fillId="31" borderId="49" xfId="0" applyNumberFormat="1" applyFont="1" applyFill="1" applyBorder="1" applyAlignment="1">
      <alignment horizontal="center" vertical="center"/>
    </xf>
    <xf numFmtId="9" fontId="77" fillId="0" borderId="49" xfId="0" applyNumberFormat="1" applyFont="1" applyFill="1" applyBorder="1" applyAlignment="1">
      <alignment horizontal="center" vertical="center"/>
    </xf>
    <xf numFmtId="191" fontId="77" fillId="31" borderId="49" xfId="0" applyNumberFormat="1" applyFont="1" applyFill="1" applyBorder="1" applyAlignment="1">
      <alignment horizontal="center" vertical="center"/>
    </xf>
    <xf numFmtId="0" fontId="77" fillId="35" borderId="49" xfId="0" applyNumberFormat="1" applyFont="1" applyFill="1" applyBorder="1" applyAlignment="1">
      <alignment horizontal="center" vertical="center"/>
    </xf>
    <xf numFmtId="191" fontId="77" fillId="28" borderId="49" xfId="0" applyNumberFormat="1" applyFont="1" applyFill="1" applyBorder="1" applyAlignment="1">
      <alignment horizontal="center" vertical="center"/>
    </xf>
    <xf numFmtId="0" fontId="82" fillId="0" borderId="64" xfId="0" applyFont="1" applyFill="1" applyBorder="1" applyAlignment="1">
      <alignment horizontal="center" vertical="center"/>
    </xf>
    <xf numFmtId="11" fontId="82" fillId="38" borderId="49" xfId="0" applyNumberFormat="1" applyFont="1" applyFill="1" applyBorder="1" applyAlignment="1">
      <alignment horizontal="center" vertical="center"/>
    </xf>
    <xf numFmtId="0" fontId="83" fillId="0" borderId="49" xfId="0" applyFont="1" applyFill="1" applyBorder="1" applyAlignment="1">
      <alignment horizontal="center" vertical="center"/>
    </xf>
    <xf numFmtId="192" fontId="82" fillId="38" borderId="49" xfId="0" applyNumberFormat="1" applyFont="1" applyFill="1" applyBorder="1" applyAlignment="1">
      <alignment horizontal="center" vertical="center"/>
    </xf>
    <xf numFmtId="188" fontId="82" fillId="38" borderId="49" xfId="0" applyNumberFormat="1" applyFont="1" applyFill="1" applyBorder="1" applyAlignment="1">
      <alignment horizontal="center" vertical="center"/>
    </xf>
    <xf numFmtId="196" fontId="82" fillId="38" borderId="49" xfId="0" applyNumberFormat="1" applyFont="1" applyFill="1" applyBorder="1" applyAlignment="1">
      <alignment horizontal="center" vertical="center"/>
    </xf>
    <xf numFmtId="0" fontId="82" fillId="0" borderId="49" xfId="0" applyFont="1" applyFill="1" applyBorder="1" applyAlignment="1">
      <alignment horizontal="center" vertical="center"/>
    </xf>
    <xf numFmtId="0" fontId="73" fillId="39" borderId="49" xfId="0" applyFont="1" applyFill="1" applyBorder="1" applyAlignment="1">
      <alignment horizontal="center" vertical="center"/>
    </xf>
    <xf numFmtId="0" fontId="72" fillId="0" borderId="0" xfId="0" applyFont="1">
      <alignment vertical="center"/>
    </xf>
    <xf numFmtId="0" fontId="73" fillId="35" borderId="49" xfId="0" applyFont="1" applyFill="1" applyBorder="1" applyAlignment="1">
      <alignment horizontal="center" vertical="center"/>
    </xf>
    <xf numFmtId="0" fontId="54" fillId="0" borderId="0" xfId="0" applyNumberFormat="1" applyFont="1" applyAlignment="1">
      <alignment vertical="center"/>
    </xf>
    <xf numFmtId="190" fontId="89" fillId="0" borderId="0" xfId="0" applyNumberFormat="1" applyFont="1" applyBorder="1" applyAlignment="1">
      <alignment horizontal="center" vertical="center"/>
    </xf>
    <xf numFmtId="0" fontId="90" fillId="0" borderId="0" xfId="0" applyNumberFormat="1" applyFont="1" applyBorder="1" applyAlignment="1">
      <alignment vertical="center"/>
    </xf>
    <xf numFmtId="0" fontId="89" fillId="0" borderId="0" xfId="0" applyFont="1" applyBorder="1">
      <alignment vertical="center"/>
    </xf>
    <xf numFmtId="0" fontId="89" fillId="0" borderId="0" xfId="0" applyFont="1">
      <alignment vertical="center"/>
    </xf>
    <xf numFmtId="194" fontId="89" fillId="0" borderId="0" xfId="0" applyNumberFormat="1" applyFont="1" applyBorder="1" applyAlignment="1">
      <alignment vertical="center"/>
    </xf>
    <xf numFmtId="49" fontId="89" fillId="0" borderId="0" xfId="0" applyNumberFormat="1" applyFont="1" applyBorder="1" applyAlignment="1">
      <alignment vertical="center"/>
    </xf>
    <xf numFmtId="0" fontId="89" fillId="0" borderId="0" xfId="0" applyFont="1" applyBorder="1" applyAlignment="1">
      <alignment vertical="center"/>
    </xf>
    <xf numFmtId="188" fontId="89" fillId="0" borderId="0" xfId="0" applyNumberFormat="1" applyFont="1" applyBorder="1" applyAlignment="1">
      <alignment horizontal="center" vertical="center" shrinkToFit="1"/>
    </xf>
    <xf numFmtId="0" fontId="89" fillId="0" borderId="0" xfId="0" applyFont="1" applyBorder="1" applyAlignment="1">
      <alignment horizontal="center" vertical="center" shrinkToFit="1"/>
    </xf>
    <xf numFmtId="0" fontId="89" fillId="0" borderId="0" xfId="0" applyNumberFormat="1" applyFont="1" applyBorder="1" applyAlignment="1">
      <alignment horizontal="center" vertical="center" shrinkToFit="1"/>
    </xf>
    <xf numFmtId="0" fontId="92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vertical="center"/>
    </xf>
    <xf numFmtId="198" fontId="54" fillId="0" borderId="0" xfId="0" applyNumberFormat="1" applyFont="1" applyBorder="1" applyAlignment="1">
      <alignment vertical="center"/>
    </xf>
    <xf numFmtId="1" fontId="54" fillId="0" borderId="0" xfId="0" applyNumberFormat="1" applyFont="1" applyBorder="1" applyAlignment="1">
      <alignment horizontal="right" vertical="center"/>
    </xf>
    <xf numFmtId="198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right" vertical="center"/>
    </xf>
    <xf numFmtId="190" fontId="54" fillId="0" borderId="0" xfId="0" applyNumberFormat="1" applyFont="1" applyBorder="1" applyAlignment="1">
      <alignment horizontal="center" vertical="center"/>
    </xf>
    <xf numFmtId="0" fontId="94" fillId="0" borderId="0" xfId="0" applyNumberFormat="1" applyFont="1" applyBorder="1" applyAlignment="1">
      <alignment horizontal="right" vertical="center"/>
    </xf>
    <xf numFmtId="0" fontId="95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horizontal="center" vertical="center"/>
    </xf>
    <xf numFmtId="199" fontId="54" fillId="0" borderId="0" xfId="0" applyNumberFormat="1" applyFont="1" applyBorder="1" applyAlignment="1">
      <alignment vertical="center"/>
    </xf>
    <xf numFmtId="199" fontId="54" fillId="0" borderId="0" xfId="0" applyNumberFormat="1" applyFont="1" applyBorder="1" applyAlignment="1">
      <alignment horizontal="center" vertical="center"/>
    </xf>
    <xf numFmtId="190" fontId="54" fillId="0" borderId="0" xfId="0" applyNumberFormat="1" applyFont="1" applyBorder="1" applyAlignment="1">
      <alignment vertical="center"/>
    </xf>
    <xf numFmtId="0" fontId="54" fillId="0" borderId="63" xfId="0" applyNumberFormat="1" applyFont="1" applyBorder="1" applyAlignment="1">
      <alignment vertical="center"/>
    </xf>
    <xf numFmtId="194" fontId="54" fillId="0" borderId="0" xfId="0" applyNumberFormat="1" applyFont="1" applyBorder="1" applyAlignment="1">
      <alignment vertical="center"/>
    </xf>
    <xf numFmtId="0" fontId="94" fillId="0" borderId="0" xfId="0" applyFont="1" applyBorder="1" applyAlignment="1">
      <alignment vertical="center"/>
    </xf>
    <xf numFmtId="0" fontId="89" fillId="0" borderId="0" xfId="0" applyFont="1" applyAlignment="1">
      <alignment vertical="center"/>
    </xf>
    <xf numFmtId="200" fontId="89" fillId="0" borderId="0" xfId="0" applyNumberFormat="1" applyFont="1" applyBorder="1" applyAlignment="1">
      <alignment vertical="center" shrinkToFit="1"/>
    </xf>
    <xf numFmtId="201" fontId="89" fillId="0" borderId="0" xfId="0" applyNumberFormat="1" applyFont="1" applyBorder="1" applyAlignment="1">
      <alignment horizontal="right" vertical="center" shrinkToFit="1"/>
    </xf>
    <xf numFmtId="190" fontId="89" fillId="0" borderId="0" xfId="0" applyNumberFormat="1" applyFont="1" applyBorder="1" applyAlignment="1">
      <alignment vertical="center"/>
    </xf>
    <xf numFmtId="0" fontId="89" fillId="0" borderId="0" xfId="0" applyFont="1" applyAlignment="1">
      <alignment horizontal="center" vertical="center"/>
    </xf>
    <xf numFmtId="202" fontId="89" fillId="0" borderId="0" xfId="0" applyNumberFormat="1" applyFont="1" applyBorder="1" applyAlignment="1">
      <alignment horizontal="center" vertical="center"/>
    </xf>
    <xf numFmtId="0" fontId="90" fillId="0" borderId="0" xfId="0" applyFont="1" applyBorder="1" applyAlignment="1">
      <alignment horizontal="right" vertical="center"/>
    </xf>
    <xf numFmtId="203" fontId="89" fillId="0" borderId="0" xfId="0" applyNumberFormat="1" applyFont="1" applyBorder="1" applyAlignment="1">
      <alignment vertical="center"/>
    </xf>
    <xf numFmtId="200" fontId="89" fillId="0" borderId="0" xfId="0" applyNumberFormat="1" applyFont="1" applyBorder="1" applyAlignment="1">
      <alignment horizontal="left" vertical="center"/>
    </xf>
    <xf numFmtId="0" fontId="90" fillId="0" borderId="0" xfId="0" applyFont="1" applyBorder="1" applyAlignment="1">
      <alignment horizontal="center" vertical="center"/>
    </xf>
    <xf numFmtId="2" fontId="89" fillId="0" borderId="0" xfId="0" applyNumberFormat="1" applyFont="1" applyBorder="1" applyAlignment="1">
      <alignment horizontal="left" vertical="center"/>
    </xf>
    <xf numFmtId="2" fontId="89" fillId="0" borderId="0" xfId="0" applyNumberFormat="1" applyFont="1" applyBorder="1" applyAlignment="1">
      <alignment vertical="center"/>
    </xf>
    <xf numFmtId="0" fontId="89" fillId="0" borderId="0" xfId="0" applyFont="1" applyBorder="1" applyAlignment="1">
      <alignment horizontal="right" vertical="center"/>
    </xf>
    <xf numFmtId="0" fontId="89" fillId="0" borderId="0" xfId="0" applyFont="1" applyBorder="1" applyAlignment="1">
      <alignment vertical="center" shrinkToFit="1"/>
    </xf>
    <xf numFmtId="0" fontId="56" fillId="0" borderId="0" xfId="0" applyNumberFormat="1" applyFont="1" applyBorder="1" applyAlignment="1">
      <alignment vertical="center"/>
    </xf>
    <xf numFmtId="0" fontId="92" fillId="0" borderId="0" xfId="0" applyFont="1" applyBorder="1" applyAlignment="1">
      <alignment horizontal="left" vertical="center" indent="1"/>
    </xf>
    <xf numFmtId="0" fontId="98" fillId="0" borderId="0" xfId="0" applyNumberFormat="1" applyFont="1" applyAlignment="1">
      <alignment vertical="center"/>
    </xf>
    <xf numFmtId="0" fontId="40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57" fillId="0" borderId="49" xfId="0" applyFont="1" applyBorder="1" applyAlignment="1">
      <alignment horizontal="center" vertical="center"/>
    </xf>
    <xf numFmtId="49" fontId="51" fillId="33" borderId="0" xfId="79" applyNumberFormat="1" applyFont="1" applyFill="1" applyAlignment="1">
      <alignment horizontal="center" vertical="center"/>
    </xf>
    <xf numFmtId="0" fontId="51" fillId="33" borderId="0" xfId="79" applyNumberFormat="1" applyFont="1" applyFill="1" applyAlignment="1">
      <alignment horizontal="center" vertical="center"/>
    </xf>
    <xf numFmtId="49" fontId="2" fillId="0" borderId="0" xfId="79" applyNumberFormat="1" applyFont="1" applyFill="1" applyAlignment="1">
      <alignment horizontal="center" vertical="center"/>
    </xf>
    <xf numFmtId="0" fontId="2" fillId="0" borderId="0" xfId="79" applyNumberFormat="1" applyFont="1" applyFill="1" applyAlignment="1">
      <alignment horizontal="center" vertical="center"/>
    </xf>
    <xf numFmtId="192" fontId="99" fillId="0" borderId="0" xfId="0" applyNumberFormat="1" applyFont="1" applyFill="1" applyAlignment="1">
      <alignment horizontal="left" vertical="center"/>
    </xf>
    <xf numFmtId="49" fontId="3" fillId="0" borderId="0" xfId="79" applyNumberFormat="1" applyFont="1" applyFill="1" applyAlignment="1">
      <alignment horizontal="center" vertical="center"/>
    </xf>
    <xf numFmtId="0" fontId="3" fillId="33" borderId="0" xfId="79" applyNumberFormat="1" applyFont="1" applyFill="1" applyAlignment="1">
      <alignment horizontal="left" vertical="center"/>
    </xf>
    <xf numFmtId="49" fontId="2" fillId="33" borderId="0" xfId="79" applyNumberFormat="1" applyFont="1" applyFill="1" applyAlignment="1">
      <alignment horizontal="center" vertical="center"/>
    </xf>
    <xf numFmtId="0" fontId="51" fillId="33" borderId="0" xfId="78" applyNumberFormat="1" applyFont="1" applyFill="1" applyBorder="1" applyAlignment="1">
      <alignment horizontal="center" vertical="center"/>
    </xf>
    <xf numFmtId="49" fontId="2" fillId="0" borderId="0" xfId="79" applyNumberFormat="1" applyFont="1" applyFill="1" applyBorder="1" applyAlignment="1">
      <alignment vertical="center"/>
    </xf>
    <xf numFmtId="49" fontId="51" fillId="0" borderId="19" xfId="80" applyNumberFormat="1" applyFont="1" applyFill="1" applyBorder="1" applyAlignment="1">
      <alignment horizontal="right" vertical="center"/>
    </xf>
    <xf numFmtId="49" fontId="51" fillId="0" borderId="0" xfId="79" applyNumberFormat="1" applyFont="1" applyFill="1" applyBorder="1" applyAlignment="1">
      <alignment horizontal="center" vertical="center"/>
    </xf>
    <xf numFmtId="0" fontId="99" fillId="0" borderId="0" xfId="79" applyNumberFormat="1" applyFont="1" applyFill="1" applyAlignment="1">
      <alignment horizontal="center" vertical="center"/>
    </xf>
    <xf numFmtId="0" fontId="101" fillId="0" borderId="0" xfId="0" applyFont="1">
      <alignment vertical="center"/>
    </xf>
    <xf numFmtId="0" fontId="56" fillId="0" borderId="0" xfId="0" applyFont="1" applyAlignment="1">
      <alignment horizontal="center" vertical="center"/>
    </xf>
    <xf numFmtId="0" fontId="55" fillId="26" borderId="49" xfId="0" applyFont="1" applyFill="1" applyBorder="1" applyAlignment="1">
      <alignment horizontal="center" vertical="center" wrapText="1"/>
    </xf>
    <xf numFmtId="49" fontId="57" fillId="0" borderId="49" xfId="0" applyNumberFormat="1" applyFont="1" applyBorder="1" applyAlignment="1">
      <alignment horizontal="center" vertical="center"/>
    </xf>
    <xf numFmtId="0" fontId="51" fillId="0" borderId="59" xfId="79" applyNumberFormat="1" applyFont="1" applyFill="1" applyBorder="1" applyAlignment="1">
      <alignment horizontal="center" vertical="center" wrapText="1"/>
    </xf>
    <xf numFmtId="0" fontId="51" fillId="0" borderId="33" xfId="79" applyNumberFormat="1" applyFont="1" applyFill="1" applyBorder="1" applyAlignment="1">
      <alignment horizontal="center" vertical="center"/>
    </xf>
    <xf numFmtId="0" fontId="51" fillId="0" borderId="66" xfId="79" applyNumberFormat="1" applyFont="1" applyFill="1" applyBorder="1" applyAlignment="1">
      <alignment horizontal="center" vertical="center"/>
    </xf>
    <xf numFmtId="0" fontId="51" fillId="0" borderId="18" xfId="79" applyNumberFormat="1" applyFont="1" applyFill="1" applyBorder="1" applyAlignment="1">
      <alignment horizontal="center" vertical="center"/>
    </xf>
    <xf numFmtId="0" fontId="51" fillId="0" borderId="62" xfId="79" applyNumberFormat="1" applyFont="1" applyFill="1" applyBorder="1" applyAlignment="1">
      <alignment horizontal="center" vertical="center"/>
    </xf>
    <xf numFmtId="0" fontId="51" fillId="0" borderId="78" xfId="79" applyNumberFormat="1" applyFont="1" applyFill="1" applyBorder="1" applyAlignment="1">
      <alignment horizontal="center" vertical="center"/>
    </xf>
    <xf numFmtId="0" fontId="51" fillId="0" borderId="79" xfId="79" applyNumberFormat="1" applyFont="1" applyFill="1" applyBorder="1" applyAlignment="1">
      <alignment horizontal="center" vertical="center"/>
    </xf>
    <xf numFmtId="0" fontId="51" fillId="0" borderId="80" xfId="79" applyNumberFormat="1" applyFont="1" applyFill="1" applyBorder="1" applyAlignment="1">
      <alignment horizontal="center" vertical="center"/>
    </xf>
    <xf numFmtId="0" fontId="51" fillId="0" borderId="17" xfId="79" applyNumberFormat="1" applyFont="1" applyFill="1" applyBorder="1" applyAlignment="1">
      <alignment horizontal="center" vertical="center"/>
    </xf>
    <xf numFmtId="0" fontId="51" fillId="0" borderId="81" xfId="79" applyNumberFormat="1" applyFont="1" applyFill="1" applyBorder="1" applyAlignment="1">
      <alignment horizontal="center" vertical="center"/>
    </xf>
    <xf numFmtId="0" fontId="51" fillId="0" borderId="82" xfId="79" applyNumberFormat="1" applyFont="1" applyFill="1" applyBorder="1" applyAlignment="1">
      <alignment horizontal="center" vertical="center"/>
    </xf>
    <xf numFmtId="0" fontId="51" fillId="0" borderId="70" xfId="79" applyNumberFormat="1" applyFont="1" applyFill="1" applyBorder="1" applyAlignment="1">
      <alignment horizontal="center" vertical="center"/>
    </xf>
    <xf numFmtId="0" fontId="51" fillId="0" borderId="13" xfId="79" applyNumberFormat="1" applyFont="1" applyFill="1" applyBorder="1" applyAlignment="1">
      <alignment horizontal="center" vertical="center"/>
    </xf>
    <xf numFmtId="0" fontId="51" fillId="0" borderId="83" xfId="79" applyNumberFormat="1" applyFont="1" applyFill="1" applyBorder="1" applyAlignment="1">
      <alignment horizontal="center" vertical="center"/>
    </xf>
    <xf numFmtId="0" fontId="51" fillId="0" borderId="84" xfId="79" applyNumberFormat="1" applyFont="1" applyFill="1" applyBorder="1" applyAlignment="1">
      <alignment horizontal="center" vertical="center"/>
    </xf>
    <xf numFmtId="0" fontId="51" fillId="0" borderId="85" xfId="79" applyNumberFormat="1" applyFont="1" applyFill="1" applyBorder="1" applyAlignment="1">
      <alignment horizontal="center" vertical="center"/>
    </xf>
    <xf numFmtId="0" fontId="51" fillId="33" borderId="0" xfId="79" applyNumberFormat="1" applyFont="1" applyFill="1" applyBorder="1" applyAlignment="1">
      <alignment horizontal="center" vertical="center"/>
    </xf>
    <xf numFmtId="0" fontId="65" fillId="0" borderId="0" xfId="0" applyNumberFormat="1" applyFont="1" applyFill="1" applyBorder="1" applyAlignment="1">
      <alignment vertical="center"/>
    </xf>
    <xf numFmtId="0" fontId="9" fillId="29" borderId="86" xfId="0" applyNumberFormat="1" applyFont="1" applyFill="1" applyBorder="1" applyAlignment="1">
      <alignment horizontal="center" vertical="center"/>
    </xf>
    <xf numFmtId="0" fontId="49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61" fillId="27" borderId="61" xfId="81" applyFont="1" applyFill="1" applyBorder="1" applyAlignment="1">
      <alignment horizontal="center" vertical="center"/>
    </xf>
    <xf numFmtId="0" fontId="102" fillId="0" borderId="0" xfId="0" applyNumberFormat="1" applyFont="1" applyFill="1" applyAlignment="1">
      <alignment horizontal="left" vertical="center" indent="1"/>
    </xf>
    <xf numFmtId="0" fontId="101" fillId="0" borderId="0" xfId="0" applyNumberFormat="1" applyFont="1" applyFill="1" applyBorder="1" applyAlignment="1">
      <alignment horizontal="center" vertical="center"/>
    </xf>
    <xf numFmtId="0" fontId="101" fillId="0" borderId="0" xfId="0" applyNumberFormat="1" applyFont="1" applyFill="1" applyBorder="1" applyAlignment="1">
      <alignment horizontal="left" vertical="center"/>
    </xf>
    <xf numFmtId="0" fontId="101" fillId="0" borderId="0" xfId="0" applyNumberFormat="1" applyFont="1">
      <alignment vertical="center"/>
    </xf>
    <xf numFmtId="0" fontId="101" fillId="0" borderId="46" xfId="0" applyNumberFormat="1" applyFont="1" applyFill="1" applyBorder="1" applyAlignment="1">
      <alignment horizontal="center" vertical="center"/>
    </xf>
    <xf numFmtId="0" fontId="101" fillId="0" borderId="0" xfId="0" applyNumberFormat="1" applyFont="1" applyFill="1" applyAlignment="1">
      <alignment horizontal="center" vertical="center"/>
    </xf>
    <xf numFmtId="0" fontId="104" fillId="0" borderId="0" xfId="0" applyNumberFormat="1" applyFont="1" applyFill="1" applyAlignment="1">
      <alignment horizontal="center" vertical="center"/>
    </xf>
    <xf numFmtId="0" fontId="102" fillId="0" borderId="0" xfId="0" applyNumberFormat="1" applyFont="1" applyFill="1" applyAlignment="1">
      <alignment vertical="center"/>
    </xf>
    <xf numFmtId="0" fontId="102" fillId="0" borderId="0" xfId="0" applyNumberFormat="1" applyFont="1" applyFill="1" applyBorder="1" applyAlignment="1">
      <alignment vertical="center"/>
    </xf>
    <xf numFmtId="0" fontId="101" fillId="0" borderId="88" xfId="78" applyNumberFormat="1" applyFont="1" applyFill="1" applyBorder="1" applyAlignment="1">
      <alignment horizontal="center" vertical="center"/>
    </xf>
    <xf numFmtId="0" fontId="101" fillId="0" borderId="91" xfId="78" applyNumberFormat="1" applyFont="1" applyFill="1" applyBorder="1" applyAlignment="1">
      <alignment horizontal="center" vertical="center"/>
    </xf>
    <xf numFmtId="205" fontId="101" fillId="0" borderId="92" xfId="78" applyNumberFormat="1" applyFont="1" applyFill="1" applyBorder="1" applyAlignment="1">
      <alignment horizontal="center" vertical="center"/>
    </xf>
    <xf numFmtId="205" fontId="101" fillId="0" borderId="87" xfId="78" applyNumberFormat="1" applyFont="1" applyFill="1" applyBorder="1" applyAlignment="1">
      <alignment horizontal="center" vertical="center"/>
    </xf>
    <xf numFmtId="205" fontId="101" fillId="0" borderId="92" xfId="0" applyNumberFormat="1" applyFont="1" applyFill="1" applyBorder="1" applyAlignment="1">
      <alignment horizontal="center" vertical="center"/>
    </xf>
    <xf numFmtId="205" fontId="101" fillId="33" borderId="87" xfId="0" applyNumberFormat="1" applyFont="1" applyFill="1" applyBorder="1" applyAlignment="1">
      <alignment horizontal="center" vertical="center"/>
    </xf>
    <xf numFmtId="205" fontId="101" fillId="0" borderId="87" xfId="0" applyNumberFormat="1" applyFont="1" applyFill="1" applyBorder="1" applyAlignment="1">
      <alignment horizontal="center" vertical="center"/>
    </xf>
    <xf numFmtId="0" fontId="101" fillId="0" borderId="92" xfId="78" applyNumberFormat="1" applyFont="1" applyFill="1" applyBorder="1" applyAlignment="1">
      <alignment horizontal="center" vertical="center"/>
    </xf>
    <xf numFmtId="0" fontId="101" fillId="0" borderId="0" xfId="0" applyNumberFormat="1" applyFont="1" applyFill="1" applyBorder="1" applyAlignment="1">
      <alignment vertical="center"/>
    </xf>
    <xf numFmtId="0" fontId="101" fillId="0" borderId="87" xfId="0" applyNumberFormat="1" applyFont="1" applyFill="1" applyBorder="1" applyAlignment="1">
      <alignment horizontal="center" vertical="center"/>
    </xf>
    <xf numFmtId="0" fontId="101" fillId="0" borderId="0" xfId="0" applyNumberFormat="1" applyFont="1" applyFill="1" applyAlignment="1">
      <alignment vertical="center"/>
    </xf>
    <xf numFmtId="196" fontId="6" fillId="29" borderId="86" xfId="0" applyNumberFormat="1" applyFont="1" applyFill="1" applyBorder="1" applyAlignment="1">
      <alignment horizontal="center" vertical="center" wrapText="1"/>
    </xf>
    <xf numFmtId="196" fontId="9" fillId="29" borderId="86" xfId="0" applyNumberFormat="1" applyFont="1" applyFill="1" applyBorder="1" applyAlignment="1">
      <alignment horizontal="center" vertical="center" wrapText="1"/>
    </xf>
    <xf numFmtId="196" fontId="6" fillId="29" borderId="26" xfId="0" applyNumberFormat="1" applyFont="1" applyFill="1" applyBorder="1" applyAlignment="1">
      <alignment horizontal="center" vertical="center" wrapText="1"/>
    </xf>
    <xf numFmtId="0" fontId="101" fillId="41" borderId="96" xfId="0" applyNumberFormat="1" applyFont="1" applyFill="1" applyBorder="1" applyAlignment="1">
      <alignment horizontal="center" vertical="center"/>
    </xf>
    <xf numFmtId="196" fontId="9" fillId="29" borderId="97" xfId="0" applyNumberFormat="1" applyFont="1" applyFill="1" applyBorder="1" applyAlignment="1">
      <alignment horizontal="center" vertical="center" wrapText="1"/>
    </xf>
    <xf numFmtId="0" fontId="106" fillId="30" borderId="87" xfId="0" applyNumberFormat="1" applyFont="1" applyFill="1" applyBorder="1" applyAlignment="1">
      <alignment horizontal="center" vertical="center"/>
    </xf>
    <xf numFmtId="0" fontId="106" fillId="30" borderId="95" xfId="0" applyNumberFormat="1" applyFont="1" applyFill="1" applyBorder="1" applyAlignment="1">
      <alignment horizontal="center" vertical="center"/>
    </xf>
    <xf numFmtId="0" fontId="2" fillId="0" borderId="26" xfId="78" applyNumberFormat="1" applyFont="1" applyFill="1" applyBorder="1" applyAlignment="1">
      <alignment horizontal="center" vertical="center"/>
    </xf>
    <xf numFmtId="0" fontId="2" fillId="30" borderId="26" xfId="78" applyNumberFormat="1" applyFont="1" applyFill="1" applyBorder="1" applyAlignment="1">
      <alignment horizontal="center" vertical="center"/>
    </xf>
    <xf numFmtId="196" fontId="101" fillId="0" borderId="0" xfId="0" applyNumberFormat="1" applyFont="1">
      <alignment vertical="center"/>
    </xf>
    <xf numFmtId="49" fontId="2" fillId="0" borderId="46" xfId="78" applyNumberFormat="1" applyFont="1" applyFill="1" applyBorder="1" applyAlignment="1">
      <alignment horizontal="center" vertical="center"/>
    </xf>
    <xf numFmtId="206" fontId="2" fillId="0" borderId="46" xfId="78" applyNumberFormat="1" applyFont="1" applyFill="1" applyBorder="1" applyAlignment="1">
      <alignment horizontal="center" vertical="center"/>
    </xf>
    <xf numFmtId="0" fontId="51" fillId="33" borderId="63" xfId="79" applyNumberFormat="1" applyFont="1" applyFill="1" applyBorder="1" applyAlignment="1">
      <alignment horizontal="center" vertical="center"/>
    </xf>
    <xf numFmtId="0" fontId="64" fillId="33" borderId="63" xfId="0" applyNumberFormat="1" applyFont="1" applyFill="1" applyBorder="1" applyAlignment="1">
      <alignment horizontal="left" vertical="center"/>
    </xf>
    <xf numFmtId="0" fontId="107" fillId="0" borderId="0" xfId="79" applyNumberFormat="1" applyFont="1" applyFill="1" applyAlignment="1">
      <alignment horizontal="center" vertical="center"/>
    </xf>
    <xf numFmtId="0" fontId="101" fillId="41" borderId="96" xfId="82" applyNumberFormat="1" applyFont="1" applyFill="1" applyBorder="1" applyAlignment="1">
      <alignment horizontal="center" vertical="center"/>
    </xf>
    <xf numFmtId="0" fontId="6" fillId="29" borderId="46" xfId="0" applyNumberFormat="1" applyFont="1" applyFill="1" applyBorder="1" applyAlignment="1">
      <alignment horizontal="center" vertical="center"/>
    </xf>
    <xf numFmtId="0" fontId="6" fillId="29" borderId="46" xfId="0" applyNumberFormat="1" applyFont="1" applyFill="1" applyBorder="1" applyAlignment="1">
      <alignment horizontal="center" vertical="center" wrapText="1"/>
    </xf>
    <xf numFmtId="0" fontId="89" fillId="0" borderId="0" xfId="0" applyFont="1" applyBorder="1" applyAlignment="1">
      <alignment horizontal="center" vertical="center" wrapText="1"/>
    </xf>
    <xf numFmtId="204" fontId="89" fillId="0" borderId="19" xfId="0" applyNumberFormat="1" applyFont="1" applyBorder="1" applyAlignment="1">
      <alignment vertical="center"/>
    </xf>
    <xf numFmtId="0" fontId="89" fillId="0" borderId="19" xfId="0" applyFont="1" applyBorder="1" applyAlignment="1">
      <alignment vertical="center"/>
    </xf>
    <xf numFmtId="0" fontId="92" fillId="0" borderId="0" xfId="0" applyFont="1" applyBorder="1">
      <alignment vertical="center"/>
    </xf>
    <xf numFmtId="0" fontId="92" fillId="0" borderId="0" xfId="0" applyNumberFormat="1" applyFont="1" applyBorder="1" applyAlignment="1">
      <alignment vertical="center"/>
    </xf>
    <xf numFmtId="0" fontId="89" fillId="0" borderId="19" xfId="0" applyNumberFormat="1" applyFont="1" applyBorder="1" applyAlignment="1">
      <alignment vertical="center"/>
    </xf>
    <xf numFmtId="0" fontId="108" fillId="0" borderId="0" xfId="0" applyNumberFormat="1" applyFont="1" applyBorder="1" applyAlignment="1">
      <alignment vertical="center"/>
    </xf>
    <xf numFmtId="0" fontId="54" fillId="0" borderId="0" xfId="0" applyFont="1" applyBorder="1" applyAlignment="1">
      <alignment horizontal="left" vertical="center"/>
    </xf>
    <xf numFmtId="0" fontId="54" fillId="0" borderId="0" xfId="0" applyFont="1" applyBorder="1" applyAlignment="1">
      <alignment vertical="center"/>
    </xf>
    <xf numFmtId="0" fontId="55" fillId="26" borderId="64" xfId="0" applyFont="1" applyFill="1" applyBorder="1" applyAlignment="1">
      <alignment horizontal="center" vertical="center"/>
    </xf>
    <xf numFmtId="0" fontId="73" fillId="0" borderId="98" xfId="0" applyFont="1" applyFill="1" applyBorder="1" applyAlignment="1">
      <alignment horizontal="center" vertical="center"/>
    </xf>
    <xf numFmtId="0" fontId="65" fillId="0" borderId="0" xfId="0" applyFont="1">
      <alignment vertical="center"/>
    </xf>
    <xf numFmtId="0" fontId="109" fillId="0" borderId="0" xfId="0" applyFont="1">
      <alignment vertical="center"/>
    </xf>
    <xf numFmtId="210" fontId="109" fillId="0" borderId="96" xfId="0" applyNumberFormat="1" applyFont="1" applyBorder="1">
      <alignment vertical="center"/>
    </xf>
    <xf numFmtId="0" fontId="73" fillId="41" borderId="49" xfId="0" applyFont="1" applyFill="1" applyBorder="1" applyAlignment="1">
      <alignment horizontal="center" vertical="center"/>
    </xf>
    <xf numFmtId="0" fontId="73" fillId="33" borderId="39" xfId="0" applyNumberFormat="1" applyFont="1" applyFill="1" applyBorder="1" applyAlignment="1">
      <alignment horizontal="center" vertical="center"/>
    </xf>
    <xf numFmtId="0" fontId="73" fillId="28" borderId="38" xfId="0" applyNumberFormat="1" applyFont="1" applyFill="1" applyBorder="1" applyAlignment="1">
      <alignment horizontal="center" vertical="center"/>
    </xf>
    <xf numFmtId="0" fontId="73" fillId="0" borderId="49" xfId="0" applyNumberFormat="1" applyFont="1" applyBorder="1" applyAlignment="1">
      <alignment horizontal="center" vertical="center"/>
    </xf>
    <xf numFmtId="0" fontId="73" fillId="34" borderId="44" xfId="0" applyNumberFormat="1" applyFont="1" applyFill="1" applyBorder="1" applyAlignment="1">
      <alignment horizontal="center" vertical="center"/>
    </xf>
    <xf numFmtId="0" fontId="73" fillId="28" borderId="44" xfId="0" applyNumberFormat="1" applyFont="1" applyFill="1" applyBorder="1">
      <alignment vertical="center"/>
    </xf>
    <xf numFmtId="189" fontId="73" fillId="33" borderId="38" xfId="0" applyNumberFormat="1" applyFont="1" applyFill="1" applyBorder="1" applyAlignment="1">
      <alignment horizontal="center" vertical="center"/>
    </xf>
    <xf numFmtId="205" fontId="73" fillId="28" borderId="44" xfId="0" applyNumberFormat="1" applyFont="1" applyFill="1" applyBorder="1">
      <alignment vertical="center"/>
    </xf>
    <xf numFmtId="205" fontId="73" fillId="28" borderId="99" xfId="0" applyNumberFormat="1" applyFont="1" applyFill="1" applyBorder="1">
      <alignment vertical="center"/>
    </xf>
    <xf numFmtId="0" fontId="73" fillId="33" borderId="42" xfId="0" applyNumberFormat="1" applyFont="1" applyFill="1" applyBorder="1" applyAlignment="1">
      <alignment horizontal="center" vertical="center"/>
    </xf>
    <xf numFmtId="0" fontId="73" fillId="0" borderId="41" xfId="0" applyNumberFormat="1" applyFont="1" applyBorder="1" applyAlignment="1">
      <alignment horizontal="center" vertical="center"/>
    </xf>
    <xf numFmtId="0" fontId="73" fillId="34" borderId="45" xfId="0" applyNumberFormat="1" applyFont="1" applyFill="1" applyBorder="1" applyAlignment="1">
      <alignment horizontal="center" vertical="center"/>
    </xf>
    <xf numFmtId="0" fontId="73" fillId="28" borderId="45" xfId="0" applyNumberFormat="1" applyFont="1" applyFill="1" applyBorder="1">
      <alignment vertical="center"/>
    </xf>
    <xf numFmtId="189" fontId="73" fillId="33" borderId="40" xfId="0" applyNumberFormat="1" applyFont="1" applyFill="1" applyBorder="1" applyAlignment="1">
      <alignment horizontal="center" vertical="center"/>
    </xf>
    <xf numFmtId="0" fontId="73" fillId="35" borderId="41" xfId="0" applyFont="1" applyFill="1" applyBorder="1" applyAlignment="1">
      <alignment horizontal="center" vertical="center"/>
    </xf>
    <xf numFmtId="205" fontId="73" fillId="28" borderId="45" xfId="0" applyNumberFormat="1" applyFont="1" applyFill="1" applyBorder="1">
      <alignment vertical="center"/>
    </xf>
    <xf numFmtId="0" fontId="87" fillId="0" borderId="0" xfId="0" applyNumberFormat="1" applyFont="1" applyFill="1" applyAlignment="1">
      <alignment vertical="center"/>
    </xf>
    <xf numFmtId="0" fontId="103" fillId="29" borderId="46" xfId="0" applyNumberFormat="1" applyFont="1" applyFill="1" applyBorder="1" applyAlignment="1">
      <alignment horizontal="center" vertical="center" wrapText="1"/>
    </xf>
    <xf numFmtId="0" fontId="72" fillId="0" borderId="0" xfId="0" applyFont="1" applyAlignment="1">
      <alignment vertical="center"/>
    </xf>
    <xf numFmtId="0" fontId="87" fillId="0" borderId="0" xfId="0" applyNumberFormat="1" applyFont="1">
      <alignment vertical="center"/>
    </xf>
    <xf numFmtId="41" fontId="2" fillId="0" borderId="0" xfId="0" applyNumberFormat="1" applyFont="1" applyFill="1" applyBorder="1">
      <alignment vertical="center"/>
    </xf>
    <xf numFmtId="0" fontId="73" fillId="28" borderId="42" xfId="0" applyNumberFormat="1" applyFont="1" applyFill="1" applyBorder="1">
      <alignment vertical="center"/>
    </xf>
    <xf numFmtId="0" fontId="73" fillId="0" borderId="40" xfId="0" applyNumberFormat="1" applyFont="1" applyFill="1" applyBorder="1">
      <alignment vertical="center"/>
    </xf>
    <xf numFmtId="0" fontId="73" fillId="28" borderId="39" xfId="0" applyNumberFormat="1" applyFont="1" applyFill="1" applyBorder="1">
      <alignment vertical="center"/>
    </xf>
    <xf numFmtId="0" fontId="73" fillId="0" borderId="38" xfId="0" applyNumberFormat="1" applyFont="1" applyFill="1" applyBorder="1">
      <alignment vertical="center"/>
    </xf>
    <xf numFmtId="0" fontId="73" fillId="30" borderId="45" xfId="0" applyNumberFormat="1" applyFont="1" applyFill="1" applyBorder="1">
      <alignment vertical="center"/>
    </xf>
    <xf numFmtId="0" fontId="54" fillId="0" borderId="49" xfId="0" applyNumberFormat="1" applyFont="1" applyBorder="1" applyAlignment="1">
      <alignment horizontal="center" vertical="center"/>
    </xf>
    <xf numFmtId="41" fontId="54" fillId="0" borderId="49" xfId="132" applyFont="1" applyBorder="1" applyAlignment="1">
      <alignment horizontal="center" vertical="center"/>
    </xf>
    <xf numFmtId="0" fontId="54" fillId="0" borderId="49" xfId="0" applyNumberFormat="1" applyFont="1" applyBorder="1" applyAlignment="1">
      <alignment vertical="center"/>
    </xf>
    <xf numFmtId="0" fontId="54" fillId="0" borderId="49" xfId="132" applyNumberFormat="1" applyFont="1" applyBorder="1" applyAlignment="1">
      <alignment horizontal="center" vertical="center"/>
    </xf>
    <xf numFmtId="0" fontId="108" fillId="0" borderId="0" xfId="0" applyNumberFormat="1" applyFont="1">
      <alignment vertical="center"/>
    </xf>
    <xf numFmtId="0" fontId="108" fillId="0" borderId="0" xfId="0" applyNumberFormat="1" applyFont="1" applyAlignment="1">
      <alignment horizontal="left" vertical="center" indent="1"/>
    </xf>
    <xf numFmtId="41" fontId="54" fillId="28" borderId="49" xfId="132" applyFont="1" applyFill="1" applyBorder="1" applyAlignment="1">
      <alignment horizontal="center" vertical="center"/>
    </xf>
    <xf numFmtId="0" fontId="54" fillId="30" borderId="49" xfId="0" applyNumberFormat="1" applyFont="1" applyFill="1" applyBorder="1" applyAlignment="1">
      <alignment horizontal="center" vertical="center"/>
    </xf>
    <xf numFmtId="41" fontId="54" fillId="30" borderId="49" xfId="132" applyFont="1" applyFill="1" applyBorder="1" applyAlignment="1">
      <alignment horizontal="center" vertical="center"/>
    </xf>
    <xf numFmtId="190" fontId="73" fillId="28" borderId="44" xfId="0" applyNumberFormat="1" applyFont="1" applyFill="1" applyBorder="1">
      <alignment vertical="center"/>
    </xf>
    <xf numFmtId="190" fontId="73" fillId="28" borderId="45" xfId="0" applyNumberFormat="1" applyFont="1" applyFill="1" applyBorder="1">
      <alignment vertical="center"/>
    </xf>
    <xf numFmtId="0" fontId="103" fillId="29" borderId="87" xfId="0" applyNumberFormat="1" applyFont="1" applyFill="1" applyBorder="1" applyAlignment="1">
      <alignment horizontal="center" vertical="center" wrapText="1"/>
    </xf>
    <xf numFmtId="0" fontId="103" fillId="29" borderId="3" xfId="0" applyNumberFormat="1" applyFont="1" applyFill="1" applyBorder="1" applyAlignment="1">
      <alignment horizontal="center" vertical="center" wrapText="1"/>
    </xf>
    <xf numFmtId="0" fontId="101" fillId="0" borderId="3" xfId="0" applyNumberFormat="1" applyFont="1" applyFill="1" applyBorder="1" applyAlignment="1">
      <alignment horizontal="center" vertical="center"/>
    </xf>
    <xf numFmtId="0" fontId="101" fillId="41" borderId="3" xfId="0" applyNumberFormat="1" applyFont="1" applyFill="1" applyBorder="1" applyAlignment="1">
      <alignment horizontal="center" vertical="center"/>
    </xf>
    <xf numFmtId="196" fontId="9" fillId="29" borderId="3" xfId="0" applyNumberFormat="1" applyFont="1" applyFill="1" applyBorder="1" applyAlignment="1">
      <alignment horizontal="center" vertical="center" wrapText="1"/>
    </xf>
    <xf numFmtId="0" fontId="103" fillId="29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101" fillId="0" borderId="3" xfId="0" applyFont="1" applyFill="1" applyBorder="1" applyAlignment="1">
      <alignment horizontal="center" vertical="center"/>
    </xf>
    <xf numFmtId="0" fontId="2" fillId="0" borderId="3" xfId="0" quotePrefix="1" applyNumberFormat="1" applyFont="1" applyFill="1" applyBorder="1" applyAlignment="1">
      <alignment horizontal="left" vertical="center"/>
    </xf>
    <xf numFmtId="190" fontId="101" fillId="0" borderId="3" xfId="0" applyNumberFormat="1" applyFont="1" applyFill="1" applyBorder="1" applyAlignment="1">
      <alignment horizontal="center" vertical="center"/>
    </xf>
    <xf numFmtId="205" fontId="101" fillId="0" borderId="3" xfId="0" applyNumberFormat="1" applyFont="1" applyFill="1" applyBorder="1" applyAlignment="1">
      <alignment horizontal="center" vertical="center"/>
    </xf>
    <xf numFmtId="0" fontId="103" fillId="29" borderId="87" xfId="0" applyNumberFormat="1" applyFont="1" applyFill="1" applyBorder="1" applyAlignment="1">
      <alignment horizontal="center" vertical="center"/>
    </xf>
    <xf numFmtId="205" fontId="101" fillId="0" borderId="113" xfId="0" applyNumberFormat="1" applyFont="1" applyFill="1" applyBorder="1" applyAlignment="1">
      <alignment horizontal="center" vertical="center"/>
    </xf>
    <xf numFmtId="0" fontId="101" fillId="0" borderId="3" xfId="78" applyNumberFormat="1" applyFont="1" applyFill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205" fontId="54" fillId="0" borderId="0" xfId="0" applyNumberFormat="1" applyFont="1" applyBorder="1" applyAlignment="1">
      <alignment vertical="center"/>
    </xf>
    <xf numFmtId="205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left" vertical="center"/>
    </xf>
    <xf numFmtId="0" fontId="54" fillId="0" borderId="0" xfId="0" applyNumberFormat="1" applyFont="1" applyBorder="1" applyAlignment="1">
      <alignment horizontal="center" vertical="center"/>
    </xf>
    <xf numFmtId="197" fontId="54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0" fontId="54" fillId="28" borderId="49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89" fillId="0" borderId="49" xfId="0" applyNumberFormat="1" applyFont="1" applyBorder="1" applyAlignment="1">
      <alignment horizontal="center" vertical="center"/>
    </xf>
    <xf numFmtId="205" fontId="89" fillId="0" borderId="0" xfId="0" applyNumberFormat="1" applyFont="1" applyBorder="1" applyAlignment="1">
      <alignment vertical="center"/>
    </xf>
    <xf numFmtId="0" fontId="89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4" fillId="0" borderId="64" xfId="0" applyNumberFormat="1" applyFont="1" applyBorder="1" applyAlignment="1">
      <alignment horizontal="center" vertical="center"/>
    </xf>
    <xf numFmtId="0" fontId="54" fillId="0" borderId="67" xfId="0" applyNumberFormat="1" applyFont="1" applyBorder="1" applyAlignment="1">
      <alignment horizontal="center" vertical="center"/>
    </xf>
    <xf numFmtId="0" fontId="54" fillId="0" borderId="65" xfId="0" applyNumberFormat="1" applyFont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/>
    </xf>
    <xf numFmtId="0" fontId="6" fillId="29" borderId="86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 wrapText="1"/>
    </xf>
    <xf numFmtId="0" fontId="103" fillId="29" borderId="27" xfId="0" applyNumberFormat="1" applyFont="1" applyFill="1" applyBorder="1" applyAlignment="1">
      <alignment horizontal="center" vertical="center"/>
    </xf>
    <xf numFmtId="205" fontId="101" fillId="0" borderId="88" xfId="78" applyNumberFormat="1" applyFont="1" applyFill="1" applyBorder="1" applyAlignment="1">
      <alignment horizontal="center" vertical="center"/>
    </xf>
    <xf numFmtId="0" fontId="101" fillId="0" borderId="90" xfId="0" applyNumberFormat="1" applyFont="1" applyFill="1" applyBorder="1" applyAlignment="1">
      <alignment horizontal="center" vertical="center"/>
    </xf>
    <xf numFmtId="0" fontId="101" fillId="0" borderId="115" xfId="0" applyNumberFormat="1" applyFont="1" applyFill="1" applyBorder="1" applyAlignment="1">
      <alignment horizontal="center" vertical="center"/>
    </xf>
    <xf numFmtId="205" fontId="101" fillId="33" borderId="88" xfId="0" applyNumberFormat="1" applyFont="1" applyFill="1" applyBorder="1" applyAlignment="1">
      <alignment horizontal="center" vertical="center"/>
    </xf>
    <xf numFmtId="205" fontId="101" fillId="0" borderId="113" xfId="78" applyNumberFormat="1" applyFont="1" applyFill="1" applyBorder="1" applyAlignment="1">
      <alignment horizontal="center" vertical="center"/>
    </xf>
    <xf numFmtId="0" fontId="103" fillId="29" borderId="0" xfId="0" applyNumberFormat="1" applyFont="1" applyFill="1" applyBorder="1" applyAlignment="1">
      <alignment horizontal="center" vertical="center" wrapText="1"/>
    </xf>
    <xf numFmtId="0" fontId="2" fillId="0" borderId="3" xfId="78" applyNumberFormat="1" applyFont="1" applyFill="1" applyBorder="1" applyAlignment="1">
      <alignment horizontal="center" vertical="center"/>
    </xf>
    <xf numFmtId="0" fontId="54" fillId="0" borderId="118" xfId="0" applyFont="1" applyBorder="1" applyAlignment="1">
      <alignment vertical="center"/>
    </xf>
    <xf numFmtId="0" fontId="89" fillId="0" borderId="18" xfId="0" applyFont="1" applyBorder="1" applyAlignment="1">
      <alignment vertical="center" wrapText="1"/>
    </xf>
    <xf numFmtId="0" fontId="89" fillId="0" borderId="118" xfId="0" applyFont="1" applyBorder="1" applyAlignment="1">
      <alignment vertical="center" wrapText="1"/>
    </xf>
    <xf numFmtId="211" fontId="54" fillId="0" borderId="19" xfId="0" applyNumberFormat="1" applyFont="1" applyBorder="1" applyAlignment="1">
      <alignment vertical="center" shrinkToFit="1"/>
    </xf>
    <xf numFmtId="49" fontId="51" fillId="0" borderId="120" xfId="79" applyNumberFormat="1" applyFont="1" applyFill="1" applyBorder="1" applyAlignment="1">
      <alignment horizontal="center" vertical="center"/>
    </xf>
    <xf numFmtId="0" fontId="51" fillId="0" borderId="120" xfId="79" applyNumberFormat="1" applyFont="1" applyFill="1" applyBorder="1" applyAlignment="1">
      <alignment vertical="center"/>
    </xf>
    <xf numFmtId="0" fontId="51" fillId="0" borderId="132" xfId="79" applyNumberFormat="1" applyFont="1" applyFill="1" applyBorder="1" applyAlignment="1">
      <alignment horizontal="center" vertical="center"/>
    </xf>
    <xf numFmtId="0" fontId="51" fillId="0" borderId="131" xfId="79" applyNumberFormat="1" applyFont="1" applyFill="1" applyBorder="1" applyAlignment="1">
      <alignment horizontal="center" vertical="center"/>
    </xf>
    <xf numFmtId="0" fontId="51" fillId="0" borderId="129" xfId="79" applyNumberFormat="1" applyFont="1" applyFill="1" applyBorder="1" applyAlignment="1">
      <alignment horizontal="center" vertical="center"/>
    </xf>
    <xf numFmtId="0" fontId="51" fillId="0" borderId="130" xfId="79" applyNumberFormat="1" applyFont="1" applyFill="1" applyBorder="1" applyAlignment="1">
      <alignment horizontal="center" vertical="center"/>
    </xf>
    <xf numFmtId="0" fontId="51" fillId="0" borderId="68" xfId="79" applyNumberFormat="1" applyFont="1" applyFill="1" applyBorder="1" applyAlignment="1">
      <alignment horizontal="center" vertical="center"/>
    </xf>
    <xf numFmtId="0" fontId="51" fillId="0" borderId="126" xfId="79" applyNumberFormat="1" applyFont="1" applyFill="1" applyBorder="1" applyAlignment="1">
      <alignment horizontal="center" vertical="center"/>
    </xf>
    <xf numFmtId="0" fontId="51" fillId="0" borderId="127" xfId="79" applyNumberFormat="1" applyFont="1" applyFill="1" applyBorder="1" applyAlignment="1">
      <alignment horizontal="center" vertical="center"/>
    </xf>
    <xf numFmtId="0" fontId="51" fillId="0" borderId="74" xfId="79" applyNumberFormat="1" applyFont="1" applyFill="1" applyBorder="1" applyAlignment="1">
      <alignment horizontal="center" vertical="center"/>
    </xf>
    <xf numFmtId="49" fontId="51" fillId="0" borderId="0" xfId="79" applyNumberFormat="1" applyFont="1" applyFill="1" applyBorder="1" applyAlignment="1">
      <alignment vertical="center"/>
    </xf>
    <xf numFmtId="0" fontId="51" fillId="0" borderId="0" xfId="79" applyNumberFormat="1" applyFont="1" applyFill="1" applyBorder="1" applyAlignment="1">
      <alignment vertical="center"/>
    </xf>
    <xf numFmtId="49" fontId="51" fillId="0" borderId="0" xfId="79" applyNumberFormat="1" applyFont="1" applyFill="1" applyAlignment="1">
      <alignment horizontal="center" vertical="center"/>
    </xf>
    <xf numFmtId="0" fontId="51" fillId="0" borderId="0" xfId="79" applyNumberFormat="1" applyFont="1" applyFill="1" applyAlignment="1">
      <alignment horizontal="center" vertical="center"/>
    </xf>
    <xf numFmtId="0" fontId="51" fillId="0" borderId="51" xfId="79" applyNumberFormat="1" applyFont="1" applyFill="1" applyBorder="1" applyAlignment="1">
      <alignment horizontal="center" vertical="center"/>
    </xf>
    <xf numFmtId="0" fontId="51" fillId="0" borderId="52" xfId="79" applyNumberFormat="1" applyFont="1" applyFill="1" applyBorder="1" applyAlignment="1">
      <alignment horizontal="center" vertical="center"/>
    </xf>
    <xf numFmtId="0" fontId="51" fillId="0" borderId="53" xfId="79" applyNumberFormat="1" applyFont="1" applyFill="1" applyBorder="1" applyAlignment="1">
      <alignment horizontal="center" vertical="center"/>
    </xf>
    <xf numFmtId="0" fontId="51" fillId="0" borderId="122" xfId="79" applyNumberFormat="1" applyFont="1" applyFill="1" applyBorder="1" applyAlignment="1">
      <alignment horizontal="center" vertical="center"/>
    </xf>
    <xf numFmtId="0" fontId="51" fillId="0" borderId="69" xfId="79" applyNumberFormat="1" applyFont="1" applyFill="1" applyBorder="1" applyAlignment="1">
      <alignment horizontal="center" vertical="center"/>
    </xf>
    <xf numFmtId="0" fontId="51" fillId="0" borderId="123" xfId="79" applyNumberFormat="1" applyFont="1" applyFill="1" applyBorder="1" applyAlignment="1">
      <alignment horizontal="center" vertical="center"/>
    </xf>
    <xf numFmtId="0" fontId="51" fillId="0" borderId="55" xfId="79" applyNumberFormat="1" applyFont="1" applyFill="1" applyBorder="1" applyAlignment="1">
      <alignment horizontal="center" vertical="center"/>
    </xf>
    <xf numFmtId="0" fontId="51" fillId="0" borderId="56" xfId="79" applyNumberFormat="1" applyFont="1" applyFill="1" applyBorder="1" applyAlignment="1">
      <alignment horizontal="center" vertical="center"/>
    </xf>
    <xf numFmtId="0" fontId="51" fillId="0" borderId="58" xfId="79" applyNumberFormat="1" applyFont="1" applyFill="1" applyBorder="1" applyAlignment="1">
      <alignment horizontal="center" vertical="center"/>
    </xf>
    <xf numFmtId="0" fontId="51" fillId="0" borderId="124" xfId="79" applyNumberFormat="1" applyFont="1" applyFill="1" applyBorder="1" applyAlignment="1">
      <alignment horizontal="center" vertical="center"/>
    </xf>
    <xf numFmtId="0" fontId="51" fillId="0" borderId="60" xfId="79" applyNumberFormat="1" applyFont="1" applyFill="1" applyBorder="1" applyAlignment="1">
      <alignment horizontal="center" vertical="center"/>
    </xf>
    <xf numFmtId="0" fontId="51" fillId="0" borderId="75" xfId="79" applyNumberFormat="1" applyFont="1" applyFill="1" applyBorder="1" applyAlignment="1">
      <alignment horizontal="center" vertical="center"/>
    </xf>
    <xf numFmtId="0" fontId="51" fillId="0" borderId="125" xfId="79" applyNumberFormat="1" applyFont="1" applyFill="1" applyBorder="1" applyAlignment="1">
      <alignment horizontal="center" vertical="center"/>
    </xf>
    <xf numFmtId="0" fontId="51" fillId="0" borderId="57" xfId="79" applyNumberFormat="1" applyFont="1" applyFill="1" applyBorder="1" applyAlignment="1">
      <alignment horizontal="center" vertical="center"/>
    </xf>
    <xf numFmtId="0" fontId="51" fillId="0" borderId="50" xfId="79" applyNumberFormat="1" applyFont="1" applyFill="1" applyBorder="1" applyAlignment="1">
      <alignment horizontal="center" vertical="center"/>
    </xf>
    <xf numFmtId="0" fontId="99" fillId="0" borderId="0" xfId="79" applyNumberFormat="1" applyFont="1" applyFill="1" applyAlignment="1">
      <alignment horizontal="center" vertical="center"/>
    </xf>
    <xf numFmtId="0" fontId="51" fillId="0" borderId="129" xfId="79" applyNumberFormat="1" applyFont="1" applyFill="1" applyBorder="1" applyAlignment="1">
      <alignment vertical="center"/>
    </xf>
    <xf numFmtId="0" fontId="51" fillId="0" borderId="57" xfId="79" applyNumberFormat="1" applyFont="1" applyFill="1" applyBorder="1" applyAlignment="1">
      <alignment vertical="center"/>
    </xf>
    <xf numFmtId="49" fontId="51" fillId="33" borderId="0" xfId="79" applyNumberFormat="1" applyFont="1" applyFill="1" applyAlignment="1">
      <alignment horizontal="center" vertical="center"/>
    </xf>
    <xf numFmtId="0" fontId="51" fillId="33" borderId="0" xfId="79" applyNumberFormat="1" applyFont="1" applyFill="1" applyAlignment="1">
      <alignment horizontal="center" vertical="center"/>
    </xf>
    <xf numFmtId="49" fontId="64" fillId="33" borderId="0" xfId="0" applyNumberFormat="1" applyFont="1" applyFill="1" applyBorder="1" applyAlignment="1">
      <alignment vertical="center"/>
    </xf>
    <xf numFmtId="0" fontId="51" fillId="0" borderId="120" xfId="0" applyNumberFormat="1" applyFont="1" applyFill="1" applyBorder="1" applyAlignment="1">
      <alignment vertical="center"/>
    </xf>
    <xf numFmtId="0" fontId="101" fillId="31" borderId="3" xfId="0" applyFont="1" applyFill="1" applyBorder="1" applyAlignment="1">
      <alignment horizontal="center" vertical="center"/>
    </xf>
    <xf numFmtId="0" fontId="101" fillId="30" borderId="3" xfId="0" applyNumberFormat="1" applyFont="1" applyFill="1" applyBorder="1" applyAlignment="1">
      <alignment horizontal="center" vertical="center"/>
    </xf>
    <xf numFmtId="0" fontId="101" fillId="28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192" fontId="64" fillId="0" borderId="0" xfId="0" applyNumberFormat="1" applyFont="1" applyFill="1" applyAlignment="1">
      <alignment vertical="center"/>
    </xf>
    <xf numFmtId="195" fontId="51" fillId="0" borderId="0" xfId="78" applyNumberFormat="1" applyFont="1" applyFill="1" applyBorder="1" applyAlignment="1">
      <alignment horizontal="center" vertical="center"/>
    </xf>
    <xf numFmtId="195" fontId="51" fillId="0" borderId="0" xfId="0" applyNumberFormat="1" applyFont="1" applyFill="1" applyBorder="1" applyAlignment="1">
      <alignment horizontal="center" vertical="center"/>
    </xf>
    <xf numFmtId="213" fontId="51" fillId="0" borderId="0" xfId="0" applyNumberFormat="1" applyFont="1" applyFill="1" applyBorder="1" applyAlignment="1">
      <alignment horizontal="center" vertical="center"/>
    </xf>
    <xf numFmtId="0" fontId="64" fillId="0" borderId="0" xfId="0" applyNumberFormat="1" applyFont="1" applyFill="1" applyBorder="1" applyAlignment="1">
      <alignment horizontal="left" vertical="center"/>
    </xf>
    <xf numFmtId="214" fontId="51" fillId="0" borderId="0" xfId="0" applyNumberFormat="1" applyFont="1" applyFill="1" applyBorder="1" applyAlignment="1">
      <alignment horizontal="left" vertical="center"/>
    </xf>
    <xf numFmtId="192" fontId="51" fillId="0" borderId="0" xfId="0" applyNumberFormat="1" applyFont="1" applyFill="1" applyAlignment="1">
      <alignment horizontal="left" vertical="center"/>
    </xf>
    <xf numFmtId="0" fontId="51" fillId="0" borderId="0" xfId="78" applyNumberFormat="1" applyFont="1" applyFill="1" applyBorder="1" applyAlignment="1">
      <alignment horizontal="center" vertical="center"/>
    </xf>
    <xf numFmtId="215" fontId="51" fillId="0" borderId="0" xfId="82" applyNumberFormat="1" applyFont="1" applyFill="1" applyBorder="1" applyAlignment="1">
      <alignment horizontal="center" vertical="center"/>
    </xf>
    <xf numFmtId="0" fontId="51" fillId="0" borderId="0" xfId="78" applyNumberFormat="1" applyFont="1" applyFill="1" applyBorder="1" applyAlignment="1">
      <alignment vertical="center"/>
    </xf>
    <xf numFmtId="190" fontId="2" fillId="0" borderId="3" xfId="0" applyNumberFormat="1" applyFont="1" applyFill="1" applyBorder="1" applyAlignment="1">
      <alignment horizontal="center" vertical="center"/>
    </xf>
    <xf numFmtId="0" fontId="117" fillId="29" borderId="3" xfId="0" applyNumberFormat="1" applyFont="1" applyFill="1" applyBorder="1" applyAlignment="1">
      <alignment horizontal="center" vertical="center" wrapText="1"/>
    </xf>
    <xf numFmtId="0" fontId="115" fillId="29" borderId="87" xfId="133" applyNumberFormat="1" applyFont="1" applyFill="1" applyBorder="1" applyAlignment="1">
      <alignment horizontal="center" vertical="center" wrapText="1"/>
    </xf>
    <xf numFmtId="0" fontId="2" fillId="41" borderId="0" xfId="0" applyFont="1" applyFill="1" applyBorder="1" applyProtection="1">
      <alignment vertical="center"/>
      <protection locked="0"/>
    </xf>
    <xf numFmtId="0" fontId="118" fillId="0" borderId="0" xfId="0" applyNumberFormat="1" applyFont="1" applyAlignment="1">
      <alignment horizontal="left" vertical="center" indent="1"/>
    </xf>
    <xf numFmtId="0" fontId="119" fillId="41" borderId="3" xfId="0" applyNumberFormat="1" applyFont="1" applyFill="1" applyBorder="1" applyAlignment="1">
      <alignment horizontal="center" vertical="center"/>
    </xf>
    <xf numFmtId="0" fontId="100" fillId="40" borderId="136" xfId="86" applyFont="1" applyFill="1" applyBorder="1">
      <alignment vertical="center"/>
    </xf>
    <xf numFmtId="0" fontId="100" fillId="40" borderId="136" xfId="0" applyFont="1" applyFill="1" applyBorder="1">
      <alignment vertical="center"/>
    </xf>
    <xf numFmtId="190" fontId="101" fillId="35" borderId="135" xfId="78" applyNumberFormat="1" applyFont="1" applyFill="1" applyBorder="1" applyAlignment="1">
      <alignment horizontal="center" vertical="center"/>
    </xf>
    <xf numFmtId="0" fontId="103" fillId="29" borderId="135" xfId="0" applyNumberFormat="1" applyFont="1" applyFill="1" applyBorder="1" applyAlignment="1">
      <alignment horizontal="center" vertical="center"/>
    </xf>
    <xf numFmtId="0" fontId="101" fillId="0" borderId="135" xfId="78" applyNumberFormat="1" applyFont="1" applyFill="1" applyBorder="1" applyAlignment="1">
      <alignment horizontal="center" vertical="center"/>
    </xf>
    <xf numFmtId="11" fontId="101" fillId="0" borderId="135" xfId="78" applyNumberFormat="1" applyFont="1" applyFill="1" applyBorder="1" applyAlignment="1">
      <alignment horizontal="center" vertical="center"/>
    </xf>
    <xf numFmtId="0" fontId="51" fillId="0" borderId="118" xfId="79" applyNumberFormat="1" applyFont="1" applyFill="1" applyBorder="1" applyAlignment="1">
      <alignment vertical="center" wrapText="1"/>
    </xf>
    <xf numFmtId="0" fontId="51" fillId="0" borderId="81" xfId="79" applyNumberFormat="1" applyFont="1" applyFill="1" applyBorder="1" applyAlignment="1">
      <alignment vertical="center" wrapText="1"/>
    </xf>
    <xf numFmtId="49" fontId="57" fillId="0" borderId="136" xfId="0" applyNumberFormat="1" applyFont="1" applyBorder="1" applyAlignment="1">
      <alignment horizontal="center" vertical="center"/>
    </xf>
    <xf numFmtId="0" fontId="2" fillId="0" borderId="135" xfId="78" applyNumberFormat="1" applyFont="1" applyFill="1" applyBorder="1" applyAlignment="1">
      <alignment horizontal="center" vertical="center"/>
    </xf>
    <xf numFmtId="49" fontId="6" fillId="29" borderId="135" xfId="0" applyNumberFormat="1" applyFont="1" applyFill="1" applyBorder="1" applyAlignment="1">
      <alignment horizontal="center" vertical="center"/>
    </xf>
    <xf numFmtId="0" fontId="2" fillId="0" borderId="0" xfId="79" applyNumberFormat="1" applyFont="1" applyFill="1" applyAlignment="1">
      <alignment horizontal="left" vertical="center"/>
    </xf>
    <xf numFmtId="0" fontId="51" fillId="0" borderId="0" xfId="0" applyNumberFormat="1" applyFont="1">
      <alignment vertical="center"/>
    </xf>
    <xf numFmtId="0" fontId="120" fillId="0" borderId="19" xfId="80" applyNumberFormat="1" applyFont="1" applyFill="1" applyBorder="1" applyAlignment="1">
      <alignment horizontal="right" vertical="center"/>
    </xf>
    <xf numFmtId="0" fontId="51" fillId="0" borderId="19" xfId="79" applyNumberFormat="1" applyFont="1" applyFill="1" applyBorder="1" applyAlignment="1">
      <alignment horizontal="center" vertical="center"/>
    </xf>
    <xf numFmtId="0" fontId="2" fillId="0" borderId="0" xfId="79" applyNumberFormat="1" applyFont="1" applyFill="1" applyBorder="1" applyAlignment="1">
      <alignment horizontal="left" vertical="center"/>
    </xf>
    <xf numFmtId="0" fontId="51" fillId="0" borderId="0" xfId="0" applyNumberFormat="1" applyFont="1" applyBorder="1" applyAlignment="1">
      <alignment vertical="center"/>
    </xf>
    <xf numFmtId="0" fontId="99" fillId="0" borderId="0" xfId="79" applyNumberFormat="1" applyFont="1" applyFill="1" applyAlignment="1">
      <alignment vertical="center"/>
    </xf>
    <xf numFmtId="49" fontId="64" fillId="0" borderId="0" xfId="79" applyNumberFormat="1" applyFont="1" applyFill="1" applyBorder="1" applyAlignment="1">
      <alignment vertical="center"/>
    </xf>
    <xf numFmtId="49" fontId="64" fillId="0" borderId="0" xfId="79" applyNumberFormat="1" applyFont="1" applyFill="1" applyBorder="1" applyAlignment="1">
      <alignment horizontal="center" vertical="center"/>
    </xf>
    <xf numFmtId="0" fontId="99" fillId="0" borderId="0" xfId="79" applyNumberFormat="1" applyFont="1" applyFill="1" applyAlignment="1">
      <alignment horizontal="left" vertical="center"/>
    </xf>
    <xf numFmtId="0" fontId="51" fillId="0" borderId="0" xfId="79" applyNumberFormat="1" applyFont="1" applyFill="1" applyBorder="1" applyAlignment="1">
      <alignment horizontal="center" vertical="center"/>
    </xf>
    <xf numFmtId="0" fontId="51" fillId="0" borderId="0" xfId="79" applyNumberFormat="1" applyFont="1" applyFill="1" applyAlignment="1">
      <alignment horizontal="right" vertical="center"/>
    </xf>
    <xf numFmtId="0" fontId="51" fillId="0" borderId="0" xfId="79" applyNumberFormat="1" applyFont="1" applyFill="1" applyAlignment="1">
      <alignment horizontal="left" vertical="center" indent="2"/>
    </xf>
    <xf numFmtId="0" fontId="51" fillId="0" borderId="0" xfId="79" applyNumberFormat="1" applyFont="1" applyFill="1" applyAlignment="1">
      <alignment horizontal="left" vertical="center"/>
    </xf>
    <xf numFmtId="0" fontId="64" fillId="33" borderId="0" xfId="0" applyNumberFormat="1" applyFont="1" applyFill="1" applyBorder="1" applyAlignment="1">
      <alignment horizontal="left" vertical="center"/>
    </xf>
    <xf numFmtId="192" fontId="121" fillId="42" borderId="19" xfId="134" applyNumberFormat="1" applyFont="1" applyFill="1" applyBorder="1" applyAlignment="1">
      <alignment horizontal="center" vertical="center" wrapText="1"/>
    </xf>
    <xf numFmtId="0" fontId="6" fillId="29" borderId="46" xfId="0" applyNumberFormat="1" applyFont="1" applyFill="1" applyBorder="1" applyAlignment="1">
      <alignment horizontal="center" vertical="center"/>
    </xf>
    <xf numFmtId="0" fontId="6" fillId="29" borderId="46" xfId="0" applyNumberFormat="1" applyFont="1" applyFill="1" applyBorder="1" applyAlignment="1">
      <alignment horizontal="center" vertical="center" wrapText="1"/>
    </xf>
    <xf numFmtId="0" fontId="9" fillId="29" borderId="8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89" fillId="0" borderId="0" xfId="0" applyFont="1" applyBorder="1" applyAlignment="1">
      <alignment horizontal="center" vertical="center" wrapText="1"/>
    </xf>
    <xf numFmtId="0" fontId="54" fillId="0" borderId="49" xfId="0" applyFont="1" applyBorder="1" applyAlignment="1">
      <alignment horizontal="center" vertical="center"/>
    </xf>
    <xf numFmtId="0" fontId="5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93" fillId="0" borderId="0" xfId="0" applyFont="1" applyBorder="1" applyAlignment="1">
      <alignment vertical="center"/>
    </xf>
    <xf numFmtId="205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205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197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left" vertical="center"/>
    </xf>
    <xf numFmtId="0" fontId="89" fillId="0" borderId="0" xfId="0" applyFont="1" applyBorder="1" applyAlignment="1">
      <alignment horizontal="center" vertical="center"/>
    </xf>
    <xf numFmtId="205" fontId="89" fillId="0" borderId="0" xfId="0" applyNumberFormat="1" applyFont="1" applyBorder="1" applyAlignment="1">
      <alignment vertical="center"/>
    </xf>
    <xf numFmtId="0" fontId="103" fillId="29" borderId="86" xfId="0" applyNumberFormat="1" applyFont="1" applyFill="1" applyBorder="1" applyAlignment="1">
      <alignment horizontal="center" vertical="center" wrapText="1"/>
    </xf>
    <xf numFmtId="0" fontId="103" fillId="29" borderId="86" xfId="0" applyNumberFormat="1" applyFont="1" applyFill="1" applyBorder="1" applyAlignment="1">
      <alignment horizontal="center" vertical="center"/>
    </xf>
    <xf numFmtId="0" fontId="103" fillId="29" borderId="87" xfId="0" applyNumberFormat="1" applyFont="1" applyFill="1" applyBorder="1" applyAlignment="1">
      <alignment horizontal="center" vertical="center" wrapText="1"/>
    </xf>
    <xf numFmtId="0" fontId="103" fillId="29" borderId="87" xfId="0" applyNumberFormat="1" applyFont="1" applyFill="1" applyBorder="1" applyAlignment="1">
      <alignment horizontal="center" vertical="center"/>
    </xf>
    <xf numFmtId="0" fontId="103" fillId="29" borderId="27" xfId="0" applyNumberFormat="1" applyFont="1" applyFill="1" applyBorder="1" applyAlignment="1">
      <alignment horizontal="center" vertical="center"/>
    </xf>
    <xf numFmtId="0" fontId="6" fillId="29" borderId="86" xfId="0" applyNumberFormat="1" applyFont="1" applyFill="1" applyBorder="1" applyAlignment="1">
      <alignment horizontal="center" vertical="center"/>
    </xf>
    <xf numFmtId="49" fontId="64" fillId="42" borderId="19" xfId="79" applyNumberFormat="1" applyFont="1" applyFill="1" applyBorder="1" applyAlignment="1">
      <alignment horizontal="center" vertical="center" wrapText="1"/>
    </xf>
    <xf numFmtId="0" fontId="2" fillId="0" borderId="0" xfId="78" applyNumberFormat="1" applyFont="1" applyFill="1" applyBorder="1" applyAlignment="1">
      <alignment horizontal="center" vertical="center"/>
    </xf>
    <xf numFmtId="0" fontId="67" fillId="0" borderId="28" xfId="0" applyFont="1" applyFill="1" applyBorder="1" applyAlignment="1">
      <alignment horizontal="center" vertical="center"/>
    </xf>
    <xf numFmtId="0" fontId="67" fillId="0" borderId="29" xfId="0" applyFont="1" applyFill="1" applyBorder="1" applyAlignment="1">
      <alignment horizontal="center" vertical="center" wrapText="1"/>
    </xf>
    <xf numFmtId="0" fontId="67" fillId="0" borderId="17" xfId="0" applyFont="1" applyFill="1" applyBorder="1" applyAlignment="1">
      <alignment horizontal="center" vertical="center" wrapText="1"/>
    </xf>
    <xf numFmtId="0" fontId="67" fillId="0" borderId="13" xfId="0" applyFont="1" applyFill="1" applyBorder="1" applyAlignment="1">
      <alignment horizontal="center" vertical="center" wrapText="1"/>
    </xf>
    <xf numFmtId="0" fontId="67" fillId="0" borderId="30" xfId="0" applyFont="1" applyFill="1" applyBorder="1" applyAlignment="1" applyProtection="1">
      <alignment horizontal="left" vertical="center" wrapText="1"/>
      <protection locked="0"/>
    </xf>
    <xf numFmtId="0" fontId="67" fillId="0" borderId="31" xfId="0" applyFont="1" applyFill="1" applyBorder="1" applyAlignment="1" applyProtection="1">
      <alignment horizontal="left" vertical="center" wrapText="1"/>
      <protection locked="0"/>
    </xf>
    <xf numFmtId="0" fontId="67" fillId="0" borderId="32" xfId="0" applyFont="1" applyFill="1" applyBorder="1" applyAlignment="1" applyProtection="1">
      <alignment horizontal="left" vertical="center" wrapText="1"/>
      <protection locked="0"/>
    </xf>
    <xf numFmtId="0" fontId="67" fillId="0" borderId="33" xfId="0" applyFont="1" applyFill="1" applyBorder="1" applyAlignment="1" applyProtection="1">
      <alignment horizontal="left" vertical="center" wrapText="1"/>
      <protection locked="0"/>
    </xf>
    <xf numFmtId="0" fontId="67" fillId="0" borderId="0" xfId="0" applyFont="1" applyFill="1" applyBorder="1" applyAlignment="1" applyProtection="1">
      <alignment horizontal="left" vertical="center" wrapText="1"/>
      <protection locked="0"/>
    </xf>
    <xf numFmtId="0" fontId="67" fillId="0" borderId="34" xfId="0" applyFont="1" applyFill="1" applyBorder="1" applyAlignment="1" applyProtection="1">
      <alignment horizontal="left" vertical="center" wrapText="1"/>
      <protection locked="0"/>
    </xf>
    <xf numFmtId="0" fontId="67" fillId="0" borderId="18" xfId="0" applyFont="1" applyFill="1" applyBorder="1" applyAlignment="1" applyProtection="1">
      <alignment horizontal="left" vertical="center" wrapText="1"/>
      <protection locked="0"/>
    </xf>
    <xf numFmtId="0" fontId="67" fillId="0" borderId="19" xfId="0" applyFont="1" applyFill="1" applyBorder="1" applyAlignment="1" applyProtection="1">
      <alignment horizontal="left" vertical="center" wrapText="1"/>
      <protection locked="0"/>
    </xf>
    <xf numFmtId="0" fontId="67" fillId="0" borderId="20" xfId="0" applyFont="1" applyFill="1" applyBorder="1" applyAlignment="1" applyProtection="1">
      <alignment horizontal="left" vertical="center" wrapText="1"/>
      <protection locked="0"/>
    </xf>
    <xf numFmtId="0" fontId="67" fillId="32" borderId="49" xfId="0" applyFont="1" applyFill="1" applyBorder="1" applyAlignment="1" applyProtection="1">
      <alignment horizontal="center" vertical="center"/>
      <protection locked="0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0" fillId="17" borderId="1" xfId="0" applyFont="1" applyFill="1" applyBorder="1" applyAlignment="1" applyProtection="1">
      <alignment horizontal="center" vertical="center" shrinkToFit="1"/>
      <protection locked="0"/>
    </xf>
    <xf numFmtId="0" fontId="1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0" xfId="0" applyFont="1" applyFill="1" applyBorder="1" applyAlignment="1" applyProtection="1">
      <alignment horizontal="left" vertical="center" shrinkToFit="1"/>
    </xf>
    <xf numFmtId="0" fontId="43" fillId="30" borderId="22" xfId="0" applyFont="1" applyFill="1" applyBorder="1" applyAlignment="1" applyProtection="1">
      <alignment horizontal="left" vertical="center" wrapText="1"/>
    </xf>
    <xf numFmtId="0" fontId="43" fillId="30" borderId="16" xfId="0" applyFont="1" applyFill="1" applyBorder="1" applyAlignment="1" applyProtection="1">
      <alignment horizontal="left" vertical="center"/>
    </xf>
    <xf numFmtId="0" fontId="43" fillId="0" borderId="12" xfId="0" applyFont="1" applyFill="1" applyBorder="1" applyAlignment="1" applyProtection="1">
      <alignment horizontal="center" vertical="center"/>
    </xf>
    <xf numFmtId="0" fontId="43" fillId="0" borderId="13" xfId="0" applyFont="1" applyFill="1" applyBorder="1" applyAlignment="1" applyProtection="1">
      <alignment horizontal="center" vertical="center"/>
    </xf>
    <xf numFmtId="0" fontId="43" fillId="0" borderId="23" xfId="0" applyFont="1" applyFill="1" applyBorder="1" applyAlignment="1" applyProtection="1">
      <alignment horizontal="left" vertical="center" wrapText="1"/>
    </xf>
    <xf numFmtId="0" fontId="43" fillId="0" borderId="15" xfId="0" applyFont="1" applyFill="1" applyBorder="1" applyAlignment="1" applyProtection="1">
      <alignment horizontal="left" vertical="center"/>
    </xf>
    <xf numFmtId="0" fontId="43" fillId="0" borderId="24" xfId="0" applyFont="1" applyFill="1" applyBorder="1" applyAlignment="1" applyProtection="1">
      <alignment horizontal="left" vertical="center"/>
    </xf>
    <xf numFmtId="0" fontId="43" fillId="0" borderId="20" xfId="0" applyFont="1" applyFill="1" applyBorder="1" applyAlignment="1" applyProtection="1">
      <alignment horizontal="left" vertical="center"/>
    </xf>
    <xf numFmtId="0" fontId="10" fillId="30" borderId="11" xfId="0" applyFont="1" applyFill="1" applyBorder="1" applyAlignment="1" applyProtection="1">
      <alignment horizontal="left" vertical="center" wrapText="1"/>
    </xf>
    <xf numFmtId="0" fontId="10" fillId="30" borderId="14" xfId="0" applyFont="1" applyFill="1" applyBorder="1" applyAlignment="1" applyProtection="1">
      <alignment horizontal="left" vertical="center" wrapText="1"/>
    </xf>
    <xf numFmtId="0" fontId="10" fillId="30" borderId="16" xfId="0" applyFont="1" applyFill="1" applyBorder="1" applyAlignment="1" applyProtection="1">
      <alignment horizontal="left" vertical="center" wrapText="1"/>
    </xf>
    <xf numFmtId="0" fontId="43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0" fontId="10" fillId="30" borderId="1" xfId="0" applyFont="1" applyFill="1" applyBorder="1" applyAlignment="1" applyProtection="1">
      <alignment vertical="center" shrinkToFit="1"/>
      <protection locked="0"/>
    </xf>
    <xf numFmtId="49" fontId="10" fillId="0" borderId="1" xfId="0" applyNumberFormat="1" applyFont="1" applyFill="1" applyBorder="1" applyAlignment="1" applyProtection="1">
      <alignment horizontal="center" vertical="center" shrinkToFit="1"/>
    </xf>
    <xf numFmtId="49" fontId="10" fillId="0" borderId="1" xfId="0" applyNumberFormat="1" applyFont="1" applyFill="1" applyBorder="1" applyAlignment="1" applyProtection="1">
      <alignment vertical="center" shrinkToFit="1"/>
    </xf>
    <xf numFmtId="0" fontId="10" fillId="0" borderId="1" xfId="0" applyFont="1" applyFill="1" applyBorder="1" applyAlignment="1" applyProtection="1">
      <alignment vertical="center" shrinkToFit="1"/>
    </xf>
    <xf numFmtId="184" fontId="10" fillId="0" borderId="1" xfId="0" applyNumberFormat="1" applyFont="1" applyFill="1" applyBorder="1" applyAlignment="1" applyProtection="1">
      <alignment horizontal="center" vertical="center" shrinkToFit="1"/>
    </xf>
    <xf numFmtId="0" fontId="47" fillId="0" borderId="1" xfId="0" applyFont="1" applyFill="1" applyBorder="1" applyAlignment="1" applyProtection="1">
      <alignment horizontal="center" vertical="center" shrinkToFit="1"/>
    </xf>
    <xf numFmtId="0" fontId="40" fillId="0" borderId="11" xfId="0" applyFont="1" applyFill="1" applyBorder="1" applyAlignment="1" applyProtection="1">
      <alignment horizontal="center" vertical="center"/>
    </xf>
    <xf numFmtId="0" fontId="40" fillId="0" borderId="14" xfId="0" applyFont="1" applyFill="1" applyBorder="1" applyAlignment="1" applyProtection="1">
      <alignment horizontal="center" vertical="center"/>
    </xf>
    <xf numFmtId="0" fontId="11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3" fillId="0" borderId="1" xfId="0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 applyProtection="1">
      <alignment horizontal="center" vertical="center" shrinkToFit="1"/>
    </xf>
    <xf numFmtId="0" fontId="50" fillId="0" borderId="0" xfId="79" applyFont="1" applyAlignment="1">
      <alignment horizontal="center" wrapText="1"/>
    </xf>
    <xf numFmtId="49" fontId="51" fillId="0" borderId="54" xfId="79" applyNumberFormat="1" applyFont="1" applyFill="1" applyBorder="1" applyAlignment="1">
      <alignment horizontal="center" vertical="center" wrapText="1"/>
    </xf>
    <xf numFmtId="49" fontId="51" fillId="0" borderId="55" xfId="79" applyNumberFormat="1" applyFont="1" applyFill="1" applyBorder="1" applyAlignment="1">
      <alignment horizontal="center" vertical="center" wrapText="1"/>
    </xf>
    <xf numFmtId="49" fontId="51" fillId="0" borderId="56" xfId="79" applyNumberFormat="1" applyFont="1" applyFill="1" applyBorder="1" applyAlignment="1">
      <alignment horizontal="center" vertical="center" wrapText="1"/>
    </xf>
    <xf numFmtId="0" fontId="51" fillId="0" borderId="59" xfId="79" applyNumberFormat="1" applyFont="1" applyFill="1" applyBorder="1" applyAlignment="1">
      <alignment horizontal="center" vertical="center" wrapText="1"/>
    </xf>
    <xf numFmtId="0" fontId="51" fillId="0" borderId="125" xfId="79" applyNumberFormat="1" applyFont="1" applyFill="1" applyBorder="1" applyAlignment="1">
      <alignment horizontal="center" vertical="center" wrapText="1"/>
    </xf>
    <xf numFmtId="0" fontId="51" fillId="0" borderId="50" xfId="79" applyNumberFormat="1" applyFont="1" applyFill="1" applyBorder="1" applyAlignment="1">
      <alignment horizontal="center" vertical="center"/>
    </xf>
    <xf numFmtId="0" fontId="51" fillId="0" borderId="51" xfId="79" applyNumberFormat="1" applyFont="1" applyFill="1" applyBorder="1" applyAlignment="1">
      <alignment horizontal="center" vertical="center" wrapText="1"/>
    </xf>
    <xf numFmtId="0" fontId="51" fillId="0" borderId="128" xfId="79" applyNumberFormat="1" applyFont="1" applyFill="1" applyBorder="1" applyAlignment="1">
      <alignment horizontal="center" vertical="center" wrapText="1"/>
    </xf>
    <xf numFmtId="0" fontId="51" fillId="0" borderId="127" xfId="79" applyNumberFormat="1" applyFont="1" applyFill="1" applyBorder="1" applyAlignment="1">
      <alignment horizontal="center" vertical="center" wrapText="1"/>
    </xf>
    <xf numFmtId="0" fontId="51" fillId="0" borderId="118" xfId="79" applyNumberFormat="1" applyFont="1" applyFill="1" applyBorder="1" applyAlignment="1">
      <alignment horizontal="center" vertical="center" wrapText="1"/>
    </xf>
    <xf numFmtId="0" fontId="51" fillId="0" borderId="81" xfId="79" applyNumberFormat="1" applyFont="1" applyFill="1" applyBorder="1" applyAlignment="1">
      <alignment horizontal="center" vertical="center" wrapText="1"/>
    </xf>
    <xf numFmtId="212" fontId="51" fillId="0" borderId="118" xfId="79" applyNumberFormat="1" applyFont="1" applyFill="1" applyBorder="1" applyAlignment="1">
      <alignment horizontal="left" vertical="center" wrapText="1" indent="3"/>
    </xf>
    <xf numFmtId="212" fontId="51" fillId="0" borderId="81" xfId="79" applyNumberFormat="1" applyFont="1" applyFill="1" applyBorder="1" applyAlignment="1">
      <alignment horizontal="left" vertical="center" wrapText="1" indent="3"/>
    </xf>
    <xf numFmtId="212" fontId="51" fillId="0" borderId="123" xfId="79" applyNumberFormat="1" applyFont="1" applyFill="1" applyBorder="1" applyAlignment="1">
      <alignment horizontal="left" vertical="center" wrapText="1" indent="3"/>
    </xf>
    <xf numFmtId="212" fontId="51" fillId="0" borderId="124" xfId="79" applyNumberFormat="1" applyFont="1" applyFill="1" applyBorder="1" applyAlignment="1">
      <alignment horizontal="left" vertical="center" wrapText="1" indent="3"/>
    </xf>
    <xf numFmtId="0" fontId="51" fillId="0" borderId="54" xfId="79" applyNumberFormat="1" applyFont="1" applyFill="1" applyBorder="1" applyAlignment="1">
      <alignment horizontal="center" vertical="center"/>
    </xf>
    <xf numFmtId="0" fontId="51" fillId="0" borderId="76" xfId="79" applyNumberFormat="1" applyFont="1" applyFill="1" applyBorder="1" applyAlignment="1">
      <alignment horizontal="center" vertical="center"/>
    </xf>
    <xf numFmtId="0" fontId="51" fillId="0" borderId="77" xfId="79" applyNumberFormat="1" applyFont="1" applyFill="1" applyBorder="1" applyAlignment="1">
      <alignment horizontal="center" vertical="center"/>
    </xf>
    <xf numFmtId="49" fontId="110" fillId="0" borderId="0" xfId="131" applyNumberFormat="1" applyFont="1" applyFill="1" applyBorder="1" applyAlignment="1">
      <alignment horizontal="center" vertical="center" wrapText="1"/>
    </xf>
    <xf numFmtId="0" fontId="51" fillId="0" borderId="50" xfId="79" applyNumberFormat="1" applyFont="1" applyFill="1" applyBorder="1" applyAlignment="1">
      <alignment horizontal="center" vertical="center" wrapText="1"/>
    </xf>
    <xf numFmtId="0" fontId="64" fillId="42" borderId="0" xfId="0" applyNumberFormat="1" applyFont="1" applyFill="1" applyAlignment="1">
      <alignment horizontal="center" vertical="center"/>
    </xf>
    <xf numFmtId="49" fontId="64" fillId="42" borderId="0" xfId="79" applyNumberFormat="1" applyFont="1" applyFill="1" applyBorder="1" applyAlignment="1">
      <alignment horizontal="center" vertical="center"/>
    </xf>
    <xf numFmtId="49" fontId="64" fillId="42" borderId="19" xfId="79" applyNumberFormat="1" applyFont="1" applyFill="1" applyBorder="1" applyAlignment="1">
      <alignment horizontal="center" vertical="center"/>
    </xf>
    <xf numFmtId="192" fontId="64" fillId="42" borderId="0" xfId="0" applyNumberFormat="1" applyFont="1" applyFill="1" applyBorder="1" applyAlignment="1">
      <alignment horizontal="center" vertical="center" wrapText="1"/>
    </xf>
    <xf numFmtId="192" fontId="64" fillId="42" borderId="19" xfId="0" applyNumberFormat="1" applyFont="1" applyFill="1" applyBorder="1" applyAlignment="1">
      <alignment horizontal="center" vertical="center" wrapText="1"/>
    </xf>
    <xf numFmtId="0" fontId="50" fillId="0" borderId="0" xfId="79" applyNumberFormat="1" applyFont="1" applyAlignment="1">
      <alignment horizontal="center" wrapText="1"/>
    </xf>
    <xf numFmtId="49" fontId="64" fillId="42" borderId="0" xfId="0" applyNumberFormat="1" applyFont="1" applyFill="1" applyBorder="1" applyAlignment="1">
      <alignment horizontal="center" vertical="center"/>
    </xf>
    <xf numFmtId="49" fontId="64" fillId="42" borderId="19" xfId="0" applyNumberFormat="1" applyFont="1" applyFill="1" applyBorder="1" applyAlignment="1">
      <alignment horizontal="center" vertical="center"/>
    </xf>
    <xf numFmtId="192" fontId="51" fillId="42" borderId="0" xfId="0" applyNumberFormat="1" applyFont="1" applyFill="1" applyAlignment="1">
      <alignment horizontal="center" vertical="center"/>
    </xf>
    <xf numFmtId="192" fontId="51" fillId="42" borderId="19" xfId="0" applyNumberFormat="1" applyFont="1" applyFill="1" applyBorder="1" applyAlignment="1">
      <alignment horizontal="center" vertical="center"/>
    </xf>
    <xf numFmtId="192" fontId="64" fillId="42" borderId="0" xfId="0" applyNumberFormat="1" applyFont="1" applyFill="1" applyAlignment="1">
      <alignment horizontal="center" vertical="center"/>
    </xf>
    <xf numFmtId="192" fontId="64" fillId="42" borderId="19" xfId="0" applyNumberFormat="1" applyFont="1" applyFill="1" applyBorder="1" applyAlignment="1">
      <alignment horizontal="center" vertical="center"/>
    </xf>
    <xf numFmtId="192" fontId="121" fillId="42" borderId="0" xfId="134" applyNumberFormat="1" applyFont="1" applyFill="1" applyBorder="1" applyAlignment="1">
      <alignment horizontal="center" vertical="center" wrapText="1"/>
    </xf>
    <xf numFmtId="192" fontId="121" fillId="42" borderId="19" xfId="134" applyNumberFormat="1" applyFont="1" applyFill="1" applyBorder="1" applyAlignment="1">
      <alignment horizontal="center" vertical="center" wrapText="1"/>
    </xf>
    <xf numFmtId="192" fontId="121" fillId="42" borderId="0" xfId="134" applyNumberFormat="1" applyFont="1" applyFill="1" applyBorder="1" applyAlignment="1">
      <alignment horizontal="center" vertical="center"/>
    </xf>
    <xf numFmtId="192" fontId="121" fillId="42" borderId="19" xfId="134" applyNumberFormat="1" applyFont="1" applyFill="1" applyBorder="1" applyAlignment="1">
      <alignment horizontal="center" vertical="center"/>
    </xf>
    <xf numFmtId="0" fontId="64" fillId="42" borderId="0" xfId="0" applyNumberFormat="1" applyFont="1" applyFill="1" applyBorder="1" applyAlignment="1">
      <alignment horizontal="center" vertical="center"/>
    </xf>
    <xf numFmtId="0" fontId="64" fillId="42" borderId="19" xfId="0" applyNumberFormat="1" applyFont="1" applyFill="1" applyBorder="1" applyAlignment="1">
      <alignment horizontal="center" vertical="center"/>
    </xf>
    <xf numFmtId="192" fontId="51" fillId="42" borderId="0" xfId="0" applyNumberFormat="1" applyFont="1" applyFill="1" applyBorder="1" applyAlignment="1">
      <alignment horizontal="center" vertical="center"/>
    </xf>
    <xf numFmtId="192" fontId="64" fillId="42" borderId="0" xfId="0" applyNumberFormat="1" applyFont="1" applyFill="1" applyBorder="1" applyAlignment="1">
      <alignment horizontal="center" vertical="center"/>
    </xf>
    <xf numFmtId="0" fontId="51" fillId="0" borderId="74" xfId="79" applyNumberFormat="1" applyFont="1" applyFill="1" applyBorder="1" applyAlignment="1">
      <alignment horizontal="center" vertical="center" wrapText="1"/>
    </xf>
    <xf numFmtId="0" fontId="51" fillId="0" borderId="75" xfId="79" applyNumberFormat="1" applyFont="1" applyFill="1" applyBorder="1" applyAlignment="1">
      <alignment horizontal="center" vertical="center" wrapText="1"/>
    </xf>
    <xf numFmtId="0" fontId="51" fillId="0" borderId="57" xfId="79" applyNumberFormat="1" applyFont="1" applyFill="1" applyBorder="1" applyAlignment="1">
      <alignment horizontal="center" vertical="center" wrapText="1"/>
    </xf>
    <xf numFmtId="0" fontId="51" fillId="0" borderId="57" xfId="79" applyNumberFormat="1" applyFont="1" applyFill="1" applyBorder="1" applyAlignment="1">
      <alignment horizontal="center" vertical="center"/>
    </xf>
    <xf numFmtId="0" fontId="51" fillId="0" borderId="68" xfId="79" applyNumberFormat="1" applyFont="1" applyFill="1" applyBorder="1" applyAlignment="1">
      <alignment horizontal="center" vertical="center" wrapText="1"/>
    </xf>
    <xf numFmtId="0" fontId="51" fillId="0" borderId="69" xfId="79" applyNumberFormat="1" applyFont="1" applyFill="1" applyBorder="1" applyAlignment="1">
      <alignment horizontal="center" vertical="center" wrapText="1"/>
    </xf>
    <xf numFmtId="192" fontId="64" fillId="0" borderId="119" xfId="0" applyNumberFormat="1" applyFont="1" applyFill="1" applyBorder="1" applyAlignment="1">
      <alignment horizontal="center" vertical="center" wrapText="1"/>
    </xf>
    <xf numFmtId="192" fontId="64" fillId="0" borderId="121" xfId="0" applyNumberFormat="1" applyFont="1" applyFill="1" applyBorder="1" applyAlignment="1">
      <alignment horizontal="center" vertical="center" wrapText="1"/>
    </xf>
    <xf numFmtId="192" fontId="64" fillId="0" borderId="33" xfId="0" applyNumberFormat="1" applyFont="1" applyFill="1" applyBorder="1" applyAlignment="1">
      <alignment horizontal="center" vertical="center" wrapText="1"/>
    </xf>
    <xf numFmtId="192" fontId="64" fillId="0" borderId="34" xfId="0" applyNumberFormat="1" applyFont="1" applyFill="1" applyBorder="1" applyAlignment="1">
      <alignment horizontal="center" vertical="center" wrapText="1"/>
    </xf>
    <xf numFmtId="192" fontId="64" fillId="0" borderId="18" xfId="0" applyNumberFormat="1" applyFont="1" applyFill="1" applyBorder="1" applyAlignment="1">
      <alignment horizontal="center" vertical="center" wrapText="1"/>
    </xf>
    <xf numFmtId="192" fontId="64" fillId="0" borderId="20" xfId="0" applyNumberFormat="1" applyFont="1" applyFill="1" applyBorder="1" applyAlignment="1">
      <alignment horizontal="center" vertical="center" wrapText="1"/>
    </xf>
    <xf numFmtId="0" fontId="51" fillId="0" borderId="119" xfId="78" applyNumberFormat="1" applyFont="1" applyFill="1" applyBorder="1" applyAlignment="1">
      <alignment horizontal="left" vertical="center" indent="3"/>
    </xf>
    <xf numFmtId="0" fontId="51" fillId="0" borderId="121" xfId="78" applyNumberFormat="1" applyFont="1" applyFill="1" applyBorder="1" applyAlignment="1">
      <alignment horizontal="left" vertical="center" indent="3"/>
    </xf>
    <xf numFmtId="0" fontId="51" fillId="0" borderId="118" xfId="78" applyNumberFormat="1" applyFont="1" applyFill="1" applyBorder="1" applyAlignment="1">
      <alignment horizontal="left" vertical="center" indent="3"/>
    </xf>
    <xf numFmtId="0" fontId="51" fillId="0" borderId="34" xfId="78" applyNumberFormat="1" applyFont="1" applyFill="1" applyBorder="1" applyAlignment="1">
      <alignment horizontal="left" vertical="center" indent="3"/>
    </xf>
    <xf numFmtId="0" fontId="51" fillId="0" borderId="18" xfId="78" applyNumberFormat="1" applyFont="1" applyFill="1" applyBorder="1" applyAlignment="1">
      <alignment horizontal="left" vertical="center" indent="3"/>
    </xf>
    <xf numFmtId="0" fontId="51" fillId="0" borderId="20" xfId="78" applyNumberFormat="1" applyFont="1" applyFill="1" applyBorder="1" applyAlignment="1">
      <alignment horizontal="left" vertical="center" indent="3"/>
    </xf>
    <xf numFmtId="0" fontId="51" fillId="0" borderId="119" xfId="82" applyNumberFormat="1" applyFont="1" applyFill="1" applyBorder="1" applyAlignment="1">
      <alignment horizontal="center" vertical="center"/>
    </xf>
    <xf numFmtId="0" fontId="51" fillId="0" borderId="120" xfId="82" applyNumberFormat="1" applyFont="1" applyFill="1" applyBorder="1" applyAlignment="1">
      <alignment horizontal="center" vertical="center"/>
    </xf>
    <xf numFmtId="0" fontId="51" fillId="0" borderId="121" xfId="82" applyNumberFormat="1" applyFont="1" applyFill="1" applyBorder="1" applyAlignment="1">
      <alignment horizontal="center" vertical="center"/>
    </xf>
    <xf numFmtId="0" fontId="51" fillId="0" borderId="33" xfId="82" applyNumberFormat="1" applyFont="1" applyFill="1" applyBorder="1" applyAlignment="1">
      <alignment horizontal="center" vertical="center"/>
    </xf>
    <xf numFmtId="0" fontId="51" fillId="0" borderId="0" xfId="82" applyNumberFormat="1" applyFont="1" applyFill="1" applyBorder="1" applyAlignment="1">
      <alignment horizontal="center" vertical="center"/>
    </xf>
    <xf numFmtId="0" fontId="51" fillId="0" borderId="34" xfId="82" applyNumberFormat="1" applyFont="1" applyFill="1" applyBorder="1" applyAlignment="1">
      <alignment horizontal="center" vertical="center"/>
    </xf>
    <xf numFmtId="0" fontId="51" fillId="0" borderId="18" xfId="82" applyNumberFormat="1" applyFont="1" applyFill="1" applyBorder="1" applyAlignment="1">
      <alignment horizontal="center" vertical="center"/>
    </xf>
    <xf numFmtId="0" fontId="51" fillId="0" borderId="19" xfId="82" applyNumberFormat="1" applyFont="1" applyFill="1" applyBorder="1" applyAlignment="1">
      <alignment horizontal="center" vertical="center"/>
    </xf>
    <xf numFmtId="0" fontId="51" fillId="0" borderId="20" xfId="82" applyNumberFormat="1" applyFont="1" applyFill="1" applyBorder="1" applyAlignment="1">
      <alignment horizontal="center" vertical="center"/>
    </xf>
    <xf numFmtId="192" fontId="64" fillId="0" borderId="49" xfId="134" applyNumberFormat="1" applyFont="1" applyFill="1" applyBorder="1" applyAlignment="1">
      <alignment horizontal="center" vertical="center" wrapText="1"/>
    </xf>
    <xf numFmtId="0" fontId="51" fillId="0" borderId="33" xfId="78" applyNumberFormat="1" applyFont="1" applyFill="1" applyBorder="1" applyAlignment="1">
      <alignment horizontal="left" vertical="center" indent="3"/>
    </xf>
    <xf numFmtId="216" fontId="51" fillId="0" borderId="119" xfId="82" applyNumberFormat="1" applyFont="1" applyFill="1" applyBorder="1" applyAlignment="1">
      <alignment horizontal="center" vertical="center"/>
    </xf>
    <xf numFmtId="216" fontId="51" fillId="0" borderId="120" xfId="82" applyNumberFormat="1" applyFont="1" applyFill="1" applyBorder="1" applyAlignment="1">
      <alignment horizontal="center" vertical="center"/>
    </xf>
    <xf numFmtId="216" fontId="51" fillId="0" borderId="121" xfId="82" applyNumberFormat="1" applyFont="1" applyFill="1" applyBorder="1" applyAlignment="1">
      <alignment horizontal="center" vertical="center"/>
    </xf>
    <xf numFmtId="216" fontId="51" fillId="0" borderId="33" xfId="82" applyNumberFormat="1" applyFont="1" applyFill="1" applyBorder="1" applyAlignment="1">
      <alignment horizontal="center" vertical="center"/>
    </xf>
    <xf numFmtId="216" fontId="51" fillId="0" borderId="0" xfId="82" applyNumberFormat="1" applyFont="1" applyFill="1" applyBorder="1" applyAlignment="1">
      <alignment horizontal="center" vertical="center"/>
    </xf>
    <xf numFmtId="216" fontId="51" fillId="0" borderId="34" xfId="82" applyNumberFormat="1" applyFont="1" applyFill="1" applyBorder="1" applyAlignment="1">
      <alignment horizontal="center" vertical="center"/>
    </xf>
    <xf numFmtId="216" fontId="51" fillId="0" borderId="18" xfId="82" applyNumberFormat="1" applyFont="1" applyFill="1" applyBorder="1" applyAlignment="1">
      <alignment horizontal="center" vertical="center"/>
    </xf>
    <xf numFmtId="216" fontId="51" fillId="0" borderId="19" xfId="82" applyNumberFormat="1" applyFont="1" applyFill="1" applyBorder="1" applyAlignment="1">
      <alignment horizontal="center" vertical="center"/>
    </xf>
    <xf numFmtId="216" fontId="51" fillId="0" borderId="20" xfId="82" applyNumberFormat="1" applyFont="1" applyFill="1" applyBorder="1" applyAlignment="1">
      <alignment horizontal="center" vertical="center"/>
    </xf>
    <xf numFmtId="217" fontId="51" fillId="0" borderId="119" xfId="82" applyNumberFormat="1" applyFont="1" applyFill="1" applyBorder="1" applyAlignment="1">
      <alignment horizontal="center" vertical="center"/>
    </xf>
    <xf numFmtId="217" fontId="51" fillId="0" borderId="120" xfId="82" applyNumberFormat="1" applyFont="1" applyFill="1" applyBorder="1" applyAlignment="1">
      <alignment horizontal="center" vertical="center"/>
    </xf>
    <xf numFmtId="217" fontId="51" fillId="0" borderId="121" xfId="82" applyNumberFormat="1" applyFont="1" applyFill="1" applyBorder="1" applyAlignment="1">
      <alignment horizontal="center" vertical="center"/>
    </xf>
    <xf numFmtId="217" fontId="51" fillId="0" borderId="33" xfId="82" applyNumberFormat="1" applyFont="1" applyFill="1" applyBorder="1" applyAlignment="1">
      <alignment horizontal="center" vertical="center"/>
    </xf>
    <xf numFmtId="217" fontId="51" fillId="0" borderId="0" xfId="82" applyNumberFormat="1" applyFont="1" applyFill="1" applyBorder="1" applyAlignment="1">
      <alignment horizontal="center" vertical="center"/>
    </xf>
    <xf numFmtId="217" fontId="51" fillId="0" borderId="34" xfId="82" applyNumberFormat="1" applyFont="1" applyFill="1" applyBorder="1" applyAlignment="1">
      <alignment horizontal="center" vertical="center"/>
    </xf>
    <xf numFmtId="217" fontId="51" fillId="0" borderId="18" xfId="82" applyNumberFormat="1" applyFont="1" applyFill="1" applyBorder="1" applyAlignment="1">
      <alignment horizontal="center" vertical="center"/>
    </xf>
    <xf numFmtId="217" fontId="51" fillId="0" borderId="19" xfId="82" applyNumberFormat="1" applyFont="1" applyFill="1" applyBorder="1" applyAlignment="1">
      <alignment horizontal="center" vertical="center"/>
    </xf>
    <xf numFmtId="217" fontId="51" fillId="0" borderId="20" xfId="82" applyNumberFormat="1" applyFont="1" applyFill="1" applyBorder="1" applyAlignment="1">
      <alignment horizontal="center" vertical="center"/>
    </xf>
    <xf numFmtId="0" fontId="9" fillId="29" borderId="46" xfId="0" applyNumberFormat="1" applyFont="1" applyFill="1" applyBorder="1" applyAlignment="1">
      <alignment horizontal="center" vertical="center" wrapText="1"/>
    </xf>
    <xf numFmtId="0" fontId="6" fillId="29" borderId="46" xfId="0" applyNumberFormat="1" applyFont="1" applyFill="1" applyBorder="1" applyAlignment="1">
      <alignment horizontal="center" vertical="center" wrapText="1"/>
    </xf>
    <xf numFmtId="0" fontId="6" fillId="29" borderId="46" xfId="0" applyNumberFormat="1" applyFont="1" applyFill="1" applyBorder="1" applyAlignment="1">
      <alignment horizontal="center" vertical="center"/>
    </xf>
    <xf numFmtId="206" fontId="2" fillId="0" borderId="114" xfId="78" applyNumberFormat="1" applyFont="1" applyFill="1" applyBorder="1" applyAlignment="1">
      <alignment horizontal="center" vertical="center"/>
    </xf>
    <xf numFmtId="206" fontId="2" fillId="0" borderId="107" xfId="78" applyNumberFormat="1" applyFont="1" applyFill="1" applyBorder="1" applyAlignment="1">
      <alignment horizontal="center" vertical="center"/>
    </xf>
    <xf numFmtId="49" fontId="2" fillId="0" borderId="114" xfId="78" applyNumberFormat="1" applyFont="1" applyFill="1" applyBorder="1" applyAlignment="1">
      <alignment horizontal="center" vertical="center"/>
    </xf>
    <xf numFmtId="49" fontId="2" fillId="0" borderId="107" xfId="78" applyNumberFormat="1" applyFont="1" applyFill="1" applyBorder="1" applyAlignment="1">
      <alignment horizontal="center" vertical="center"/>
    </xf>
    <xf numFmtId="0" fontId="9" fillId="29" borderId="86" xfId="0" applyNumberFormat="1" applyFont="1" applyFill="1" applyBorder="1" applyAlignment="1">
      <alignment horizontal="center" vertical="center"/>
    </xf>
    <xf numFmtId="0" fontId="9" fillId="29" borderId="26" xfId="0" applyNumberFormat="1" applyFont="1" applyFill="1" applyBorder="1" applyAlignment="1">
      <alignment horizontal="center" vertical="center"/>
    </xf>
    <xf numFmtId="0" fontId="89" fillId="0" borderId="64" xfId="0" applyFont="1" applyBorder="1" applyAlignment="1">
      <alignment horizontal="center" vertical="center" wrapText="1"/>
    </xf>
    <xf numFmtId="0" fontId="0" fillId="0" borderId="67" xfId="0" applyBorder="1">
      <alignment vertical="center"/>
    </xf>
    <xf numFmtId="0" fontId="0" fillId="0" borderId="65" xfId="0" applyBorder="1">
      <alignment vertical="center"/>
    </xf>
    <xf numFmtId="0" fontId="89" fillId="0" borderId="64" xfId="0" applyNumberFormat="1" applyFont="1" applyBorder="1" applyAlignment="1">
      <alignment horizontal="center" vertical="center" wrapText="1"/>
    </xf>
    <xf numFmtId="0" fontId="0" fillId="0" borderId="67" xfId="0" applyNumberFormat="1" applyBorder="1">
      <alignment vertical="center"/>
    </xf>
    <xf numFmtId="0" fontId="0" fillId="0" borderId="65" xfId="0" applyNumberFormat="1" applyBorder="1">
      <alignment vertical="center"/>
    </xf>
    <xf numFmtId="0" fontId="89" fillId="0" borderId="67" xfId="0" applyNumberFormat="1" applyFont="1" applyBorder="1" applyAlignment="1">
      <alignment horizontal="center" vertical="center" wrapText="1"/>
    </xf>
    <xf numFmtId="0" fontId="89" fillId="0" borderId="65" xfId="0" applyNumberFormat="1" applyFont="1" applyBorder="1" applyAlignment="1">
      <alignment horizontal="center" vertical="center" wrapText="1"/>
    </xf>
    <xf numFmtId="0" fontId="89" fillId="0" borderId="49" xfId="0" applyNumberFormat="1" applyFont="1" applyBorder="1" applyAlignment="1">
      <alignment vertical="center" shrinkToFit="1"/>
    </xf>
    <xf numFmtId="0" fontId="89" fillId="0" borderId="49" xfId="0" applyNumberFormat="1" applyFont="1" applyBorder="1" applyAlignment="1">
      <alignment horizontal="center" vertical="center" shrinkToFit="1"/>
    </xf>
    <xf numFmtId="0" fontId="89" fillId="0" borderId="66" xfId="0" applyFont="1" applyBorder="1" applyAlignment="1">
      <alignment horizontal="center" vertical="center" wrapText="1"/>
    </xf>
    <xf numFmtId="0" fontId="0" fillId="0" borderId="63" xfId="0" applyBorder="1">
      <alignment vertical="center"/>
    </xf>
    <xf numFmtId="0" fontId="0" fillId="0" borderId="61" xfId="0" applyBorder="1">
      <alignment vertical="center"/>
    </xf>
    <xf numFmtId="0" fontId="0" fillId="0" borderId="118" xfId="0" applyBorder="1">
      <alignment vertical="center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90" fillId="0" borderId="64" xfId="0" applyFont="1" applyBorder="1" applyAlignment="1">
      <alignment horizontal="center" vertical="center" wrapText="1"/>
    </xf>
    <xf numFmtId="0" fontId="90" fillId="0" borderId="67" xfId="0" applyFont="1" applyBorder="1" applyAlignment="1">
      <alignment horizontal="center" vertical="center" wrapText="1"/>
    </xf>
    <xf numFmtId="0" fontId="90" fillId="0" borderId="65" xfId="0" applyFont="1" applyBorder="1" applyAlignment="1">
      <alignment horizontal="center" vertical="center" wrapText="1"/>
    </xf>
    <xf numFmtId="0" fontId="83" fillId="28" borderId="49" xfId="0" applyNumberFormat="1" applyFont="1" applyFill="1" applyBorder="1" applyAlignment="1">
      <alignment horizontal="center" vertical="center" shrinkToFit="1"/>
    </xf>
    <xf numFmtId="0" fontId="54" fillId="28" borderId="49" xfId="0" applyNumberFormat="1" applyFont="1" applyFill="1" applyBorder="1" applyAlignment="1">
      <alignment horizontal="center" vertical="center" shrinkToFit="1"/>
    </xf>
    <xf numFmtId="0" fontId="89" fillId="0" borderId="49" xfId="0" applyNumberFormat="1" applyFont="1" applyBorder="1" applyAlignment="1">
      <alignment horizontal="center" vertical="center"/>
    </xf>
    <xf numFmtId="0" fontId="89" fillId="0" borderId="64" xfId="0" applyNumberFormat="1" applyFont="1" applyBorder="1" applyAlignment="1">
      <alignment horizontal="center" vertical="center"/>
    </xf>
    <xf numFmtId="0" fontId="89" fillId="0" borderId="67" xfId="0" applyNumberFormat="1" applyFont="1" applyBorder="1" applyAlignment="1">
      <alignment horizontal="center" vertical="center"/>
    </xf>
    <xf numFmtId="0" fontId="89" fillId="0" borderId="65" xfId="0" applyNumberFormat="1" applyFont="1" applyBorder="1" applyAlignment="1">
      <alignment horizontal="center" vertical="center"/>
    </xf>
    <xf numFmtId="196" fontId="89" fillId="0" borderId="49" xfId="0" applyNumberFormat="1" applyFont="1" applyBorder="1" applyAlignment="1">
      <alignment horizontal="center" vertical="center" shrinkToFit="1"/>
    </xf>
    <xf numFmtId="0" fontId="54" fillId="28" borderId="49" xfId="0" applyNumberFormat="1" applyFont="1" applyFill="1" applyBorder="1" applyAlignment="1">
      <alignment horizontal="center" vertical="center"/>
    </xf>
    <xf numFmtId="0" fontId="54" fillId="28" borderId="64" xfId="0" applyNumberFormat="1" applyFont="1" applyFill="1" applyBorder="1" applyAlignment="1">
      <alignment horizontal="center" vertical="center" shrinkToFit="1"/>
    </xf>
    <xf numFmtId="0" fontId="54" fillId="28" borderId="67" xfId="0" applyNumberFormat="1" applyFont="1" applyFill="1" applyBorder="1" applyAlignment="1">
      <alignment horizontal="center" vertical="center" shrinkToFit="1"/>
    </xf>
    <xf numFmtId="0" fontId="54" fillId="28" borderId="65" xfId="0" applyNumberFormat="1" applyFont="1" applyFill="1" applyBorder="1" applyAlignment="1">
      <alignment horizontal="center" vertical="center" shrinkToFit="1"/>
    </xf>
    <xf numFmtId="0" fontId="89" fillId="0" borderId="118" xfId="0" applyFont="1" applyBorder="1" applyAlignment="1">
      <alignment horizontal="center" vertical="center" wrapText="1"/>
    </xf>
    <xf numFmtId="205" fontId="89" fillId="0" borderId="118" xfId="0" applyNumberFormat="1" applyFont="1" applyBorder="1" applyAlignment="1">
      <alignment horizontal="center" vertical="center" wrapText="1"/>
    </xf>
    <xf numFmtId="205" fontId="0" fillId="0" borderId="0" xfId="0" applyNumberFormat="1" applyBorder="1">
      <alignment vertical="center"/>
    </xf>
    <xf numFmtId="205" fontId="0" fillId="0" borderId="34" xfId="0" applyNumberFormat="1" applyBorder="1">
      <alignment vertical="center"/>
    </xf>
    <xf numFmtId="205" fontId="89" fillId="0" borderId="0" xfId="0" applyNumberFormat="1" applyFont="1" applyBorder="1" applyAlignment="1">
      <alignment horizontal="center" vertical="center" wrapText="1"/>
    </xf>
    <xf numFmtId="205" fontId="89" fillId="0" borderId="34" xfId="0" applyNumberFormat="1" applyFont="1" applyBorder="1" applyAlignment="1">
      <alignment horizontal="center" vertical="center" wrapText="1"/>
    </xf>
    <xf numFmtId="0" fontId="89" fillId="0" borderId="66" xfId="0" applyNumberFormat="1" applyFont="1" applyBorder="1" applyAlignment="1">
      <alignment horizontal="center" vertical="center" wrapText="1"/>
    </xf>
    <xf numFmtId="0" fontId="0" fillId="0" borderId="63" xfId="0" applyNumberFormat="1" applyBorder="1">
      <alignment vertical="center"/>
    </xf>
    <xf numFmtId="0" fontId="0" fillId="0" borderId="61" xfId="0" applyNumberFormat="1" applyBorder="1">
      <alignment vertical="center"/>
    </xf>
    <xf numFmtId="205" fontId="89" fillId="0" borderId="66" xfId="0" applyNumberFormat="1" applyFont="1" applyBorder="1" applyAlignment="1">
      <alignment horizontal="center" vertical="center" wrapText="1"/>
    </xf>
    <xf numFmtId="205" fontId="0" fillId="0" borderId="63" xfId="0" applyNumberFormat="1" applyBorder="1">
      <alignment vertical="center"/>
    </xf>
    <xf numFmtId="205" fontId="0" fillId="0" borderId="61" xfId="0" applyNumberFormat="1" applyBorder="1">
      <alignment vertical="center"/>
    </xf>
    <xf numFmtId="205" fontId="89" fillId="0" borderId="63" xfId="0" applyNumberFormat="1" applyFont="1" applyBorder="1" applyAlignment="1">
      <alignment horizontal="center" vertical="center" wrapText="1"/>
    </xf>
    <xf numFmtId="205" fontId="89" fillId="0" borderId="61" xfId="0" applyNumberFormat="1" applyFont="1" applyBorder="1" applyAlignment="1">
      <alignment horizontal="center" vertical="center" wrapText="1"/>
    </xf>
    <xf numFmtId="0" fontId="89" fillId="0" borderId="18" xfId="0" applyFont="1" applyBorder="1" applyAlignment="1">
      <alignment horizontal="center" vertical="center" wrapText="1"/>
    </xf>
    <xf numFmtId="205" fontId="89" fillId="0" borderId="18" xfId="0" applyNumberFormat="1" applyFont="1" applyBorder="1" applyAlignment="1">
      <alignment horizontal="center" vertical="center" wrapText="1"/>
    </xf>
    <xf numFmtId="205" fontId="0" fillId="0" borderId="19" xfId="0" applyNumberFormat="1" applyBorder="1">
      <alignment vertical="center"/>
    </xf>
    <xf numFmtId="205" fontId="0" fillId="0" borderId="20" xfId="0" applyNumberFormat="1" applyBorder="1">
      <alignment vertical="center"/>
    </xf>
    <xf numFmtId="205" fontId="89" fillId="0" borderId="19" xfId="0" applyNumberFormat="1" applyFont="1" applyBorder="1" applyAlignment="1">
      <alignment horizontal="center" vertical="center" wrapText="1"/>
    </xf>
    <xf numFmtId="205" fontId="89" fillId="0" borderId="20" xfId="0" applyNumberFormat="1" applyFont="1" applyBorder="1" applyAlignment="1">
      <alignment horizontal="center" vertical="center" wrapText="1"/>
    </xf>
    <xf numFmtId="0" fontId="54" fillId="0" borderId="66" xfId="0" applyNumberFormat="1" applyFont="1" applyBorder="1" applyAlignment="1">
      <alignment horizontal="center" vertical="center"/>
    </xf>
    <xf numFmtId="0" fontId="54" fillId="0" borderId="63" xfId="0" applyNumberFormat="1" applyFont="1" applyBorder="1" applyAlignment="1">
      <alignment horizontal="center" vertical="center"/>
    </xf>
    <xf numFmtId="0" fontId="54" fillId="0" borderId="61" xfId="0" applyNumberFormat="1" applyFont="1" applyBorder="1" applyAlignment="1">
      <alignment horizontal="center" vertical="center"/>
    </xf>
    <xf numFmtId="0" fontId="89" fillId="0" borderId="0" xfId="0" applyFont="1" applyBorder="1" applyAlignment="1">
      <alignment horizontal="center" vertical="center" wrapText="1"/>
    </xf>
    <xf numFmtId="0" fontId="94" fillId="0" borderId="118" xfId="0" applyFont="1" applyBorder="1" applyAlignment="1">
      <alignment horizontal="right" vertical="center"/>
    </xf>
    <xf numFmtId="0" fontId="94" fillId="0" borderId="0" xfId="0" applyFont="1" applyBorder="1" applyAlignment="1">
      <alignment horizontal="right" vertical="center"/>
    </xf>
    <xf numFmtId="190" fontId="54" fillId="0" borderId="0" xfId="0" applyNumberFormat="1" applyFont="1" applyBorder="1" applyAlignment="1">
      <alignment horizontal="left" vertical="center"/>
    </xf>
    <xf numFmtId="190" fontId="54" fillId="0" borderId="34" xfId="0" applyNumberFormat="1" applyFont="1" applyBorder="1" applyAlignment="1">
      <alignment horizontal="left" vertical="center"/>
    </xf>
    <xf numFmtId="0" fontId="89" fillId="0" borderId="63" xfId="0" applyNumberFormat="1" applyFont="1" applyBorder="1" applyAlignment="1">
      <alignment horizontal="center" vertical="center" wrapText="1"/>
    </xf>
    <xf numFmtId="0" fontId="89" fillId="0" borderId="63" xfId="0" applyFont="1" applyBorder="1" applyAlignment="1">
      <alignment horizontal="center" vertical="center" wrapText="1"/>
    </xf>
    <xf numFmtId="0" fontId="89" fillId="0" borderId="19" xfId="0" applyFont="1" applyBorder="1" applyAlignment="1">
      <alignment horizontal="center" vertical="center" wrapText="1"/>
    </xf>
    <xf numFmtId="0" fontId="94" fillId="0" borderId="49" xfId="0" applyFont="1" applyBorder="1" applyAlignment="1">
      <alignment horizontal="center" vertical="center" wrapText="1"/>
    </xf>
    <xf numFmtId="0" fontId="54" fillId="0" borderId="66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1" xfId="0" applyFont="1" applyBorder="1" applyAlignment="1">
      <alignment horizontal="center" vertical="center"/>
    </xf>
    <xf numFmtId="0" fontId="54" fillId="0" borderId="18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34" xfId="0" applyFont="1" applyBorder="1" applyAlignment="1">
      <alignment horizontal="center" vertical="center"/>
    </xf>
    <xf numFmtId="0" fontId="54" fillId="0" borderId="118" xfId="0" applyFont="1" applyBorder="1" applyAlignment="1">
      <alignment horizontal="left" vertical="center" indent="1"/>
    </xf>
    <xf numFmtId="0" fontId="54" fillId="0" borderId="0" xfId="0" applyFont="1" applyBorder="1" applyAlignment="1">
      <alignment horizontal="left" vertical="center" indent="1"/>
    </xf>
    <xf numFmtId="0" fontId="54" fillId="0" borderId="34" xfId="0" applyFont="1" applyBorder="1" applyAlignment="1">
      <alignment horizontal="left" vertical="center" indent="1"/>
    </xf>
    <xf numFmtId="211" fontId="54" fillId="0" borderId="0" xfId="0" applyNumberFormat="1" applyFont="1" applyBorder="1" applyAlignment="1">
      <alignment horizontal="left" vertical="center"/>
    </xf>
    <xf numFmtId="211" fontId="54" fillId="0" borderId="34" xfId="0" applyNumberFormat="1" applyFont="1" applyBorder="1" applyAlignment="1">
      <alignment horizontal="left" vertical="center"/>
    </xf>
    <xf numFmtId="0" fontId="54" fillId="0" borderId="0" xfId="0" applyFont="1" applyBorder="1" applyAlignment="1">
      <alignment horizontal="left" vertical="center"/>
    </xf>
    <xf numFmtId="0" fontId="54" fillId="0" borderId="34" xfId="0" applyFont="1" applyBorder="1" applyAlignment="1">
      <alignment horizontal="left" vertical="center"/>
    </xf>
    <xf numFmtId="0" fontId="54" fillId="0" borderId="118" xfId="0" applyFont="1" applyBorder="1" applyAlignment="1">
      <alignment horizontal="right" vertical="center"/>
    </xf>
    <xf numFmtId="0" fontId="54" fillId="0" borderId="0" xfId="0" applyFont="1" applyBorder="1" applyAlignment="1">
      <alignment horizontal="right" vertical="center"/>
    </xf>
    <xf numFmtId="0" fontId="89" fillId="0" borderId="61" xfId="0" applyFont="1" applyBorder="1" applyAlignment="1">
      <alignment horizontal="center" vertical="center" wrapText="1"/>
    </xf>
    <xf numFmtId="0" fontId="89" fillId="0" borderId="34" xfId="0" applyFont="1" applyBorder="1" applyAlignment="1">
      <alignment horizontal="center" vertical="center" wrapText="1"/>
    </xf>
    <xf numFmtId="0" fontId="89" fillId="0" borderId="20" xfId="0" applyFont="1" applyBorder="1" applyAlignment="1">
      <alignment horizontal="center" vertical="center" wrapText="1"/>
    </xf>
    <xf numFmtId="0" fontId="89" fillId="0" borderId="67" xfId="0" applyFont="1" applyBorder="1" applyAlignment="1">
      <alignment horizontal="center" vertical="center" wrapText="1"/>
    </xf>
    <xf numFmtId="0" fontId="89" fillId="0" borderId="65" xfId="0" applyFont="1" applyBorder="1" applyAlignment="1">
      <alignment horizontal="center" vertical="center" wrapText="1"/>
    </xf>
    <xf numFmtId="0" fontId="89" fillId="0" borderId="49" xfId="0" applyNumberFormat="1" applyFont="1" applyBorder="1" applyAlignment="1">
      <alignment horizontal="center" vertical="center" wrapText="1"/>
    </xf>
    <xf numFmtId="205" fontId="54" fillId="0" borderId="112" xfId="0" applyNumberFormat="1" applyFont="1" applyBorder="1" applyAlignment="1">
      <alignment horizontal="center" vertical="center"/>
    </xf>
    <xf numFmtId="205" fontId="89" fillId="0" borderId="112" xfId="0" applyNumberFormat="1" applyFont="1" applyBorder="1" applyAlignment="1">
      <alignment horizontal="center" vertical="center" wrapText="1"/>
    </xf>
    <xf numFmtId="0" fontId="54" fillId="0" borderId="49" xfId="0" applyFont="1" applyBorder="1" applyAlignment="1">
      <alignment horizontal="center" vertical="center"/>
    </xf>
    <xf numFmtId="205" fontId="89" fillId="0" borderId="62" xfId="0" applyNumberFormat="1" applyFont="1" applyBorder="1" applyAlignment="1">
      <alignment horizontal="center" vertical="center" wrapText="1"/>
    </xf>
    <xf numFmtId="205" fontId="54" fillId="0" borderId="62" xfId="0" applyNumberFormat="1" applyFont="1" applyBorder="1" applyAlignment="1">
      <alignment horizontal="center" vertical="center"/>
    </xf>
    <xf numFmtId="0" fontId="54" fillId="0" borderId="49" xfId="0" applyFont="1" applyBorder="1" applyAlignment="1">
      <alignment horizontal="center" vertical="center" wrapText="1"/>
    </xf>
    <xf numFmtId="0" fontId="89" fillId="0" borderId="49" xfId="0" applyFont="1" applyBorder="1" applyAlignment="1">
      <alignment horizontal="center" vertical="center" wrapText="1"/>
    </xf>
    <xf numFmtId="0" fontId="54" fillId="0" borderId="112" xfId="0" applyFont="1" applyBorder="1" applyAlignment="1">
      <alignment horizontal="center" vertical="center"/>
    </xf>
    <xf numFmtId="205" fontId="54" fillId="0" borderId="13" xfId="0" applyNumberFormat="1" applyFont="1" applyBorder="1" applyAlignment="1">
      <alignment horizontal="center" vertical="center"/>
    </xf>
    <xf numFmtId="0" fontId="89" fillId="28" borderId="49" xfId="0" applyFont="1" applyFill="1" applyBorder="1" applyAlignment="1">
      <alignment horizontal="center" vertical="center" wrapText="1"/>
    </xf>
    <xf numFmtId="0" fontId="89" fillId="28" borderId="66" xfId="0" applyFont="1" applyFill="1" applyBorder="1" applyAlignment="1">
      <alignment horizontal="center" vertical="center" wrapText="1"/>
    </xf>
    <xf numFmtId="0" fontId="89" fillId="28" borderId="63" xfId="0" applyFont="1" applyFill="1" applyBorder="1" applyAlignment="1">
      <alignment horizontal="center" vertical="center" wrapText="1"/>
    </xf>
    <xf numFmtId="0" fontId="89" fillId="28" borderId="61" xfId="0" applyFont="1" applyFill="1" applyBorder="1" applyAlignment="1">
      <alignment horizontal="center" vertical="center" wrapText="1"/>
    </xf>
    <xf numFmtId="0" fontId="89" fillId="28" borderId="18" xfId="0" applyFont="1" applyFill="1" applyBorder="1" applyAlignment="1">
      <alignment horizontal="center" vertical="center" wrapText="1"/>
    </xf>
    <xf numFmtId="0" fontId="89" fillId="28" borderId="19" xfId="0" applyFont="1" applyFill="1" applyBorder="1" applyAlignment="1">
      <alignment horizontal="center" vertical="center" wrapText="1"/>
    </xf>
    <xf numFmtId="0" fontId="89" fillId="28" borderId="20" xfId="0" applyFont="1" applyFill="1" applyBorder="1" applyAlignment="1">
      <alignment horizontal="center" vertical="center" wrapText="1"/>
    </xf>
    <xf numFmtId="0" fontId="90" fillId="28" borderId="64" xfId="0" applyFont="1" applyFill="1" applyBorder="1" applyAlignment="1">
      <alignment horizontal="center" vertical="center" wrapText="1"/>
    </xf>
    <xf numFmtId="0" fontId="90" fillId="28" borderId="67" xfId="0" applyFont="1" applyFill="1" applyBorder="1" applyAlignment="1">
      <alignment horizontal="center" vertical="center" wrapText="1"/>
    </xf>
    <xf numFmtId="0" fontId="90" fillId="28" borderId="65" xfId="0" applyFont="1" applyFill="1" applyBorder="1" applyAlignment="1">
      <alignment horizontal="center" vertical="center" wrapText="1"/>
    </xf>
    <xf numFmtId="0" fontId="89" fillId="28" borderId="64" xfId="0" applyFont="1" applyFill="1" applyBorder="1" applyAlignment="1">
      <alignment horizontal="center" vertical="center" wrapText="1"/>
    </xf>
    <xf numFmtId="0" fontId="89" fillId="28" borderId="67" xfId="0" applyFont="1" applyFill="1" applyBorder="1" applyAlignment="1">
      <alignment horizontal="center" vertical="center" wrapText="1"/>
    </xf>
    <xf numFmtId="0" fontId="89" fillId="28" borderId="65" xfId="0" applyFont="1" applyFill="1" applyBorder="1" applyAlignment="1">
      <alignment horizontal="center" vertical="center" wrapText="1"/>
    </xf>
    <xf numFmtId="0" fontId="54" fillId="28" borderId="64" xfId="0" applyFont="1" applyFill="1" applyBorder="1" applyAlignment="1">
      <alignment horizontal="center" vertical="center"/>
    </xf>
    <xf numFmtId="0" fontId="54" fillId="28" borderId="67" xfId="0" applyFont="1" applyFill="1" applyBorder="1" applyAlignment="1">
      <alignment horizontal="center" vertical="center"/>
    </xf>
    <xf numFmtId="0" fontId="54" fillId="28" borderId="65" xfId="0" applyFont="1" applyFill="1" applyBorder="1" applyAlignment="1">
      <alignment horizontal="center" vertical="center"/>
    </xf>
    <xf numFmtId="0" fontId="89" fillId="28" borderId="49" xfId="0" applyNumberFormat="1" applyFont="1" applyFill="1" applyBorder="1" applyAlignment="1">
      <alignment horizontal="center" vertical="center" wrapText="1"/>
    </xf>
    <xf numFmtId="205" fontId="89" fillId="0" borderId="13" xfId="0" applyNumberFormat="1" applyFont="1" applyBorder="1" applyAlignment="1">
      <alignment horizontal="center" vertical="center" wrapText="1"/>
    </xf>
    <xf numFmtId="205" fontId="89" fillId="0" borderId="49" xfId="0" applyNumberFormat="1" applyFont="1" applyBorder="1" applyAlignment="1">
      <alignment horizontal="center" vertical="center" wrapText="1"/>
    </xf>
    <xf numFmtId="208" fontId="89" fillId="0" borderId="49" xfId="0" applyNumberFormat="1" applyFont="1" applyBorder="1" applyAlignment="1">
      <alignment horizontal="center" vertical="center" wrapText="1"/>
    </xf>
    <xf numFmtId="205" fontId="89" fillId="0" borderId="64" xfId="0" applyNumberFormat="1" applyFont="1" applyBorder="1" applyAlignment="1">
      <alignment horizontal="center" vertical="center" wrapText="1"/>
    </xf>
    <xf numFmtId="205" fontId="89" fillId="0" borderId="67" xfId="0" applyNumberFormat="1" applyFont="1" applyBorder="1" applyAlignment="1">
      <alignment horizontal="center" vertical="center" wrapText="1"/>
    </xf>
    <xf numFmtId="205" fontId="89" fillId="0" borderId="65" xfId="0" applyNumberFormat="1" applyFont="1" applyBorder="1" applyAlignment="1">
      <alignment horizontal="center" vertical="center" wrapText="1"/>
    </xf>
    <xf numFmtId="207" fontId="89" fillId="0" borderId="49" xfId="0" applyNumberFormat="1" applyFont="1" applyBorder="1" applyAlignment="1">
      <alignment horizontal="center" vertical="center" wrapText="1"/>
    </xf>
    <xf numFmtId="0" fontId="89" fillId="28" borderId="64" xfId="0" applyNumberFormat="1" applyFont="1" applyFill="1" applyBorder="1" applyAlignment="1">
      <alignment horizontal="center" vertical="center" wrapText="1"/>
    </xf>
    <xf numFmtId="0" fontId="89" fillId="28" borderId="67" xfId="0" applyNumberFormat="1" applyFont="1" applyFill="1" applyBorder="1" applyAlignment="1">
      <alignment horizontal="center" vertical="center" wrapText="1"/>
    </xf>
    <xf numFmtId="0" fontId="89" fillId="28" borderId="65" xfId="0" applyNumberFormat="1" applyFont="1" applyFill="1" applyBorder="1" applyAlignment="1">
      <alignment horizontal="center" vertical="center" wrapText="1"/>
    </xf>
    <xf numFmtId="49" fontId="89" fillId="28" borderId="64" xfId="0" applyNumberFormat="1" applyFont="1" applyFill="1" applyBorder="1" applyAlignment="1">
      <alignment horizontal="center" vertical="center" wrapText="1"/>
    </xf>
    <xf numFmtId="49" fontId="89" fillId="28" borderId="67" xfId="0" applyNumberFormat="1" applyFont="1" applyFill="1" applyBorder="1" applyAlignment="1">
      <alignment horizontal="center" vertical="center" wrapText="1"/>
    </xf>
    <xf numFmtId="49" fontId="89" fillId="28" borderId="65" xfId="0" applyNumberFormat="1" applyFont="1" applyFill="1" applyBorder="1" applyAlignment="1">
      <alignment horizontal="center" vertical="center" wrapText="1"/>
    </xf>
    <xf numFmtId="207" fontId="89" fillId="0" borderId="64" xfId="0" applyNumberFormat="1" applyFont="1" applyBorder="1" applyAlignment="1">
      <alignment horizontal="center" vertical="center" wrapText="1"/>
    </xf>
    <xf numFmtId="207" fontId="89" fillId="0" borderId="67" xfId="0" applyNumberFormat="1" applyFont="1" applyBorder="1" applyAlignment="1">
      <alignment horizontal="center" vertical="center" wrapText="1"/>
    </xf>
    <xf numFmtId="207" fontId="89" fillId="0" borderId="65" xfId="0" applyNumberFormat="1" applyFont="1" applyBorder="1" applyAlignment="1">
      <alignment horizontal="center" vertical="center" wrapText="1"/>
    </xf>
    <xf numFmtId="0" fontId="89" fillId="28" borderId="118" xfId="0" applyFont="1" applyFill="1" applyBorder="1" applyAlignment="1">
      <alignment horizontal="center" vertical="center" wrapText="1"/>
    </xf>
    <xf numFmtId="0" fontId="89" fillId="28" borderId="0" xfId="0" applyFont="1" applyFill="1" applyBorder="1" applyAlignment="1">
      <alignment horizontal="center" vertical="center" wrapText="1"/>
    </xf>
    <xf numFmtId="0" fontId="89" fillId="28" borderId="34" xfId="0" applyFont="1" applyFill="1" applyBorder="1" applyAlignment="1">
      <alignment horizontal="center" vertical="center" wrapText="1"/>
    </xf>
    <xf numFmtId="0" fontId="89" fillId="0" borderId="66" xfId="0" applyFont="1" applyBorder="1" applyAlignment="1">
      <alignment horizontal="center" vertical="center" shrinkToFit="1"/>
    </xf>
    <xf numFmtId="0" fontId="89" fillId="0" borderId="63" xfId="0" applyFont="1" applyBorder="1" applyAlignment="1">
      <alignment horizontal="center" vertical="center" shrinkToFit="1"/>
    </xf>
    <xf numFmtId="0" fontId="89" fillId="0" borderId="61" xfId="0" applyFont="1" applyBorder="1" applyAlignment="1">
      <alignment horizontal="center" vertical="center" shrinkToFit="1"/>
    </xf>
    <xf numFmtId="0" fontId="0" fillId="0" borderId="63" xfId="0" applyBorder="1" applyAlignment="1">
      <alignment vertical="center"/>
    </xf>
    <xf numFmtId="0" fontId="0" fillId="0" borderId="61" xfId="0" applyBorder="1" applyAlignment="1">
      <alignment vertical="center"/>
    </xf>
    <xf numFmtId="0" fontId="93" fillId="0" borderId="63" xfId="0" applyFont="1" applyBorder="1" applyAlignment="1">
      <alignment vertical="center"/>
    </xf>
    <xf numFmtId="0" fontId="89" fillId="0" borderId="66" xfId="0" applyFont="1" applyBorder="1" applyAlignment="1">
      <alignment horizontal="center" vertical="center"/>
    </xf>
    <xf numFmtId="0" fontId="89" fillId="0" borderId="61" xfId="0" applyFont="1" applyBorder="1" applyAlignment="1">
      <alignment horizontal="center" vertical="center"/>
    </xf>
    <xf numFmtId="0" fontId="89" fillId="0" borderId="118" xfId="0" applyFont="1" applyBorder="1" applyAlignment="1">
      <alignment horizontal="center" vertical="center"/>
    </xf>
    <xf numFmtId="0" fontId="89" fillId="0" borderId="34" xfId="0" applyFont="1" applyBorder="1" applyAlignment="1">
      <alignment horizontal="center" vertical="center"/>
    </xf>
    <xf numFmtId="0" fontId="89" fillId="0" borderId="64" xfId="0" applyFont="1" applyBorder="1" applyAlignment="1">
      <alignment horizontal="center" vertical="center" shrinkToFit="1"/>
    </xf>
    <xf numFmtId="0" fontId="89" fillId="0" borderId="67" xfId="0" applyFont="1" applyBorder="1" applyAlignment="1">
      <alignment horizontal="center" vertical="center" shrinkToFit="1"/>
    </xf>
    <xf numFmtId="0" fontId="89" fillId="0" borderId="65" xfId="0" applyFont="1" applyBorder="1" applyAlignment="1">
      <alignment horizontal="center" vertical="center" shrinkToFit="1"/>
    </xf>
    <xf numFmtId="0" fontId="0" fillId="0" borderId="67" xfId="0" applyBorder="1" applyAlignment="1">
      <alignment vertical="center"/>
    </xf>
    <xf numFmtId="0" fontId="0" fillId="0" borderId="65" xfId="0" applyBorder="1" applyAlignment="1">
      <alignment vertical="center"/>
    </xf>
    <xf numFmtId="0" fontId="93" fillId="0" borderId="67" xfId="0" applyFont="1" applyBorder="1" applyAlignment="1">
      <alignment vertical="center"/>
    </xf>
    <xf numFmtId="0" fontId="89" fillId="0" borderId="18" xfId="0" applyFont="1" applyBorder="1" applyAlignment="1">
      <alignment horizontal="center" vertical="center" shrinkToFit="1"/>
    </xf>
    <xf numFmtId="0" fontId="89" fillId="0" borderId="19" xfId="0" applyFont="1" applyBorder="1" applyAlignment="1">
      <alignment horizontal="center" vertical="center" shrinkToFit="1"/>
    </xf>
    <xf numFmtId="0" fontId="89" fillId="0" borderId="20" xfId="0" applyFont="1" applyBorder="1" applyAlignment="1">
      <alignment horizontal="center" vertical="center" shrinkToFit="1"/>
    </xf>
    <xf numFmtId="208" fontId="89" fillId="0" borderId="64" xfId="0" applyNumberFormat="1" applyFont="1" applyBorder="1" applyAlignment="1">
      <alignment horizontal="center" vertical="center" wrapText="1"/>
    </xf>
    <xf numFmtId="208" fontId="89" fillId="0" borderId="67" xfId="0" applyNumberFormat="1" applyFont="1" applyBorder="1" applyAlignment="1">
      <alignment horizontal="center" vertical="center" wrapText="1"/>
    </xf>
    <xf numFmtId="208" fontId="89" fillId="0" borderId="65" xfId="0" applyNumberFormat="1" applyFont="1" applyBorder="1" applyAlignment="1">
      <alignment horizontal="center" vertical="center" wrapText="1"/>
    </xf>
    <xf numFmtId="0" fontId="89" fillId="0" borderId="64" xfId="0" applyNumberFormat="1" applyFont="1" applyBorder="1" applyAlignment="1">
      <alignment horizontal="center" vertical="center" shrinkToFit="1"/>
    </xf>
    <xf numFmtId="0" fontId="89" fillId="0" borderId="67" xfId="0" applyNumberFormat="1" applyFont="1" applyBorder="1" applyAlignment="1">
      <alignment horizontal="center" vertical="center" shrinkToFit="1"/>
    </xf>
    <xf numFmtId="0" fontId="89" fillId="0" borderId="65" xfId="0" applyNumberFormat="1" applyFont="1" applyBorder="1" applyAlignment="1">
      <alignment horizontal="center" vertical="center" shrinkToFit="1"/>
    </xf>
    <xf numFmtId="205" fontId="89" fillId="0" borderId="64" xfId="0" applyNumberFormat="1" applyFont="1" applyBorder="1" applyAlignment="1">
      <alignment vertical="center" shrinkToFit="1"/>
    </xf>
    <xf numFmtId="205" fontId="89" fillId="0" borderId="67" xfId="0" applyNumberFormat="1" applyFont="1" applyBorder="1" applyAlignment="1">
      <alignment vertical="center" shrinkToFit="1"/>
    </xf>
    <xf numFmtId="0" fontId="89" fillId="0" borderId="67" xfId="0" applyNumberFormat="1" applyFont="1" applyBorder="1" applyAlignment="1">
      <alignment vertical="center"/>
    </xf>
    <xf numFmtId="0" fontId="89" fillId="0" borderId="65" xfId="0" applyNumberFormat="1" applyFont="1" applyBorder="1" applyAlignment="1">
      <alignment vertical="center"/>
    </xf>
    <xf numFmtId="0" fontId="90" fillId="0" borderId="64" xfId="0" applyFont="1" applyBorder="1" applyAlignment="1">
      <alignment horizontal="left" vertical="center" shrinkToFit="1"/>
    </xf>
    <xf numFmtId="0" fontId="90" fillId="0" borderId="67" xfId="0" applyFont="1" applyBorder="1" applyAlignment="1">
      <alignment horizontal="left" vertical="center" shrinkToFit="1"/>
    </xf>
    <xf numFmtId="0" fontId="90" fillId="0" borderId="65" xfId="0" applyFont="1" applyBorder="1" applyAlignment="1">
      <alignment horizontal="left" vertical="center" shrinkToFit="1"/>
    </xf>
    <xf numFmtId="205" fontId="89" fillId="0" borderId="66" xfId="0" applyNumberFormat="1" applyFont="1" applyBorder="1" applyAlignment="1">
      <alignment vertical="center" shrinkToFit="1"/>
    </xf>
    <xf numFmtId="205" fontId="89" fillId="0" borderId="63" xfId="0" applyNumberFormat="1" applyFont="1" applyBorder="1" applyAlignment="1">
      <alignment vertical="center" shrinkToFit="1"/>
    </xf>
    <xf numFmtId="0" fontId="89" fillId="0" borderId="64" xfId="0" applyFont="1" applyBorder="1" applyAlignment="1">
      <alignment horizontal="center" vertical="center"/>
    </xf>
    <xf numFmtId="0" fontId="89" fillId="0" borderId="65" xfId="0" applyFont="1" applyBorder="1" applyAlignment="1">
      <alignment horizontal="center" vertical="center"/>
    </xf>
    <xf numFmtId="205" fontId="89" fillId="0" borderId="64" xfId="0" applyNumberFormat="1" applyFont="1" applyBorder="1" applyAlignment="1">
      <alignment vertical="center"/>
    </xf>
    <xf numFmtId="205" fontId="89" fillId="0" borderId="67" xfId="0" applyNumberFormat="1" applyFont="1" applyBorder="1" applyAlignment="1">
      <alignment vertical="center"/>
    </xf>
    <xf numFmtId="0" fontId="90" fillId="0" borderId="118" xfId="0" applyFont="1" applyBorder="1" applyAlignment="1">
      <alignment horizontal="center" vertical="center" shrinkToFit="1"/>
    </xf>
    <xf numFmtId="0" fontId="90" fillId="0" borderId="0" xfId="0" applyFont="1" applyBorder="1" applyAlignment="1">
      <alignment horizontal="center" vertical="center" shrinkToFit="1"/>
    </xf>
    <xf numFmtId="0" fontId="90" fillId="0" borderId="34" xfId="0" applyFont="1" applyBorder="1" applyAlignment="1">
      <alignment horizontal="center" vertical="center" shrinkToFit="1"/>
    </xf>
    <xf numFmtId="0" fontId="90" fillId="0" borderId="18" xfId="0" applyFont="1" applyBorder="1" applyAlignment="1">
      <alignment horizontal="center" vertical="center" shrinkToFit="1"/>
    </xf>
    <xf numFmtId="0" fontId="90" fillId="0" borderId="19" xfId="0" applyFont="1" applyBorder="1" applyAlignment="1">
      <alignment horizontal="center" vertical="center" shrinkToFit="1"/>
    </xf>
    <xf numFmtId="0" fontId="90" fillId="0" borderId="20" xfId="0" applyFont="1" applyBorder="1" applyAlignment="1">
      <alignment horizontal="center" vertical="center" shrinkToFit="1"/>
    </xf>
    <xf numFmtId="0" fontId="89" fillId="0" borderId="118" xfId="0" applyFon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34" xfId="0" applyBorder="1" applyAlignment="1">
      <alignment vertical="center"/>
    </xf>
    <xf numFmtId="0" fontId="93" fillId="0" borderId="0" xfId="0" applyFont="1" applyBorder="1" applyAlignment="1">
      <alignment vertical="center"/>
    </xf>
    <xf numFmtId="0" fontId="89" fillId="0" borderId="64" xfId="0" applyNumberFormat="1" applyFont="1" applyBorder="1" applyAlignment="1">
      <alignment horizontal="right" vertical="center" shrinkToFit="1"/>
    </xf>
    <xf numFmtId="0" fontId="89" fillId="0" borderId="67" xfId="0" applyNumberFormat="1" applyFont="1" applyBorder="1" applyAlignment="1">
      <alignment horizontal="right" vertical="center" shrinkToFit="1"/>
    </xf>
    <xf numFmtId="0" fontId="89" fillId="0" borderId="65" xfId="0" applyNumberFormat="1" applyFont="1" applyBorder="1" applyAlignment="1">
      <alignment horizontal="right" vertical="center" shrinkToFit="1"/>
    </xf>
    <xf numFmtId="0" fontId="89" fillId="0" borderId="64" xfId="0" applyFont="1" applyBorder="1" applyAlignment="1">
      <alignment horizontal="right" vertical="center" shrinkToFit="1"/>
    </xf>
    <xf numFmtId="0" fontId="93" fillId="0" borderId="67" xfId="0" applyFont="1" applyBorder="1" applyAlignment="1">
      <alignment horizontal="right" vertical="center"/>
    </xf>
    <xf numFmtId="0" fontId="0" fillId="0" borderId="65" xfId="0" applyBorder="1" applyAlignment="1">
      <alignment horizontal="right" vertical="center"/>
    </xf>
    <xf numFmtId="0" fontId="90" fillId="0" borderId="64" xfId="0" applyFont="1" applyBorder="1" applyAlignment="1">
      <alignment horizontal="right" vertical="center" shrinkToFit="1"/>
    </xf>
    <xf numFmtId="0" fontId="90" fillId="0" borderId="67" xfId="0" applyFont="1" applyBorder="1" applyAlignment="1">
      <alignment horizontal="right" vertical="center" shrinkToFit="1"/>
    </xf>
    <xf numFmtId="0" fontId="90" fillId="0" borderId="65" xfId="0" applyFont="1" applyBorder="1" applyAlignment="1">
      <alignment horizontal="right" vertical="center" shrinkToFit="1"/>
    </xf>
    <xf numFmtId="0" fontId="89" fillId="0" borderId="66" xfId="0" applyNumberFormat="1" applyFont="1" applyBorder="1" applyAlignment="1">
      <alignment horizontal="center" vertical="center" shrinkToFit="1"/>
    </xf>
    <xf numFmtId="0" fontId="89" fillId="0" borderId="63" xfId="0" applyNumberFormat="1" applyFont="1" applyBorder="1" applyAlignment="1">
      <alignment horizontal="center" vertical="center" shrinkToFit="1"/>
    </xf>
    <xf numFmtId="0" fontId="89" fillId="0" borderId="61" xfId="0" applyNumberFormat="1" applyFont="1" applyBorder="1" applyAlignment="1">
      <alignment horizontal="center" vertical="center" shrinkToFit="1"/>
    </xf>
    <xf numFmtId="188" fontId="89" fillId="0" borderId="64" xfId="0" applyNumberFormat="1" applyFont="1" applyBorder="1" applyAlignment="1">
      <alignment horizontal="center" vertical="center" shrinkToFit="1"/>
    </xf>
    <xf numFmtId="188" fontId="89" fillId="0" borderId="67" xfId="0" applyNumberFormat="1" applyFont="1" applyBorder="1" applyAlignment="1">
      <alignment horizontal="center" vertical="center" shrinkToFit="1"/>
    </xf>
    <xf numFmtId="188" fontId="89" fillId="0" borderId="65" xfId="0" applyNumberFormat="1" applyFont="1" applyBorder="1" applyAlignment="1">
      <alignment horizontal="center" vertical="center" shrinkToFit="1"/>
    </xf>
    <xf numFmtId="205" fontId="54" fillId="0" borderId="0" xfId="0" applyNumberFormat="1" applyFont="1" applyBorder="1" applyAlignment="1">
      <alignment horizontal="center" vertical="center"/>
    </xf>
    <xf numFmtId="205" fontId="54" fillId="0" borderId="0" xfId="0" applyNumberFormat="1" applyFont="1" applyBorder="1" applyAlignment="1">
      <alignment vertical="center"/>
    </xf>
    <xf numFmtId="189" fontId="54" fillId="0" borderId="0" xfId="0" applyNumberFormat="1" applyFont="1" applyBorder="1" applyAlignment="1">
      <alignment horizontal="left" vertical="center"/>
    </xf>
    <xf numFmtId="197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2" fontId="54" fillId="0" borderId="0" xfId="0" applyNumberFormat="1" applyFont="1" applyBorder="1" applyAlignment="1">
      <alignment horizontal="center" vertical="center"/>
    </xf>
    <xf numFmtId="205" fontId="54" fillId="0" borderId="0" xfId="0" applyNumberFormat="1" applyFont="1" applyBorder="1" applyAlignment="1">
      <alignment horizontal="center" vertical="center" shrinkToFit="1"/>
    </xf>
    <xf numFmtId="0" fontId="54" fillId="0" borderId="0" xfId="0" applyNumberFormat="1" applyFont="1" applyBorder="1" applyAlignment="1">
      <alignment horizontal="center" vertical="center"/>
    </xf>
    <xf numFmtId="209" fontId="54" fillId="0" borderId="19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left" vertical="center"/>
    </xf>
    <xf numFmtId="205" fontId="89" fillId="0" borderId="67" xfId="0" applyNumberFormat="1" applyFont="1" applyBorder="1" applyAlignment="1">
      <alignment horizontal="center" vertical="center"/>
    </xf>
    <xf numFmtId="0" fontId="89" fillId="0" borderId="63" xfId="0" applyFont="1" applyBorder="1" applyAlignment="1">
      <alignment horizontal="center" vertical="center"/>
    </xf>
    <xf numFmtId="0" fontId="89" fillId="0" borderId="0" xfId="0" applyFont="1" applyBorder="1" applyAlignment="1">
      <alignment horizontal="center" vertical="center"/>
    </xf>
    <xf numFmtId="205" fontId="89" fillId="0" borderId="19" xfId="0" applyNumberFormat="1" applyFont="1" applyBorder="1" applyAlignment="1">
      <alignment horizontal="center" vertical="center"/>
    </xf>
    <xf numFmtId="211" fontId="54" fillId="0" borderId="0" xfId="0" applyNumberFormat="1" applyFont="1" applyBorder="1" applyAlignment="1">
      <alignment horizontal="center" vertical="center" shrinkToFit="1"/>
    </xf>
    <xf numFmtId="0" fontId="54" fillId="0" borderId="19" xfId="0" applyNumberFormat="1" applyFont="1" applyBorder="1" applyAlignment="1">
      <alignment horizontal="center" vertical="center"/>
    </xf>
    <xf numFmtId="205" fontId="54" fillId="0" borderId="19" xfId="0" applyNumberFormat="1" applyFont="1" applyBorder="1" applyAlignment="1">
      <alignment horizontal="center" vertical="center"/>
    </xf>
    <xf numFmtId="205" fontId="89" fillId="0" borderId="0" xfId="0" applyNumberFormat="1" applyFont="1" applyBorder="1" applyAlignment="1">
      <alignment horizontal="center" vertical="center" shrinkToFit="1"/>
    </xf>
    <xf numFmtId="205" fontId="89" fillId="0" borderId="0" xfId="0" applyNumberFormat="1" applyFont="1" applyBorder="1" applyAlignment="1">
      <alignment vertical="center"/>
    </xf>
    <xf numFmtId="0" fontId="89" fillId="0" borderId="119" xfId="0" applyNumberFormat="1" applyFont="1" applyBorder="1" applyAlignment="1">
      <alignment horizontal="center" vertical="center" wrapText="1"/>
    </xf>
    <xf numFmtId="0" fontId="89" fillId="0" borderId="120" xfId="0" applyNumberFormat="1" applyFont="1" applyBorder="1" applyAlignment="1">
      <alignment horizontal="center" vertical="center" wrapText="1"/>
    </xf>
    <xf numFmtId="0" fontId="89" fillId="0" borderId="121" xfId="0" applyNumberFormat="1" applyFont="1" applyBorder="1" applyAlignment="1">
      <alignment horizontal="center" vertical="center" wrapText="1"/>
    </xf>
    <xf numFmtId="0" fontId="89" fillId="0" borderId="18" xfId="0" applyNumberFormat="1" applyFont="1" applyBorder="1" applyAlignment="1">
      <alignment horizontal="center" vertical="center" wrapText="1"/>
    </xf>
    <xf numFmtId="0" fontId="89" fillId="0" borderId="19" xfId="0" applyNumberFormat="1" applyFont="1" applyBorder="1" applyAlignment="1">
      <alignment horizontal="center" vertical="center" wrapText="1"/>
    </xf>
    <xf numFmtId="0" fontId="89" fillId="0" borderId="20" xfId="0" applyNumberFormat="1" applyFont="1" applyBorder="1" applyAlignment="1">
      <alignment horizontal="center" vertical="center" wrapText="1"/>
    </xf>
    <xf numFmtId="0" fontId="89" fillId="0" borderId="119" xfId="0" applyFont="1" applyBorder="1" applyAlignment="1">
      <alignment horizontal="center" vertical="center" wrapText="1"/>
    </xf>
    <xf numFmtId="0" fontId="89" fillId="0" borderId="121" xfId="0" applyFont="1" applyBorder="1" applyAlignment="1">
      <alignment horizontal="center" vertical="center" wrapText="1"/>
    </xf>
    <xf numFmtId="0" fontId="89" fillId="0" borderId="119" xfId="0" applyFont="1" applyBorder="1" applyAlignment="1">
      <alignment horizontal="center" vertical="center"/>
    </xf>
    <xf numFmtId="0" fontId="89" fillId="0" borderId="120" xfId="0" applyFont="1" applyBorder="1" applyAlignment="1">
      <alignment horizontal="center" vertical="center"/>
    </xf>
    <xf numFmtId="0" fontId="89" fillId="0" borderId="121" xfId="0" applyFont="1" applyBorder="1" applyAlignment="1">
      <alignment horizontal="center" vertical="center"/>
    </xf>
    <xf numFmtId="0" fontId="89" fillId="0" borderId="18" xfId="0" applyFont="1" applyBorder="1" applyAlignment="1">
      <alignment horizontal="center" vertical="center"/>
    </xf>
    <xf numFmtId="0" fontId="89" fillId="0" borderId="19" xfId="0" applyFont="1" applyBorder="1" applyAlignment="1">
      <alignment horizontal="center" vertical="center"/>
    </xf>
    <xf numFmtId="0" fontId="89" fillId="0" borderId="20" xfId="0" applyFont="1" applyBorder="1" applyAlignment="1">
      <alignment horizontal="center" vertical="center"/>
    </xf>
    <xf numFmtId="0" fontId="89" fillId="0" borderId="118" xfId="0" applyNumberFormat="1" applyFont="1" applyBorder="1" applyAlignment="1">
      <alignment horizontal="center" vertical="center" wrapText="1"/>
    </xf>
    <xf numFmtId="0" fontId="89" fillId="0" borderId="0" xfId="0" applyNumberFormat="1" applyFont="1" applyBorder="1" applyAlignment="1">
      <alignment horizontal="center" vertical="center" wrapText="1"/>
    </xf>
    <xf numFmtId="0" fontId="89" fillId="0" borderId="34" xfId="0" applyNumberFormat="1" applyFont="1" applyBorder="1" applyAlignment="1">
      <alignment horizontal="center" vertical="center" wrapText="1"/>
    </xf>
    <xf numFmtId="0" fontId="89" fillId="0" borderId="120" xfId="0" applyFont="1" applyBorder="1" applyAlignment="1">
      <alignment horizontal="center" vertical="center" wrapText="1"/>
    </xf>
    <xf numFmtId="203" fontId="89" fillId="0" borderId="0" xfId="0" applyNumberFormat="1" applyFont="1" applyBorder="1" applyAlignment="1">
      <alignment horizontal="left" vertical="center"/>
    </xf>
    <xf numFmtId="211" fontId="54" fillId="0" borderId="0" xfId="0" applyNumberFormat="1" applyFont="1" applyBorder="1" applyAlignment="1">
      <alignment horizontal="left" vertical="center" shrinkToFit="1"/>
    </xf>
    <xf numFmtId="211" fontId="54" fillId="0" borderId="34" xfId="0" applyNumberFormat="1" applyFont="1" applyBorder="1" applyAlignment="1">
      <alignment horizontal="left" vertical="center" shrinkToFit="1"/>
    </xf>
    <xf numFmtId="211" fontId="54" fillId="0" borderId="19" xfId="0" applyNumberFormat="1" applyFont="1" applyBorder="1" applyAlignment="1">
      <alignment horizontal="left" vertical="center" shrinkToFit="1"/>
    </xf>
    <xf numFmtId="211" fontId="54" fillId="0" borderId="20" xfId="0" applyNumberFormat="1" applyFont="1" applyBorder="1" applyAlignment="1">
      <alignment horizontal="left" vertical="center" shrinkToFit="1"/>
    </xf>
    <xf numFmtId="0" fontId="94" fillId="0" borderId="67" xfId="0" applyFont="1" applyBorder="1" applyAlignment="1">
      <alignment horizontal="center" vertical="center" wrapText="1"/>
    </xf>
    <xf numFmtId="0" fontId="94" fillId="0" borderId="65" xfId="0" applyFont="1" applyBorder="1" applyAlignment="1">
      <alignment horizontal="center" vertical="center" wrapText="1"/>
    </xf>
    <xf numFmtId="0" fontId="89" fillId="0" borderId="0" xfId="0" applyNumberFormat="1" applyFont="1" applyBorder="1" applyAlignment="1">
      <alignment horizontal="center" vertical="center"/>
    </xf>
    <xf numFmtId="0" fontId="103" fillId="29" borderId="46" xfId="0" applyNumberFormat="1" applyFont="1" applyFill="1" applyBorder="1" applyAlignment="1">
      <alignment horizontal="center" vertical="center" wrapText="1"/>
    </xf>
    <xf numFmtId="0" fontId="55" fillId="26" borderId="64" xfId="0" applyFont="1" applyFill="1" applyBorder="1" applyAlignment="1">
      <alignment horizontal="center" vertical="center"/>
    </xf>
    <xf numFmtId="0" fontId="55" fillId="26" borderId="65" xfId="0" applyFont="1" applyFill="1" applyBorder="1" applyAlignment="1">
      <alignment horizontal="center" vertical="center"/>
    </xf>
    <xf numFmtId="0" fontId="63" fillId="0" borderId="47" xfId="0" applyFont="1" applyBorder="1" applyAlignment="1">
      <alignment horizontal="center" vertical="center"/>
    </xf>
    <xf numFmtId="0" fontId="63" fillId="0" borderId="48" xfId="0" applyFont="1" applyBorder="1" applyAlignment="1">
      <alignment horizontal="center" vertical="center"/>
    </xf>
    <xf numFmtId="0" fontId="103" fillId="29" borderId="47" xfId="0" applyNumberFormat="1" applyFont="1" applyFill="1" applyBorder="1" applyAlignment="1">
      <alignment horizontal="center" vertical="center" wrapText="1"/>
    </xf>
    <xf numFmtId="0" fontId="103" fillId="29" borderId="48" xfId="0" applyNumberFormat="1" applyFont="1" applyFill="1" applyBorder="1" applyAlignment="1">
      <alignment horizontal="center" vertical="center" wrapText="1"/>
    </xf>
    <xf numFmtId="0" fontId="103" fillId="29" borderId="86" xfId="0" applyNumberFormat="1" applyFont="1" applyFill="1" applyBorder="1" applyAlignment="1">
      <alignment horizontal="center" vertical="center" wrapText="1"/>
    </xf>
    <xf numFmtId="0" fontId="103" fillId="29" borderId="27" xfId="0" applyNumberFormat="1" applyFont="1" applyFill="1" applyBorder="1" applyAlignment="1">
      <alignment horizontal="center" vertical="center" wrapText="1"/>
    </xf>
    <xf numFmtId="0" fontId="103" fillId="29" borderId="26" xfId="0" applyNumberFormat="1" applyFont="1" applyFill="1" applyBorder="1" applyAlignment="1">
      <alignment horizontal="center" vertical="center" wrapText="1"/>
    </xf>
    <xf numFmtId="0" fontId="103" fillId="29" borderId="86" xfId="0" applyNumberFormat="1" applyFont="1" applyFill="1" applyBorder="1" applyAlignment="1">
      <alignment horizontal="center" vertical="center"/>
    </xf>
    <xf numFmtId="0" fontId="103" fillId="29" borderId="26" xfId="0" applyNumberFormat="1" applyFont="1" applyFill="1" applyBorder="1" applyAlignment="1">
      <alignment horizontal="center" vertical="center"/>
    </xf>
    <xf numFmtId="0" fontId="103" fillId="29" borderId="87" xfId="0" applyNumberFormat="1" applyFont="1" applyFill="1" applyBorder="1" applyAlignment="1">
      <alignment horizontal="center" vertical="center" wrapText="1"/>
    </xf>
    <xf numFmtId="0" fontId="103" fillId="29" borderId="87" xfId="0" applyNumberFormat="1" applyFont="1" applyFill="1" applyBorder="1" applyAlignment="1">
      <alignment horizontal="center" vertical="center"/>
    </xf>
    <xf numFmtId="0" fontId="103" fillId="29" borderId="27" xfId="0" applyNumberFormat="1" applyFont="1" applyFill="1" applyBorder="1" applyAlignment="1">
      <alignment horizontal="center" vertical="center"/>
    </xf>
    <xf numFmtId="0" fontId="103" fillId="29" borderId="114" xfId="0" applyNumberFormat="1" applyFont="1" applyFill="1" applyBorder="1" applyAlignment="1">
      <alignment horizontal="center" vertical="center" wrapText="1"/>
    </xf>
    <xf numFmtId="0" fontId="103" fillId="29" borderId="106" xfId="0" applyNumberFormat="1" applyFont="1" applyFill="1" applyBorder="1" applyAlignment="1">
      <alignment horizontal="center" vertical="center" wrapText="1"/>
    </xf>
    <xf numFmtId="0" fontId="103" fillId="29" borderId="107" xfId="0" applyNumberFormat="1" applyFont="1" applyFill="1" applyBorder="1" applyAlignment="1">
      <alignment horizontal="center" vertical="center" wrapText="1"/>
    </xf>
    <xf numFmtId="0" fontId="103" fillId="29" borderId="104" xfId="0" applyNumberFormat="1" applyFont="1" applyFill="1" applyBorder="1" applyAlignment="1">
      <alignment horizontal="center" vertical="center"/>
    </xf>
    <xf numFmtId="0" fontId="103" fillId="29" borderId="108" xfId="0" applyNumberFormat="1" applyFont="1" applyFill="1" applyBorder="1" applyAlignment="1">
      <alignment horizontal="center" vertical="center"/>
    </xf>
    <xf numFmtId="0" fontId="103" fillId="29" borderId="111" xfId="0" applyNumberFormat="1" applyFont="1" applyFill="1" applyBorder="1" applyAlignment="1">
      <alignment horizontal="center" vertical="center"/>
    </xf>
    <xf numFmtId="0" fontId="103" fillId="29" borderId="93" xfId="0" applyNumberFormat="1" applyFont="1" applyFill="1" applyBorder="1" applyAlignment="1">
      <alignment horizontal="center" vertical="center" wrapText="1"/>
    </xf>
    <xf numFmtId="0" fontId="103" fillId="29" borderId="94" xfId="0" applyNumberFormat="1" applyFont="1" applyFill="1" applyBorder="1" applyAlignment="1">
      <alignment horizontal="center" vertical="center" wrapText="1"/>
    </xf>
    <xf numFmtId="0" fontId="103" fillId="29" borderId="95" xfId="0" applyNumberFormat="1" applyFont="1" applyFill="1" applyBorder="1" applyAlignment="1">
      <alignment horizontal="center" vertical="center" wrapText="1"/>
    </xf>
    <xf numFmtId="0" fontId="103" fillId="29" borderId="105" xfId="0" applyNumberFormat="1" applyFont="1" applyFill="1" applyBorder="1" applyAlignment="1">
      <alignment horizontal="center" vertical="center" wrapText="1"/>
    </xf>
    <xf numFmtId="0" fontId="103" fillId="29" borderId="109" xfId="0" applyNumberFormat="1" applyFont="1" applyFill="1" applyBorder="1" applyAlignment="1">
      <alignment horizontal="center" vertical="center" wrapText="1"/>
    </xf>
    <xf numFmtId="0" fontId="103" fillId="29" borderId="110" xfId="0" applyNumberFormat="1" applyFont="1" applyFill="1" applyBorder="1" applyAlignment="1">
      <alignment horizontal="center" vertical="center" wrapText="1"/>
    </xf>
    <xf numFmtId="196" fontId="9" fillId="29" borderId="114" xfId="0" applyNumberFormat="1" applyFont="1" applyFill="1" applyBorder="1" applyAlignment="1">
      <alignment horizontal="center" vertical="center" wrapText="1"/>
    </xf>
    <xf numFmtId="196" fontId="9" fillId="29" borderId="107" xfId="0" applyNumberFormat="1" applyFont="1" applyFill="1" applyBorder="1" applyAlignment="1">
      <alignment horizontal="center" vertical="center" wrapText="1"/>
    </xf>
    <xf numFmtId="0" fontId="103" fillId="29" borderId="88" xfId="0" applyNumberFormat="1" applyFont="1" applyFill="1" applyBorder="1" applyAlignment="1">
      <alignment horizontal="center" vertical="center" wrapText="1"/>
    </xf>
    <xf numFmtId="0" fontId="103" fillId="29" borderId="89" xfId="0" applyNumberFormat="1" applyFont="1" applyFill="1" applyBorder="1" applyAlignment="1">
      <alignment horizontal="center" vertical="center" wrapText="1"/>
    </xf>
    <xf numFmtId="0" fontId="103" fillId="29" borderId="90" xfId="0" applyNumberFormat="1" applyFont="1" applyFill="1" applyBorder="1" applyAlignment="1">
      <alignment horizontal="center" vertical="center" wrapText="1"/>
    </xf>
    <xf numFmtId="205" fontId="101" fillId="0" borderId="101" xfId="0" applyNumberFormat="1" applyFont="1" applyFill="1" applyBorder="1" applyAlignment="1">
      <alignment horizontal="center" vertical="center"/>
    </xf>
    <xf numFmtId="205" fontId="101" fillId="0" borderId="102" xfId="0" applyNumberFormat="1" applyFont="1" applyFill="1" applyBorder="1" applyAlignment="1">
      <alignment horizontal="center" vertical="center"/>
    </xf>
    <xf numFmtId="205" fontId="101" fillId="0" borderId="103" xfId="0" applyNumberFormat="1" applyFont="1" applyFill="1" applyBorder="1" applyAlignment="1">
      <alignment horizontal="center" vertical="center"/>
    </xf>
    <xf numFmtId="0" fontId="103" fillId="29" borderId="93" xfId="0" applyNumberFormat="1" applyFont="1" applyFill="1" applyBorder="1" applyAlignment="1">
      <alignment horizontal="center" vertical="center"/>
    </xf>
    <xf numFmtId="0" fontId="103" fillId="29" borderId="94" xfId="0" applyNumberFormat="1" applyFont="1" applyFill="1" applyBorder="1" applyAlignment="1">
      <alignment horizontal="center" vertical="center"/>
    </xf>
    <xf numFmtId="0" fontId="103" fillId="29" borderId="95" xfId="0" applyNumberFormat="1" applyFont="1" applyFill="1" applyBorder="1" applyAlignment="1">
      <alignment horizontal="center" vertical="center"/>
    </xf>
    <xf numFmtId="0" fontId="103" fillId="29" borderId="114" xfId="0" applyNumberFormat="1" applyFont="1" applyFill="1" applyBorder="1" applyAlignment="1">
      <alignment horizontal="center" vertical="center"/>
    </xf>
    <xf numFmtId="0" fontId="103" fillId="29" borderId="106" xfId="0" applyNumberFormat="1" applyFont="1" applyFill="1" applyBorder="1" applyAlignment="1">
      <alignment horizontal="center" vertical="center"/>
    </xf>
    <xf numFmtId="0" fontId="103" fillId="29" borderId="107" xfId="0" applyNumberFormat="1" applyFont="1" applyFill="1" applyBorder="1" applyAlignment="1">
      <alignment horizontal="center" vertical="center"/>
    </xf>
    <xf numFmtId="0" fontId="54" fillId="0" borderId="64" xfId="0" applyNumberFormat="1" applyFont="1" applyBorder="1" applyAlignment="1">
      <alignment horizontal="center" vertical="center"/>
    </xf>
    <xf numFmtId="0" fontId="54" fillId="0" borderId="67" xfId="0" applyNumberFormat="1" applyFont="1" applyBorder="1" applyAlignment="1">
      <alignment horizontal="center" vertical="center"/>
    </xf>
    <xf numFmtId="0" fontId="54" fillId="0" borderId="65" xfId="0" applyNumberFormat="1" applyFont="1" applyBorder="1" applyAlignment="1">
      <alignment horizontal="center" vertical="center"/>
    </xf>
    <xf numFmtId="0" fontId="54" fillId="0" borderId="100" xfId="0" applyNumberFormat="1" applyFont="1" applyBorder="1" applyAlignment="1">
      <alignment horizontal="center" vertical="center" wrapText="1"/>
    </xf>
    <xf numFmtId="0" fontId="54" fillId="0" borderId="112" xfId="0" applyNumberFormat="1" applyFont="1" applyBorder="1" applyAlignment="1">
      <alignment horizontal="center" vertical="center" wrapText="1"/>
    </xf>
    <xf numFmtId="0" fontId="54" fillId="0" borderId="13" xfId="0" applyNumberFormat="1" applyFont="1" applyBorder="1" applyAlignment="1">
      <alignment horizontal="center" vertical="center" wrapText="1"/>
    </xf>
    <xf numFmtId="0" fontId="6" fillId="29" borderId="114" xfId="0" applyNumberFormat="1" applyFont="1" applyFill="1" applyBorder="1" applyAlignment="1">
      <alignment horizontal="center" vertical="center"/>
    </xf>
    <xf numFmtId="0" fontId="6" fillId="29" borderId="106" xfId="0" applyNumberFormat="1" applyFont="1" applyFill="1" applyBorder="1" applyAlignment="1">
      <alignment horizontal="center" vertical="center"/>
    </xf>
    <xf numFmtId="0" fontId="6" fillId="29" borderId="107" xfId="0" applyNumberFormat="1" applyFont="1" applyFill="1" applyBorder="1" applyAlignment="1">
      <alignment horizontal="center" vertical="center"/>
    </xf>
    <xf numFmtId="41" fontId="54" fillId="0" borderId="100" xfId="132" applyFont="1" applyBorder="1" applyAlignment="1">
      <alignment horizontal="center" vertical="center"/>
    </xf>
    <xf numFmtId="41" fontId="54" fillId="0" borderId="112" xfId="132" applyFont="1" applyBorder="1" applyAlignment="1">
      <alignment horizontal="center" vertical="center"/>
    </xf>
    <xf numFmtId="41" fontId="54" fillId="0" borderId="13" xfId="132" applyFont="1" applyBorder="1" applyAlignment="1">
      <alignment horizontal="center" vertical="center"/>
    </xf>
    <xf numFmtId="196" fontId="6" fillId="29" borderId="116" xfId="0" applyNumberFormat="1" applyFont="1" applyFill="1" applyBorder="1" applyAlignment="1">
      <alignment horizontal="center" vertical="center"/>
    </xf>
    <xf numFmtId="196" fontId="6" fillId="29" borderId="117" xfId="0" applyNumberFormat="1" applyFont="1" applyFill="1" applyBorder="1" applyAlignment="1">
      <alignment horizontal="center" vertical="center"/>
    </xf>
    <xf numFmtId="0" fontId="116" fillId="29" borderId="93" xfId="133" applyNumberFormat="1" applyFont="1" applyFill="1" applyBorder="1" applyAlignment="1">
      <alignment horizontal="center" vertical="center" wrapText="1"/>
    </xf>
    <xf numFmtId="0" fontId="115" fillId="29" borderId="95" xfId="133" applyNumberFormat="1" applyFont="1" applyFill="1" applyBorder="1" applyAlignment="1">
      <alignment horizontal="center" vertical="center" wrapText="1"/>
    </xf>
    <xf numFmtId="0" fontId="6" fillId="29" borderId="86" xfId="0" applyNumberFormat="1" applyFont="1" applyFill="1" applyBorder="1" applyAlignment="1">
      <alignment horizontal="center" vertical="center"/>
    </xf>
    <xf numFmtId="0" fontId="6" fillId="29" borderId="134" xfId="0" applyNumberFormat="1" applyFont="1" applyFill="1" applyBorder="1" applyAlignment="1">
      <alignment horizontal="center" vertical="center"/>
    </xf>
    <xf numFmtId="0" fontId="9" fillId="29" borderId="87" xfId="0" applyNumberFormat="1" applyFont="1" applyFill="1" applyBorder="1" applyAlignment="1">
      <alignment horizontal="center" vertical="center" wrapText="1"/>
    </xf>
    <xf numFmtId="0" fontId="103" fillId="29" borderId="133" xfId="0" applyNumberFormat="1" applyFont="1" applyFill="1" applyBorder="1" applyAlignment="1">
      <alignment horizontal="center" vertical="center"/>
    </xf>
    <xf numFmtId="0" fontId="9" fillId="29" borderId="87" xfId="0" applyNumberFormat="1" applyFont="1" applyFill="1" applyBorder="1" applyAlignment="1">
      <alignment horizontal="center" vertical="center"/>
    </xf>
    <xf numFmtId="0" fontId="9" fillId="29" borderId="93" xfId="0" applyNumberFormat="1" applyFont="1" applyFill="1" applyBorder="1" applyAlignment="1">
      <alignment horizontal="center" vertical="center"/>
    </xf>
  </cellXfs>
  <cellStyles count="146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1 2" xfId="88"/>
    <cellStyle name="20% - 강조색2" xfId="10" builtinId="34" customBuiltin="1"/>
    <cellStyle name="20% - 강조색2 2" xfId="89"/>
    <cellStyle name="20% - 강조색3" xfId="11" builtinId="38" customBuiltin="1"/>
    <cellStyle name="20% - 강조색3 2" xfId="90"/>
    <cellStyle name="20% - 강조색4" xfId="12" builtinId="42" customBuiltin="1"/>
    <cellStyle name="20% - 강조색4 2" xfId="91"/>
    <cellStyle name="20% - 강조색5" xfId="13" builtinId="46" customBuiltin="1"/>
    <cellStyle name="20% - 강조색5 2" xfId="92"/>
    <cellStyle name="20% - 강조색6" xfId="14" builtinId="50" customBuiltin="1"/>
    <cellStyle name="20% - 강조색6 2" xfId="93"/>
    <cellStyle name="40% - 강조색1" xfId="15" builtinId="31" customBuiltin="1"/>
    <cellStyle name="40% - 강조색1 2" xfId="94"/>
    <cellStyle name="40% - 강조색2" xfId="16" builtinId="35" customBuiltin="1"/>
    <cellStyle name="40% - 강조색2 2" xfId="95"/>
    <cellStyle name="40% - 강조색3" xfId="17" builtinId="39" customBuiltin="1"/>
    <cellStyle name="40% - 강조색3 2" xfId="96"/>
    <cellStyle name="40% - 강조색4" xfId="18" builtinId="43" customBuiltin="1"/>
    <cellStyle name="40% - 강조색4 2" xfId="97"/>
    <cellStyle name="40% - 강조색5" xfId="19" builtinId="47" customBuiltin="1"/>
    <cellStyle name="40% - 강조색5 2" xfId="98"/>
    <cellStyle name="40% - 강조색6" xfId="20" builtinId="51" customBuiltin="1"/>
    <cellStyle name="40% - 강조색6 2" xfId="99"/>
    <cellStyle name="60% - 강조색1" xfId="21" builtinId="32" customBuiltin="1"/>
    <cellStyle name="60% - 강조색1 2" xfId="100"/>
    <cellStyle name="60% - 강조색2" xfId="22" builtinId="36" customBuiltin="1"/>
    <cellStyle name="60% - 강조색2 2" xfId="101"/>
    <cellStyle name="60% - 강조색3" xfId="23" builtinId="40" customBuiltin="1"/>
    <cellStyle name="60% - 강조색3 2" xfId="102"/>
    <cellStyle name="60% - 강조색4" xfId="24" builtinId="44" customBuiltin="1"/>
    <cellStyle name="60% - 강조색4 2" xfId="103"/>
    <cellStyle name="60% - 강조색5" xfId="25" builtinId="48" customBuiltin="1"/>
    <cellStyle name="60% - 강조색5 2" xfId="104"/>
    <cellStyle name="60% - 강조색6" xfId="26" builtinId="52" customBuiltin="1"/>
    <cellStyle name="60% - 강조색6 2" xfId="105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106"/>
    <cellStyle name="Input [yellow] 3" xfId="140"/>
    <cellStyle name="Normal - Style1" xfId="38"/>
    <cellStyle name="Normal_ SG&amp;A Bridge " xfId="39"/>
    <cellStyle name="Percent [2]" xfId="40"/>
    <cellStyle name="강조색1" xfId="41" builtinId="29" customBuiltin="1"/>
    <cellStyle name="강조색1 2" xfId="107"/>
    <cellStyle name="강조색2" xfId="42" builtinId="33" customBuiltin="1"/>
    <cellStyle name="강조색2 2" xfId="108"/>
    <cellStyle name="강조색3" xfId="43" builtinId="37" customBuiltin="1"/>
    <cellStyle name="강조색3 2" xfId="109"/>
    <cellStyle name="강조색4" xfId="44" builtinId="41" customBuiltin="1"/>
    <cellStyle name="강조색4 2" xfId="110"/>
    <cellStyle name="강조색5" xfId="45" builtinId="45" customBuiltin="1"/>
    <cellStyle name="강조색5 2" xfId="111"/>
    <cellStyle name="강조색6" xfId="46" builtinId="49" customBuiltin="1"/>
    <cellStyle name="강조색6 2" xfId="112"/>
    <cellStyle name="경고문" xfId="47" builtinId="11" customBuiltin="1"/>
    <cellStyle name="경고문 2" xfId="113"/>
    <cellStyle name="계산" xfId="48" builtinId="22" customBuiltin="1"/>
    <cellStyle name="계산 2" xfId="114"/>
    <cellStyle name="계산 2 2" xfId="136"/>
    <cellStyle name="계산 3" xfId="141"/>
    <cellStyle name="나쁨" xfId="49" builtinId="27" customBuiltin="1"/>
    <cellStyle name="나쁨 2" xfId="115"/>
    <cellStyle name="뒤에 오는 하이퍼링크_불확도(OPM)" xfId="50"/>
    <cellStyle name="메모" xfId="51" builtinId="10" customBuiltin="1"/>
    <cellStyle name="메모 2" xfId="116"/>
    <cellStyle name="메모 2 2" xfId="137"/>
    <cellStyle name="메모 3" xfId="142"/>
    <cellStyle name="백분율" xfId="82" builtinId="5"/>
    <cellStyle name="백분율 2" xfId="83"/>
    <cellStyle name="보통" xfId="52" builtinId="28" customBuiltin="1"/>
    <cellStyle name="보통 2" xfId="117"/>
    <cellStyle name="뷭?_BOOKSHIP" xfId="53"/>
    <cellStyle name="설명 텍스트" xfId="54" builtinId="53" customBuiltin="1"/>
    <cellStyle name="설명 텍스트 2" xfId="118"/>
    <cellStyle name="셀 확인" xfId="55" builtinId="23" customBuiltin="1"/>
    <cellStyle name="셀 확인 2" xfId="119"/>
    <cellStyle name="쉼표 [0]" xfId="132" builtinId="6"/>
    <cellStyle name="쉼표 [0] 2" xfId="139"/>
    <cellStyle name="쉼표 [0] 3" xfId="135"/>
    <cellStyle name="스타일 1" xfId="56"/>
    <cellStyle name="연결된 셀" xfId="57" builtinId="24" customBuiltin="1"/>
    <cellStyle name="연결된 셀 2" xfId="120"/>
    <cellStyle name="요약" xfId="58" builtinId="25" customBuiltin="1"/>
    <cellStyle name="요약 2" xfId="121"/>
    <cellStyle name="요약 3" xfId="143"/>
    <cellStyle name="입력" xfId="59" builtinId="20" customBuiltin="1"/>
    <cellStyle name="입력 2" xfId="122"/>
    <cellStyle name="입력 2 2" xfId="138"/>
    <cellStyle name="입력 3" xfId="144"/>
    <cellStyle name="제목" xfId="60" builtinId="15" customBuiltin="1"/>
    <cellStyle name="제목 1" xfId="61" builtinId="16" customBuiltin="1"/>
    <cellStyle name="제목 1 2" xfId="124"/>
    <cellStyle name="제목 2" xfId="62" builtinId="17" customBuiltin="1"/>
    <cellStyle name="제목 2 2" xfId="125"/>
    <cellStyle name="제목 3" xfId="63" builtinId="18" customBuiltin="1"/>
    <cellStyle name="제목 3 2" xfId="126"/>
    <cellStyle name="제목 4" xfId="64" builtinId="19" customBuiltin="1"/>
    <cellStyle name="제목 4 2" xfId="127"/>
    <cellStyle name="제목 5" xfId="123"/>
    <cellStyle name="좋음" xfId="65" builtinId="26" customBuiltin="1"/>
    <cellStyle name="좋음 2" xfId="128"/>
    <cellStyle name="출력" xfId="66" builtinId="21" customBuiltin="1"/>
    <cellStyle name="출력 2" xfId="129"/>
    <cellStyle name="출력 3" xfId="145"/>
    <cellStyle name="콤마 [0]_  갑 지  " xfId="67"/>
    <cellStyle name="콤마_  갑 지  " xfId="68"/>
    <cellStyle name="표준" xfId="0" builtinId="0" customBuiltin="1"/>
    <cellStyle name="표준 10" xfId="86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 8" xfId="130"/>
    <cellStyle name="표준 9" xfId="87"/>
    <cellStyle name="표준_AGLIENT 34401A(12.22)" xfId="78"/>
    <cellStyle name="표준_ESS-2000" xfId="79"/>
    <cellStyle name="표준_R3267" xfId="133"/>
    <cellStyle name="표준_Sheet1" xfId="81"/>
    <cellStyle name="표준_교정결과" xfId="134"/>
    <cellStyle name="표준_영문Reg004-X" xfId="131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emf"/><Relationship Id="rId39" Type="http://schemas.openxmlformats.org/officeDocument/2006/relationships/image" Target="../media/image40.emf"/><Relationship Id="rId21" Type="http://schemas.openxmlformats.org/officeDocument/2006/relationships/image" Target="../media/image22.emf"/><Relationship Id="rId34" Type="http://schemas.openxmlformats.org/officeDocument/2006/relationships/image" Target="../media/image35.emf"/><Relationship Id="rId42" Type="http://schemas.openxmlformats.org/officeDocument/2006/relationships/image" Target="../media/image43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20" Type="http://schemas.openxmlformats.org/officeDocument/2006/relationships/image" Target="../media/image21.emf"/><Relationship Id="rId29" Type="http://schemas.openxmlformats.org/officeDocument/2006/relationships/image" Target="../media/image30.emf"/><Relationship Id="rId41" Type="http://schemas.openxmlformats.org/officeDocument/2006/relationships/image" Target="../media/image42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24" Type="http://schemas.openxmlformats.org/officeDocument/2006/relationships/image" Target="../media/image25.emf"/><Relationship Id="rId32" Type="http://schemas.openxmlformats.org/officeDocument/2006/relationships/image" Target="../media/image33.emf"/><Relationship Id="rId37" Type="http://schemas.openxmlformats.org/officeDocument/2006/relationships/image" Target="../media/image38.emf"/><Relationship Id="rId40" Type="http://schemas.openxmlformats.org/officeDocument/2006/relationships/image" Target="../media/image41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emf"/><Relationship Id="rId36" Type="http://schemas.openxmlformats.org/officeDocument/2006/relationships/image" Target="../media/image37.emf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31" Type="http://schemas.openxmlformats.org/officeDocument/2006/relationships/image" Target="../media/image32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Relationship Id="rId27" Type="http://schemas.openxmlformats.org/officeDocument/2006/relationships/image" Target="../media/image28.emf"/><Relationship Id="rId30" Type="http://schemas.openxmlformats.org/officeDocument/2006/relationships/image" Target="../media/image31.emf"/><Relationship Id="rId35" Type="http://schemas.openxmlformats.org/officeDocument/2006/relationships/image" Target="../media/image36.emf"/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33" Type="http://schemas.openxmlformats.org/officeDocument/2006/relationships/image" Target="../media/image34.emf"/><Relationship Id="rId38" Type="http://schemas.openxmlformats.org/officeDocument/2006/relationships/image" Target="../media/image3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174593</xdr:colOff>
      <xdr:row>16</xdr:row>
      <xdr:rowOff>13176</xdr:rowOff>
    </xdr:from>
    <xdr:ext cx="254557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451068" y="3470751"/>
              <a:ext cx="254557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451068" y="3470751"/>
              <a:ext cx="254557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1/𝑆=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422243</xdr:colOff>
      <xdr:row>18</xdr:row>
      <xdr:rowOff>13176</xdr:rowOff>
    </xdr:from>
    <xdr:ext cx="146835" cy="194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698718" y="3851751"/>
              <a:ext cx="14683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698718" y="3851751"/>
              <a:ext cx="14683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¯(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412718</xdr:colOff>
      <xdr:row>18</xdr:row>
      <xdr:rowOff>13176</xdr:rowOff>
    </xdr:from>
    <xdr:ext cx="1515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613118" y="3851751"/>
              <a:ext cx="151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613118" y="3851751"/>
              <a:ext cx="151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𝑝_𝑖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571500</xdr:colOff>
      <xdr:row>14</xdr:row>
      <xdr:rowOff>19050</xdr:rowOff>
    </xdr:from>
    <xdr:ext cx="691856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847975" y="3095625"/>
              <a:ext cx="69185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847975" y="3095625"/>
              <a:ext cx="69185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𝑝_𝑖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1/𝑆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×¯(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)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14</xdr:row>
      <xdr:rowOff>19050</xdr:rowOff>
    </xdr:from>
    <xdr:ext cx="691856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847975" y="3095625"/>
              <a:ext cx="69185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847975" y="3095625"/>
              <a:ext cx="69185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𝑝_𝑖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1/𝑆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×¯(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171450</xdr:colOff>
      <xdr:row>16</xdr:row>
      <xdr:rowOff>9525</xdr:rowOff>
    </xdr:from>
    <xdr:ext cx="254557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447925" y="3467100"/>
              <a:ext cx="254557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447925" y="3467100"/>
              <a:ext cx="254557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1/𝑆=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422243</xdr:colOff>
      <xdr:row>18</xdr:row>
      <xdr:rowOff>13176</xdr:rowOff>
    </xdr:from>
    <xdr:ext cx="146835" cy="194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698718" y="3851751"/>
              <a:ext cx="14683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698718" y="3851751"/>
              <a:ext cx="14683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¯(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412718</xdr:colOff>
      <xdr:row>18</xdr:row>
      <xdr:rowOff>13176</xdr:rowOff>
    </xdr:from>
    <xdr:ext cx="1515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613118" y="3851751"/>
              <a:ext cx="151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613118" y="3851751"/>
              <a:ext cx="151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𝑝_𝑖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30</xdr:row>
      <xdr:rowOff>9525</xdr:rowOff>
    </xdr:from>
    <xdr:to>
      <xdr:col>7</xdr:col>
      <xdr:colOff>267929</xdr:colOff>
      <xdr:row>30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527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527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7</xdr:col>
      <xdr:colOff>933450</xdr:colOff>
      <xdr:row>37</xdr:row>
      <xdr:rowOff>109538</xdr:rowOff>
    </xdr:to>
    <xdr:pic>
      <xdr:nvPicPr>
        <xdr:cNvPr id="2" name="그림 1" descr="HCT로고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57700" y="7077075"/>
          <a:ext cx="1885950" cy="4905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297</xdr:row>
          <xdr:rowOff>0</xdr:rowOff>
        </xdr:from>
        <xdr:to>
          <xdr:col>11</xdr:col>
          <xdr:colOff>95250</xdr:colOff>
          <xdr:row>297</xdr:row>
          <xdr:rowOff>219075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325</xdr:row>
          <xdr:rowOff>19050</xdr:rowOff>
        </xdr:from>
        <xdr:to>
          <xdr:col>8</xdr:col>
          <xdr:colOff>95250</xdr:colOff>
          <xdr:row>327</xdr:row>
          <xdr:rowOff>171450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161</xdr:row>
          <xdr:rowOff>28575</xdr:rowOff>
        </xdr:from>
        <xdr:to>
          <xdr:col>7</xdr:col>
          <xdr:colOff>104775</xdr:colOff>
          <xdr:row>162</xdr:row>
          <xdr:rowOff>95250</xdr:rowOff>
        </xdr:to>
        <xdr:sp macro="" textlink="">
          <xdr:nvSpPr>
            <xdr:cNvPr id="1106" name="Object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165</xdr:row>
          <xdr:rowOff>0</xdr:rowOff>
        </xdr:from>
        <xdr:to>
          <xdr:col>29</xdr:col>
          <xdr:colOff>38100</xdr:colOff>
          <xdr:row>168</xdr:row>
          <xdr:rowOff>219075</xdr:rowOff>
        </xdr:to>
        <xdr:sp macro="" textlink="">
          <xdr:nvSpPr>
            <xdr:cNvPr id="1107" name="Object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213</xdr:row>
          <xdr:rowOff>38100</xdr:rowOff>
        </xdr:from>
        <xdr:to>
          <xdr:col>13</xdr:col>
          <xdr:colOff>28575</xdr:colOff>
          <xdr:row>214</xdr:row>
          <xdr:rowOff>180975</xdr:rowOff>
        </xdr:to>
        <xdr:sp macro="" textlink="">
          <xdr:nvSpPr>
            <xdr:cNvPr id="1108" name="Object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149</xdr:row>
          <xdr:rowOff>0</xdr:rowOff>
        </xdr:from>
        <xdr:to>
          <xdr:col>16</xdr:col>
          <xdr:colOff>57150</xdr:colOff>
          <xdr:row>152</xdr:row>
          <xdr:rowOff>28575</xdr:rowOff>
        </xdr:to>
        <xdr:sp macro="" textlink="">
          <xdr:nvSpPr>
            <xdr:cNvPr id="1109" name="Object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251</xdr:row>
          <xdr:rowOff>38100</xdr:rowOff>
        </xdr:from>
        <xdr:to>
          <xdr:col>14</xdr:col>
          <xdr:colOff>95250</xdr:colOff>
          <xdr:row>252</xdr:row>
          <xdr:rowOff>200025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249</xdr:row>
          <xdr:rowOff>95250</xdr:rowOff>
        </xdr:from>
        <xdr:to>
          <xdr:col>24</xdr:col>
          <xdr:colOff>104775</xdr:colOff>
          <xdr:row>250</xdr:row>
          <xdr:rowOff>142875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272</xdr:row>
          <xdr:rowOff>38100</xdr:rowOff>
        </xdr:from>
        <xdr:to>
          <xdr:col>15</xdr:col>
          <xdr:colOff>76200</xdr:colOff>
          <xdr:row>273</xdr:row>
          <xdr:rowOff>200025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264</xdr:row>
          <xdr:rowOff>209550</xdr:rowOff>
        </xdr:from>
        <xdr:to>
          <xdr:col>40</xdr:col>
          <xdr:colOff>133350</xdr:colOff>
          <xdr:row>266</xdr:row>
          <xdr:rowOff>47625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267</xdr:row>
          <xdr:rowOff>209550</xdr:rowOff>
        </xdr:from>
        <xdr:to>
          <xdr:col>41</xdr:col>
          <xdr:colOff>57150</xdr:colOff>
          <xdr:row>269</xdr:row>
          <xdr:rowOff>47625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271</xdr:row>
          <xdr:rowOff>0</xdr:rowOff>
        </xdr:from>
        <xdr:to>
          <xdr:col>16</xdr:col>
          <xdr:colOff>114300</xdr:colOff>
          <xdr:row>272</xdr:row>
          <xdr:rowOff>38100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286</xdr:row>
          <xdr:rowOff>38100</xdr:rowOff>
        </xdr:from>
        <xdr:to>
          <xdr:col>15</xdr:col>
          <xdr:colOff>76200</xdr:colOff>
          <xdr:row>287</xdr:row>
          <xdr:rowOff>200025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284</xdr:row>
          <xdr:rowOff>47625</xdr:rowOff>
        </xdr:from>
        <xdr:to>
          <xdr:col>25</xdr:col>
          <xdr:colOff>114300</xdr:colOff>
          <xdr:row>285</xdr:row>
          <xdr:rowOff>190500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325</xdr:row>
          <xdr:rowOff>209550</xdr:rowOff>
        </xdr:from>
        <xdr:to>
          <xdr:col>14</xdr:col>
          <xdr:colOff>57150</xdr:colOff>
          <xdr:row>326</xdr:row>
          <xdr:rowOff>200025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325</xdr:row>
          <xdr:rowOff>209550</xdr:rowOff>
        </xdr:from>
        <xdr:to>
          <xdr:col>20</xdr:col>
          <xdr:colOff>57150</xdr:colOff>
          <xdr:row>326</xdr:row>
          <xdr:rowOff>200025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324</xdr:row>
          <xdr:rowOff>209550</xdr:rowOff>
        </xdr:from>
        <xdr:to>
          <xdr:col>17</xdr:col>
          <xdr:colOff>95250</xdr:colOff>
          <xdr:row>325</xdr:row>
          <xdr:rowOff>200025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162</xdr:row>
          <xdr:rowOff>180975</xdr:rowOff>
        </xdr:from>
        <xdr:to>
          <xdr:col>13</xdr:col>
          <xdr:colOff>38100</xdr:colOff>
          <xdr:row>163</xdr:row>
          <xdr:rowOff>209550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238</xdr:row>
          <xdr:rowOff>38100</xdr:rowOff>
        </xdr:from>
        <xdr:to>
          <xdr:col>14</xdr:col>
          <xdr:colOff>19050</xdr:colOff>
          <xdr:row>239</xdr:row>
          <xdr:rowOff>180975</xdr:rowOff>
        </xdr:to>
        <xdr:sp macro="" textlink="">
          <xdr:nvSpPr>
            <xdr:cNvPr id="1122" name="Object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223</xdr:row>
          <xdr:rowOff>209550</xdr:rowOff>
        </xdr:from>
        <xdr:to>
          <xdr:col>19</xdr:col>
          <xdr:colOff>114300</xdr:colOff>
          <xdr:row>225</xdr:row>
          <xdr:rowOff>28575</xdr:rowOff>
        </xdr:to>
        <xdr:sp macro="" textlink="">
          <xdr:nvSpPr>
            <xdr:cNvPr id="1123" name="Object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216</xdr:row>
          <xdr:rowOff>28575</xdr:rowOff>
        </xdr:from>
        <xdr:to>
          <xdr:col>13</xdr:col>
          <xdr:colOff>38100</xdr:colOff>
          <xdr:row>218</xdr:row>
          <xdr:rowOff>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224</xdr:row>
          <xdr:rowOff>209550</xdr:rowOff>
        </xdr:from>
        <xdr:to>
          <xdr:col>34</xdr:col>
          <xdr:colOff>57150</xdr:colOff>
          <xdr:row>225</xdr:row>
          <xdr:rowOff>219075</xdr:rowOff>
        </xdr:to>
        <xdr:sp macro="" textlink="">
          <xdr:nvSpPr>
            <xdr:cNvPr id="1125" name="Object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224</xdr:row>
          <xdr:rowOff>209550</xdr:rowOff>
        </xdr:from>
        <xdr:to>
          <xdr:col>17</xdr:col>
          <xdr:colOff>0</xdr:colOff>
          <xdr:row>226</xdr:row>
          <xdr:rowOff>9525</xdr:rowOff>
        </xdr:to>
        <xdr:sp macro="" textlink="">
          <xdr:nvSpPr>
            <xdr:cNvPr id="1126" name="Object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224</xdr:row>
          <xdr:rowOff>209550</xdr:rowOff>
        </xdr:from>
        <xdr:to>
          <xdr:col>23</xdr:col>
          <xdr:colOff>0</xdr:colOff>
          <xdr:row>226</xdr:row>
          <xdr:rowOff>9525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224</xdr:row>
          <xdr:rowOff>209550</xdr:rowOff>
        </xdr:from>
        <xdr:to>
          <xdr:col>29</xdr:col>
          <xdr:colOff>0</xdr:colOff>
          <xdr:row>226</xdr:row>
          <xdr:rowOff>9525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38100</xdr:colOff>
          <xdr:row>224</xdr:row>
          <xdr:rowOff>209550</xdr:rowOff>
        </xdr:from>
        <xdr:to>
          <xdr:col>35</xdr:col>
          <xdr:colOff>0</xdr:colOff>
          <xdr:row>226</xdr:row>
          <xdr:rowOff>9525</xdr:rowOff>
        </xdr:to>
        <xdr:sp macro="" textlink="">
          <xdr:nvSpPr>
            <xdr:cNvPr id="1129" name="Object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227</xdr:row>
          <xdr:rowOff>28575</xdr:rowOff>
        </xdr:from>
        <xdr:to>
          <xdr:col>13</xdr:col>
          <xdr:colOff>114300</xdr:colOff>
          <xdr:row>229</xdr:row>
          <xdr:rowOff>0</xdr:rowOff>
        </xdr:to>
        <xdr:sp macro="" textlink="">
          <xdr:nvSpPr>
            <xdr:cNvPr id="1130" name="Object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241</xdr:row>
          <xdr:rowOff>28575</xdr:rowOff>
        </xdr:from>
        <xdr:to>
          <xdr:col>15</xdr:col>
          <xdr:colOff>66675</xdr:colOff>
          <xdr:row>243</xdr:row>
          <xdr:rowOff>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289</xdr:row>
          <xdr:rowOff>19050</xdr:rowOff>
        </xdr:from>
        <xdr:to>
          <xdr:col>14</xdr:col>
          <xdr:colOff>28575</xdr:colOff>
          <xdr:row>291</xdr:row>
          <xdr:rowOff>9525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254</xdr:row>
          <xdr:rowOff>28575</xdr:rowOff>
        </xdr:from>
        <xdr:to>
          <xdr:col>14</xdr:col>
          <xdr:colOff>95250</xdr:colOff>
          <xdr:row>256</xdr:row>
          <xdr:rowOff>0</xdr:rowOff>
        </xdr:to>
        <xdr:sp macro="" textlink="">
          <xdr:nvSpPr>
            <xdr:cNvPr id="1133" name="Object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275</xdr:row>
          <xdr:rowOff>19050</xdr:rowOff>
        </xdr:from>
        <xdr:to>
          <xdr:col>14</xdr:col>
          <xdr:colOff>28575</xdr:colOff>
          <xdr:row>277</xdr:row>
          <xdr:rowOff>9525</xdr:rowOff>
        </xdr:to>
        <xdr:sp macro="" textlink="">
          <xdr:nvSpPr>
            <xdr:cNvPr id="1134" name="Object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296</xdr:row>
          <xdr:rowOff>0</xdr:rowOff>
        </xdr:from>
        <xdr:to>
          <xdr:col>7</xdr:col>
          <xdr:colOff>133350</xdr:colOff>
          <xdr:row>297</xdr:row>
          <xdr:rowOff>9525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201</xdr:row>
          <xdr:rowOff>28575</xdr:rowOff>
        </xdr:from>
        <xdr:to>
          <xdr:col>25</xdr:col>
          <xdr:colOff>104775</xdr:colOff>
          <xdr:row>204</xdr:row>
          <xdr:rowOff>0</xdr:rowOff>
        </xdr:to>
        <xdr:sp macro="" textlink="">
          <xdr:nvSpPr>
            <xdr:cNvPr id="1136" name="Object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252</xdr:row>
          <xdr:rowOff>0</xdr:rowOff>
        </xdr:from>
        <xdr:to>
          <xdr:col>29</xdr:col>
          <xdr:colOff>142875</xdr:colOff>
          <xdr:row>252</xdr:row>
          <xdr:rowOff>219075</xdr:rowOff>
        </xdr:to>
        <xdr:sp macro="" textlink="">
          <xdr:nvSpPr>
            <xdr:cNvPr id="1137" name="Object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273</xdr:row>
          <xdr:rowOff>0</xdr:rowOff>
        </xdr:from>
        <xdr:to>
          <xdr:col>30</xdr:col>
          <xdr:colOff>142875</xdr:colOff>
          <xdr:row>273</xdr:row>
          <xdr:rowOff>219075</xdr:rowOff>
        </xdr:to>
        <xdr:sp macro="" textlink="">
          <xdr:nvSpPr>
            <xdr:cNvPr id="1138" name="Object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287</xdr:row>
          <xdr:rowOff>0</xdr:rowOff>
        </xdr:from>
        <xdr:to>
          <xdr:col>30</xdr:col>
          <xdr:colOff>142875</xdr:colOff>
          <xdr:row>287</xdr:row>
          <xdr:rowOff>219075</xdr:rowOff>
        </xdr:to>
        <xdr:sp macro="" textlink="">
          <xdr:nvSpPr>
            <xdr:cNvPr id="1139" name="Object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297</xdr:row>
          <xdr:rowOff>0</xdr:rowOff>
        </xdr:from>
        <xdr:to>
          <xdr:col>19</xdr:col>
          <xdr:colOff>123825</xdr:colOff>
          <xdr:row>297</xdr:row>
          <xdr:rowOff>219075</xdr:rowOff>
        </xdr:to>
        <xdr:sp macro="" textlink="">
          <xdr:nvSpPr>
            <xdr:cNvPr id="1140" name="Object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298</xdr:row>
          <xdr:rowOff>0</xdr:rowOff>
        </xdr:from>
        <xdr:to>
          <xdr:col>11</xdr:col>
          <xdr:colOff>95250</xdr:colOff>
          <xdr:row>298</xdr:row>
          <xdr:rowOff>219075</xdr:rowOff>
        </xdr:to>
        <xdr:sp macro="" textlink="">
          <xdr:nvSpPr>
            <xdr:cNvPr id="1141" name="Object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206</xdr:row>
          <xdr:rowOff>28575</xdr:rowOff>
        </xdr:from>
        <xdr:to>
          <xdr:col>10</xdr:col>
          <xdr:colOff>38100</xdr:colOff>
          <xdr:row>206</xdr:row>
          <xdr:rowOff>190500</xdr:rowOff>
        </xdr:to>
        <xdr:sp macro="" textlink="">
          <xdr:nvSpPr>
            <xdr:cNvPr id="1142" name="Object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28575</xdr:rowOff>
        </xdr:from>
        <xdr:to>
          <xdr:col>9</xdr:col>
          <xdr:colOff>28575</xdr:colOff>
          <xdr:row>158</xdr:row>
          <xdr:rowOff>209550</xdr:rowOff>
        </xdr:to>
        <xdr:sp macro="" textlink="">
          <xdr:nvSpPr>
            <xdr:cNvPr id="1143" name="Object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28575</xdr:colOff>
          <xdr:row>9</xdr:row>
          <xdr:rowOff>0</xdr:rowOff>
        </xdr:from>
        <xdr:to>
          <xdr:col>42</xdr:col>
          <xdr:colOff>28575</xdr:colOff>
          <xdr:row>9</xdr:row>
          <xdr:rowOff>219075</xdr:rowOff>
        </xdr:to>
        <xdr:sp macro="" textlink="">
          <xdr:nvSpPr>
            <xdr:cNvPr id="1144" name="Object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76200</xdr:colOff>
          <xdr:row>50</xdr:row>
          <xdr:rowOff>47625</xdr:rowOff>
        </xdr:from>
        <xdr:to>
          <xdr:col>37</xdr:col>
          <xdr:colOff>142875</xdr:colOff>
          <xdr:row>51</xdr:row>
          <xdr:rowOff>209550</xdr:rowOff>
        </xdr:to>
        <xdr:sp macro="" textlink="">
          <xdr:nvSpPr>
            <xdr:cNvPr id="1145" name="Object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79</xdr:row>
          <xdr:rowOff>104775</xdr:rowOff>
        </xdr:from>
        <xdr:to>
          <xdr:col>21</xdr:col>
          <xdr:colOff>28575</xdr:colOff>
          <xdr:row>80</xdr:row>
          <xdr:rowOff>95250</xdr:rowOff>
        </xdr:to>
        <xdr:sp macro="" textlink="">
          <xdr:nvSpPr>
            <xdr:cNvPr id="1146" name="Object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230</xdr:row>
          <xdr:rowOff>209550</xdr:rowOff>
        </xdr:from>
        <xdr:to>
          <xdr:col>21</xdr:col>
          <xdr:colOff>66675</xdr:colOff>
          <xdr:row>231</xdr:row>
          <xdr:rowOff>200025</xdr:rowOff>
        </xdr:to>
        <xdr:sp macro="" textlink="">
          <xdr:nvSpPr>
            <xdr:cNvPr id="1147" name="Object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142875</xdr:colOff>
          <xdr:row>230</xdr:row>
          <xdr:rowOff>209550</xdr:rowOff>
        </xdr:from>
        <xdr:to>
          <xdr:col>27</xdr:col>
          <xdr:colOff>57150</xdr:colOff>
          <xdr:row>231</xdr:row>
          <xdr:rowOff>200025</xdr:rowOff>
        </xdr:to>
        <xdr:sp macro="" textlink="">
          <xdr:nvSpPr>
            <xdr:cNvPr id="1148" name="Object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229</xdr:row>
          <xdr:rowOff>209550</xdr:rowOff>
        </xdr:from>
        <xdr:to>
          <xdr:col>30</xdr:col>
          <xdr:colOff>76200</xdr:colOff>
          <xdr:row>230</xdr:row>
          <xdr:rowOff>200025</xdr:rowOff>
        </xdr:to>
        <xdr:sp macro="" textlink="">
          <xdr:nvSpPr>
            <xdr:cNvPr id="1149" name="Object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230</xdr:row>
          <xdr:rowOff>28575</xdr:rowOff>
        </xdr:from>
        <xdr:to>
          <xdr:col>15</xdr:col>
          <xdr:colOff>66675</xdr:colOff>
          <xdr:row>232</xdr:row>
          <xdr:rowOff>180975</xdr:rowOff>
        </xdr:to>
        <xdr:sp macro="" textlink="">
          <xdr:nvSpPr>
            <xdr:cNvPr id="1150" name="Object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230</xdr:row>
          <xdr:rowOff>209550</xdr:rowOff>
        </xdr:from>
        <xdr:to>
          <xdr:col>33</xdr:col>
          <xdr:colOff>57150</xdr:colOff>
          <xdr:row>231</xdr:row>
          <xdr:rowOff>200025</xdr:rowOff>
        </xdr:to>
        <xdr:sp macro="" textlink="">
          <xdr:nvSpPr>
            <xdr:cNvPr id="1151" name="Object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142875</xdr:colOff>
          <xdr:row>230</xdr:row>
          <xdr:rowOff>209550</xdr:rowOff>
        </xdr:from>
        <xdr:to>
          <xdr:col>39</xdr:col>
          <xdr:colOff>57150</xdr:colOff>
          <xdr:row>231</xdr:row>
          <xdr:rowOff>200025</xdr:rowOff>
        </xdr:to>
        <xdr:sp macro="" textlink="">
          <xdr:nvSpPr>
            <xdr:cNvPr id="1152" name="Object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256</xdr:row>
          <xdr:rowOff>200025</xdr:rowOff>
        </xdr:from>
        <xdr:to>
          <xdr:col>15</xdr:col>
          <xdr:colOff>0</xdr:colOff>
          <xdr:row>258</xdr:row>
          <xdr:rowOff>219075</xdr:rowOff>
        </xdr:to>
        <xdr:sp macro="" textlink="">
          <xdr:nvSpPr>
            <xdr:cNvPr id="1153" name="Object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277</xdr:row>
          <xdr:rowOff>200025</xdr:rowOff>
        </xdr:from>
        <xdr:to>
          <xdr:col>15</xdr:col>
          <xdr:colOff>0</xdr:colOff>
          <xdr:row>279</xdr:row>
          <xdr:rowOff>219075</xdr:rowOff>
        </xdr:to>
        <xdr:sp macro="" textlink="">
          <xdr:nvSpPr>
            <xdr:cNvPr id="1154" name="Object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291</xdr:row>
          <xdr:rowOff>200025</xdr:rowOff>
        </xdr:from>
        <xdr:to>
          <xdr:col>15</xdr:col>
          <xdr:colOff>0</xdr:colOff>
          <xdr:row>293</xdr:row>
          <xdr:rowOff>219075</xdr:rowOff>
        </xdr:to>
        <xdr:sp macro="" textlink="">
          <xdr:nvSpPr>
            <xdr:cNvPr id="1155" name="Object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340</xdr:row>
          <xdr:rowOff>9525</xdr:rowOff>
        </xdr:from>
        <xdr:to>
          <xdr:col>14</xdr:col>
          <xdr:colOff>95250</xdr:colOff>
          <xdr:row>341</xdr:row>
          <xdr:rowOff>0</xdr:rowOff>
        </xdr:to>
        <xdr:sp macro="" textlink="">
          <xdr:nvSpPr>
            <xdr:cNvPr id="1158" name="Object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336</xdr:row>
          <xdr:rowOff>161925</xdr:rowOff>
        </xdr:from>
        <xdr:to>
          <xdr:col>18</xdr:col>
          <xdr:colOff>133350</xdr:colOff>
          <xdr:row>338</xdr:row>
          <xdr:rowOff>57150</xdr:rowOff>
        </xdr:to>
        <xdr:sp macro="" textlink="">
          <xdr:nvSpPr>
            <xdr:cNvPr id="1159" name="Object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338</xdr:row>
          <xdr:rowOff>47625</xdr:rowOff>
        </xdr:from>
        <xdr:to>
          <xdr:col>13</xdr:col>
          <xdr:colOff>0</xdr:colOff>
          <xdr:row>339</xdr:row>
          <xdr:rowOff>171450</xdr:rowOff>
        </xdr:to>
        <xdr:sp macro="" textlink="">
          <xdr:nvSpPr>
            <xdr:cNvPr id="1160" name="Object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340</xdr:row>
          <xdr:rowOff>9525</xdr:rowOff>
        </xdr:from>
        <xdr:to>
          <xdr:col>14</xdr:col>
          <xdr:colOff>95250</xdr:colOff>
          <xdr:row>341</xdr:row>
          <xdr:rowOff>0</xdr:rowOff>
        </xdr:to>
        <xdr:sp macro="" textlink="">
          <xdr:nvSpPr>
            <xdr:cNvPr id="1161" name="Object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659</xdr:row>
          <xdr:rowOff>0</xdr:rowOff>
        </xdr:from>
        <xdr:to>
          <xdr:col>11</xdr:col>
          <xdr:colOff>95250</xdr:colOff>
          <xdr:row>659</xdr:row>
          <xdr:rowOff>219075</xdr:rowOff>
        </xdr:to>
        <xdr:sp macro="" textlink="">
          <xdr:nvSpPr>
            <xdr:cNvPr id="1162" name="Object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687</xdr:row>
          <xdr:rowOff>19050</xdr:rowOff>
        </xdr:from>
        <xdr:to>
          <xdr:col>8</xdr:col>
          <xdr:colOff>95250</xdr:colOff>
          <xdr:row>689</xdr:row>
          <xdr:rowOff>171450</xdr:rowOff>
        </xdr:to>
        <xdr:sp macro="" textlink="">
          <xdr:nvSpPr>
            <xdr:cNvPr id="1163" name="Object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523</xdr:row>
          <xdr:rowOff>28575</xdr:rowOff>
        </xdr:from>
        <xdr:to>
          <xdr:col>7</xdr:col>
          <xdr:colOff>104775</xdr:colOff>
          <xdr:row>524</xdr:row>
          <xdr:rowOff>95250</xdr:rowOff>
        </xdr:to>
        <xdr:sp macro="" textlink="">
          <xdr:nvSpPr>
            <xdr:cNvPr id="1164" name="Object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527</xdr:row>
          <xdr:rowOff>0</xdr:rowOff>
        </xdr:from>
        <xdr:to>
          <xdr:col>29</xdr:col>
          <xdr:colOff>38100</xdr:colOff>
          <xdr:row>530</xdr:row>
          <xdr:rowOff>219075</xdr:rowOff>
        </xdr:to>
        <xdr:sp macro="" textlink="">
          <xdr:nvSpPr>
            <xdr:cNvPr id="1165" name="Object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575</xdr:row>
          <xdr:rowOff>38100</xdr:rowOff>
        </xdr:from>
        <xdr:to>
          <xdr:col>13</xdr:col>
          <xdr:colOff>28575</xdr:colOff>
          <xdr:row>576</xdr:row>
          <xdr:rowOff>180975</xdr:rowOff>
        </xdr:to>
        <xdr:sp macro="" textlink="">
          <xdr:nvSpPr>
            <xdr:cNvPr id="1166" name="Object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511</xdr:row>
          <xdr:rowOff>0</xdr:rowOff>
        </xdr:from>
        <xdr:to>
          <xdr:col>16</xdr:col>
          <xdr:colOff>57150</xdr:colOff>
          <xdr:row>514</xdr:row>
          <xdr:rowOff>28575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613</xdr:row>
          <xdr:rowOff>38100</xdr:rowOff>
        </xdr:from>
        <xdr:to>
          <xdr:col>14</xdr:col>
          <xdr:colOff>95250</xdr:colOff>
          <xdr:row>614</xdr:row>
          <xdr:rowOff>200025</xdr:rowOff>
        </xdr:to>
        <xdr:sp macro="" textlink="">
          <xdr:nvSpPr>
            <xdr:cNvPr id="1168" name="Object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611</xdr:row>
          <xdr:rowOff>95250</xdr:rowOff>
        </xdr:from>
        <xdr:to>
          <xdr:col>24</xdr:col>
          <xdr:colOff>104775</xdr:colOff>
          <xdr:row>612</xdr:row>
          <xdr:rowOff>142875</xdr:rowOff>
        </xdr:to>
        <xdr:sp macro="" textlink="">
          <xdr:nvSpPr>
            <xdr:cNvPr id="1169" name="Object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634</xdr:row>
          <xdr:rowOff>38100</xdr:rowOff>
        </xdr:from>
        <xdr:to>
          <xdr:col>15</xdr:col>
          <xdr:colOff>76200</xdr:colOff>
          <xdr:row>635</xdr:row>
          <xdr:rowOff>200025</xdr:rowOff>
        </xdr:to>
        <xdr:sp macro="" textlink="">
          <xdr:nvSpPr>
            <xdr:cNvPr id="1170" name="Object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626</xdr:row>
          <xdr:rowOff>209550</xdr:rowOff>
        </xdr:from>
        <xdr:to>
          <xdr:col>40</xdr:col>
          <xdr:colOff>133350</xdr:colOff>
          <xdr:row>628</xdr:row>
          <xdr:rowOff>47625</xdr:rowOff>
        </xdr:to>
        <xdr:sp macro="" textlink="">
          <xdr:nvSpPr>
            <xdr:cNvPr id="1171" name="Object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629</xdr:row>
          <xdr:rowOff>209550</xdr:rowOff>
        </xdr:from>
        <xdr:to>
          <xdr:col>41</xdr:col>
          <xdr:colOff>57150</xdr:colOff>
          <xdr:row>631</xdr:row>
          <xdr:rowOff>47625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633</xdr:row>
          <xdr:rowOff>0</xdr:rowOff>
        </xdr:from>
        <xdr:to>
          <xdr:col>16</xdr:col>
          <xdr:colOff>114300</xdr:colOff>
          <xdr:row>634</xdr:row>
          <xdr:rowOff>38100</xdr:rowOff>
        </xdr:to>
        <xdr:sp macro="" textlink="">
          <xdr:nvSpPr>
            <xdr:cNvPr id="1173" name="Object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648</xdr:row>
          <xdr:rowOff>38100</xdr:rowOff>
        </xdr:from>
        <xdr:to>
          <xdr:col>15</xdr:col>
          <xdr:colOff>76200</xdr:colOff>
          <xdr:row>649</xdr:row>
          <xdr:rowOff>200025</xdr:rowOff>
        </xdr:to>
        <xdr:sp macro="" textlink="">
          <xdr:nvSpPr>
            <xdr:cNvPr id="1174" name="Object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646</xdr:row>
          <xdr:rowOff>47625</xdr:rowOff>
        </xdr:from>
        <xdr:to>
          <xdr:col>25</xdr:col>
          <xdr:colOff>114300</xdr:colOff>
          <xdr:row>647</xdr:row>
          <xdr:rowOff>190500</xdr:rowOff>
        </xdr:to>
        <xdr:sp macro="" textlink="">
          <xdr:nvSpPr>
            <xdr:cNvPr id="1175" name="Object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687</xdr:row>
          <xdr:rowOff>209550</xdr:rowOff>
        </xdr:from>
        <xdr:to>
          <xdr:col>14</xdr:col>
          <xdr:colOff>57150</xdr:colOff>
          <xdr:row>688</xdr:row>
          <xdr:rowOff>200025</xdr:rowOff>
        </xdr:to>
        <xdr:sp macro="" textlink="">
          <xdr:nvSpPr>
            <xdr:cNvPr id="1176" name="Object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687</xdr:row>
          <xdr:rowOff>209550</xdr:rowOff>
        </xdr:from>
        <xdr:to>
          <xdr:col>20</xdr:col>
          <xdr:colOff>57150</xdr:colOff>
          <xdr:row>688</xdr:row>
          <xdr:rowOff>200025</xdr:rowOff>
        </xdr:to>
        <xdr:sp macro="" textlink="">
          <xdr:nvSpPr>
            <xdr:cNvPr id="1177" name="Object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686</xdr:row>
          <xdr:rowOff>209550</xdr:rowOff>
        </xdr:from>
        <xdr:to>
          <xdr:col>17</xdr:col>
          <xdr:colOff>95250</xdr:colOff>
          <xdr:row>687</xdr:row>
          <xdr:rowOff>200025</xdr:rowOff>
        </xdr:to>
        <xdr:sp macro="" textlink="">
          <xdr:nvSpPr>
            <xdr:cNvPr id="1178" name="Object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524</xdr:row>
          <xdr:rowOff>180975</xdr:rowOff>
        </xdr:from>
        <xdr:to>
          <xdr:col>13</xdr:col>
          <xdr:colOff>38100</xdr:colOff>
          <xdr:row>525</xdr:row>
          <xdr:rowOff>209550</xdr:rowOff>
        </xdr:to>
        <xdr:sp macro="" textlink="">
          <xdr:nvSpPr>
            <xdr:cNvPr id="1179" name="Object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600</xdr:row>
          <xdr:rowOff>38100</xdr:rowOff>
        </xdr:from>
        <xdr:to>
          <xdr:col>14</xdr:col>
          <xdr:colOff>19050</xdr:colOff>
          <xdr:row>601</xdr:row>
          <xdr:rowOff>180975</xdr:rowOff>
        </xdr:to>
        <xdr:sp macro="" textlink="">
          <xdr:nvSpPr>
            <xdr:cNvPr id="1180" name="Object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585</xdr:row>
          <xdr:rowOff>209550</xdr:rowOff>
        </xdr:from>
        <xdr:to>
          <xdr:col>19</xdr:col>
          <xdr:colOff>114300</xdr:colOff>
          <xdr:row>587</xdr:row>
          <xdr:rowOff>28575</xdr:rowOff>
        </xdr:to>
        <xdr:sp macro="" textlink="">
          <xdr:nvSpPr>
            <xdr:cNvPr id="1181" name="Object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578</xdr:row>
          <xdr:rowOff>28575</xdr:rowOff>
        </xdr:from>
        <xdr:to>
          <xdr:col>13</xdr:col>
          <xdr:colOff>38100</xdr:colOff>
          <xdr:row>580</xdr:row>
          <xdr:rowOff>0</xdr:rowOff>
        </xdr:to>
        <xdr:sp macro="" textlink="">
          <xdr:nvSpPr>
            <xdr:cNvPr id="1182" name="Object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586</xdr:row>
          <xdr:rowOff>209550</xdr:rowOff>
        </xdr:from>
        <xdr:to>
          <xdr:col>34</xdr:col>
          <xdr:colOff>57150</xdr:colOff>
          <xdr:row>587</xdr:row>
          <xdr:rowOff>219075</xdr:rowOff>
        </xdr:to>
        <xdr:sp macro="" textlink="">
          <xdr:nvSpPr>
            <xdr:cNvPr id="1183" name="Object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586</xdr:row>
          <xdr:rowOff>209550</xdr:rowOff>
        </xdr:from>
        <xdr:to>
          <xdr:col>17</xdr:col>
          <xdr:colOff>0</xdr:colOff>
          <xdr:row>588</xdr:row>
          <xdr:rowOff>9525</xdr:rowOff>
        </xdr:to>
        <xdr:sp macro="" textlink="">
          <xdr:nvSpPr>
            <xdr:cNvPr id="1184" name="Object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586</xdr:row>
          <xdr:rowOff>209550</xdr:rowOff>
        </xdr:from>
        <xdr:to>
          <xdr:col>23</xdr:col>
          <xdr:colOff>0</xdr:colOff>
          <xdr:row>588</xdr:row>
          <xdr:rowOff>9525</xdr:rowOff>
        </xdr:to>
        <xdr:sp macro="" textlink="">
          <xdr:nvSpPr>
            <xdr:cNvPr id="1185" name="Object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586</xdr:row>
          <xdr:rowOff>209550</xdr:rowOff>
        </xdr:from>
        <xdr:to>
          <xdr:col>29</xdr:col>
          <xdr:colOff>0</xdr:colOff>
          <xdr:row>588</xdr:row>
          <xdr:rowOff>9525</xdr:rowOff>
        </xdr:to>
        <xdr:sp macro="" textlink="">
          <xdr:nvSpPr>
            <xdr:cNvPr id="1186" name="Object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38100</xdr:colOff>
          <xdr:row>586</xdr:row>
          <xdr:rowOff>209550</xdr:rowOff>
        </xdr:from>
        <xdr:to>
          <xdr:col>35</xdr:col>
          <xdr:colOff>0</xdr:colOff>
          <xdr:row>588</xdr:row>
          <xdr:rowOff>9525</xdr:rowOff>
        </xdr:to>
        <xdr:sp macro="" textlink="">
          <xdr:nvSpPr>
            <xdr:cNvPr id="1187" name="Object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589</xdr:row>
          <xdr:rowOff>28575</xdr:rowOff>
        </xdr:from>
        <xdr:to>
          <xdr:col>13</xdr:col>
          <xdr:colOff>114300</xdr:colOff>
          <xdr:row>591</xdr:row>
          <xdr:rowOff>0</xdr:rowOff>
        </xdr:to>
        <xdr:sp macro="" textlink="">
          <xdr:nvSpPr>
            <xdr:cNvPr id="1188" name="Object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603</xdr:row>
          <xdr:rowOff>28575</xdr:rowOff>
        </xdr:from>
        <xdr:to>
          <xdr:col>15</xdr:col>
          <xdr:colOff>66675</xdr:colOff>
          <xdr:row>605</xdr:row>
          <xdr:rowOff>0</xdr:rowOff>
        </xdr:to>
        <xdr:sp macro="" textlink="">
          <xdr:nvSpPr>
            <xdr:cNvPr id="1189" name="Object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651</xdr:row>
          <xdr:rowOff>19050</xdr:rowOff>
        </xdr:from>
        <xdr:to>
          <xdr:col>14</xdr:col>
          <xdr:colOff>28575</xdr:colOff>
          <xdr:row>653</xdr:row>
          <xdr:rowOff>9525</xdr:rowOff>
        </xdr:to>
        <xdr:sp macro="" textlink="">
          <xdr:nvSpPr>
            <xdr:cNvPr id="1190" name="Object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616</xdr:row>
          <xdr:rowOff>28575</xdr:rowOff>
        </xdr:from>
        <xdr:to>
          <xdr:col>14</xdr:col>
          <xdr:colOff>95250</xdr:colOff>
          <xdr:row>618</xdr:row>
          <xdr:rowOff>0</xdr:rowOff>
        </xdr:to>
        <xdr:sp macro="" textlink="">
          <xdr:nvSpPr>
            <xdr:cNvPr id="1191" name="Object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637</xdr:row>
          <xdr:rowOff>19050</xdr:rowOff>
        </xdr:from>
        <xdr:to>
          <xdr:col>14</xdr:col>
          <xdr:colOff>28575</xdr:colOff>
          <xdr:row>639</xdr:row>
          <xdr:rowOff>9525</xdr:rowOff>
        </xdr:to>
        <xdr:sp macro="" textlink="">
          <xdr:nvSpPr>
            <xdr:cNvPr id="1192" name="Object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658</xdr:row>
          <xdr:rowOff>0</xdr:rowOff>
        </xdr:from>
        <xdr:to>
          <xdr:col>7</xdr:col>
          <xdr:colOff>133350</xdr:colOff>
          <xdr:row>659</xdr:row>
          <xdr:rowOff>9525</xdr:rowOff>
        </xdr:to>
        <xdr:sp macro="" textlink="">
          <xdr:nvSpPr>
            <xdr:cNvPr id="1193" name="Object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563</xdr:row>
          <xdr:rowOff>28575</xdr:rowOff>
        </xdr:from>
        <xdr:to>
          <xdr:col>25</xdr:col>
          <xdr:colOff>104775</xdr:colOff>
          <xdr:row>566</xdr:row>
          <xdr:rowOff>0</xdr:rowOff>
        </xdr:to>
        <xdr:sp macro="" textlink="">
          <xdr:nvSpPr>
            <xdr:cNvPr id="1194" name="Object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614</xdr:row>
          <xdr:rowOff>0</xdr:rowOff>
        </xdr:from>
        <xdr:to>
          <xdr:col>29</xdr:col>
          <xdr:colOff>142875</xdr:colOff>
          <xdr:row>614</xdr:row>
          <xdr:rowOff>219075</xdr:rowOff>
        </xdr:to>
        <xdr:sp macro="" textlink="">
          <xdr:nvSpPr>
            <xdr:cNvPr id="1195" name="Object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635</xdr:row>
          <xdr:rowOff>0</xdr:rowOff>
        </xdr:from>
        <xdr:to>
          <xdr:col>30</xdr:col>
          <xdr:colOff>142875</xdr:colOff>
          <xdr:row>635</xdr:row>
          <xdr:rowOff>219075</xdr:rowOff>
        </xdr:to>
        <xdr:sp macro="" textlink="">
          <xdr:nvSpPr>
            <xdr:cNvPr id="1196" name="Object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649</xdr:row>
          <xdr:rowOff>0</xdr:rowOff>
        </xdr:from>
        <xdr:to>
          <xdr:col>30</xdr:col>
          <xdr:colOff>142875</xdr:colOff>
          <xdr:row>649</xdr:row>
          <xdr:rowOff>219075</xdr:rowOff>
        </xdr:to>
        <xdr:sp macro="" textlink="">
          <xdr:nvSpPr>
            <xdr:cNvPr id="1197" name="Object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659</xdr:row>
          <xdr:rowOff>0</xdr:rowOff>
        </xdr:from>
        <xdr:to>
          <xdr:col>19</xdr:col>
          <xdr:colOff>123825</xdr:colOff>
          <xdr:row>659</xdr:row>
          <xdr:rowOff>219075</xdr:rowOff>
        </xdr:to>
        <xdr:sp macro="" textlink="">
          <xdr:nvSpPr>
            <xdr:cNvPr id="1198" name="Object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660</xdr:row>
          <xdr:rowOff>0</xdr:rowOff>
        </xdr:from>
        <xdr:to>
          <xdr:col>11</xdr:col>
          <xdr:colOff>95250</xdr:colOff>
          <xdr:row>660</xdr:row>
          <xdr:rowOff>219075</xdr:rowOff>
        </xdr:to>
        <xdr:sp macro="" textlink="">
          <xdr:nvSpPr>
            <xdr:cNvPr id="1199" name="Object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568</xdr:row>
          <xdr:rowOff>28575</xdr:rowOff>
        </xdr:from>
        <xdr:to>
          <xdr:col>10</xdr:col>
          <xdr:colOff>38100</xdr:colOff>
          <xdr:row>568</xdr:row>
          <xdr:rowOff>190500</xdr:rowOff>
        </xdr:to>
        <xdr:sp macro="" textlink="">
          <xdr:nvSpPr>
            <xdr:cNvPr id="1200" name="Object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519</xdr:row>
          <xdr:rowOff>28575</xdr:rowOff>
        </xdr:from>
        <xdr:to>
          <xdr:col>9</xdr:col>
          <xdr:colOff>28575</xdr:colOff>
          <xdr:row>520</xdr:row>
          <xdr:rowOff>209550</xdr:rowOff>
        </xdr:to>
        <xdr:sp macro="" textlink="">
          <xdr:nvSpPr>
            <xdr:cNvPr id="1201" name="Object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28575</xdr:colOff>
          <xdr:row>371</xdr:row>
          <xdr:rowOff>0</xdr:rowOff>
        </xdr:from>
        <xdr:to>
          <xdr:col>42</xdr:col>
          <xdr:colOff>28575</xdr:colOff>
          <xdr:row>371</xdr:row>
          <xdr:rowOff>219075</xdr:rowOff>
        </xdr:to>
        <xdr:sp macro="" textlink="">
          <xdr:nvSpPr>
            <xdr:cNvPr id="1202" name="Object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76200</xdr:colOff>
          <xdr:row>412</xdr:row>
          <xdr:rowOff>47625</xdr:rowOff>
        </xdr:from>
        <xdr:to>
          <xdr:col>37</xdr:col>
          <xdr:colOff>142875</xdr:colOff>
          <xdr:row>413</xdr:row>
          <xdr:rowOff>209550</xdr:rowOff>
        </xdr:to>
        <xdr:sp macro="" textlink="">
          <xdr:nvSpPr>
            <xdr:cNvPr id="1203" name="Object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441</xdr:row>
          <xdr:rowOff>104775</xdr:rowOff>
        </xdr:from>
        <xdr:to>
          <xdr:col>21</xdr:col>
          <xdr:colOff>28575</xdr:colOff>
          <xdr:row>442</xdr:row>
          <xdr:rowOff>95250</xdr:rowOff>
        </xdr:to>
        <xdr:sp macro="" textlink="">
          <xdr:nvSpPr>
            <xdr:cNvPr id="1204" name="Object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592</xdr:row>
          <xdr:rowOff>209550</xdr:rowOff>
        </xdr:from>
        <xdr:to>
          <xdr:col>21</xdr:col>
          <xdr:colOff>66675</xdr:colOff>
          <xdr:row>593</xdr:row>
          <xdr:rowOff>200025</xdr:rowOff>
        </xdr:to>
        <xdr:sp macro="" textlink="">
          <xdr:nvSpPr>
            <xdr:cNvPr id="1205" name="Object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142875</xdr:colOff>
          <xdr:row>592</xdr:row>
          <xdr:rowOff>209550</xdr:rowOff>
        </xdr:from>
        <xdr:to>
          <xdr:col>27</xdr:col>
          <xdr:colOff>57150</xdr:colOff>
          <xdr:row>593</xdr:row>
          <xdr:rowOff>200025</xdr:rowOff>
        </xdr:to>
        <xdr:sp macro="" textlink="">
          <xdr:nvSpPr>
            <xdr:cNvPr id="1206" name="Object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591</xdr:row>
          <xdr:rowOff>209550</xdr:rowOff>
        </xdr:from>
        <xdr:to>
          <xdr:col>30</xdr:col>
          <xdr:colOff>76200</xdr:colOff>
          <xdr:row>592</xdr:row>
          <xdr:rowOff>200025</xdr:rowOff>
        </xdr:to>
        <xdr:sp macro="" textlink="">
          <xdr:nvSpPr>
            <xdr:cNvPr id="1207" name="Object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592</xdr:row>
          <xdr:rowOff>28575</xdr:rowOff>
        </xdr:from>
        <xdr:to>
          <xdr:col>15</xdr:col>
          <xdr:colOff>66675</xdr:colOff>
          <xdr:row>594</xdr:row>
          <xdr:rowOff>180975</xdr:rowOff>
        </xdr:to>
        <xdr:sp macro="" textlink="">
          <xdr:nvSpPr>
            <xdr:cNvPr id="1208" name="Object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592</xdr:row>
          <xdr:rowOff>209550</xdr:rowOff>
        </xdr:from>
        <xdr:to>
          <xdr:col>33</xdr:col>
          <xdr:colOff>57150</xdr:colOff>
          <xdr:row>593</xdr:row>
          <xdr:rowOff>200025</xdr:rowOff>
        </xdr:to>
        <xdr:sp macro="" textlink="">
          <xdr:nvSpPr>
            <xdr:cNvPr id="1209" name="Object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142875</xdr:colOff>
          <xdr:row>592</xdr:row>
          <xdr:rowOff>209550</xdr:rowOff>
        </xdr:from>
        <xdr:to>
          <xdr:col>39</xdr:col>
          <xdr:colOff>57150</xdr:colOff>
          <xdr:row>593</xdr:row>
          <xdr:rowOff>200025</xdr:rowOff>
        </xdr:to>
        <xdr:sp macro="" textlink="">
          <xdr:nvSpPr>
            <xdr:cNvPr id="1210" name="Object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618</xdr:row>
          <xdr:rowOff>200025</xdr:rowOff>
        </xdr:from>
        <xdr:to>
          <xdr:col>15</xdr:col>
          <xdr:colOff>0</xdr:colOff>
          <xdr:row>620</xdr:row>
          <xdr:rowOff>219075</xdr:rowOff>
        </xdr:to>
        <xdr:sp macro="" textlink="">
          <xdr:nvSpPr>
            <xdr:cNvPr id="1211" name="Object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639</xdr:row>
          <xdr:rowOff>200025</xdr:rowOff>
        </xdr:from>
        <xdr:to>
          <xdr:col>15</xdr:col>
          <xdr:colOff>0</xdr:colOff>
          <xdr:row>641</xdr:row>
          <xdr:rowOff>219075</xdr:rowOff>
        </xdr:to>
        <xdr:sp macro="" textlink="">
          <xdr:nvSpPr>
            <xdr:cNvPr id="1212" name="Object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653</xdr:row>
          <xdr:rowOff>200025</xdr:rowOff>
        </xdr:from>
        <xdr:to>
          <xdr:col>15</xdr:col>
          <xdr:colOff>0</xdr:colOff>
          <xdr:row>655</xdr:row>
          <xdr:rowOff>219075</xdr:rowOff>
        </xdr:to>
        <xdr:sp macro="" textlink="">
          <xdr:nvSpPr>
            <xdr:cNvPr id="1213" name="Object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702</xdr:row>
          <xdr:rowOff>9525</xdr:rowOff>
        </xdr:from>
        <xdr:to>
          <xdr:col>14</xdr:col>
          <xdr:colOff>95250</xdr:colOff>
          <xdr:row>703</xdr:row>
          <xdr:rowOff>0</xdr:rowOff>
        </xdr:to>
        <xdr:sp macro="" textlink="">
          <xdr:nvSpPr>
            <xdr:cNvPr id="1214" name="Object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698</xdr:row>
          <xdr:rowOff>161925</xdr:rowOff>
        </xdr:from>
        <xdr:to>
          <xdr:col>18</xdr:col>
          <xdr:colOff>133350</xdr:colOff>
          <xdr:row>700</xdr:row>
          <xdr:rowOff>57150</xdr:rowOff>
        </xdr:to>
        <xdr:sp macro="" textlink="">
          <xdr:nvSpPr>
            <xdr:cNvPr id="1215" name="Object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700</xdr:row>
          <xdr:rowOff>47625</xdr:rowOff>
        </xdr:from>
        <xdr:to>
          <xdr:col>13</xdr:col>
          <xdr:colOff>0</xdr:colOff>
          <xdr:row>701</xdr:row>
          <xdr:rowOff>171450</xdr:rowOff>
        </xdr:to>
        <xdr:sp macro="" textlink="">
          <xdr:nvSpPr>
            <xdr:cNvPr id="1216" name="Object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702</xdr:row>
          <xdr:rowOff>9525</xdr:rowOff>
        </xdr:from>
        <xdr:to>
          <xdr:col>14</xdr:col>
          <xdr:colOff>95250</xdr:colOff>
          <xdr:row>703</xdr:row>
          <xdr:rowOff>0</xdr:rowOff>
        </xdr:to>
        <xdr:sp macro="" textlink="">
          <xdr:nvSpPr>
            <xdr:cNvPr id="1217" name="Object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72.bin"/><Relationship Id="rId21" Type="http://schemas.openxmlformats.org/officeDocument/2006/relationships/image" Target="../media/image10.emf"/><Relationship Id="rId42" Type="http://schemas.openxmlformats.org/officeDocument/2006/relationships/oleObject" Target="../embeddings/oleObject21.bin"/><Relationship Id="rId63" Type="http://schemas.openxmlformats.org/officeDocument/2006/relationships/oleObject" Target="../embeddings/oleObject33.bin"/><Relationship Id="rId84" Type="http://schemas.openxmlformats.org/officeDocument/2006/relationships/oleObject" Target="../embeddings/oleObject46.bin"/><Relationship Id="rId138" Type="http://schemas.openxmlformats.org/officeDocument/2006/relationships/oleObject" Target="../embeddings/oleObject93.bin"/><Relationship Id="rId107" Type="http://schemas.openxmlformats.org/officeDocument/2006/relationships/oleObject" Target="../embeddings/oleObject62.bin"/><Relationship Id="rId11" Type="http://schemas.openxmlformats.org/officeDocument/2006/relationships/image" Target="../media/image5.emf"/><Relationship Id="rId32" Type="http://schemas.openxmlformats.org/officeDocument/2006/relationships/oleObject" Target="../embeddings/oleObject15.bin"/><Relationship Id="rId53" Type="http://schemas.openxmlformats.org/officeDocument/2006/relationships/oleObject" Target="../embeddings/oleObject28.bin"/><Relationship Id="rId74" Type="http://schemas.openxmlformats.org/officeDocument/2006/relationships/image" Target="../media/image33.emf"/><Relationship Id="rId128" Type="http://schemas.openxmlformats.org/officeDocument/2006/relationships/oleObject" Target="../embeddings/oleObject83.bin"/><Relationship Id="rId149" Type="http://schemas.openxmlformats.org/officeDocument/2006/relationships/oleObject" Target="../embeddings/oleObject104.bin"/><Relationship Id="rId5" Type="http://schemas.openxmlformats.org/officeDocument/2006/relationships/image" Target="../media/image2.emf"/><Relationship Id="rId95" Type="http://schemas.openxmlformats.org/officeDocument/2006/relationships/oleObject" Target="../embeddings/oleObject53.bin"/><Relationship Id="rId22" Type="http://schemas.openxmlformats.org/officeDocument/2006/relationships/oleObject" Target="../embeddings/oleObject10.bin"/><Relationship Id="rId43" Type="http://schemas.openxmlformats.org/officeDocument/2006/relationships/image" Target="../media/image20.emf"/><Relationship Id="rId64" Type="http://schemas.openxmlformats.org/officeDocument/2006/relationships/image" Target="../media/image29.emf"/><Relationship Id="rId118" Type="http://schemas.openxmlformats.org/officeDocument/2006/relationships/oleObject" Target="../embeddings/oleObject73.bin"/><Relationship Id="rId139" Type="http://schemas.openxmlformats.org/officeDocument/2006/relationships/oleObject" Target="../embeddings/oleObject94.bin"/><Relationship Id="rId80" Type="http://schemas.openxmlformats.org/officeDocument/2006/relationships/image" Target="../media/image36.emf"/><Relationship Id="rId85" Type="http://schemas.openxmlformats.org/officeDocument/2006/relationships/oleObject" Target="../embeddings/oleObject47.bin"/><Relationship Id="rId150" Type="http://schemas.openxmlformats.org/officeDocument/2006/relationships/oleObject" Target="../embeddings/oleObject105.bin"/><Relationship Id="rId155" Type="http://schemas.openxmlformats.org/officeDocument/2006/relationships/oleObject" Target="../embeddings/oleObject110.bin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8.emf"/><Relationship Id="rId33" Type="http://schemas.openxmlformats.org/officeDocument/2006/relationships/image" Target="../media/image16.emf"/><Relationship Id="rId38" Type="http://schemas.openxmlformats.org/officeDocument/2006/relationships/oleObject" Target="../embeddings/oleObject19.bin"/><Relationship Id="rId59" Type="http://schemas.openxmlformats.org/officeDocument/2006/relationships/oleObject" Target="../embeddings/oleObject31.bin"/><Relationship Id="rId103" Type="http://schemas.openxmlformats.org/officeDocument/2006/relationships/oleObject" Target="../embeddings/oleObject58.bin"/><Relationship Id="rId108" Type="http://schemas.openxmlformats.org/officeDocument/2006/relationships/oleObject" Target="../embeddings/oleObject63.bin"/><Relationship Id="rId124" Type="http://schemas.openxmlformats.org/officeDocument/2006/relationships/oleObject" Target="../embeddings/oleObject79.bin"/><Relationship Id="rId129" Type="http://schemas.openxmlformats.org/officeDocument/2006/relationships/oleObject" Target="../embeddings/oleObject84.bin"/><Relationship Id="rId54" Type="http://schemas.openxmlformats.org/officeDocument/2006/relationships/image" Target="../media/image24.emf"/><Relationship Id="rId70" Type="http://schemas.openxmlformats.org/officeDocument/2006/relationships/image" Target="../media/image31.emf"/><Relationship Id="rId75" Type="http://schemas.openxmlformats.org/officeDocument/2006/relationships/oleObject" Target="../embeddings/oleObject40.bin"/><Relationship Id="rId91" Type="http://schemas.openxmlformats.org/officeDocument/2006/relationships/oleObject" Target="../embeddings/oleObject51.bin"/><Relationship Id="rId96" Type="http://schemas.openxmlformats.org/officeDocument/2006/relationships/image" Target="../media/image41.emf"/><Relationship Id="rId140" Type="http://schemas.openxmlformats.org/officeDocument/2006/relationships/oleObject" Target="../embeddings/oleObject95.bin"/><Relationship Id="rId145" Type="http://schemas.openxmlformats.org/officeDocument/2006/relationships/oleObject" Target="../embeddings/oleObject100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23" Type="http://schemas.openxmlformats.org/officeDocument/2006/relationships/image" Target="../media/image11.emf"/><Relationship Id="rId28" Type="http://schemas.openxmlformats.org/officeDocument/2006/relationships/oleObject" Target="../embeddings/oleObject13.bin"/><Relationship Id="rId49" Type="http://schemas.openxmlformats.org/officeDocument/2006/relationships/oleObject" Target="../embeddings/oleObject25.bin"/><Relationship Id="rId114" Type="http://schemas.openxmlformats.org/officeDocument/2006/relationships/oleObject" Target="../embeddings/oleObject69.bin"/><Relationship Id="rId119" Type="http://schemas.openxmlformats.org/officeDocument/2006/relationships/oleObject" Target="../embeddings/oleObject74.bin"/><Relationship Id="rId44" Type="http://schemas.openxmlformats.org/officeDocument/2006/relationships/oleObject" Target="../embeddings/oleObject22.bin"/><Relationship Id="rId60" Type="http://schemas.openxmlformats.org/officeDocument/2006/relationships/image" Target="../media/image27.emf"/><Relationship Id="rId65" Type="http://schemas.openxmlformats.org/officeDocument/2006/relationships/oleObject" Target="../embeddings/oleObject34.bin"/><Relationship Id="rId81" Type="http://schemas.openxmlformats.org/officeDocument/2006/relationships/oleObject" Target="../embeddings/oleObject43.bin"/><Relationship Id="rId86" Type="http://schemas.openxmlformats.org/officeDocument/2006/relationships/image" Target="../media/image37.emf"/><Relationship Id="rId130" Type="http://schemas.openxmlformats.org/officeDocument/2006/relationships/oleObject" Target="../embeddings/oleObject85.bin"/><Relationship Id="rId135" Type="http://schemas.openxmlformats.org/officeDocument/2006/relationships/oleObject" Target="../embeddings/oleObject90.bin"/><Relationship Id="rId151" Type="http://schemas.openxmlformats.org/officeDocument/2006/relationships/oleObject" Target="../embeddings/oleObject106.bin"/><Relationship Id="rId156" Type="http://schemas.openxmlformats.org/officeDocument/2006/relationships/oleObject" Target="../embeddings/oleObject111.bin"/><Relationship Id="rId13" Type="http://schemas.openxmlformats.org/officeDocument/2006/relationships/image" Target="../media/image6.emf"/><Relationship Id="rId18" Type="http://schemas.openxmlformats.org/officeDocument/2006/relationships/oleObject" Target="../embeddings/oleObject8.bin"/><Relationship Id="rId39" Type="http://schemas.openxmlformats.org/officeDocument/2006/relationships/image" Target="../media/image18.emf"/><Relationship Id="rId109" Type="http://schemas.openxmlformats.org/officeDocument/2006/relationships/oleObject" Target="../embeddings/oleObject64.bin"/><Relationship Id="rId34" Type="http://schemas.openxmlformats.org/officeDocument/2006/relationships/oleObject" Target="../embeddings/oleObject16.bin"/><Relationship Id="rId50" Type="http://schemas.openxmlformats.org/officeDocument/2006/relationships/oleObject" Target="../embeddings/oleObject26.bin"/><Relationship Id="rId55" Type="http://schemas.openxmlformats.org/officeDocument/2006/relationships/oleObject" Target="../embeddings/oleObject29.bin"/><Relationship Id="rId76" Type="http://schemas.openxmlformats.org/officeDocument/2006/relationships/image" Target="../media/image34.emf"/><Relationship Id="rId97" Type="http://schemas.openxmlformats.org/officeDocument/2006/relationships/oleObject" Target="../embeddings/oleObject54.bin"/><Relationship Id="rId104" Type="http://schemas.openxmlformats.org/officeDocument/2006/relationships/oleObject" Target="../embeddings/oleObject59.bin"/><Relationship Id="rId120" Type="http://schemas.openxmlformats.org/officeDocument/2006/relationships/oleObject" Target="../embeddings/oleObject75.bin"/><Relationship Id="rId125" Type="http://schemas.openxmlformats.org/officeDocument/2006/relationships/oleObject" Target="../embeddings/oleObject80.bin"/><Relationship Id="rId141" Type="http://schemas.openxmlformats.org/officeDocument/2006/relationships/oleObject" Target="../embeddings/oleObject96.bin"/><Relationship Id="rId146" Type="http://schemas.openxmlformats.org/officeDocument/2006/relationships/oleObject" Target="../embeddings/oleObject101.bin"/><Relationship Id="rId7" Type="http://schemas.openxmlformats.org/officeDocument/2006/relationships/image" Target="../media/image3.emf"/><Relationship Id="rId71" Type="http://schemas.openxmlformats.org/officeDocument/2006/relationships/oleObject" Target="../embeddings/oleObject38.bin"/><Relationship Id="rId92" Type="http://schemas.openxmlformats.org/officeDocument/2006/relationships/image" Target="../media/image39.emf"/><Relationship Id="rId2" Type="http://schemas.openxmlformats.org/officeDocument/2006/relationships/drawing" Target="../drawings/drawing5.xml"/><Relationship Id="rId29" Type="http://schemas.openxmlformats.org/officeDocument/2006/relationships/image" Target="../media/image14.emf"/><Relationship Id="rId24" Type="http://schemas.openxmlformats.org/officeDocument/2006/relationships/oleObject" Target="../embeddings/oleObject11.bin"/><Relationship Id="rId40" Type="http://schemas.openxmlformats.org/officeDocument/2006/relationships/oleObject" Target="../embeddings/oleObject20.bin"/><Relationship Id="rId45" Type="http://schemas.openxmlformats.org/officeDocument/2006/relationships/image" Target="../media/image21.emf"/><Relationship Id="rId66" Type="http://schemas.openxmlformats.org/officeDocument/2006/relationships/image" Target="../media/image30.emf"/><Relationship Id="rId87" Type="http://schemas.openxmlformats.org/officeDocument/2006/relationships/oleObject" Target="../embeddings/oleObject48.bin"/><Relationship Id="rId110" Type="http://schemas.openxmlformats.org/officeDocument/2006/relationships/oleObject" Target="../embeddings/oleObject65.bin"/><Relationship Id="rId115" Type="http://schemas.openxmlformats.org/officeDocument/2006/relationships/oleObject" Target="../embeddings/oleObject70.bin"/><Relationship Id="rId131" Type="http://schemas.openxmlformats.org/officeDocument/2006/relationships/oleObject" Target="../embeddings/oleObject86.bin"/><Relationship Id="rId136" Type="http://schemas.openxmlformats.org/officeDocument/2006/relationships/oleObject" Target="../embeddings/oleObject91.bin"/><Relationship Id="rId157" Type="http://schemas.openxmlformats.org/officeDocument/2006/relationships/oleObject" Target="../embeddings/oleObject112.bin"/><Relationship Id="rId61" Type="http://schemas.openxmlformats.org/officeDocument/2006/relationships/oleObject" Target="../embeddings/oleObject32.bin"/><Relationship Id="rId82" Type="http://schemas.openxmlformats.org/officeDocument/2006/relationships/oleObject" Target="../embeddings/oleObject44.bin"/><Relationship Id="rId152" Type="http://schemas.openxmlformats.org/officeDocument/2006/relationships/oleObject" Target="../embeddings/oleObject107.bin"/><Relationship Id="rId19" Type="http://schemas.openxmlformats.org/officeDocument/2006/relationships/image" Target="../media/image9.emf"/><Relationship Id="rId14" Type="http://schemas.openxmlformats.org/officeDocument/2006/relationships/oleObject" Target="../embeddings/oleObject6.bin"/><Relationship Id="rId30" Type="http://schemas.openxmlformats.org/officeDocument/2006/relationships/oleObject" Target="../embeddings/oleObject14.bin"/><Relationship Id="rId35" Type="http://schemas.openxmlformats.org/officeDocument/2006/relationships/oleObject" Target="../embeddings/oleObject17.bin"/><Relationship Id="rId56" Type="http://schemas.openxmlformats.org/officeDocument/2006/relationships/image" Target="../media/image25.emf"/><Relationship Id="rId77" Type="http://schemas.openxmlformats.org/officeDocument/2006/relationships/oleObject" Target="../embeddings/oleObject41.bin"/><Relationship Id="rId100" Type="http://schemas.openxmlformats.org/officeDocument/2006/relationships/image" Target="../media/image43.emf"/><Relationship Id="rId105" Type="http://schemas.openxmlformats.org/officeDocument/2006/relationships/oleObject" Target="../embeddings/oleObject60.bin"/><Relationship Id="rId126" Type="http://schemas.openxmlformats.org/officeDocument/2006/relationships/oleObject" Target="../embeddings/oleObject81.bin"/><Relationship Id="rId147" Type="http://schemas.openxmlformats.org/officeDocument/2006/relationships/oleObject" Target="../embeddings/oleObject102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7.bin"/><Relationship Id="rId72" Type="http://schemas.openxmlformats.org/officeDocument/2006/relationships/image" Target="../media/image32.emf"/><Relationship Id="rId93" Type="http://schemas.openxmlformats.org/officeDocument/2006/relationships/oleObject" Target="../embeddings/oleObject52.bin"/><Relationship Id="rId98" Type="http://schemas.openxmlformats.org/officeDocument/2006/relationships/image" Target="../media/image42.emf"/><Relationship Id="rId121" Type="http://schemas.openxmlformats.org/officeDocument/2006/relationships/oleObject" Target="../embeddings/oleObject76.bin"/><Relationship Id="rId142" Type="http://schemas.openxmlformats.org/officeDocument/2006/relationships/oleObject" Target="../embeddings/oleObject97.bin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2.emf"/><Relationship Id="rId46" Type="http://schemas.openxmlformats.org/officeDocument/2006/relationships/oleObject" Target="../embeddings/oleObject23.bin"/><Relationship Id="rId67" Type="http://schemas.openxmlformats.org/officeDocument/2006/relationships/oleObject" Target="../embeddings/oleObject35.bin"/><Relationship Id="rId116" Type="http://schemas.openxmlformats.org/officeDocument/2006/relationships/oleObject" Target="../embeddings/oleObject71.bin"/><Relationship Id="rId137" Type="http://schemas.openxmlformats.org/officeDocument/2006/relationships/oleObject" Target="../embeddings/oleObject92.bin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Relationship Id="rId62" Type="http://schemas.openxmlformats.org/officeDocument/2006/relationships/image" Target="../media/image28.emf"/><Relationship Id="rId83" Type="http://schemas.openxmlformats.org/officeDocument/2006/relationships/oleObject" Target="../embeddings/oleObject45.bin"/><Relationship Id="rId88" Type="http://schemas.openxmlformats.org/officeDocument/2006/relationships/oleObject" Target="../embeddings/oleObject49.bin"/><Relationship Id="rId111" Type="http://schemas.openxmlformats.org/officeDocument/2006/relationships/oleObject" Target="../embeddings/oleObject66.bin"/><Relationship Id="rId132" Type="http://schemas.openxmlformats.org/officeDocument/2006/relationships/oleObject" Target="../embeddings/oleObject87.bin"/><Relationship Id="rId153" Type="http://schemas.openxmlformats.org/officeDocument/2006/relationships/oleObject" Target="../embeddings/oleObject108.bin"/><Relationship Id="rId15" Type="http://schemas.openxmlformats.org/officeDocument/2006/relationships/image" Target="../media/image7.emf"/><Relationship Id="rId36" Type="http://schemas.openxmlformats.org/officeDocument/2006/relationships/oleObject" Target="../embeddings/oleObject18.bin"/><Relationship Id="rId57" Type="http://schemas.openxmlformats.org/officeDocument/2006/relationships/oleObject" Target="../embeddings/oleObject30.bin"/><Relationship Id="rId106" Type="http://schemas.openxmlformats.org/officeDocument/2006/relationships/oleObject" Target="../embeddings/oleObject61.bin"/><Relationship Id="rId127" Type="http://schemas.openxmlformats.org/officeDocument/2006/relationships/oleObject" Target="../embeddings/oleObject82.bin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5.emf"/><Relationship Id="rId52" Type="http://schemas.openxmlformats.org/officeDocument/2006/relationships/image" Target="../media/image23.emf"/><Relationship Id="rId73" Type="http://schemas.openxmlformats.org/officeDocument/2006/relationships/oleObject" Target="../embeddings/oleObject39.bin"/><Relationship Id="rId78" Type="http://schemas.openxmlformats.org/officeDocument/2006/relationships/image" Target="../media/image35.emf"/><Relationship Id="rId94" Type="http://schemas.openxmlformats.org/officeDocument/2006/relationships/image" Target="../media/image40.emf"/><Relationship Id="rId99" Type="http://schemas.openxmlformats.org/officeDocument/2006/relationships/oleObject" Target="../embeddings/oleObject55.bin"/><Relationship Id="rId101" Type="http://schemas.openxmlformats.org/officeDocument/2006/relationships/oleObject" Target="../embeddings/oleObject56.bin"/><Relationship Id="rId122" Type="http://schemas.openxmlformats.org/officeDocument/2006/relationships/oleObject" Target="../embeddings/oleObject77.bin"/><Relationship Id="rId143" Type="http://schemas.openxmlformats.org/officeDocument/2006/relationships/oleObject" Target="../embeddings/oleObject98.bin"/><Relationship Id="rId148" Type="http://schemas.openxmlformats.org/officeDocument/2006/relationships/oleObject" Target="../embeddings/oleObject103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emf"/><Relationship Id="rId26" Type="http://schemas.openxmlformats.org/officeDocument/2006/relationships/oleObject" Target="../embeddings/oleObject12.bin"/><Relationship Id="rId47" Type="http://schemas.openxmlformats.org/officeDocument/2006/relationships/image" Target="../media/image22.emf"/><Relationship Id="rId68" Type="http://schemas.openxmlformats.org/officeDocument/2006/relationships/oleObject" Target="../embeddings/oleObject36.bin"/><Relationship Id="rId89" Type="http://schemas.openxmlformats.org/officeDocument/2006/relationships/oleObject" Target="../embeddings/oleObject50.bin"/><Relationship Id="rId112" Type="http://schemas.openxmlformats.org/officeDocument/2006/relationships/oleObject" Target="../embeddings/oleObject67.bin"/><Relationship Id="rId133" Type="http://schemas.openxmlformats.org/officeDocument/2006/relationships/oleObject" Target="../embeddings/oleObject88.bin"/><Relationship Id="rId154" Type="http://schemas.openxmlformats.org/officeDocument/2006/relationships/oleObject" Target="../embeddings/oleObject109.bin"/><Relationship Id="rId16" Type="http://schemas.openxmlformats.org/officeDocument/2006/relationships/oleObject" Target="../embeddings/oleObject7.bin"/><Relationship Id="rId37" Type="http://schemas.openxmlformats.org/officeDocument/2006/relationships/image" Target="../media/image17.emf"/><Relationship Id="rId58" Type="http://schemas.openxmlformats.org/officeDocument/2006/relationships/image" Target="../media/image26.emf"/><Relationship Id="rId79" Type="http://schemas.openxmlformats.org/officeDocument/2006/relationships/oleObject" Target="../embeddings/oleObject42.bin"/><Relationship Id="rId102" Type="http://schemas.openxmlformats.org/officeDocument/2006/relationships/oleObject" Target="../embeddings/oleObject57.bin"/><Relationship Id="rId123" Type="http://schemas.openxmlformats.org/officeDocument/2006/relationships/oleObject" Target="../embeddings/oleObject78.bin"/><Relationship Id="rId144" Type="http://schemas.openxmlformats.org/officeDocument/2006/relationships/oleObject" Target="../embeddings/oleObject99.bin"/><Relationship Id="rId90" Type="http://schemas.openxmlformats.org/officeDocument/2006/relationships/image" Target="../media/image38.emf"/><Relationship Id="rId27" Type="http://schemas.openxmlformats.org/officeDocument/2006/relationships/image" Target="../media/image13.emf"/><Relationship Id="rId48" Type="http://schemas.openxmlformats.org/officeDocument/2006/relationships/oleObject" Target="../embeddings/oleObject24.bin"/><Relationship Id="rId69" Type="http://schemas.openxmlformats.org/officeDocument/2006/relationships/oleObject" Target="../embeddings/oleObject37.bin"/><Relationship Id="rId113" Type="http://schemas.openxmlformats.org/officeDocument/2006/relationships/oleObject" Target="../embeddings/oleObject68.bin"/><Relationship Id="rId134" Type="http://schemas.openxmlformats.org/officeDocument/2006/relationships/oleObject" Target="../embeddings/oleObject8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" customWidth="1"/>
    <col min="12" max="16384" width="8.109375" style="3"/>
  </cols>
  <sheetData>
    <row r="1" spans="1:13" ht="51.95" customHeight="1">
      <c r="A1" s="521" t="s">
        <v>1</v>
      </c>
      <c r="B1" s="522"/>
      <c r="C1" s="522"/>
      <c r="D1" s="522"/>
      <c r="E1" s="522"/>
      <c r="F1" s="522"/>
      <c r="G1" s="522"/>
      <c r="H1" s="523"/>
      <c r="I1" s="524"/>
      <c r="J1" s="525"/>
    </row>
    <row r="2" spans="1:13" ht="12.95" customHeight="1">
      <c r="A2" s="500" t="s">
        <v>2</v>
      </c>
      <c r="B2" s="500"/>
      <c r="C2" s="500"/>
      <c r="D2" s="500"/>
      <c r="E2" s="500"/>
      <c r="F2" s="500"/>
      <c r="G2" s="500"/>
      <c r="H2" s="500"/>
      <c r="I2" s="500"/>
      <c r="J2" s="500"/>
    </row>
    <row r="3" spans="1:13" ht="12.95" customHeight="1">
      <c r="A3" s="512" t="s">
        <v>3</v>
      </c>
      <c r="B3" s="513"/>
      <c r="C3" s="526"/>
      <c r="D3" s="526"/>
      <c r="E3" s="526"/>
      <c r="F3" s="513" t="s">
        <v>4</v>
      </c>
      <c r="G3" s="513"/>
      <c r="H3" s="516"/>
      <c r="I3" s="518"/>
      <c r="J3" s="518"/>
    </row>
    <row r="4" spans="1:13" ht="12.95" customHeight="1">
      <c r="A4" s="513" t="s">
        <v>5</v>
      </c>
      <c r="B4" s="513"/>
      <c r="C4" s="527"/>
      <c r="D4" s="513"/>
      <c r="E4" s="513"/>
      <c r="F4" s="513" t="s">
        <v>6</v>
      </c>
      <c r="G4" s="513"/>
      <c r="H4" s="513"/>
      <c r="I4" s="518"/>
      <c r="J4" s="518"/>
    </row>
    <row r="5" spans="1:13" ht="12.95" customHeight="1">
      <c r="A5" s="513" t="s">
        <v>7</v>
      </c>
      <c r="B5" s="513"/>
      <c r="C5" s="513"/>
      <c r="D5" s="518"/>
      <c r="E5" s="518"/>
      <c r="F5" s="512" t="s">
        <v>8</v>
      </c>
      <c r="G5" s="513"/>
      <c r="H5" s="514"/>
      <c r="I5" s="515"/>
      <c r="J5" s="515"/>
    </row>
    <row r="6" spans="1:13" ht="12.95" customHeight="1">
      <c r="A6" s="513" t="s">
        <v>9</v>
      </c>
      <c r="B6" s="513"/>
      <c r="C6" s="513"/>
      <c r="D6" s="518"/>
      <c r="E6" s="518"/>
      <c r="F6" s="512" t="s">
        <v>10</v>
      </c>
      <c r="G6" s="513"/>
      <c r="H6" s="514"/>
      <c r="I6" s="515"/>
      <c r="J6" s="515"/>
    </row>
    <row r="7" spans="1:13" ht="12.95" customHeight="1">
      <c r="A7" s="513" t="s">
        <v>11</v>
      </c>
      <c r="B7" s="513"/>
      <c r="C7" s="519"/>
      <c r="D7" s="518"/>
      <c r="E7" s="518"/>
      <c r="F7" s="512" t="s">
        <v>12</v>
      </c>
      <c r="G7" s="513"/>
      <c r="H7" s="513"/>
      <c r="I7" s="518"/>
      <c r="J7" s="518"/>
    </row>
    <row r="8" spans="1:13" ht="12.95" customHeight="1">
      <c r="A8" s="513" t="s">
        <v>13</v>
      </c>
      <c r="B8" s="513"/>
      <c r="C8" s="516"/>
      <c r="D8" s="517"/>
      <c r="E8" s="517"/>
      <c r="F8" s="512" t="s">
        <v>14</v>
      </c>
      <c r="G8" s="513"/>
      <c r="H8" s="513"/>
      <c r="I8" s="518"/>
      <c r="J8" s="518"/>
    </row>
    <row r="9" spans="1:13" ht="12.95" customHeight="1">
      <c r="A9" s="512" t="s">
        <v>36</v>
      </c>
      <c r="B9" s="513"/>
      <c r="C9" s="514"/>
      <c r="D9" s="515"/>
      <c r="E9" s="515"/>
      <c r="F9" s="520" t="s">
        <v>15</v>
      </c>
      <c r="G9" s="520"/>
      <c r="H9" s="514"/>
      <c r="I9" s="515"/>
      <c r="J9" s="515"/>
    </row>
    <row r="10" spans="1:13" ht="23.25" customHeight="1">
      <c r="A10" s="513" t="s">
        <v>16</v>
      </c>
      <c r="B10" s="513"/>
      <c r="C10" s="514"/>
      <c r="D10" s="515"/>
      <c r="E10" s="515"/>
      <c r="F10" s="513" t="s">
        <v>17</v>
      </c>
      <c r="G10" s="513"/>
      <c r="H10" s="50"/>
      <c r="I10" s="501" t="s">
        <v>18</v>
      </c>
      <c r="J10" s="502"/>
      <c r="K10" s="6"/>
    </row>
    <row r="11" spans="1:13" ht="12.95" customHeight="1">
      <c r="A11" s="500" t="s">
        <v>19</v>
      </c>
      <c r="B11" s="500"/>
      <c r="C11" s="500"/>
      <c r="D11" s="500"/>
      <c r="E11" s="500"/>
      <c r="F11" s="500"/>
      <c r="G11" s="500"/>
      <c r="H11" s="500"/>
      <c r="I11" s="500"/>
      <c r="J11" s="500"/>
      <c r="K11" s="7"/>
    </row>
    <row r="12" spans="1:13" ht="17.25" customHeight="1">
      <c r="A12" s="5" t="s">
        <v>20</v>
      </c>
      <c r="B12" s="8"/>
      <c r="C12" s="9" t="s">
        <v>21</v>
      </c>
      <c r="D12" s="10"/>
      <c r="E12" s="9" t="s">
        <v>22</v>
      </c>
      <c r="F12" s="11"/>
      <c r="G12" s="503" t="s">
        <v>23</v>
      </c>
      <c r="H12" s="498"/>
      <c r="I12" s="505" t="s">
        <v>24</v>
      </c>
      <c r="J12" s="506"/>
      <c r="K12" s="6"/>
      <c r="L12" s="12"/>
      <c r="M12" s="12"/>
    </row>
    <row r="13" spans="1:13" ht="17.25" customHeight="1">
      <c r="A13" s="13" t="s">
        <v>25</v>
      </c>
      <c r="B13" s="8"/>
      <c r="C13" s="13" t="s">
        <v>26</v>
      </c>
      <c r="D13" s="10"/>
      <c r="E13" s="9" t="s">
        <v>27</v>
      </c>
      <c r="F13" s="11"/>
      <c r="G13" s="504"/>
      <c r="H13" s="499"/>
      <c r="I13" s="507"/>
      <c r="J13" s="508"/>
      <c r="K13" s="7"/>
    </row>
    <row r="14" spans="1:13" ht="12.95" customHeight="1">
      <c r="A14" s="500" t="s">
        <v>28</v>
      </c>
      <c r="B14" s="500"/>
      <c r="C14" s="500"/>
      <c r="D14" s="500"/>
      <c r="E14" s="500"/>
      <c r="F14" s="500"/>
      <c r="G14" s="500"/>
      <c r="H14" s="500"/>
      <c r="I14" s="500"/>
      <c r="J14" s="500"/>
      <c r="K14" s="7"/>
    </row>
    <row r="15" spans="1:13" ht="39" customHeight="1">
      <c r="A15" s="509"/>
      <c r="B15" s="510"/>
      <c r="C15" s="510"/>
      <c r="D15" s="510"/>
      <c r="E15" s="510"/>
      <c r="F15" s="510"/>
      <c r="G15" s="510"/>
      <c r="H15" s="510"/>
      <c r="I15" s="510"/>
      <c r="J15" s="511"/>
    </row>
    <row r="16" spans="1:13" ht="12.95" customHeight="1">
      <c r="A16" s="500" t="s">
        <v>29</v>
      </c>
      <c r="B16" s="500"/>
      <c r="C16" s="500"/>
      <c r="D16" s="500"/>
      <c r="E16" s="500"/>
      <c r="F16" s="500"/>
      <c r="G16" s="500"/>
      <c r="H16" s="500"/>
      <c r="I16" s="500"/>
      <c r="J16" s="500"/>
    </row>
    <row r="17" spans="1:12" ht="12.95" customHeight="1">
      <c r="A17" s="5" t="s">
        <v>30</v>
      </c>
      <c r="B17" s="512" t="s">
        <v>31</v>
      </c>
      <c r="C17" s="513"/>
      <c r="D17" s="513"/>
      <c r="E17" s="513"/>
      <c r="F17" s="512" t="s">
        <v>32</v>
      </c>
      <c r="G17" s="513"/>
      <c r="H17" s="5" t="s">
        <v>11</v>
      </c>
      <c r="I17" s="4" t="s">
        <v>33</v>
      </c>
      <c r="J17" s="4" t="s">
        <v>34</v>
      </c>
      <c r="L17" s="7"/>
    </row>
    <row r="18" spans="1:12" ht="12.95" customHeight="1">
      <c r="A18" s="51"/>
      <c r="B18" s="496"/>
      <c r="C18" s="497"/>
      <c r="D18" s="497"/>
      <c r="E18" s="497"/>
      <c r="F18" s="496"/>
      <c r="G18" s="497"/>
      <c r="H18" s="59"/>
      <c r="I18" s="29"/>
      <c r="J18" s="238"/>
      <c r="L18" s="7"/>
    </row>
    <row r="19" spans="1:12" ht="12.95" customHeight="1">
      <c r="A19" s="51"/>
      <c r="B19" s="496"/>
      <c r="C19" s="497"/>
      <c r="D19" s="497"/>
      <c r="E19" s="497"/>
      <c r="F19" s="496"/>
      <c r="G19" s="497"/>
      <c r="H19" s="32"/>
      <c r="I19" s="32"/>
      <c r="J19" s="238"/>
      <c r="L19" s="7"/>
    </row>
    <row r="20" spans="1:12" ht="12.95" customHeight="1">
      <c r="A20" s="51"/>
      <c r="B20" s="496"/>
      <c r="C20" s="497"/>
      <c r="D20" s="497"/>
      <c r="E20" s="497"/>
      <c r="F20" s="496"/>
      <c r="G20" s="497"/>
      <c r="H20" s="46"/>
      <c r="I20" s="46"/>
      <c r="J20" s="238"/>
      <c r="L20" s="7"/>
    </row>
    <row r="21" spans="1:12" ht="12.95" customHeight="1">
      <c r="A21" s="51"/>
      <c r="B21" s="496"/>
      <c r="C21" s="497"/>
      <c r="D21" s="497"/>
      <c r="E21" s="497"/>
      <c r="F21" s="496"/>
      <c r="G21" s="497"/>
      <c r="H21" s="46"/>
      <c r="I21" s="14"/>
      <c r="J21" s="238"/>
      <c r="L21" s="7"/>
    </row>
    <row r="22" spans="1:12" ht="12.95" customHeight="1">
      <c r="A22" s="51"/>
      <c r="B22" s="496"/>
      <c r="C22" s="497"/>
      <c r="D22" s="497"/>
      <c r="E22" s="497"/>
      <c r="F22" s="496"/>
      <c r="G22" s="497"/>
      <c r="H22" s="31"/>
      <c r="I22" s="21"/>
      <c r="J22" s="238"/>
      <c r="L22" s="7"/>
    </row>
    <row r="23" spans="1:12" ht="12.95" customHeight="1">
      <c r="A23" s="51"/>
      <c r="B23" s="496"/>
      <c r="C23" s="497"/>
      <c r="D23" s="497"/>
      <c r="E23" s="497"/>
      <c r="F23" s="496"/>
      <c r="G23" s="497"/>
      <c r="H23" s="21"/>
      <c r="I23" s="14"/>
      <c r="J23" s="238"/>
      <c r="L23" s="7"/>
    </row>
    <row r="24" spans="1:12" ht="12.95" customHeight="1">
      <c r="A24" s="51"/>
      <c r="B24" s="496"/>
      <c r="C24" s="497"/>
      <c r="D24" s="497"/>
      <c r="E24" s="497"/>
      <c r="F24" s="496"/>
      <c r="G24" s="497"/>
      <c r="H24" s="27"/>
      <c r="I24" s="14"/>
      <c r="J24" s="238"/>
      <c r="L24" s="7"/>
    </row>
    <row r="25" spans="1:12" ht="12.95" customHeight="1">
      <c r="A25" s="51"/>
      <c r="B25" s="496"/>
      <c r="C25" s="497"/>
      <c r="D25" s="497"/>
      <c r="E25" s="497"/>
      <c r="F25" s="496"/>
      <c r="G25" s="497"/>
      <c r="H25" s="27"/>
      <c r="I25" s="14"/>
      <c r="J25" s="238"/>
      <c r="L25" s="7"/>
    </row>
    <row r="26" spans="1:12" ht="12.95" customHeight="1">
      <c r="A26" s="51"/>
      <c r="B26" s="496"/>
      <c r="C26" s="497"/>
      <c r="D26" s="497"/>
      <c r="E26" s="497"/>
      <c r="F26" s="496"/>
      <c r="G26" s="497"/>
      <c r="H26" s="27"/>
      <c r="I26" s="14"/>
      <c r="J26" s="238"/>
      <c r="L26" s="7"/>
    </row>
    <row r="27" spans="1:12" ht="12.95" customHeight="1">
      <c r="A27" s="51"/>
      <c r="B27" s="496"/>
      <c r="C27" s="497"/>
      <c r="D27" s="497"/>
      <c r="E27" s="497"/>
      <c r="F27" s="496"/>
      <c r="G27" s="497"/>
      <c r="H27" s="14"/>
      <c r="I27" s="14"/>
      <c r="J27" s="238"/>
    </row>
    <row r="28" spans="1:12" ht="12.95" customHeight="1">
      <c r="A28" s="51"/>
      <c r="B28" s="496"/>
      <c r="C28" s="497"/>
      <c r="D28" s="497"/>
      <c r="E28" s="497"/>
      <c r="F28" s="496"/>
      <c r="G28" s="497"/>
      <c r="H28" s="14"/>
      <c r="I28" s="14"/>
      <c r="J28" s="238"/>
    </row>
    <row r="29" spans="1:12" ht="12.95" customHeight="1">
      <c r="A29" s="51"/>
      <c r="B29" s="496"/>
      <c r="C29" s="497"/>
      <c r="D29" s="497"/>
      <c r="E29" s="497"/>
      <c r="F29" s="496"/>
      <c r="G29" s="497"/>
      <c r="H29" s="14"/>
      <c r="I29" s="14"/>
      <c r="J29" s="238"/>
    </row>
    <row r="30" spans="1:12" ht="12.95" customHeight="1">
      <c r="A30" s="51"/>
      <c r="B30" s="496"/>
      <c r="C30" s="497"/>
      <c r="D30" s="497"/>
      <c r="E30" s="497"/>
      <c r="F30" s="496"/>
      <c r="G30" s="497"/>
      <c r="H30" s="14"/>
      <c r="I30" s="14"/>
      <c r="J30" s="238"/>
    </row>
    <row r="31" spans="1:12" ht="12.95" customHeight="1">
      <c r="A31" s="51"/>
      <c r="B31" s="496"/>
      <c r="C31" s="497"/>
      <c r="D31" s="497"/>
      <c r="E31" s="497"/>
      <c r="F31" s="496"/>
      <c r="G31" s="497"/>
      <c r="H31" s="14"/>
      <c r="I31" s="14"/>
      <c r="J31" s="238"/>
    </row>
    <row r="32" spans="1:12" ht="12.95" customHeight="1">
      <c r="A32" s="51"/>
      <c r="B32" s="496"/>
      <c r="C32" s="497"/>
      <c r="D32" s="497"/>
      <c r="E32" s="497"/>
      <c r="F32" s="496"/>
      <c r="G32" s="497"/>
      <c r="H32" s="14"/>
      <c r="I32" s="14"/>
      <c r="J32" s="238"/>
    </row>
    <row r="33" spans="1:10" ht="12.95" customHeight="1">
      <c r="A33" s="51"/>
      <c r="B33" s="496"/>
      <c r="C33" s="497"/>
      <c r="D33" s="497"/>
      <c r="E33" s="497"/>
      <c r="F33" s="496"/>
      <c r="G33" s="497"/>
      <c r="H33" s="14"/>
      <c r="I33" s="14"/>
      <c r="J33" s="238"/>
    </row>
    <row r="34" spans="1:10" ht="12.95" customHeight="1">
      <c r="A34" s="51"/>
      <c r="B34" s="496"/>
      <c r="C34" s="497"/>
      <c r="D34" s="497"/>
      <c r="E34" s="497"/>
      <c r="F34" s="496"/>
      <c r="G34" s="497"/>
      <c r="H34" s="14"/>
      <c r="I34" s="14"/>
      <c r="J34" s="238"/>
    </row>
    <row r="35" spans="1:10" ht="12.95" customHeight="1">
      <c r="A35" s="51"/>
      <c r="B35" s="496"/>
      <c r="C35" s="497"/>
      <c r="D35" s="497"/>
      <c r="E35" s="497"/>
      <c r="F35" s="496"/>
      <c r="G35" s="497"/>
      <c r="H35" s="14"/>
      <c r="I35" s="14"/>
      <c r="J35" s="238"/>
    </row>
    <row r="36" spans="1:10" ht="12.95" customHeight="1">
      <c r="A36" s="51"/>
      <c r="B36" s="496"/>
      <c r="C36" s="497"/>
      <c r="D36" s="497"/>
      <c r="E36" s="497"/>
      <c r="F36" s="496"/>
      <c r="G36" s="497"/>
      <c r="H36" s="14"/>
      <c r="I36" s="14"/>
      <c r="J36" s="238"/>
    </row>
    <row r="37" spans="1:10" ht="12.95" customHeight="1">
      <c r="A37" s="51"/>
      <c r="B37" s="496"/>
      <c r="C37" s="497"/>
      <c r="D37" s="497"/>
      <c r="E37" s="497"/>
      <c r="F37" s="496"/>
      <c r="G37" s="497"/>
      <c r="H37" s="14"/>
      <c r="I37" s="14"/>
      <c r="J37" s="238"/>
    </row>
    <row r="38" spans="1:10" ht="12.95" customHeight="1">
      <c r="A38" s="58" t="s">
        <v>38</v>
      </c>
      <c r="B38" s="7"/>
      <c r="C38" s="7"/>
      <c r="D38" s="7"/>
      <c r="E38" s="7"/>
      <c r="J38" s="15"/>
    </row>
    <row r="39" spans="1:10" ht="12.95" customHeight="1">
      <c r="A39" s="482" t="s">
        <v>39</v>
      </c>
      <c r="B39" s="482"/>
      <c r="C39" s="482"/>
      <c r="D39" s="482"/>
      <c r="E39" s="482"/>
      <c r="F39" s="483" t="s">
        <v>40</v>
      </c>
      <c r="G39" s="486"/>
      <c r="H39" s="487"/>
      <c r="I39" s="487"/>
      <c r="J39" s="488"/>
    </row>
    <row r="40" spans="1:10" ht="12.95" customHeight="1">
      <c r="A40" s="482" t="s">
        <v>41</v>
      </c>
      <c r="B40" s="482"/>
      <c r="C40" s="482"/>
      <c r="D40" s="482"/>
      <c r="E40" s="482"/>
      <c r="F40" s="484"/>
      <c r="G40" s="489"/>
      <c r="H40" s="490"/>
      <c r="I40" s="490"/>
      <c r="J40" s="491"/>
    </row>
    <row r="41" spans="1:10" ht="12.95" customHeight="1">
      <c r="A41" s="482" t="s">
        <v>42</v>
      </c>
      <c r="B41" s="482"/>
      <c r="C41" s="482"/>
      <c r="D41" s="482"/>
      <c r="E41" s="482"/>
      <c r="F41" s="484"/>
      <c r="G41" s="489"/>
      <c r="H41" s="490"/>
      <c r="I41" s="490"/>
      <c r="J41" s="491"/>
    </row>
    <row r="42" spans="1:10" ht="12.95" customHeight="1">
      <c r="A42" s="482" t="s">
        <v>43</v>
      </c>
      <c r="B42" s="482"/>
      <c r="C42" s="495" t="s">
        <v>44</v>
      </c>
      <c r="D42" s="495"/>
      <c r="E42" s="495"/>
      <c r="F42" s="485"/>
      <c r="G42" s="492"/>
      <c r="H42" s="493"/>
      <c r="I42" s="493"/>
      <c r="J42" s="494"/>
    </row>
    <row r="43" spans="1:10" ht="12.95" customHeight="1">
      <c r="A43" s="482" t="s">
        <v>56</v>
      </c>
      <c r="B43" s="482"/>
      <c r="C43" s="482" t="str">
        <f>IF(Calcu_ADJ!S9=FALSE,Calcu!B3,Calcu_ADJ!B3)</f>
        <v/>
      </c>
      <c r="D43" s="482"/>
      <c r="E43" s="482"/>
    </row>
    <row r="46" spans="1:10" ht="12.95" customHeight="1">
      <c r="B46" s="3" t="s">
        <v>679</v>
      </c>
    </row>
    <row r="47" spans="1:10" ht="12.95" customHeight="1">
      <c r="B47" s="3" t="s">
        <v>680</v>
      </c>
    </row>
    <row r="48" spans="1:10" ht="12.95" customHeight="1">
      <c r="A48" s="312">
        <f>Calcu!S112</f>
        <v>0</v>
      </c>
      <c r="B48" s="3" t="s">
        <v>711</v>
      </c>
    </row>
    <row r="49" spans="1:2" ht="12.95" customHeight="1">
      <c r="A49" s="427"/>
    </row>
    <row r="50" spans="1:2" ht="12.95" customHeight="1">
      <c r="A50" s="3" t="str">
        <f>IF(Calcu_ADJ!S9=FALSE,Calcu!L64,Calcu_ADJ!L64)</f>
        <v>PASS</v>
      </c>
      <c r="B50" s="3" t="s">
        <v>712</v>
      </c>
    </row>
    <row r="52" spans="1:2" ht="12.95" customHeight="1">
      <c r="B52" s="3" t="s">
        <v>732</v>
      </c>
    </row>
  </sheetData>
  <sheetProtection selectLockedCells="1"/>
  <mergeCells count="95">
    <mergeCell ref="A43:B43"/>
    <mergeCell ref="C43:E43"/>
    <mergeCell ref="A4:B4"/>
    <mergeCell ref="C4:E4"/>
    <mergeCell ref="F4:G4"/>
    <mergeCell ref="A6:B6"/>
    <mergeCell ref="C6:E6"/>
    <mergeCell ref="F6:G6"/>
    <mergeCell ref="B22:E22"/>
    <mergeCell ref="F22:G22"/>
    <mergeCell ref="B20:E20"/>
    <mergeCell ref="F18:G18"/>
    <mergeCell ref="F19:G19"/>
    <mergeCell ref="B18:E18"/>
    <mergeCell ref="B19:E19"/>
    <mergeCell ref="F20:G20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H9:J9"/>
    <mergeCell ref="C10:E10"/>
    <mergeCell ref="A10:B10"/>
    <mergeCell ref="B21:E21"/>
    <mergeCell ref="F21:G21"/>
    <mergeCell ref="A15:J15"/>
    <mergeCell ref="A16:J16"/>
    <mergeCell ref="B17:E17"/>
    <mergeCell ref="F17:G17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</mergeCells>
  <phoneticPr fontId="5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131"/>
  <sheetViews>
    <sheetView showGridLines="0" workbookViewId="0"/>
  </sheetViews>
  <sheetFormatPr defaultColWidth="10" defaultRowHeight="15" customHeight="1"/>
  <cols>
    <col min="1" max="1" width="3.88671875" style="243" customWidth="1"/>
    <col min="2" max="2" width="10" style="259"/>
    <col min="3" max="3" width="10.44140625" style="259" bestFit="1" customWidth="1"/>
    <col min="4" max="4" width="10" style="259"/>
    <col min="5" max="20" width="10" style="257"/>
    <col min="21" max="16384" width="10" style="243"/>
  </cols>
  <sheetData>
    <row r="1" spans="1:40" ht="15" customHeight="1">
      <c r="A1" s="240" t="s">
        <v>136</v>
      </c>
      <c r="B1" s="241"/>
      <c r="C1" s="241"/>
      <c r="D1" s="241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3"/>
      <c r="T1" s="243"/>
    </row>
    <row r="2" spans="1:40" ht="15" customHeight="1" thickBot="1">
      <c r="B2" s="361" t="s">
        <v>343</v>
      </c>
      <c r="C2" s="330" t="s">
        <v>373</v>
      </c>
      <c r="D2" s="330" t="s">
        <v>334</v>
      </c>
      <c r="E2" s="330" t="s">
        <v>330</v>
      </c>
      <c r="F2" s="330" t="s">
        <v>331</v>
      </c>
      <c r="G2" s="330" t="s">
        <v>332</v>
      </c>
      <c r="H2" s="334" t="s">
        <v>52</v>
      </c>
      <c r="I2" s="334" t="s">
        <v>543</v>
      </c>
      <c r="J2" s="334" t="s">
        <v>184</v>
      </c>
      <c r="K2" s="425" t="s">
        <v>670</v>
      </c>
      <c r="M2" s="242"/>
      <c r="N2" s="242"/>
      <c r="O2" s="242"/>
      <c r="P2" s="242"/>
      <c r="Q2" s="242"/>
      <c r="R2" s="243"/>
      <c r="S2" s="243"/>
      <c r="T2" s="243"/>
    </row>
    <row r="3" spans="1:40" ht="15" customHeight="1" thickBot="1">
      <c r="B3" s="275" t="str">
        <f>IF(SUM(X45:X59)=0,"","초과")</f>
        <v/>
      </c>
      <c r="C3" s="331">
        <f>COUNTIF(B9:B38,TRUE)/2</f>
        <v>0</v>
      </c>
      <c r="D3" s="331">
        <f>Pressure_2_R1!H$4</f>
        <v>0</v>
      </c>
      <c r="E3" s="331">
        <f>Pressure_2_R1!I$4</f>
        <v>0</v>
      </c>
      <c r="F3" s="331">
        <f>Pressure_2_R1!J$4</f>
        <v>0</v>
      </c>
      <c r="G3" s="331">
        <f>Pressure_2_R1!K$4</f>
        <v>0</v>
      </c>
      <c r="H3" s="342">
        <f>Pressure_2_R1!Q4</f>
        <v>0</v>
      </c>
      <c r="I3" s="342">
        <f>IF(TYPE(FIND(".",H3))=16,0,LEN(H3)-2)</f>
        <v>0</v>
      </c>
      <c r="J3" s="342">
        <f ca="1">OFFSET(V63,MATCH(I3,W64:W73,0),0)</f>
        <v>0</v>
      </c>
      <c r="K3" s="424" t="str">
        <f>D9</f>
        <v/>
      </c>
      <c r="M3" s="242"/>
      <c r="N3" s="242"/>
      <c r="O3" s="242"/>
      <c r="P3" s="242"/>
      <c r="Q3" s="242"/>
      <c r="R3" s="243"/>
      <c r="S3" s="243"/>
      <c r="T3" s="243"/>
    </row>
    <row r="4" spans="1:40" ht="15" customHeight="1">
      <c r="C4" s="241"/>
      <c r="D4" s="242"/>
      <c r="E4" s="242"/>
      <c r="F4" s="242"/>
      <c r="G4" s="242"/>
      <c r="I4" s="242"/>
      <c r="J4" s="242"/>
      <c r="K4" s="242"/>
      <c r="L4" s="242"/>
      <c r="M4" s="242"/>
      <c r="N4" s="242"/>
      <c r="O4" s="242"/>
      <c r="P4" s="243"/>
      <c r="Q4" s="243"/>
      <c r="R4" s="243"/>
      <c r="S4" s="243"/>
      <c r="T4" s="243"/>
    </row>
    <row r="5" spans="1:40" s="248" customFormat="1" ht="15" customHeight="1">
      <c r="B5" s="247" t="s">
        <v>344</v>
      </c>
      <c r="C5" s="245"/>
      <c r="D5" s="245"/>
      <c r="E5" s="246"/>
      <c r="F5" s="245"/>
      <c r="G5" s="241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7" t="s">
        <v>544</v>
      </c>
    </row>
    <row r="6" spans="1:40" s="242" customFormat="1" ht="15" customHeight="1">
      <c r="B6" s="880" t="s">
        <v>545</v>
      </c>
      <c r="C6" s="880" t="s">
        <v>137</v>
      </c>
      <c r="D6" s="880" t="s">
        <v>183</v>
      </c>
      <c r="E6" s="879" t="s">
        <v>546</v>
      </c>
      <c r="F6" s="880" t="s">
        <v>345</v>
      </c>
      <c r="G6" s="880"/>
      <c r="H6" s="880"/>
      <c r="I6" s="880" t="s">
        <v>346</v>
      </c>
      <c r="J6" s="880" t="s">
        <v>347</v>
      </c>
      <c r="K6" s="879" t="s">
        <v>348</v>
      </c>
      <c r="L6" s="879"/>
      <c r="M6" s="879"/>
      <c r="N6" s="879" t="s">
        <v>547</v>
      </c>
      <c r="O6" s="879"/>
      <c r="P6" s="879"/>
      <c r="Q6" s="879"/>
      <c r="R6" s="245"/>
      <c r="S6" s="902" t="s">
        <v>545</v>
      </c>
      <c r="T6" s="902" t="s">
        <v>349</v>
      </c>
      <c r="U6" s="902" t="s">
        <v>427</v>
      </c>
      <c r="V6" s="896" t="s">
        <v>350</v>
      </c>
      <c r="W6" s="897"/>
      <c r="X6" s="897"/>
      <c r="Y6" s="897"/>
      <c r="Z6" s="898"/>
      <c r="AA6" s="896" t="s">
        <v>374</v>
      </c>
      <c r="AB6" s="897"/>
      <c r="AC6" s="897"/>
      <c r="AD6" s="898"/>
      <c r="AF6" s="433" t="s">
        <v>71</v>
      </c>
      <c r="AG6" s="432" t="s">
        <v>317</v>
      </c>
      <c r="AH6" s="432" t="s">
        <v>320</v>
      </c>
      <c r="AI6" s="432" t="s">
        <v>133</v>
      </c>
      <c r="AJ6" s="432" t="s">
        <v>134</v>
      </c>
      <c r="AK6" s="432" t="s">
        <v>322</v>
      </c>
      <c r="AL6" s="432" t="s">
        <v>323</v>
      </c>
      <c r="AM6" s="432" t="s">
        <v>324</v>
      </c>
      <c r="AN6" s="432" t="s">
        <v>325</v>
      </c>
    </row>
    <row r="7" spans="1:40" s="242" customFormat="1" ht="15" customHeight="1">
      <c r="B7" s="880"/>
      <c r="C7" s="880"/>
      <c r="D7" s="880"/>
      <c r="E7" s="879"/>
      <c r="F7" s="340" t="s">
        <v>65</v>
      </c>
      <c r="G7" s="340" t="s">
        <v>66</v>
      </c>
      <c r="H7" s="340" t="s">
        <v>0</v>
      </c>
      <c r="I7" s="880"/>
      <c r="J7" s="880"/>
      <c r="K7" s="329" t="s">
        <v>65</v>
      </c>
      <c r="L7" s="329" t="s">
        <v>375</v>
      </c>
      <c r="M7" s="329" t="s">
        <v>94</v>
      </c>
      <c r="N7" s="340" t="s">
        <v>351</v>
      </c>
      <c r="O7" s="252" t="e">
        <f>SUM(O9:Q38)/(SUM(N9:N38)*3)</f>
        <v>#DIV/0!</v>
      </c>
      <c r="P7" s="340" t="s">
        <v>548</v>
      </c>
      <c r="Q7" s="252" t="e">
        <f>1/O7</f>
        <v>#DIV/0!</v>
      </c>
      <c r="R7" s="245"/>
      <c r="S7" s="903"/>
      <c r="T7" s="903"/>
      <c r="U7" s="903"/>
      <c r="V7" s="329" t="s">
        <v>65</v>
      </c>
      <c r="W7" s="329" t="s">
        <v>66</v>
      </c>
      <c r="X7" s="329" t="s">
        <v>94</v>
      </c>
      <c r="Y7" s="329" t="s">
        <v>352</v>
      </c>
      <c r="Z7" s="329" t="s">
        <v>353</v>
      </c>
      <c r="AA7" s="329" t="s">
        <v>65</v>
      </c>
      <c r="AB7" s="329" t="s">
        <v>66</v>
      </c>
      <c r="AC7" s="329" t="s">
        <v>94</v>
      </c>
      <c r="AD7" s="329" t="s">
        <v>354</v>
      </c>
      <c r="AF7" s="432" t="s">
        <v>317</v>
      </c>
      <c r="AG7" s="434">
        <f t="shared" ref="AG7:AG21" si="0">AI7*1000</f>
        <v>1</v>
      </c>
      <c r="AH7" s="434">
        <f>AI7*10</f>
        <v>0.01</v>
      </c>
      <c r="AI7" s="434">
        <f t="shared" ref="AI7:AI21" si="1">AJ7*1000</f>
        <v>1E-3</v>
      </c>
      <c r="AJ7" s="434">
        <v>9.9999999999999995E-7</v>
      </c>
      <c r="AK7" s="434">
        <f t="shared" ref="AK7:AK21" si="2">AM7*1000</f>
        <v>1</v>
      </c>
      <c r="AL7" s="434">
        <f>AM7*10</f>
        <v>0.01</v>
      </c>
      <c r="AM7" s="434">
        <f t="shared" ref="AM7:AM21" si="3">AN7*1000</f>
        <v>1E-3</v>
      </c>
      <c r="AN7" s="434">
        <v>9.9999999999999995E-7</v>
      </c>
    </row>
    <row r="8" spans="1:40" s="242" customFormat="1" ht="15" customHeight="1">
      <c r="B8" s="880"/>
      <c r="C8" s="880"/>
      <c r="D8" s="329">
        <f>E8</f>
        <v>0</v>
      </c>
      <c r="E8" s="329">
        <f>표준압력!C13</f>
        <v>0</v>
      </c>
      <c r="F8" s="329">
        <f>IF(D3="mV/V","mV",D3)</f>
        <v>0</v>
      </c>
      <c r="G8" s="329">
        <f>F8</f>
        <v>0</v>
      </c>
      <c r="H8" s="329">
        <f>G8</f>
        <v>0</v>
      </c>
      <c r="I8" s="880"/>
      <c r="J8" s="340">
        <f>Pressure_2_R1!E136</f>
        <v>0</v>
      </c>
      <c r="K8" s="340">
        <f>D3</f>
        <v>0</v>
      </c>
      <c r="L8" s="340">
        <f>K8</f>
        <v>0</v>
      </c>
      <c r="M8" s="340">
        <f>L8</f>
        <v>0</v>
      </c>
      <c r="N8" s="340" t="s">
        <v>549</v>
      </c>
      <c r="O8" s="340" t="s">
        <v>355</v>
      </c>
      <c r="P8" s="340" t="s">
        <v>550</v>
      </c>
      <c r="Q8" s="340" t="s">
        <v>342</v>
      </c>
      <c r="R8" s="245"/>
      <c r="S8" s="904"/>
      <c r="T8" s="904"/>
      <c r="U8" s="904"/>
      <c r="V8" s="340">
        <f>K8</f>
        <v>0</v>
      </c>
      <c r="W8" s="340">
        <f>V8</f>
        <v>0</v>
      </c>
      <c r="X8" s="340">
        <f>W8</f>
        <v>0</v>
      </c>
      <c r="Y8" s="340">
        <f>K8</f>
        <v>0</v>
      </c>
      <c r="Z8" s="340">
        <f>E8</f>
        <v>0</v>
      </c>
      <c r="AA8" s="340">
        <f>V8</f>
        <v>0</v>
      </c>
      <c r="AB8" s="340">
        <f>AA8</f>
        <v>0</v>
      </c>
      <c r="AC8" s="340">
        <f>AB8</f>
        <v>0</v>
      </c>
      <c r="AD8" s="340">
        <f>AC8</f>
        <v>0</v>
      </c>
      <c r="AF8" s="432" t="s">
        <v>320</v>
      </c>
      <c r="AG8" s="434">
        <f t="shared" si="0"/>
        <v>100</v>
      </c>
      <c r="AH8" s="434">
        <f t="shared" ref="AH8:AH29" si="4">AI8*10</f>
        <v>1</v>
      </c>
      <c r="AI8" s="434">
        <f t="shared" si="1"/>
        <v>0.1</v>
      </c>
      <c r="AJ8" s="434">
        <v>1E-4</v>
      </c>
      <c r="AK8" s="434">
        <f t="shared" si="2"/>
        <v>100</v>
      </c>
      <c r="AL8" s="434">
        <f t="shared" ref="AL8:AL29" si="5">AM8*10</f>
        <v>1</v>
      </c>
      <c r="AM8" s="434">
        <f t="shared" si="3"/>
        <v>0.1</v>
      </c>
      <c r="AN8" s="434">
        <v>1E-4</v>
      </c>
    </row>
    <row r="9" spans="1:40" s="242" customFormat="1" ht="15" customHeight="1">
      <c r="B9" s="249" t="b">
        <f>IF(Pressure_2_R1!A4="",FALSE,TRUE)</f>
        <v>0</v>
      </c>
      <c r="C9" s="250">
        <v>1</v>
      </c>
      <c r="D9" s="256" t="str">
        <f>IF($B9=FALSE,"",VALUE(Pressure_2_R1!D4))</f>
        <v/>
      </c>
      <c r="E9" s="251" t="str">
        <f>IF($B9=FALSE,"",표준압력!C14)</f>
        <v/>
      </c>
      <c r="F9" s="251" t="str">
        <f>IF($B9=FALSE,"",Pressure_2_R1!V4)</f>
        <v/>
      </c>
      <c r="G9" s="252" t="str">
        <f>IF($B9=FALSE,"",Pressure_2_R1!W4)</f>
        <v/>
      </c>
      <c r="H9" s="363" t="str">
        <f>IF($B9=FALSE,"",Pressure_2_R1!X4)</f>
        <v/>
      </c>
      <c r="I9" s="365" t="b">
        <f>TYPE(G9)=1</f>
        <v>0</v>
      </c>
      <c r="J9" s="364" t="str">
        <f>IF($B9=FALSE,"",IF(Pressure_2_R1!D136="","기준기값없음",IF(Pressure_2_R1!L136="ok",Pressure_2_R1!D136,"파워선택안함")))</f>
        <v/>
      </c>
      <c r="K9" s="253" t="str">
        <f t="shared" ref="K9:K38" si="6">IF($B9=FALSE,"",IF(D$3="mV/V",F9/G$3+J9,F9+J9))</f>
        <v/>
      </c>
      <c r="L9" s="254" t="str">
        <f t="shared" ref="L9:L38" si="7">IF($B9=FALSE,"",IF(G9="ⅹ",K9,IF(D$3="mV/V",G9/G$3+J9,G9+J9)))</f>
        <v/>
      </c>
      <c r="M9" s="366" t="str">
        <f t="shared" ref="M9:M38" si="8">IF($B9=FALSE,"",IF(H9="ⅹ",L9,IF(D$3="mV/V",H9/G$3+J9,H9+J9)))</f>
        <v/>
      </c>
      <c r="N9" s="251" t="str">
        <f>IF($B9=FALSE,"",(E9-K$3)^2)</f>
        <v/>
      </c>
      <c r="O9" s="252" t="str">
        <f>IF($B9=FALSE,"",(E9-K$3)*(K9-E$3))</f>
        <v/>
      </c>
      <c r="P9" s="252" t="str">
        <f>IF($B9=FALSE,"",(E9-K$3)*(L9-E$3))</f>
        <v/>
      </c>
      <c r="Q9" s="367" t="str">
        <f>IF($B9=FALSE,"",(E9-K$3)*(M9-E$3))</f>
        <v/>
      </c>
      <c r="R9" s="245"/>
      <c r="S9" s="255" t="b">
        <f t="shared" ref="S9:S38" si="9">IF($U9&gt;$C$3,FALSE,TRUE)</f>
        <v>0</v>
      </c>
      <c r="T9" s="899" t="s">
        <v>551</v>
      </c>
      <c r="U9" s="256">
        <v>1</v>
      </c>
      <c r="V9" s="253" t="str">
        <f>IF($S9=FALSE,"",K9)</f>
        <v/>
      </c>
      <c r="W9" s="255" t="str">
        <f>IF($S9=FALSE,"",L9)</f>
        <v/>
      </c>
      <c r="X9" s="255" t="str">
        <f>IF($S9=FALSE,"",M9)</f>
        <v/>
      </c>
      <c r="Y9" s="255" t="str">
        <f>IF($S9=FALSE,"",AVERAGE(V9:X9))</f>
        <v/>
      </c>
      <c r="Z9" s="341" t="str">
        <f t="shared" ref="Z9:Z38" si="10">IF($S9=FALSE,"",K$3+Q$7*(Y9-E$3))</f>
        <v/>
      </c>
      <c r="AA9" s="253" t="str">
        <f>IF($S9=FALSE,"",V9-V$9)</f>
        <v/>
      </c>
      <c r="AB9" s="255" t="str">
        <f>IF($S9=FALSE,"",W9-W$9)</f>
        <v/>
      </c>
      <c r="AC9" s="255" t="str">
        <f>IF($S9=FALSE,"",X9-X$9)</f>
        <v/>
      </c>
      <c r="AD9" s="255" t="str">
        <f t="shared" ref="AD9:AD38" si="11">IF($S9=FALSE,"",MAX(AA9:AC9)-MIN(AA9:AC9))</f>
        <v/>
      </c>
      <c r="AF9" s="432" t="s">
        <v>691</v>
      </c>
      <c r="AG9" s="434">
        <f t="shared" si="0"/>
        <v>1000</v>
      </c>
      <c r="AH9" s="434">
        <f t="shared" si="4"/>
        <v>10</v>
      </c>
      <c r="AI9" s="434">
        <f t="shared" si="1"/>
        <v>1</v>
      </c>
      <c r="AJ9" s="434">
        <v>1E-3</v>
      </c>
      <c r="AK9" s="434">
        <f t="shared" si="2"/>
        <v>1000</v>
      </c>
      <c r="AL9" s="434">
        <f t="shared" si="5"/>
        <v>10</v>
      </c>
      <c r="AM9" s="434">
        <f t="shared" si="3"/>
        <v>1</v>
      </c>
      <c r="AN9" s="434">
        <v>1E-3</v>
      </c>
    </row>
    <row r="10" spans="1:40" s="242" customFormat="1" ht="15" customHeight="1">
      <c r="B10" s="249" t="b">
        <f>IF(Pressure_2_R1!A5="",FALSE,TRUE)</f>
        <v>0</v>
      </c>
      <c r="C10" s="250">
        <v>2</v>
      </c>
      <c r="D10" s="256" t="str">
        <f>IF($B10=FALSE,"",VALUE(Pressure_2_R1!D5))</f>
        <v/>
      </c>
      <c r="E10" s="251" t="str">
        <f>IF($B10=FALSE,"",표준압력!C15)</f>
        <v/>
      </c>
      <c r="F10" s="251" t="str">
        <f>IF($B10=FALSE,"",Pressure_2_R1!V5)</f>
        <v/>
      </c>
      <c r="G10" s="252" t="str">
        <f>IF($B10=FALSE,"",Pressure_2_R1!W5)</f>
        <v/>
      </c>
      <c r="H10" s="363" t="str">
        <f>IF($B10=FALSE,"",Pressure_2_R1!X5)</f>
        <v/>
      </c>
      <c r="I10" s="365" t="b">
        <f t="shared" ref="I10:I38" si="12">TYPE(G10)=1</f>
        <v>0</v>
      </c>
      <c r="J10" s="364" t="str">
        <f>IF($B10=FALSE,"",IF(Pressure_2_R1!D137="","기준기값없음",IF(Pressure_2_R1!L137="ok",Pressure_2_R1!D137,"파워선택안함")))</f>
        <v/>
      </c>
      <c r="K10" s="253" t="str">
        <f t="shared" si="6"/>
        <v/>
      </c>
      <c r="L10" s="254" t="str">
        <f t="shared" si="7"/>
        <v/>
      </c>
      <c r="M10" s="366" t="str">
        <f t="shared" si="8"/>
        <v/>
      </c>
      <c r="N10" s="251" t="str">
        <f t="shared" ref="N10:N38" si="13">IF($B10=FALSE,"",(E10-K$3)^2)</f>
        <v/>
      </c>
      <c r="O10" s="252" t="str">
        <f t="shared" ref="O10:O38" si="14">IF($B10=FALSE,"",(E10-K$3)*(K10-E$3))</f>
        <v/>
      </c>
      <c r="P10" s="252" t="str">
        <f t="shared" ref="P10:P38" si="15">IF($B10=FALSE,"",(E10-K$3)*(L10-E$3))</f>
        <v/>
      </c>
      <c r="Q10" s="367" t="str">
        <f t="shared" ref="Q10:Q38" si="16">IF($B10=FALSE,"",(E10-K$3)*(M10-E$3))</f>
        <v/>
      </c>
      <c r="R10" s="245"/>
      <c r="S10" s="255" t="b">
        <f t="shared" si="9"/>
        <v>0</v>
      </c>
      <c r="T10" s="900"/>
      <c r="U10" s="256">
        <v>2</v>
      </c>
      <c r="V10" s="253" t="str">
        <f t="shared" ref="V10:X23" si="17">IF($S10=FALSE,"",K10)</f>
        <v/>
      </c>
      <c r="W10" s="255" t="str">
        <f t="shared" si="17"/>
        <v/>
      </c>
      <c r="X10" s="255" t="str">
        <f t="shared" si="17"/>
        <v/>
      </c>
      <c r="Y10" s="255" t="str">
        <f t="shared" ref="Y10:Y38" si="18">IF($S10=FALSE,"",AVERAGE(V10:X10))</f>
        <v/>
      </c>
      <c r="Z10" s="341" t="str">
        <f t="shared" si="10"/>
        <v/>
      </c>
      <c r="AA10" s="253" t="str">
        <f t="shared" ref="AA10:AC38" si="19">IF($S10=FALSE,"",V10-V$9)</f>
        <v/>
      </c>
      <c r="AB10" s="255" t="str">
        <f t="shared" si="19"/>
        <v/>
      </c>
      <c r="AC10" s="255" t="str">
        <f t="shared" si="19"/>
        <v/>
      </c>
      <c r="AD10" s="255" t="str">
        <f t="shared" si="11"/>
        <v/>
      </c>
      <c r="AF10" s="432" t="s">
        <v>134</v>
      </c>
      <c r="AG10" s="434">
        <f t="shared" si="0"/>
        <v>1000000</v>
      </c>
      <c r="AH10" s="434">
        <f t="shared" si="4"/>
        <v>10000</v>
      </c>
      <c r="AI10" s="434">
        <f t="shared" si="1"/>
        <v>1000</v>
      </c>
      <c r="AJ10" s="434">
        <v>1</v>
      </c>
      <c r="AK10" s="434">
        <f t="shared" si="2"/>
        <v>1000000</v>
      </c>
      <c r="AL10" s="434">
        <f t="shared" si="5"/>
        <v>10000</v>
      </c>
      <c r="AM10" s="434">
        <f t="shared" si="3"/>
        <v>1000</v>
      </c>
      <c r="AN10" s="434">
        <v>1</v>
      </c>
    </row>
    <row r="11" spans="1:40" s="242" customFormat="1" ht="15" customHeight="1">
      <c r="B11" s="249" t="b">
        <f>IF(Pressure_2_R1!A6="",FALSE,TRUE)</f>
        <v>0</v>
      </c>
      <c r="C11" s="250">
        <v>3</v>
      </c>
      <c r="D11" s="256" t="str">
        <f>IF($B11=FALSE,"",VALUE(Pressure_2_R1!D6))</f>
        <v/>
      </c>
      <c r="E11" s="251" t="str">
        <f>IF($B11=FALSE,"",표준압력!C16)</f>
        <v/>
      </c>
      <c r="F11" s="251" t="str">
        <f>IF($B11=FALSE,"",Pressure_2_R1!V6)</f>
        <v/>
      </c>
      <c r="G11" s="252" t="str">
        <f>IF($B11=FALSE,"",Pressure_2_R1!W6)</f>
        <v/>
      </c>
      <c r="H11" s="363" t="str">
        <f>IF($B11=FALSE,"",Pressure_2_R1!X6)</f>
        <v/>
      </c>
      <c r="I11" s="365" t="b">
        <f t="shared" si="12"/>
        <v>0</v>
      </c>
      <c r="J11" s="364" t="str">
        <f>IF($B11=FALSE,"",IF(Pressure_2_R1!D138="","기준기값없음",IF(Pressure_2_R1!L138="ok",Pressure_2_R1!D138,"파워선택안함")))</f>
        <v/>
      </c>
      <c r="K11" s="253" t="str">
        <f t="shared" si="6"/>
        <v/>
      </c>
      <c r="L11" s="254" t="str">
        <f t="shared" si="7"/>
        <v/>
      </c>
      <c r="M11" s="366" t="str">
        <f t="shared" si="8"/>
        <v/>
      </c>
      <c r="N11" s="251" t="str">
        <f t="shared" si="13"/>
        <v/>
      </c>
      <c r="O11" s="252" t="str">
        <f t="shared" si="14"/>
        <v/>
      </c>
      <c r="P11" s="252" t="str">
        <f t="shared" si="15"/>
        <v/>
      </c>
      <c r="Q11" s="367" t="str">
        <f t="shared" si="16"/>
        <v/>
      </c>
      <c r="R11" s="245"/>
      <c r="S11" s="255" t="b">
        <f t="shared" si="9"/>
        <v>0</v>
      </c>
      <c r="T11" s="900"/>
      <c r="U11" s="256">
        <v>3</v>
      </c>
      <c r="V11" s="253" t="str">
        <f t="shared" si="17"/>
        <v/>
      </c>
      <c r="W11" s="255" t="str">
        <f t="shared" si="17"/>
        <v/>
      </c>
      <c r="X11" s="255" t="str">
        <f t="shared" si="17"/>
        <v/>
      </c>
      <c r="Y11" s="255" t="str">
        <f t="shared" si="18"/>
        <v/>
      </c>
      <c r="Z11" s="341" t="str">
        <f t="shared" si="10"/>
        <v/>
      </c>
      <c r="AA11" s="253" t="str">
        <f t="shared" si="19"/>
        <v/>
      </c>
      <c r="AB11" s="255" t="str">
        <f t="shared" si="19"/>
        <v/>
      </c>
      <c r="AC11" s="255" t="str">
        <f t="shared" si="19"/>
        <v/>
      </c>
      <c r="AD11" s="255" t="str">
        <f t="shared" si="11"/>
        <v/>
      </c>
      <c r="AF11" s="432" t="s">
        <v>356</v>
      </c>
      <c r="AG11" s="434">
        <f t="shared" si="0"/>
        <v>100</v>
      </c>
      <c r="AH11" s="434">
        <f t="shared" si="4"/>
        <v>1</v>
      </c>
      <c r="AI11" s="434">
        <f t="shared" si="1"/>
        <v>0.1</v>
      </c>
      <c r="AJ11" s="434">
        <v>1E-4</v>
      </c>
      <c r="AK11" s="434">
        <f t="shared" si="2"/>
        <v>100</v>
      </c>
      <c r="AL11" s="434">
        <f t="shared" si="5"/>
        <v>1</v>
      </c>
      <c r="AM11" s="434">
        <f t="shared" si="3"/>
        <v>0.1</v>
      </c>
      <c r="AN11" s="434">
        <v>1E-4</v>
      </c>
    </row>
    <row r="12" spans="1:40" s="242" customFormat="1" ht="15" customHeight="1">
      <c r="B12" s="249" t="b">
        <f>IF(Pressure_2_R1!A7="",FALSE,TRUE)</f>
        <v>0</v>
      </c>
      <c r="C12" s="250">
        <v>4</v>
      </c>
      <c r="D12" s="256" t="str">
        <f>IF($B12=FALSE,"",VALUE(Pressure_2_R1!D7))</f>
        <v/>
      </c>
      <c r="E12" s="251" t="str">
        <f>IF($B12=FALSE,"",표준압력!C17)</f>
        <v/>
      </c>
      <c r="F12" s="251" t="str">
        <f>IF($B12=FALSE,"",Pressure_2_R1!V7)</f>
        <v/>
      </c>
      <c r="G12" s="252" t="str">
        <f>IF($B12=FALSE,"",Pressure_2_R1!W7)</f>
        <v/>
      </c>
      <c r="H12" s="363" t="str">
        <f>IF($B12=FALSE,"",Pressure_2_R1!X7)</f>
        <v/>
      </c>
      <c r="I12" s="365" t="b">
        <f t="shared" si="12"/>
        <v>0</v>
      </c>
      <c r="J12" s="364" t="str">
        <f>IF($B12=FALSE,"",IF(Pressure_2_R1!D139="","기준기값없음",IF(Pressure_2_R1!L139="ok",Pressure_2_R1!D139,"파워선택안함")))</f>
        <v/>
      </c>
      <c r="K12" s="253" t="str">
        <f t="shared" si="6"/>
        <v/>
      </c>
      <c r="L12" s="254" t="str">
        <f t="shared" si="7"/>
        <v/>
      </c>
      <c r="M12" s="366" t="str">
        <f t="shared" si="8"/>
        <v/>
      </c>
      <c r="N12" s="251" t="str">
        <f t="shared" si="13"/>
        <v/>
      </c>
      <c r="O12" s="252" t="str">
        <f t="shared" si="14"/>
        <v/>
      </c>
      <c r="P12" s="252" t="str">
        <f t="shared" si="15"/>
        <v/>
      </c>
      <c r="Q12" s="367" t="str">
        <f t="shared" si="16"/>
        <v/>
      </c>
      <c r="R12" s="245"/>
      <c r="S12" s="255" t="b">
        <f t="shared" si="9"/>
        <v>0</v>
      </c>
      <c r="T12" s="900"/>
      <c r="U12" s="256">
        <v>4</v>
      </c>
      <c r="V12" s="253" t="str">
        <f t="shared" si="17"/>
        <v/>
      </c>
      <c r="W12" s="255" t="str">
        <f t="shared" si="17"/>
        <v/>
      </c>
      <c r="X12" s="255" t="str">
        <f t="shared" si="17"/>
        <v/>
      </c>
      <c r="Y12" s="255" t="str">
        <f t="shared" si="18"/>
        <v/>
      </c>
      <c r="Z12" s="341" t="str">
        <f t="shared" si="10"/>
        <v/>
      </c>
      <c r="AA12" s="253" t="str">
        <f t="shared" si="19"/>
        <v/>
      </c>
      <c r="AB12" s="255" t="str">
        <f t="shared" si="19"/>
        <v/>
      </c>
      <c r="AC12" s="255" t="str">
        <f t="shared" si="19"/>
        <v/>
      </c>
      <c r="AD12" s="255" t="str">
        <f t="shared" si="11"/>
        <v/>
      </c>
      <c r="AF12" s="432" t="s">
        <v>692</v>
      </c>
      <c r="AG12" s="434">
        <f t="shared" si="0"/>
        <v>100000</v>
      </c>
      <c r="AH12" s="434">
        <f t="shared" si="4"/>
        <v>1000</v>
      </c>
      <c r="AI12" s="434">
        <f t="shared" si="1"/>
        <v>100</v>
      </c>
      <c r="AJ12" s="434">
        <v>0.1</v>
      </c>
      <c r="AK12" s="434">
        <f t="shared" si="2"/>
        <v>100000</v>
      </c>
      <c r="AL12" s="434">
        <f t="shared" si="5"/>
        <v>1000</v>
      </c>
      <c r="AM12" s="434">
        <f t="shared" si="3"/>
        <v>100</v>
      </c>
      <c r="AN12" s="434">
        <v>0.1</v>
      </c>
    </row>
    <row r="13" spans="1:40" s="242" customFormat="1" ht="15" customHeight="1">
      <c r="B13" s="249" t="b">
        <f>IF(Pressure_2_R1!A8="",FALSE,TRUE)</f>
        <v>0</v>
      </c>
      <c r="C13" s="250">
        <v>5</v>
      </c>
      <c r="D13" s="256" t="str">
        <f>IF($B13=FALSE,"",VALUE(Pressure_2_R1!D8))</f>
        <v/>
      </c>
      <c r="E13" s="251" t="str">
        <f>IF($B13=FALSE,"",표준압력!C18)</f>
        <v/>
      </c>
      <c r="F13" s="251" t="str">
        <f>IF($B13=FALSE,"",Pressure_2_R1!V8)</f>
        <v/>
      </c>
      <c r="G13" s="252" t="str">
        <f>IF($B13=FALSE,"",Pressure_2_R1!W8)</f>
        <v/>
      </c>
      <c r="H13" s="363" t="str">
        <f>IF($B13=FALSE,"",Pressure_2_R1!X8)</f>
        <v/>
      </c>
      <c r="I13" s="365" t="b">
        <f t="shared" si="12"/>
        <v>0</v>
      </c>
      <c r="J13" s="364" t="str">
        <f>IF($B13=FALSE,"",IF(Pressure_2_R1!D140="","기준기값없음",IF(Pressure_2_R1!L140="ok",Pressure_2_R1!D140,"파워선택안함")))</f>
        <v/>
      </c>
      <c r="K13" s="253" t="str">
        <f t="shared" si="6"/>
        <v/>
      </c>
      <c r="L13" s="254" t="str">
        <f t="shared" si="7"/>
        <v/>
      </c>
      <c r="M13" s="366" t="str">
        <f t="shared" si="8"/>
        <v/>
      </c>
      <c r="N13" s="251" t="str">
        <f t="shared" si="13"/>
        <v/>
      </c>
      <c r="O13" s="252" t="str">
        <f t="shared" si="14"/>
        <v/>
      </c>
      <c r="P13" s="252" t="str">
        <f t="shared" si="15"/>
        <v/>
      </c>
      <c r="Q13" s="367" t="str">
        <f t="shared" si="16"/>
        <v/>
      </c>
      <c r="R13" s="245"/>
      <c r="S13" s="255" t="b">
        <f t="shared" si="9"/>
        <v>0</v>
      </c>
      <c r="T13" s="900"/>
      <c r="U13" s="256">
        <v>5</v>
      </c>
      <c r="V13" s="253" t="str">
        <f t="shared" si="17"/>
        <v/>
      </c>
      <c r="W13" s="255" t="str">
        <f t="shared" si="17"/>
        <v/>
      </c>
      <c r="X13" s="255" t="str">
        <f t="shared" si="17"/>
        <v/>
      </c>
      <c r="Y13" s="255" t="str">
        <f t="shared" si="18"/>
        <v/>
      </c>
      <c r="Z13" s="341" t="str">
        <f t="shared" si="10"/>
        <v/>
      </c>
      <c r="AA13" s="253" t="str">
        <f t="shared" si="19"/>
        <v/>
      </c>
      <c r="AB13" s="255" t="str">
        <f t="shared" si="19"/>
        <v/>
      </c>
      <c r="AC13" s="255" t="str">
        <f t="shared" si="19"/>
        <v/>
      </c>
      <c r="AD13" s="255" t="str">
        <f t="shared" si="11"/>
        <v/>
      </c>
      <c r="AF13" s="432" t="s">
        <v>693</v>
      </c>
      <c r="AG13" s="434">
        <f t="shared" si="0"/>
        <v>6894.7569999999996</v>
      </c>
      <c r="AH13" s="434">
        <f t="shared" si="4"/>
        <v>68.947569999999999</v>
      </c>
      <c r="AI13" s="434">
        <f t="shared" si="1"/>
        <v>6.8947569999999994</v>
      </c>
      <c r="AJ13" s="434">
        <v>6.8947569999999996E-3</v>
      </c>
      <c r="AK13" s="434">
        <f t="shared" si="2"/>
        <v>6894.7569999999996</v>
      </c>
      <c r="AL13" s="434">
        <f t="shared" si="5"/>
        <v>68.947569999999999</v>
      </c>
      <c r="AM13" s="434">
        <f t="shared" si="3"/>
        <v>6.8947569999999994</v>
      </c>
      <c r="AN13" s="434">
        <v>6.8947569999999996E-3</v>
      </c>
    </row>
    <row r="14" spans="1:40" s="242" customFormat="1" ht="15" customHeight="1">
      <c r="B14" s="249" t="b">
        <f>IF(Pressure_2_R1!A9="",FALSE,TRUE)</f>
        <v>0</v>
      </c>
      <c r="C14" s="250">
        <v>6</v>
      </c>
      <c r="D14" s="256" t="str">
        <f>IF($B14=FALSE,"",VALUE(Pressure_2_R1!D9))</f>
        <v/>
      </c>
      <c r="E14" s="251" t="str">
        <f>IF($B14=FALSE,"",표준압력!C19)</f>
        <v/>
      </c>
      <c r="F14" s="251" t="str">
        <f>IF($B14=FALSE,"",Pressure_2_R1!V9)</f>
        <v/>
      </c>
      <c r="G14" s="252" t="str">
        <f>IF($B14=FALSE,"",Pressure_2_R1!W9)</f>
        <v/>
      </c>
      <c r="H14" s="363" t="str">
        <f>IF($B14=FALSE,"",Pressure_2_R1!X9)</f>
        <v/>
      </c>
      <c r="I14" s="365" t="b">
        <f t="shared" si="12"/>
        <v>0</v>
      </c>
      <c r="J14" s="364" t="str">
        <f>IF($B14=FALSE,"",IF(Pressure_2_R1!D141="","기준기값없음",IF(Pressure_2_R1!L141="ok",Pressure_2_R1!D141,"파워선택안함")))</f>
        <v/>
      </c>
      <c r="K14" s="253" t="str">
        <f t="shared" si="6"/>
        <v/>
      </c>
      <c r="L14" s="254" t="str">
        <f t="shared" si="7"/>
        <v/>
      </c>
      <c r="M14" s="366" t="str">
        <f t="shared" si="8"/>
        <v/>
      </c>
      <c r="N14" s="251" t="str">
        <f t="shared" si="13"/>
        <v/>
      </c>
      <c r="O14" s="252" t="str">
        <f t="shared" si="14"/>
        <v/>
      </c>
      <c r="P14" s="252" t="str">
        <f t="shared" si="15"/>
        <v/>
      </c>
      <c r="Q14" s="367" t="str">
        <f t="shared" si="16"/>
        <v/>
      </c>
      <c r="R14" s="245"/>
      <c r="S14" s="255" t="b">
        <f t="shared" si="9"/>
        <v>0</v>
      </c>
      <c r="T14" s="900"/>
      <c r="U14" s="256">
        <v>6</v>
      </c>
      <c r="V14" s="253" t="str">
        <f t="shared" si="17"/>
        <v/>
      </c>
      <c r="W14" s="255" t="str">
        <f t="shared" si="17"/>
        <v/>
      </c>
      <c r="X14" s="255" t="str">
        <f t="shared" si="17"/>
        <v/>
      </c>
      <c r="Y14" s="255" t="str">
        <f t="shared" si="18"/>
        <v/>
      </c>
      <c r="Z14" s="341" t="str">
        <f t="shared" si="10"/>
        <v/>
      </c>
      <c r="AA14" s="253" t="str">
        <f t="shared" si="19"/>
        <v/>
      </c>
      <c r="AB14" s="255" t="str">
        <f t="shared" si="19"/>
        <v/>
      </c>
      <c r="AC14" s="255" t="str">
        <f t="shared" si="19"/>
        <v/>
      </c>
      <c r="AD14" s="255" t="str">
        <f t="shared" si="11"/>
        <v/>
      </c>
      <c r="AF14" s="432" t="s">
        <v>694</v>
      </c>
      <c r="AG14" s="434">
        <f t="shared" si="0"/>
        <v>98066.5</v>
      </c>
      <c r="AH14" s="434">
        <f t="shared" si="4"/>
        <v>980.66500000000008</v>
      </c>
      <c r="AI14" s="434">
        <f t="shared" si="1"/>
        <v>98.066500000000005</v>
      </c>
      <c r="AJ14" s="434">
        <v>9.8066500000000001E-2</v>
      </c>
      <c r="AK14" s="434">
        <f t="shared" si="2"/>
        <v>98066.5</v>
      </c>
      <c r="AL14" s="434">
        <f t="shared" si="5"/>
        <v>980.66500000000008</v>
      </c>
      <c r="AM14" s="434">
        <f t="shared" si="3"/>
        <v>98.066500000000005</v>
      </c>
      <c r="AN14" s="434">
        <v>9.8066500000000001E-2</v>
      </c>
    </row>
    <row r="15" spans="1:40" s="242" customFormat="1" ht="15" customHeight="1">
      <c r="B15" s="249" t="b">
        <f>IF(Pressure_2_R1!A10="",FALSE,TRUE)</f>
        <v>0</v>
      </c>
      <c r="C15" s="250">
        <v>7</v>
      </c>
      <c r="D15" s="256" t="str">
        <f>IF($B15=FALSE,"",VALUE(Pressure_2_R1!D10))</f>
        <v/>
      </c>
      <c r="E15" s="251" t="str">
        <f>IF($B15=FALSE,"",표준압력!C20)</f>
        <v/>
      </c>
      <c r="F15" s="251" t="str">
        <f>IF($B15=FALSE,"",Pressure_2_R1!V10)</f>
        <v/>
      </c>
      <c r="G15" s="252" t="str">
        <f>IF($B15=FALSE,"",Pressure_2_R1!W10)</f>
        <v/>
      </c>
      <c r="H15" s="363" t="str">
        <f>IF($B15=FALSE,"",Pressure_2_R1!X10)</f>
        <v/>
      </c>
      <c r="I15" s="365" t="b">
        <f t="shared" si="12"/>
        <v>0</v>
      </c>
      <c r="J15" s="364" t="str">
        <f>IF($B15=FALSE,"",IF(Pressure_2_R1!D142="","기준기값없음",IF(Pressure_2_R1!L142="ok",Pressure_2_R1!D142,"파워선택안함")))</f>
        <v/>
      </c>
      <c r="K15" s="253" t="str">
        <f t="shared" si="6"/>
        <v/>
      </c>
      <c r="L15" s="254" t="str">
        <f t="shared" si="7"/>
        <v/>
      </c>
      <c r="M15" s="366" t="str">
        <f t="shared" si="8"/>
        <v/>
      </c>
      <c r="N15" s="251" t="str">
        <f t="shared" si="13"/>
        <v/>
      </c>
      <c r="O15" s="252" t="str">
        <f t="shared" si="14"/>
        <v/>
      </c>
      <c r="P15" s="252" t="str">
        <f t="shared" si="15"/>
        <v/>
      </c>
      <c r="Q15" s="367" t="str">
        <f t="shared" si="16"/>
        <v/>
      </c>
      <c r="R15" s="245"/>
      <c r="S15" s="255" t="b">
        <f t="shared" si="9"/>
        <v>0</v>
      </c>
      <c r="T15" s="900"/>
      <c r="U15" s="256">
        <v>7</v>
      </c>
      <c r="V15" s="253" t="str">
        <f t="shared" si="17"/>
        <v/>
      </c>
      <c r="W15" s="255" t="str">
        <f t="shared" si="17"/>
        <v/>
      </c>
      <c r="X15" s="255" t="str">
        <f t="shared" si="17"/>
        <v/>
      </c>
      <c r="Y15" s="255" t="str">
        <f t="shared" si="18"/>
        <v/>
      </c>
      <c r="Z15" s="341" t="str">
        <f t="shared" si="10"/>
        <v/>
      </c>
      <c r="AA15" s="253" t="str">
        <f t="shared" si="19"/>
        <v/>
      </c>
      <c r="AB15" s="255" t="str">
        <f t="shared" si="19"/>
        <v/>
      </c>
      <c r="AC15" s="255" t="str">
        <f t="shared" si="19"/>
        <v/>
      </c>
      <c r="AD15" s="255" t="str">
        <f t="shared" si="11"/>
        <v/>
      </c>
      <c r="AF15" s="432" t="s">
        <v>112</v>
      </c>
      <c r="AG15" s="434">
        <f t="shared" si="0"/>
        <v>9.8066499999999994</v>
      </c>
      <c r="AH15" s="434">
        <f t="shared" si="4"/>
        <v>9.8066500000000001E-2</v>
      </c>
      <c r="AI15" s="434">
        <f t="shared" si="1"/>
        <v>9.8066500000000001E-3</v>
      </c>
      <c r="AJ15" s="435">
        <v>9.8066500000000004E-6</v>
      </c>
      <c r="AK15" s="434">
        <f t="shared" si="2"/>
        <v>9.8066499999999994</v>
      </c>
      <c r="AL15" s="434">
        <f t="shared" si="5"/>
        <v>9.8066500000000001E-2</v>
      </c>
      <c r="AM15" s="434">
        <f t="shared" si="3"/>
        <v>9.8066500000000001E-3</v>
      </c>
      <c r="AN15" s="435">
        <v>9.8066500000000004E-6</v>
      </c>
    </row>
    <row r="16" spans="1:40" s="242" customFormat="1" ht="15" customHeight="1">
      <c r="B16" s="249" t="b">
        <f>IF(Pressure_2_R1!A11="",FALSE,TRUE)</f>
        <v>0</v>
      </c>
      <c r="C16" s="250">
        <v>8</v>
      </c>
      <c r="D16" s="256" t="str">
        <f>IF($B16=FALSE,"",VALUE(Pressure_2_R1!D11))</f>
        <v/>
      </c>
      <c r="E16" s="251" t="str">
        <f>IF($B16=FALSE,"",표준압력!C21)</f>
        <v/>
      </c>
      <c r="F16" s="251" t="str">
        <f>IF($B16=FALSE,"",Pressure_2_R1!V11)</f>
        <v/>
      </c>
      <c r="G16" s="252" t="str">
        <f>IF($B16=FALSE,"",Pressure_2_R1!W11)</f>
        <v/>
      </c>
      <c r="H16" s="363" t="str">
        <f>IF($B16=FALSE,"",Pressure_2_R1!X11)</f>
        <v/>
      </c>
      <c r="I16" s="365" t="b">
        <f t="shared" si="12"/>
        <v>0</v>
      </c>
      <c r="J16" s="364" t="str">
        <f>IF($B16=FALSE,"",IF(Pressure_2_R1!D143="","기준기값없음",IF(Pressure_2_R1!L143="ok",Pressure_2_R1!D143,"파워선택안함")))</f>
        <v/>
      </c>
      <c r="K16" s="253" t="str">
        <f t="shared" si="6"/>
        <v/>
      </c>
      <c r="L16" s="254" t="str">
        <f t="shared" si="7"/>
        <v/>
      </c>
      <c r="M16" s="366" t="str">
        <f t="shared" si="8"/>
        <v/>
      </c>
      <c r="N16" s="251" t="str">
        <f t="shared" si="13"/>
        <v/>
      </c>
      <c r="O16" s="252" t="str">
        <f t="shared" si="14"/>
        <v/>
      </c>
      <c r="P16" s="252" t="str">
        <f t="shared" si="15"/>
        <v/>
      </c>
      <c r="Q16" s="367" t="str">
        <f t="shared" si="16"/>
        <v/>
      </c>
      <c r="R16" s="245"/>
      <c r="S16" s="255" t="b">
        <f t="shared" si="9"/>
        <v>0</v>
      </c>
      <c r="T16" s="900"/>
      <c r="U16" s="256">
        <v>8</v>
      </c>
      <c r="V16" s="253" t="str">
        <f t="shared" si="17"/>
        <v/>
      </c>
      <c r="W16" s="255" t="str">
        <f t="shared" si="17"/>
        <v/>
      </c>
      <c r="X16" s="255" t="str">
        <f t="shared" si="17"/>
        <v/>
      </c>
      <c r="Y16" s="255" t="str">
        <f t="shared" si="18"/>
        <v/>
      </c>
      <c r="Z16" s="341" t="str">
        <f t="shared" si="10"/>
        <v/>
      </c>
      <c r="AA16" s="253" t="str">
        <f t="shared" si="19"/>
        <v/>
      </c>
      <c r="AB16" s="255" t="str">
        <f t="shared" si="19"/>
        <v/>
      </c>
      <c r="AC16" s="255" t="str">
        <f t="shared" si="19"/>
        <v/>
      </c>
      <c r="AD16" s="255" t="str">
        <f t="shared" si="11"/>
        <v/>
      </c>
      <c r="AF16" s="432" t="s">
        <v>695</v>
      </c>
      <c r="AG16" s="434">
        <f t="shared" si="0"/>
        <v>3386.3889999999997</v>
      </c>
      <c r="AH16" s="434">
        <f t="shared" si="4"/>
        <v>33.863889999999998</v>
      </c>
      <c r="AI16" s="434">
        <f t="shared" si="1"/>
        <v>3.3863889999999999</v>
      </c>
      <c r="AJ16" s="434">
        <v>3.3863890000000001E-3</v>
      </c>
      <c r="AK16" s="434">
        <f t="shared" si="2"/>
        <v>3386.3889999999997</v>
      </c>
      <c r="AL16" s="434">
        <f t="shared" si="5"/>
        <v>33.863889999999998</v>
      </c>
      <c r="AM16" s="434">
        <f t="shared" si="3"/>
        <v>3.3863889999999999</v>
      </c>
      <c r="AN16" s="434">
        <v>3.3863890000000001E-3</v>
      </c>
    </row>
    <row r="17" spans="2:40" s="242" customFormat="1" ht="15" customHeight="1">
      <c r="B17" s="249" t="b">
        <f>IF(Pressure_2_R1!A12="",FALSE,TRUE)</f>
        <v>0</v>
      </c>
      <c r="C17" s="250">
        <v>9</v>
      </c>
      <c r="D17" s="256" t="str">
        <f>IF($B17=FALSE,"",VALUE(Pressure_2_R1!D12))</f>
        <v/>
      </c>
      <c r="E17" s="251" t="str">
        <f>IF($B17=FALSE,"",표준압력!C22)</f>
        <v/>
      </c>
      <c r="F17" s="251" t="str">
        <f>IF($B17=FALSE,"",Pressure_2_R1!V12)</f>
        <v/>
      </c>
      <c r="G17" s="252" t="str">
        <f>IF($B17=FALSE,"",Pressure_2_R1!W12)</f>
        <v/>
      </c>
      <c r="H17" s="363" t="str">
        <f>IF($B17=FALSE,"",Pressure_2_R1!X12)</f>
        <v/>
      </c>
      <c r="I17" s="365" t="b">
        <f t="shared" si="12"/>
        <v>0</v>
      </c>
      <c r="J17" s="364" t="str">
        <f>IF($B17=FALSE,"",IF(Pressure_2_R1!D144="","기준기값없음",IF(Pressure_2_R1!L144="ok",Pressure_2_R1!D144,"파워선택안함")))</f>
        <v/>
      </c>
      <c r="K17" s="253" t="str">
        <f t="shared" si="6"/>
        <v/>
      </c>
      <c r="L17" s="254" t="str">
        <f t="shared" si="7"/>
        <v/>
      </c>
      <c r="M17" s="366" t="str">
        <f t="shared" si="8"/>
        <v/>
      </c>
      <c r="N17" s="251" t="str">
        <f t="shared" si="13"/>
        <v/>
      </c>
      <c r="O17" s="252" t="str">
        <f t="shared" si="14"/>
        <v/>
      </c>
      <c r="P17" s="252" t="str">
        <f t="shared" si="15"/>
        <v/>
      </c>
      <c r="Q17" s="367" t="str">
        <f t="shared" si="16"/>
        <v/>
      </c>
      <c r="R17" s="245"/>
      <c r="S17" s="255" t="b">
        <f t="shared" si="9"/>
        <v>0</v>
      </c>
      <c r="T17" s="900"/>
      <c r="U17" s="256">
        <v>9</v>
      </c>
      <c r="V17" s="253" t="str">
        <f t="shared" si="17"/>
        <v/>
      </c>
      <c r="W17" s="255" t="str">
        <f t="shared" si="17"/>
        <v/>
      </c>
      <c r="X17" s="255" t="str">
        <f t="shared" si="17"/>
        <v/>
      </c>
      <c r="Y17" s="255" t="str">
        <f t="shared" si="18"/>
        <v/>
      </c>
      <c r="Z17" s="341" t="str">
        <f t="shared" si="10"/>
        <v/>
      </c>
      <c r="AA17" s="253" t="str">
        <f t="shared" si="19"/>
        <v/>
      </c>
      <c r="AB17" s="255" t="str">
        <f t="shared" si="19"/>
        <v/>
      </c>
      <c r="AC17" s="255" t="str">
        <f t="shared" si="19"/>
        <v/>
      </c>
      <c r="AD17" s="255" t="str">
        <f t="shared" si="11"/>
        <v/>
      </c>
      <c r="AF17" s="432" t="s">
        <v>696</v>
      </c>
      <c r="AG17" s="434">
        <f t="shared" si="0"/>
        <v>133.32240000000002</v>
      </c>
      <c r="AH17" s="434">
        <f t="shared" si="4"/>
        <v>1.333224</v>
      </c>
      <c r="AI17" s="434">
        <f t="shared" si="1"/>
        <v>0.13332240000000001</v>
      </c>
      <c r="AJ17" s="434">
        <v>1.3332240000000001E-4</v>
      </c>
      <c r="AK17" s="434">
        <f t="shared" si="2"/>
        <v>133.32240000000002</v>
      </c>
      <c r="AL17" s="434">
        <f t="shared" si="5"/>
        <v>1.333224</v>
      </c>
      <c r="AM17" s="434">
        <f t="shared" si="3"/>
        <v>0.13332240000000001</v>
      </c>
      <c r="AN17" s="434">
        <v>1.3332240000000001E-4</v>
      </c>
    </row>
    <row r="18" spans="2:40" s="242" customFormat="1" ht="15" customHeight="1">
      <c r="B18" s="249" t="b">
        <f>IF(Pressure_2_R1!A13="",FALSE,TRUE)</f>
        <v>0</v>
      </c>
      <c r="C18" s="250">
        <v>10</v>
      </c>
      <c r="D18" s="256" t="str">
        <f>IF($B18=FALSE,"",VALUE(Pressure_2_R1!D13))</f>
        <v/>
      </c>
      <c r="E18" s="251" t="str">
        <f>IF($B18=FALSE,"",표준압력!C23)</f>
        <v/>
      </c>
      <c r="F18" s="251" t="str">
        <f>IF($B18=FALSE,"",Pressure_2_R1!V13)</f>
        <v/>
      </c>
      <c r="G18" s="252" t="str">
        <f>IF($B18=FALSE,"",Pressure_2_R1!W13)</f>
        <v/>
      </c>
      <c r="H18" s="363" t="str">
        <f>IF($B18=FALSE,"",Pressure_2_R1!X13)</f>
        <v/>
      </c>
      <c r="I18" s="365" t="b">
        <f t="shared" si="12"/>
        <v>0</v>
      </c>
      <c r="J18" s="364" t="str">
        <f>IF($B18=FALSE,"",IF(Pressure_2_R1!D145="","기준기값없음",IF(Pressure_2_R1!L145="ok",Pressure_2_R1!D145,"파워선택안함")))</f>
        <v/>
      </c>
      <c r="K18" s="253" t="str">
        <f t="shared" si="6"/>
        <v/>
      </c>
      <c r="L18" s="254" t="str">
        <f t="shared" si="7"/>
        <v/>
      </c>
      <c r="M18" s="366" t="str">
        <f t="shared" si="8"/>
        <v/>
      </c>
      <c r="N18" s="251" t="str">
        <f t="shared" si="13"/>
        <v/>
      </c>
      <c r="O18" s="252" t="str">
        <f t="shared" si="14"/>
        <v/>
      </c>
      <c r="P18" s="252" t="str">
        <f t="shared" si="15"/>
        <v/>
      </c>
      <c r="Q18" s="367" t="str">
        <f t="shared" si="16"/>
        <v/>
      </c>
      <c r="R18" s="245"/>
      <c r="S18" s="255" t="b">
        <f t="shared" si="9"/>
        <v>0</v>
      </c>
      <c r="T18" s="900"/>
      <c r="U18" s="256">
        <v>10</v>
      </c>
      <c r="V18" s="253" t="str">
        <f t="shared" si="17"/>
        <v/>
      </c>
      <c r="W18" s="255" t="str">
        <f t="shared" si="17"/>
        <v/>
      </c>
      <c r="X18" s="255" t="str">
        <f t="shared" si="17"/>
        <v/>
      </c>
      <c r="Y18" s="255" t="str">
        <f t="shared" si="18"/>
        <v/>
      </c>
      <c r="Z18" s="341" t="str">
        <f t="shared" si="10"/>
        <v/>
      </c>
      <c r="AA18" s="253" t="str">
        <f t="shared" si="19"/>
        <v/>
      </c>
      <c r="AB18" s="255" t="str">
        <f t="shared" si="19"/>
        <v/>
      </c>
      <c r="AC18" s="255" t="str">
        <f t="shared" si="19"/>
        <v/>
      </c>
      <c r="AD18" s="255" t="str">
        <f t="shared" si="11"/>
        <v/>
      </c>
      <c r="AF18" s="432" t="s">
        <v>697</v>
      </c>
      <c r="AG18" s="434">
        <f t="shared" si="0"/>
        <v>1333.2239999999999</v>
      </c>
      <c r="AH18" s="434">
        <f t="shared" si="4"/>
        <v>13.332239999999999</v>
      </c>
      <c r="AI18" s="434">
        <f t="shared" si="1"/>
        <v>1.333224</v>
      </c>
      <c r="AJ18" s="434">
        <v>1.333224E-3</v>
      </c>
      <c r="AK18" s="434">
        <f t="shared" si="2"/>
        <v>1333.2239999999999</v>
      </c>
      <c r="AL18" s="434">
        <f t="shared" si="5"/>
        <v>13.332239999999999</v>
      </c>
      <c r="AM18" s="434">
        <f t="shared" si="3"/>
        <v>1.333224</v>
      </c>
      <c r="AN18" s="434">
        <v>1.333224E-3</v>
      </c>
    </row>
    <row r="19" spans="2:40" s="242" customFormat="1" ht="15" customHeight="1">
      <c r="B19" s="249" t="b">
        <f>IF(Pressure_2_R1!A14="",FALSE,TRUE)</f>
        <v>0</v>
      </c>
      <c r="C19" s="250">
        <v>11</v>
      </c>
      <c r="D19" s="256" t="str">
        <f>IF($B19=FALSE,"",VALUE(Pressure_2_R1!D14))</f>
        <v/>
      </c>
      <c r="E19" s="251" t="str">
        <f>IF($B19=FALSE,"",표준압력!C24)</f>
        <v/>
      </c>
      <c r="F19" s="251" t="str">
        <f>IF($B19=FALSE,"",Pressure_2_R1!V14)</f>
        <v/>
      </c>
      <c r="G19" s="252" t="str">
        <f>IF($B19=FALSE,"",Pressure_2_R1!W14)</f>
        <v/>
      </c>
      <c r="H19" s="363" t="str">
        <f>IF($B19=FALSE,"",Pressure_2_R1!X14)</f>
        <v/>
      </c>
      <c r="I19" s="365" t="b">
        <f t="shared" si="12"/>
        <v>0</v>
      </c>
      <c r="J19" s="364" t="str">
        <f>IF($B19=FALSE,"",IF(Pressure_2_R1!D146="","기준기값없음",IF(Pressure_2_R1!L146="ok",Pressure_2_R1!D146,"파워선택안함")))</f>
        <v/>
      </c>
      <c r="K19" s="253" t="str">
        <f t="shared" si="6"/>
        <v/>
      </c>
      <c r="L19" s="254" t="str">
        <f t="shared" si="7"/>
        <v/>
      </c>
      <c r="M19" s="366" t="str">
        <f t="shared" si="8"/>
        <v/>
      </c>
      <c r="N19" s="251" t="str">
        <f t="shared" si="13"/>
        <v/>
      </c>
      <c r="O19" s="252" t="str">
        <f t="shared" si="14"/>
        <v/>
      </c>
      <c r="P19" s="252" t="str">
        <f t="shared" si="15"/>
        <v/>
      </c>
      <c r="Q19" s="367" t="str">
        <f t="shared" si="16"/>
        <v/>
      </c>
      <c r="R19" s="245"/>
      <c r="S19" s="255" t="b">
        <f t="shared" si="9"/>
        <v>0</v>
      </c>
      <c r="T19" s="900"/>
      <c r="U19" s="256">
        <v>11</v>
      </c>
      <c r="V19" s="253" t="str">
        <f t="shared" si="17"/>
        <v/>
      </c>
      <c r="W19" s="255" t="str">
        <f t="shared" si="17"/>
        <v/>
      </c>
      <c r="X19" s="255" t="str">
        <f t="shared" si="17"/>
        <v/>
      </c>
      <c r="Y19" s="255" t="str">
        <f t="shared" si="18"/>
        <v/>
      </c>
      <c r="Z19" s="341" t="str">
        <f t="shared" si="10"/>
        <v/>
      </c>
      <c r="AA19" s="253" t="str">
        <f t="shared" si="19"/>
        <v/>
      </c>
      <c r="AB19" s="255" t="str">
        <f t="shared" si="19"/>
        <v/>
      </c>
      <c r="AC19" s="255" t="str">
        <f t="shared" si="19"/>
        <v/>
      </c>
      <c r="AD19" s="255" t="str">
        <f t="shared" si="11"/>
        <v/>
      </c>
      <c r="AF19" s="432" t="s">
        <v>698</v>
      </c>
      <c r="AG19" s="434">
        <f t="shared" si="0"/>
        <v>249.0889</v>
      </c>
      <c r="AH19" s="434">
        <f t="shared" si="4"/>
        <v>2.4908890000000001</v>
      </c>
      <c r="AI19" s="434">
        <f t="shared" si="1"/>
        <v>0.2490889</v>
      </c>
      <c r="AJ19" s="434">
        <v>2.4908889999999999E-4</v>
      </c>
      <c r="AK19" s="434">
        <f t="shared" si="2"/>
        <v>249.0889</v>
      </c>
      <c r="AL19" s="434">
        <f t="shared" si="5"/>
        <v>2.4908890000000001</v>
      </c>
      <c r="AM19" s="434">
        <f t="shared" si="3"/>
        <v>0.2490889</v>
      </c>
      <c r="AN19" s="434">
        <v>2.4908889999999999E-4</v>
      </c>
    </row>
    <row r="20" spans="2:40" s="242" customFormat="1" ht="15" customHeight="1">
      <c r="B20" s="249" t="b">
        <f>IF(Pressure_2_R1!A15="",FALSE,TRUE)</f>
        <v>0</v>
      </c>
      <c r="C20" s="250">
        <v>12</v>
      </c>
      <c r="D20" s="256" t="str">
        <f>IF($B20=FALSE,"",VALUE(Pressure_2_R1!D15))</f>
        <v/>
      </c>
      <c r="E20" s="251" t="str">
        <f>IF($B20=FALSE,"",표준압력!C25)</f>
        <v/>
      </c>
      <c r="F20" s="251" t="str">
        <f>IF($B20=FALSE,"",Pressure_2_R1!V15)</f>
        <v/>
      </c>
      <c r="G20" s="252" t="str">
        <f>IF($B20=FALSE,"",Pressure_2_R1!W15)</f>
        <v/>
      </c>
      <c r="H20" s="363" t="str">
        <f>IF($B20=FALSE,"",Pressure_2_R1!X15)</f>
        <v/>
      </c>
      <c r="I20" s="365" t="b">
        <f t="shared" si="12"/>
        <v>0</v>
      </c>
      <c r="J20" s="364" t="str">
        <f>IF($B20=FALSE,"",IF(Pressure_2_R1!D147="","기준기값없음",IF(Pressure_2_R1!L147="ok",Pressure_2_R1!D147,"파워선택안함")))</f>
        <v/>
      </c>
      <c r="K20" s="253" t="str">
        <f t="shared" si="6"/>
        <v/>
      </c>
      <c r="L20" s="254" t="str">
        <f t="shared" si="7"/>
        <v/>
      </c>
      <c r="M20" s="366" t="str">
        <f t="shared" si="8"/>
        <v/>
      </c>
      <c r="N20" s="251" t="str">
        <f t="shared" si="13"/>
        <v/>
      </c>
      <c r="O20" s="252" t="str">
        <f t="shared" si="14"/>
        <v/>
      </c>
      <c r="P20" s="252" t="str">
        <f t="shared" si="15"/>
        <v/>
      </c>
      <c r="Q20" s="367" t="str">
        <f t="shared" si="16"/>
        <v/>
      </c>
      <c r="R20" s="245"/>
      <c r="S20" s="255" t="b">
        <f t="shared" si="9"/>
        <v>0</v>
      </c>
      <c r="T20" s="900"/>
      <c r="U20" s="256">
        <v>12</v>
      </c>
      <c r="V20" s="253" t="str">
        <f t="shared" si="17"/>
        <v/>
      </c>
      <c r="W20" s="255" t="str">
        <f t="shared" si="17"/>
        <v/>
      </c>
      <c r="X20" s="255" t="str">
        <f t="shared" si="17"/>
        <v/>
      </c>
      <c r="Y20" s="255" t="str">
        <f t="shared" si="18"/>
        <v/>
      </c>
      <c r="Z20" s="341" t="str">
        <f t="shared" si="10"/>
        <v/>
      </c>
      <c r="AA20" s="253" t="str">
        <f t="shared" si="19"/>
        <v/>
      </c>
      <c r="AB20" s="255" t="str">
        <f t="shared" si="19"/>
        <v/>
      </c>
      <c r="AC20" s="255" t="str">
        <f t="shared" si="19"/>
        <v/>
      </c>
      <c r="AD20" s="255" t="str">
        <f t="shared" si="11"/>
        <v/>
      </c>
      <c r="AF20" s="432" t="s">
        <v>699</v>
      </c>
      <c r="AG20" s="434">
        <f t="shared" si="0"/>
        <v>9.8066499999999994</v>
      </c>
      <c r="AH20" s="434">
        <f t="shared" si="4"/>
        <v>9.8066500000000001E-2</v>
      </c>
      <c r="AI20" s="434">
        <f t="shared" si="1"/>
        <v>9.8066500000000001E-3</v>
      </c>
      <c r="AJ20" s="434">
        <v>9.8066500000000004E-6</v>
      </c>
      <c r="AK20" s="434">
        <f t="shared" si="2"/>
        <v>9.8066499999999994</v>
      </c>
      <c r="AL20" s="434">
        <f t="shared" si="5"/>
        <v>9.8066500000000001E-2</v>
      </c>
      <c r="AM20" s="434">
        <f t="shared" si="3"/>
        <v>9.8066500000000001E-3</v>
      </c>
      <c r="AN20" s="434">
        <v>9.8066500000000004E-6</v>
      </c>
    </row>
    <row r="21" spans="2:40" s="242" customFormat="1" ht="15" customHeight="1">
      <c r="B21" s="249" t="b">
        <f>IF(Pressure_2_R1!A16="",FALSE,TRUE)</f>
        <v>0</v>
      </c>
      <c r="C21" s="250">
        <v>13</v>
      </c>
      <c r="D21" s="256" t="str">
        <f>IF($B21=FALSE,"",VALUE(Pressure_2_R1!D16))</f>
        <v/>
      </c>
      <c r="E21" s="251" t="str">
        <f>IF($B21=FALSE,"",표준압력!C26)</f>
        <v/>
      </c>
      <c r="F21" s="251" t="str">
        <f>IF($B21=FALSE,"",Pressure_2_R1!V16)</f>
        <v/>
      </c>
      <c r="G21" s="252" t="str">
        <f>IF($B21=FALSE,"",Pressure_2_R1!W16)</f>
        <v/>
      </c>
      <c r="H21" s="363" t="str">
        <f>IF($B21=FALSE,"",Pressure_2_R1!X16)</f>
        <v/>
      </c>
      <c r="I21" s="365" t="b">
        <f t="shared" si="12"/>
        <v>0</v>
      </c>
      <c r="J21" s="364" t="str">
        <f>IF($B21=FALSE,"",IF(Pressure_2_R1!D148="","기준기값없음",IF(Pressure_2_R1!L148="ok",Pressure_2_R1!D148,"파워선택안함")))</f>
        <v/>
      </c>
      <c r="K21" s="253" t="str">
        <f t="shared" si="6"/>
        <v/>
      </c>
      <c r="L21" s="254" t="str">
        <f t="shared" si="7"/>
        <v/>
      </c>
      <c r="M21" s="366" t="str">
        <f t="shared" si="8"/>
        <v/>
      </c>
      <c r="N21" s="251" t="str">
        <f t="shared" si="13"/>
        <v/>
      </c>
      <c r="O21" s="252" t="str">
        <f t="shared" si="14"/>
        <v/>
      </c>
      <c r="P21" s="252" t="str">
        <f t="shared" si="15"/>
        <v/>
      </c>
      <c r="Q21" s="367" t="str">
        <f t="shared" si="16"/>
        <v/>
      </c>
      <c r="R21" s="245"/>
      <c r="S21" s="255" t="b">
        <f t="shared" si="9"/>
        <v>0</v>
      </c>
      <c r="T21" s="900"/>
      <c r="U21" s="256">
        <v>13</v>
      </c>
      <c r="V21" s="253" t="str">
        <f t="shared" si="17"/>
        <v/>
      </c>
      <c r="W21" s="255" t="str">
        <f t="shared" si="17"/>
        <v/>
      </c>
      <c r="X21" s="255" t="str">
        <f t="shared" si="17"/>
        <v/>
      </c>
      <c r="Y21" s="255" t="str">
        <f t="shared" si="18"/>
        <v/>
      </c>
      <c r="Z21" s="341" t="str">
        <f t="shared" si="10"/>
        <v/>
      </c>
      <c r="AA21" s="253" t="str">
        <f t="shared" si="19"/>
        <v/>
      </c>
      <c r="AB21" s="255" t="str">
        <f t="shared" si="19"/>
        <v/>
      </c>
      <c r="AC21" s="255" t="str">
        <f t="shared" si="19"/>
        <v/>
      </c>
      <c r="AD21" s="255" t="str">
        <f t="shared" si="11"/>
        <v/>
      </c>
      <c r="AF21" s="432" t="s">
        <v>700</v>
      </c>
      <c r="AG21" s="434">
        <f t="shared" si="0"/>
        <v>98.066500000000005</v>
      </c>
      <c r="AH21" s="434">
        <f t="shared" si="4"/>
        <v>0.98066500000000001</v>
      </c>
      <c r="AI21" s="434">
        <f t="shared" si="1"/>
        <v>9.8066500000000001E-2</v>
      </c>
      <c r="AJ21" s="435">
        <v>9.80665E-5</v>
      </c>
      <c r="AK21" s="434">
        <f t="shared" si="2"/>
        <v>98.066500000000005</v>
      </c>
      <c r="AL21" s="434">
        <f t="shared" si="5"/>
        <v>0.98066500000000001</v>
      </c>
      <c r="AM21" s="434">
        <f t="shared" si="3"/>
        <v>9.8066500000000001E-2</v>
      </c>
      <c r="AN21" s="435">
        <v>9.80665E-5</v>
      </c>
    </row>
    <row r="22" spans="2:40" s="242" customFormat="1" ht="15" customHeight="1">
      <c r="B22" s="249" t="b">
        <f>IF(Pressure_2_R1!A17="",FALSE,TRUE)</f>
        <v>0</v>
      </c>
      <c r="C22" s="250">
        <v>14</v>
      </c>
      <c r="D22" s="256" t="str">
        <f>IF($B22=FALSE,"",VALUE(Pressure_2_R1!D17))</f>
        <v/>
      </c>
      <c r="E22" s="251" t="str">
        <f>IF($B22=FALSE,"",표준압력!C27)</f>
        <v/>
      </c>
      <c r="F22" s="251" t="str">
        <f>IF($B22=FALSE,"",Pressure_2_R1!V17)</f>
        <v/>
      </c>
      <c r="G22" s="252" t="str">
        <f>IF($B22=FALSE,"",Pressure_2_R1!W17)</f>
        <v/>
      </c>
      <c r="H22" s="363" t="str">
        <f>IF($B22=FALSE,"",Pressure_2_R1!X17)</f>
        <v/>
      </c>
      <c r="I22" s="365" t="b">
        <f t="shared" si="12"/>
        <v>0</v>
      </c>
      <c r="J22" s="364" t="str">
        <f>IF($B22=FALSE,"",IF(Pressure_2_R1!D149="","기준기값없음",IF(Pressure_2_R1!L149="ok",Pressure_2_R1!D149,"파워선택안함")))</f>
        <v/>
      </c>
      <c r="K22" s="253" t="str">
        <f t="shared" si="6"/>
        <v/>
      </c>
      <c r="L22" s="254" t="str">
        <f t="shared" si="7"/>
        <v/>
      </c>
      <c r="M22" s="366" t="str">
        <f t="shared" si="8"/>
        <v/>
      </c>
      <c r="N22" s="251" t="str">
        <f t="shared" si="13"/>
        <v/>
      </c>
      <c r="O22" s="252" t="str">
        <f t="shared" si="14"/>
        <v/>
      </c>
      <c r="P22" s="252" t="str">
        <f t="shared" si="15"/>
        <v/>
      </c>
      <c r="Q22" s="367" t="str">
        <f t="shared" si="16"/>
        <v/>
      </c>
      <c r="R22" s="245"/>
      <c r="S22" s="255" t="b">
        <f t="shared" si="9"/>
        <v>0</v>
      </c>
      <c r="T22" s="900"/>
      <c r="U22" s="256">
        <v>14</v>
      </c>
      <c r="V22" s="253" t="str">
        <f t="shared" si="17"/>
        <v/>
      </c>
      <c r="W22" s="255" t="str">
        <f t="shared" si="17"/>
        <v/>
      </c>
      <c r="X22" s="255" t="str">
        <f t="shared" si="17"/>
        <v/>
      </c>
      <c r="Y22" s="255" t="str">
        <f t="shared" si="18"/>
        <v/>
      </c>
      <c r="Z22" s="341" t="str">
        <f t="shared" si="10"/>
        <v/>
      </c>
      <c r="AA22" s="253" t="str">
        <f t="shared" si="19"/>
        <v/>
      </c>
      <c r="AB22" s="255" t="str">
        <f t="shared" si="19"/>
        <v/>
      </c>
      <c r="AC22" s="255" t="str">
        <f t="shared" si="19"/>
        <v/>
      </c>
      <c r="AD22" s="255" t="str">
        <f t="shared" si="11"/>
        <v/>
      </c>
      <c r="AF22" s="432" t="s">
        <v>701</v>
      </c>
      <c r="AG22" s="434">
        <v>10000</v>
      </c>
      <c r="AH22" s="434">
        <f t="shared" si="4"/>
        <v>100</v>
      </c>
      <c r="AI22" s="434">
        <v>10</v>
      </c>
      <c r="AJ22" s="435">
        <v>0.01</v>
      </c>
      <c r="AK22" s="434">
        <v>10000</v>
      </c>
      <c r="AL22" s="434">
        <f t="shared" si="5"/>
        <v>100</v>
      </c>
      <c r="AM22" s="434">
        <v>10</v>
      </c>
      <c r="AN22" s="435">
        <v>0.01</v>
      </c>
    </row>
    <row r="23" spans="2:40" s="242" customFormat="1" ht="15" customHeight="1">
      <c r="B23" s="249" t="b">
        <f>IF(Pressure_2_R1!A18="",FALSE,TRUE)</f>
        <v>0</v>
      </c>
      <c r="C23" s="250">
        <v>15</v>
      </c>
      <c r="D23" s="256" t="str">
        <f>IF($B23=FALSE,"",VALUE(Pressure_2_R1!D18))</f>
        <v/>
      </c>
      <c r="E23" s="251" t="str">
        <f>IF($B23=FALSE,"",표준압력!C28)</f>
        <v/>
      </c>
      <c r="F23" s="251" t="str">
        <f>IF($B23=FALSE,"",Pressure_2_R1!V18)</f>
        <v/>
      </c>
      <c r="G23" s="252" t="str">
        <f>IF($B23=FALSE,"",Pressure_2_R1!W18)</f>
        <v/>
      </c>
      <c r="H23" s="363" t="str">
        <f>IF($B23=FALSE,"",Pressure_2_R1!X18)</f>
        <v/>
      </c>
      <c r="I23" s="365" t="b">
        <f t="shared" si="12"/>
        <v>0</v>
      </c>
      <c r="J23" s="364" t="str">
        <f>IF($B23=FALSE,"",IF(Pressure_2_R1!D150="","기준기값없음",IF(Pressure_2_R1!L150="ok",Pressure_2_R1!D150,"파워선택안함")))</f>
        <v/>
      </c>
      <c r="K23" s="253" t="str">
        <f t="shared" si="6"/>
        <v/>
      </c>
      <c r="L23" s="254" t="str">
        <f t="shared" si="7"/>
        <v/>
      </c>
      <c r="M23" s="366" t="str">
        <f t="shared" si="8"/>
        <v/>
      </c>
      <c r="N23" s="251" t="str">
        <f t="shared" si="13"/>
        <v/>
      </c>
      <c r="O23" s="252" t="str">
        <f t="shared" si="14"/>
        <v/>
      </c>
      <c r="P23" s="252" t="str">
        <f t="shared" si="15"/>
        <v/>
      </c>
      <c r="Q23" s="367" t="str">
        <f t="shared" si="16"/>
        <v/>
      </c>
      <c r="R23" s="245"/>
      <c r="S23" s="255" t="b">
        <f t="shared" si="9"/>
        <v>0</v>
      </c>
      <c r="T23" s="901"/>
      <c r="U23" s="256">
        <v>15</v>
      </c>
      <c r="V23" s="253" t="str">
        <f t="shared" si="17"/>
        <v/>
      </c>
      <c r="W23" s="255" t="str">
        <f t="shared" si="17"/>
        <v/>
      </c>
      <c r="X23" s="255" t="str">
        <f t="shared" si="17"/>
        <v/>
      </c>
      <c r="Y23" s="255" t="str">
        <f t="shared" si="18"/>
        <v/>
      </c>
      <c r="Z23" s="341" t="str">
        <f t="shared" si="10"/>
        <v/>
      </c>
      <c r="AA23" s="253" t="str">
        <f t="shared" si="19"/>
        <v/>
      </c>
      <c r="AB23" s="255" t="str">
        <f t="shared" si="19"/>
        <v/>
      </c>
      <c r="AC23" s="255" t="str">
        <f t="shared" si="19"/>
        <v/>
      </c>
      <c r="AD23" s="255" t="str">
        <f t="shared" si="11"/>
        <v/>
      </c>
      <c r="AF23" s="432" t="s">
        <v>702</v>
      </c>
      <c r="AG23" s="434">
        <f t="shared" ref="AG23:AG30" si="20">AI23*1000</f>
        <v>1</v>
      </c>
      <c r="AH23" s="434">
        <f t="shared" si="4"/>
        <v>0.01</v>
      </c>
      <c r="AI23" s="434">
        <f t="shared" ref="AI23:AI30" si="21">AJ23*1000</f>
        <v>1E-3</v>
      </c>
      <c r="AJ23" s="434">
        <v>9.9999999999999995E-7</v>
      </c>
      <c r="AK23" s="434">
        <f t="shared" ref="AK23:AK30" si="22">AM23*1000</f>
        <v>1</v>
      </c>
      <c r="AL23" s="434">
        <f t="shared" si="5"/>
        <v>0.01</v>
      </c>
      <c r="AM23" s="434">
        <f t="shared" ref="AM23:AM30" si="23">AN23*1000</f>
        <v>1E-3</v>
      </c>
      <c r="AN23" s="434">
        <v>9.9999999999999995E-7</v>
      </c>
    </row>
    <row r="24" spans="2:40" s="242" customFormat="1" ht="15" customHeight="1">
      <c r="B24" s="249" t="b">
        <f>IF(Pressure_2_R1!A19="",FALSE,TRUE)</f>
        <v>0</v>
      </c>
      <c r="C24" s="250">
        <v>16</v>
      </c>
      <c r="D24" s="256" t="str">
        <f>IF($B24=FALSE,"",VALUE(Pressure_2_R1!D19))</f>
        <v/>
      </c>
      <c r="E24" s="251" t="str">
        <f>IF($B24=FALSE,"",표준압력!C29)</f>
        <v/>
      </c>
      <c r="F24" s="251" t="str">
        <f>IF($B24=FALSE,"",Pressure_2_R1!V19)</f>
        <v/>
      </c>
      <c r="G24" s="252" t="str">
        <f>IF($B24=FALSE,"",Pressure_2_R1!W19)</f>
        <v/>
      </c>
      <c r="H24" s="363" t="str">
        <f>IF($B24=FALSE,"",Pressure_2_R1!X19)</f>
        <v/>
      </c>
      <c r="I24" s="365" t="b">
        <f t="shared" si="12"/>
        <v>0</v>
      </c>
      <c r="J24" s="364" t="str">
        <f>IF($B24=FALSE,"",IF(Pressure_2_R1!D151="","기준기값없음",IF(Pressure_2_R1!L151="ok",Pressure_2_R1!D151,"파워선택안함")))</f>
        <v/>
      </c>
      <c r="K24" s="253" t="str">
        <f t="shared" si="6"/>
        <v/>
      </c>
      <c r="L24" s="254" t="str">
        <f t="shared" si="7"/>
        <v/>
      </c>
      <c r="M24" s="366" t="str">
        <f t="shared" si="8"/>
        <v/>
      </c>
      <c r="N24" s="251" t="str">
        <f t="shared" si="13"/>
        <v/>
      </c>
      <c r="O24" s="252" t="str">
        <f t="shared" si="14"/>
        <v/>
      </c>
      <c r="P24" s="252" t="str">
        <f t="shared" si="15"/>
        <v/>
      </c>
      <c r="Q24" s="367" t="str">
        <f t="shared" si="16"/>
        <v/>
      </c>
      <c r="R24" s="245"/>
      <c r="S24" s="255" t="b">
        <f t="shared" si="9"/>
        <v>0</v>
      </c>
      <c r="T24" s="899" t="s">
        <v>357</v>
      </c>
      <c r="U24" s="256">
        <v>1</v>
      </c>
      <c r="V24" s="253" t="str">
        <f t="shared" ref="V24:V38" ca="1" si="24">IF($S24=FALSE,"",OFFSET(K$8,$C$3*2-($U24-1),0))</f>
        <v/>
      </c>
      <c r="W24" s="255" t="str">
        <f t="shared" ref="W24:W38" ca="1" si="25">IF($S24=FALSE,"",OFFSET(L$8,$C$3*2-($U24-1),0))</f>
        <v/>
      </c>
      <c r="X24" s="255" t="str">
        <f t="shared" ref="X24:X38" ca="1" si="26">IF($S24=FALSE,"",OFFSET(M$8,$C$3*2-($U24-1),0))</f>
        <v/>
      </c>
      <c r="Y24" s="255" t="str">
        <f t="shared" si="18"/>
        <v/>
      </c>
      <c r="Z24" s="341" t="str">
        <f t="shared" si="10"/>
        <v/>
      </c>
      <c r="AA24" s="253" t="str">
        <f t="shared" si="19"/>
        <v/>
      </c>
      <c r="AB24" s="255" t="str">
        <f t="shared" si="19"/>
        <v/>
      </c>
      <c r="AC24" s="255" t="str">
        <f t="shared" si="19"/>
        <v/>
      </c>
      <c r="AD24" s="255" t="str">
        <f t="shared" si="11"/>
        <v/>
      </c>
      <c r="AF24" s="432" t="s">
        <v>703</v>
      </c>
      <c r="AG24" s="434">
        <f t="shared" si="20"/>
        <v>100</v>
      </c>
      <c r="AH24" s="434">
        <f t="shared" si="4"/>
        <v>1</v>
      </c>
      <c r="AI24" s="434">
        <f t="shared" si="21"/>
        <v>0.1</v>
      </c>
      <c r="AJ24" s="434">
        <v>1E-4</v>
      </c>
      <c r="AK24" s="434">
        <f t="shared" si="22"/>
        <v>100</v>
      </c>
      <c r="AL24" s="434">
        <f t="shared" si="5"/>
        <v>1</v>
      </c>
      <c r="AM24" s="434">
        <f t="shared" si="23"/>
        <v>0.1</v>
      </c>
      <c r="AN24" s="434">
        <v>1E-4</v>
      </c>
    </row>
    <row r="25" spans="2:40" s="242" customFormat="1" ht="15" customHeight="1">
      <c r="B25" s="249" t="b">
        <f>IF(Pressure_2_R1!A20="",FALSE,TRUE)</f>
        <v>0</v>
      </c>
      <c r="C25" s="250">
        <v>17</v>
      </c>
      <c r="D25" s="256" t="str">
        <f>IF($B25=FALSE,"",VALUE(Pressure_2_R1!D20))</f>
        <v/>
      </c>
      <c r="E25" s="251" t="str">
        <f>IF($B25=FALSE,"",표준압력!C30)</f>
        <v/>
      </c>
      <c r="F25" s="251" t="str">
        <f>IF($B25=FALSE,"",Pressure_2_R1!V20)</f>
        <v/>
      </c>
      <c r="G25" s="252" t="str">
        <f>IF($B25=FALSE,"",Pressure_2_R1!W20)</f>
        <v/>
      </c>
      <c r="H25" s="363" t="str">
        <f>IF($B25=FALSE,"",Pressure_2_R1!X20)</f>
        <v/>
      </c>
      <c r="I25" s="365" t="b">
        <f t="shared" si="12"/>
        <v>0</v>
      </c>
      <c r="J25" s="364" t="str">
        <f>IF($B25=FALSE,"",IF(Pressure_2_R1!D152="","기준기값없음",IF(Pressure_2_R1!L152="ok",Pressure_2_R1!D152,"파워선택안함")))</f>
        <v/>
      </c>
      <c r="K25" s="253" t="str">
        <f t="shared" si="6"/>
        <v/>
      </c>
      <c r="L25" s="254" t="str">
        <f t="shared" si="7"/>
        <v/>
      </c>
      <c r="M25" s="366" t="str">
        <f t="shared" si="8"/>
        <v/>
      </c>
      <c r="N25" s="251" t="str">
        <f t="shared" si="13"/>
        <v/>
      </c>
      <c r="O25" s="252" t="str">
        <f t="shared" si="14"/>
        <v/>
      </c>
      <c r="P25" s="252" t="str">
        <f t="shared" si="15"/>
        <v/>
      </c>
      <c r="Q25" s="367" t="str">
        <f t="shared" si="16"/>
        <v/>
      </c>
      <c r="R25" s="245"/>
      <c r="S25" s="255" t="b">
        <f t="shared" si="9"/>
        <v>0</v>
      </c>
      <c r="T25" s="900"/>
      <c r="U25" s="256">
        <v>2</v>
      </c>
      <c r="V25" s="253" t="str">
        <f t="shared" ca="1" si="24"/>
        <v/>
      </c>
      <c r="W25" s="255" t="str">
        <f t="shared" ca="1" si="25"/>
        <v/>
      </c>
      <c r="X25" s="255" t="str">
        <f t="shared" ca="1" si="26"/>
        <v/>
      </c>
      <c r="Y25" s="255" t="str">
        <f t="shared" si="18"/>
        <v/>
      </c>
      <c r="Z25" s="341" t="str">
        <f t="shared" si="10"/>
        <v/>
      </c>
      <c r="AA25" s="253" t="str">
        <f t="shared" si="19"/>
        <v/>
      </c>
      <c r="AB25" s="255" t="str">
        <f t="shared" si="19"/>
        <v/>
      </c>
      <c r="AC25" s="255" t="str">
        <f t="shared" si="19"/>
        <v/>
      </c>
      <c r="AD25" s="255" t="str">
        <f t="shared" si="11"/>
        <v/>
      </c>
      <c r="AF25" s="432" t="s">
        <v>704</v>
      </c>
      <c r="AG25" s="434">
        <f t="shared" si="20"/>
        <v>1000</v>
      </c>
      <c r="AH25" s="434">
        <f t="shared" si="4"/>
        <v>10</v>
      </c>
      <c r="AI25" s="434">
        <f t="shared" si="21"/>
        <v>1</v>
      </c>
      <c r="AJ25" s="434">
        <v>1E-3</v>
      </c>
      <c r="AK25" s="434">
        <f t="shared" si="22"/>
        <v>1000</v>
      </c>
      <c r="AL25" s="434">
        <f t="shared" si="5"/>
        <v>10</v>
      </c>
      <c r="AM25" s="434">
        <f t="shared" si="23"/>
        <v>1</v>
      </c>
      <c r="AN25" s="434">
        <v>1E-3</v>
      </c>
    </row>
    <row r="26" spans="2:40" s="242" customFormat="1" ht="15" customHeight="1">
      <c r="B26" s="249" t="b">
        <f>IF(Pressure_2_R1!A21="",FALSE,TRUE)</f>
        <v>0</v>
      </c>
      <c r="C26" s="250">
        <v>18</v>
      </c>
      <c r="D26" s="256" t="str">
        <f>IF($B26=FALSE,"",VALUE(Pressure_2_R1!D21))</f>
        <v/>
      </c>
      <c r="E26" s="251" t="str">
        <f>IF($B26=FALSE,"",표준압력!C31)</f>
        <v/>
      </c>
      <c r="F26" s="251" t="str">
        <f>IF($B26=FALSE,"",Pressure_2_R1!V21)</f>
        <v/>
      </c>
      <c r="G26" s="252" t="str">
        <f>IF($B26=FALSE,"",Pressure_2_R1!W21)</f>
        <v/>
      </c>
      <c r="H26" s="363" t="str">
        <f>IF($B26=FALSE,"",Pressure_2_R1!X21)</f>
        <v/>
      </c>
      <c r="I26" s="365" t="b">
        <f t="shared" si="12"/>
        <v>0</v>
      </c>
      <c r="J26" s="364" t="str">
        <f>IF($B26=FALSE,"",IF(Pressure_2_R1!D153="","기준기값없음",IF(Pressure_2_R1!L153="ok",Pressure_2_R1!D153,"파워선택안함")))</f>
        <v/>
      </c>
      <c r="K26" s="253" t="str">
        <f t="shared" si="6"/>
        <v/>
      </c>
      <c r="L26" s="254" t="str">
        <f t="shared" si="7"/>
        <v/>
      </c>
      <c r="M26" s="366" t="str">
        <f t="shared" si="8"/>
        <v/>
      </c>
      <c r="N26" s="251" t="str">
        <f t="shared" si="13"/>
        <v/>
      </c>
      <c r="O26" s="252" t="str">
        <f t="shared" si="14"/>
        <v/>
      </c>
      <c r="P26" s="252" t="str">
        <f t="shared" si="15"/>
        <v/>
      </c>
      <c r="Q26" s="367" t="str">
        <f t="shared" si="16"/>
        <v/>
      </c>
      <c r="R26" s="245"/>
      <c r="S26" s="255" t="b">
        <f t="shared" si="9"/>
        <v>0</v>
      </c>
      <c r="T26" s="900"/>
      <c r="U26" s="256">
        <v>3</v>
      </c>
      <c r="V26" s="253" t="str">
        <f t="shared" ca="1" si="24"/>
        <v/>
      </c>
      <c r="W26" s="255" t="str">
        <f t="shared" ca="1" si="25"/>
        <v/>
      </c>
      <c r="X26" s="255" t="str">
        <f t="shared" ca="1" si="26"/>
        <v/>
      </c>
      <c r="Y26" s="255" t="str">
        <f t="shared" si="18"/>
        <v/>
      </c>
      <c r="Z26" s="341" t="str">
        <f t="shared" si="10"/>
        <v/>
      </c>
      <c r="AA26" s="253" t="str">
        <f t="shared" si="19"/>
        <v/>
      </c>
      <c r="AB26" s="255" t="str">
        <f t="shared" si="19"/>
        <v/>
      </c>
      <c r="AC26" s="255" t="str">
        <f t="shared" si="19"/>
        <v/>
      </c>
      <c r="AD26" s="255" t="str">
        <f t="shared" si="11"/>
        <v/>
      </c>
      <c r="AF26" s="432" t="s">
        <v>705</v>
      </c>
      <c r="AG26" s="434">
        <f t="shared" si="20"/>
        <v>1000000</v>
      </c>
      <c r="AH26" s="434">
        <f t="shared" si="4"/>
        <v>10000</v>
      </c>
      <c r="AI26" s="434">
        <f t="shared" si="21"/>
        <v>1000</v>
      </c>
      <c r="AJ26" s="434">
        <v>1</v>
      </c>
      <c r="AK26" s="434">
        <f t="shared" si="22"/>
        <v>1000000</v>
      </c>
      <c r="AL26" s="434">
        <f t="shared" si="5"/>
        <v>10000</v>
      </c>
      <c r="AM26" s="434">
        <f t="shared" si="23"/>
        <v>1000</v>
      </c>
      <c r="AN26" s="434">
        <v>1</v>
      </c>
    </row>
    <row r="27" spans="2:40" s="242" customFormat="1" ht="15" customHeight="1">
      <c r="B27" s="249" t="b">
        <f>IF(Pressure_2_R1!A22="",FALSE,TRUE)</f>
        <v>0</v>
      </c>
      <c r="C27" s="250">
        <v>19</v>
      </c>
      <c r="D27" s="256" t="str">
        <f>IF($B27=FALSE,"",VALUE(Pressure_2_R1!D22))</f>
        <v/>
      </c>
      <c r="E27" s="251" t="str">
        <f>IF($B27=FALSE,"",표준압력!C32)</f>
        <v/>
      </c>
      <c r="F27" s="251" t="str">
        <f>IF($B27=FALSE,"",Pressure_2_R1!V22)</f>
        <v/>
      </c>
      <c r="G27" s="252" t="str">
        <f>IF($B27=FALSE,"",Pressure_2_R1!W22)</f>
        <v/>
      </c>
      <c r="H27" s="363" t="str">
        <f>IF($B27=FALSE,"",Pressure_2_R1!X22)</f>
        <v/>
      </c>
      <c r="I27" s="365" t="b">
        <f t="shared" si="12"/>
        <v>0</v>
      </c>
      <c r="J27" s="364" t="str">
        <f>IF($B27=FALSE,"",IF(Pressure_2_R1!D154="","기준기값없음",IF(Pressure_2_R1!L154="ok",Pressure_2_R1!D154,"파워선택안함")))</f>
        <v/>
      </c>
      <c r="K27" s="253" t="str">
        <f t="shared" si="6"/>
        <v/>
      </c>
      <c r="L27" s="254" t="str">
        <f t="shared" si="7"/>
        <v/>
      </c>
      <c r="M27" s="366" t="str">
        <f t="shared" si="8"/>
        <v/>
      </c>
      <c r="N27" s="251" t="str">
        <f t="shared" si="13"/>
        <v/>
      </c>
      <c r="O27" s="252" t="str">
        <f t="shared" si="14"/>
        <v/>
      </c>
      <c r="P27" s="252" t="str">
        <f t="shared" si="15"/>
        <v/>
      </c>
      <c r="Q27" s="367" t="str">
        <f t="shared" si="16"/>
        <v/>
      </c>
      <c r="R27" s="245"/>
      <c r="S27" s="255" t="b">
        <f t="shared" si="9"/>
        <v>0</v>
      </c>
      <c r="T27" s="900"/>
      <c r="U27" s="256">
        <v>4</v>
      </c>
      <c r="V27" s="253" t="str">
        <f t="shared" ca="1" si="24"/>
        <v/>
      </c>
      <c r="W27" s="255" t="str">
        <f t="shared" ca="1" si="25"/>
        <v/>
      </c>
      <c r="X27" s="255" t="str">
        <f t="shared" ca="1" si="26"/>
        <v/>
      </c>
      <c r="Y27" s="255" t="str">
        <f t="shared" si="18"/>
        <v/>
      </c>
      <c r="Z27" s="341" t="str">
        <f t="shared" si="10"/>
        <v/>
      </c>
      <c r="AA27" s="253" t="str">
        <f t="shared" si="19"/>
        <v/>
      </c>
      <c r="AB27" s="255" t="str">
        <f t="shared" si="19"/>
        <v/>
      </c>
      <c r="AC27" s="255" t="str">
        <f t="shared" si="19"/>
        <v/>
      </c>
      <c r="AD27" s="255" t="str">
        <f t="shared" si="11"/>
        <v/>
      </c>
      <c r="AF27" s="432" t="s">
        <v>706</v>
      </c>
      <c r="AG27" s="434">
        <f t="shared" si="20"/>
        <v>100</v>
      </c>
      <c r="AH27" s="434">
        <f t="shared" si="4"/>
        <v>1</v>
      </c>
      <c r="AI27" s="434">
        <f t="shared" si="21"/>
        <v>0.1</v>
      </c>
      <c r="AJ27" s="434">
        <v>1E-4</v>
      </c>
      <c r="AK27" s="434">
        <f t="shared" si="22"/>
        <v>100</v>
      </c>
      <c r="AL27" s="434">
        <f t="shared" si="5"/>
        <v>1</v>
      </c>
      <c r="AM27" s="434">
        <f t="shared" si="23"/>
        <v>0.1</v>
      </c>
      <c r="AN27" s="434">
        <v>1E-4</v>
      </c>
    </row>
    <row r="28" spans="2:40" s="242" customFormat="1" ht="15" customHeight="1">
      <c r="B28" s="249" t="b">
        <f>IF(Pressure_2_R1!A23="",FALSE,TRUE)</f>
        <v>0</v>
      </c>
      <c r="C28" s="250">
        <v>20</v>
      </c>
      <c r="D28" s="256" t="str">
        <f>IF($B28=FALSE,"",VALUE(Pressure_2_R1!D23))</f>
        <v/>
      </c>
      <c r="E28" s="251" t="str">
        <f>IF($B28=FALSE,"",표준압력!C33)</f>
        <v/>
      </c>
      <c r="F28" s="251" t="str">
        <f>IF($B28=FALSE,"",Pressure_2_R1!V23)</f>
        <v/>
      </c>
      <c r="G28" s="252" t="str">
        <f>IF($B28=FALSE,"",Pressure_2_R1!W23)</f>
        <v/>
      </c>
      <c r="H28" s="363" t="str">
        <f>IF($B28=FALSE,"",Pressure_2_R1!X23)</f>
        <v/>
      </c>
      <c r="I28" s="365" t="b">
        <f t="shared" si="12"/>
        <v>0</v>
      </c>
      <c r="J28" s="364" t="str">
        <f>IF($B28=FALSE,"",IF(Pressure_2_R1!D155="","기준기값없음",IF(Pressure_2_R1!L155="ok",Pressure_2_R1!D155,"파워선택안함")))</f>
        <v/>
      </c>
      <c r="K28" s="253" t="str">
        <f t="shared" si="6"/>
        <v/>
      </c>
      <c r="L28" s="254" t="str">
        <f t="shared" si="7"/>
        <v/>
      </c>
      <c r="M28" s="366" t="str">
        <f t="shared" si="8"/>
        <v/>
      </c>
      <c r="N28" s="251" t="str">
        <f t="shared" si="13"/>
        <v/>
      </c>
      <c r="O28" s="252" t="str">
        <f t="shared" si="14"/>
        <v/>
      </c>
      <c r="P28" s="252" t="str">
        <f t="shared" si="15"/>
        <v/>
      </c>
      <c r="Q28" s="367" t="str">
        <f t="shared" si="16"/>
        <v/>
      </c>
      <c r="R28" s="245"/>
      <c r="S28" s="255" t="b">
        <f t="shared" si="9"/>
        <v>0</v>
      </c>
      <c r="T28" s="900"/>
      <c r="U28" s="256">
        <v>5</v>
      </c>
      <c r="V28" s="253" t="str">
        <f t="shared" ca="1" si="24"/>
        <v/>
      </c>
      <c r="W28" s="255" t="str">
        <f t="shared" ca="1" si="25"/>
        <v/>
      </c>
      <c r="X28" s="255" t="str">
        <f t="shared" ca="1" si="26"/>
        <v/>
      </c>
      <c r="Y28" s="255" t="str">
        <f t="shared" si="18"/>
        <v/>
      </c>
      <c r="Z28" s="341" t="str">
        <f t="shared" si="10"/>
        <v/>
      </c>
      <c r="AA28" s="253" t="str">
        <f t="shared" si="19"/>
        <v/>
      </c>
      <c r="AB28" s="255" t="str">
        <f t="shared" si="19"/>
        <v/>
      </c>
      <c r="AC28" s="255" t="str">
        <f t="shared" si="19"/>
        <v/>
      </c>
      <c r="AD28" s="255" t="str">
        <f t="shared" si="11"/>
        <v/>
      </c>
      <c r="AF28" s="432" t="s">
        <v>707</v>
      </c>
      <c r="AG28" s="434">
        <f t="shared" si="20"/>
        <v>100000</v>
      </c>
      <c r="AH28" s="434">
        <f t="shared" si="4"/>
        <v>1000</v>
      </c>
      <c r="AI28" s="434">
        <f t="shared" si="21"/>
        <v>100</v>
      </c>
      <c r="AJ28" s="434">
        <v>0.1</v>
      </c>
      <c r="AK28" s="434">
        <f t="shared" si="22"/>
        <v>100000</v>
      </c>
      <c r="AL28" s="434">
        <f t="shared" si="5"/>
        <v>1000</v>
      </c>
      <c r="AM28" s="434">
        <f t="shared" si="23"/>
        <v>100</v>
      </c>
      <c r="AN28" s="434">
        <v>0.1</v>
      </c>
    </row>
    <row r="29" spans="2:40" s="242" customFormat="1" ht="15" customHeight="1">
      <c r="B29" s="249" t="b">
        <f>IF(Pressure_2_R1!A24="",FALSE,TRUE)</f>
        <v>0</v>
      </c>
      <c r="C29" s="250">
        <v>21</v>
      </c>
      <c r="D29" s="256" t="str">
        <f>IF($B29=FALSE,"",VALUE(Pressure_2_R1!D24))</f>
        <v/>
      </c>
      <c r="E29" s="251" t="str">
        <f>IF($B29=FALSE,"",표준압력!C34)</f>
        <v/>
      </c>
      <c r="F29" s="251" t="str">
        <f>IF($B29=FALSE,"",Pressure_2_R1!V24)</f>
        <v/>
      </c>
      <c r="G29" s="252" t="str">
        <f>IF($B29=FALSE,"",Pressure_2_R1!W24)</f>
        <v/>
      </c>
      <c r="H29" s="363" t="str">
        <f>IF($B29=FALSE,"",Pressure_2_R1!X24)</f>
        <v/>
      </c>
      <c r="I29" s="365" t="b">
        <f t="shared" si="12"/>
        <v>0</v>
      </c>
      <c r="J29" s="364" t="str">
        <f>IF($B29=FALSE,"",IF(Pressure_2_R1!D156="","기준기값없음",IF(Pressure_2_R1!L156="ok",Pressure_2_R1!D156,"파워선택안함")))</f>
        <v/>
      </c>
      <c r="K29" s="253" t="str">
        <f t="shared" si="6"/>
        <v/>
      </c>
      <c r="L29" s="254" t="str">
        <f t="shared" si="7"/>
        <v/>
      </c>
      <c r="M29" s="366" t="str">
        <f t="shared" si="8"/>
        <v/>
      </c>
      <c r="N29" s="251" t="str">
        <f t="shared" si="13"/>
        <v/>
      </c>
      <c r="O29" s="252" t="str">
        <f t="shared" si="14"/>
        <v/>
      </c>
      <c r="P29" s="252" t="str">
        <f t="shared" si="15"/>
        <v/>
      </c>
      <c r="Q29" s="367" t="str">
        <f t="shared" si="16"/>
        <v/>
      </c>
      <c r="R29" s="245"/>
      <c r="S29" s="255" t="b">
        <f t="shared" si="9"/>
        <v>0</v>
      </c>
      <c r="T29" s="900"/>
      <c r="U29" s="256">
        <v>6</v>
      </c>
      <c r="V29" s="253" t="str">
        <f t="shared" ca="1" si="24"/>
        <v/>
      </c>
      <c r="W29" s="255" t="str">
        <f t="shared" ca="1" si="25"/>
        <v/>
      </c>
      <c r="X29" s="255" t="str">
        <f t="shared" ca="1" si="26"/>
        <v/>
      </c>
      <c r="Y29" s="255" t="str">
        <f t="shared" si="18"/>
        <v/>
      </c>
      <c r="Z29" s="341" t="str">
        <f t="shared" si="10"/>
        <v/>
      </c>
      <c r="AA29" s="253" t="str">
        <f t="shared" si="19"/>
        <v/>
      </c>
      <c r="AB29" s="255" t="str">
        <f t="shared" si="19"/>
        <v/>
      </c>
      <c r="AC29" s="255" t="str">
        <f t="shared" si="19"/>
        <v/>
      </c>
      <c r="AD29" s="255" t="str">
        <f t="shared" si="11"/>
        <v/>
      </c>
      <c r="AF29" s="432" t="s">
        <v>708</v>
      </c>
      <c r="AG29" s="434">
        <f t="shared" si="20"/>
        <v>6894.7569999999996</v>
      </c>
      <c r="AH29" s="434">
        <f t="shared" si="4"/>
        <v>68.947569999999999</v>
      </c>
      <c r="AI29" s="434">
        <f t="shared" si="21"/>
        <v>6.8947569999999994</v>
      </c>
      <c r="AJ29" s="434">
        <v>6.8947569999999996E-3</v>
      </c>
      <c r="AK29" s="434">
        <f t="shared" si="22"/>
        <v>6894.7569999999996</v>
      </c>
      <c r="AL29" s="434">
        <f t="shared" si="5"/>
        <v>68.947569999999999</v>
      </c>
      <c r="AM29" s="434">
        <f t="shared" si="23"/>
        <v>6.8947569999999994</v>
      </c>
      <c r="AN29" s="434">
        <v>6.8947569999999996E-3</v>
      </c>
    </row>
    <row r="30" spans="2:40" s="242" customFormat="1" ht="15" customHeight="1">
      <c r="B30" s="249" t="b">
        <f>IF(Pressure_2_R1!A25="",FALSE,TRUE)</f>
        <v>0</v>
      </c>
      <c r="C30" s="250">
        <v>22</v>
      </c>
      <c r="D30" s="256" t="str">
        <f>IF($B30=FALSE,"",VALUE(Pressure_2_R1!D25))</f>
        <v/>
      </c>
      <c r="E30" s="251" t="str">
        <f>IF($B30=FALSE,"",표준압력!C35)</f>
        <v/>
      </c>
      <c r="F30" s="251" t="str">
        <f>IF($B30=FALSE,"",Pressure_2_R1!V25)</f>
        <v/>
      </c>
      <c r="G30" s="252" t="str">
        <f>IF($B30=FALSE,"",Pressure_2_R1!W25)</f>
        <v/>
      </c>
      <c r="H30" s="363" t="str">
        <f>IF($B30=FALSE,"",Pressure_2_R1!X25)</f>
        <v/>
      </c>
      <c r="I30" s="365" t="b">
        <f t="shared" si="12"/>
        <v>0</v>
      </c>
      <c r="J30" s="364" t="str">
        <f>IF($B30=FALSE,"",IF(Pressure_2_R1!D157="","기준기값없음",IF(Pressure_2_R1!L157="ok",Pressure_2_R1!D157,"파워선택안함")))</f>
        <v/>
      </c>
      <c r="K30" s="253" t="str">
        <f t="shared" si="6"/>
        <v/>
      </c>
      <c r="L30" s="254" t="str">
        <f t="shared" si="7"/>
        <v/>
      </c>
      <c r="M30" s="366" t="str">
        <f t="shared" si="8"/>
        <v/>
      </c>
      <c r="N30" s="251" t="str">
        <f t="shared" si="13"/>
        <v/>
      </c>
      <c r="O30" s="252" t="str">
        <f t="shared" si="14"/>
        <v/>
      </c>
      <c r="P30" s="252" t="str">
        <f t="shared" si="15"/>
        <v/>
      </c>
      <c r="Q30" s="367" t="str">
        <f t="shared" si="16"/>
        <v/>
      </c>
      <c r="R30" s="245"/>
      <c r="S30" s="255" t="b">
        <f t="shared" si="9"/>
        <v>0</v>
      </c>
      <c r="T30" s="900"/>
      <c r="U30" s="256">
        <v>7</v>
      </c>
      <c r="V30" s="253" t="str">
        <f t="shared" ca="1" si="24"/>
        <v/>
      </c>
      <c r="W30" s="255" t="str">
        <f t="shared" ca="1" si="25"/>
        <v/>
      </c>
      <c r="X30" s="255" t="str">
        <f t="shared" ca="1" si="26"/>
        <v/>
      </c>
      <c r="Y30" s="255" t="str">
        <f t="shared" si="18"/>
        <v/>
      </c>
      <c r="Z30" s="341" t="str">
        <f t="shared" si="10"/>
        <v/>
      </c>
      <c r="AA30" s="253" t="str">
        <f t="shared" si="19"/>
        <v/>
      </c>
      <c r="AB30" s="255" t="str">
        <f t="shared" si="19"/>
        <v/>
      </c>
      <c r="AC30" s="255" t="str">
        <f t="shared" si="19"/>
        <v/>
      </c>
      <c r="AD30" s="255" t="str">
        <f t="shared" si="11"/>
        <v/>
      </c>
      <c r="AF30" s="432" t="s">
        <v>710</v>
      </c>
      <c r="AG30" s="434">
        <f t="shared" si="20"/>
        <v>98066.5</v>
      </c>
      <c r="AH30" s="434">
        <f t="shared" ref="AH30" si="27">AI30*10</f>
        <v>980.66500000000008</v>
      </c>
      <c r="AI30" s="434">
        <f t="shared" si="21"/>
        <v>98.066500000000005</v>
      </c>
      <c r="AJ30" s="434">
        <v>9.8066500000000001E-2</v>
      </c>
      <c r="AK30" s="434">
        <f t="shared" si="22"/>
        <v>98066.5</v>
      </c>
      <c r="AL30" s="434">
        <f t="shared" ref="AL30" si="28">AM30*10</f>
        <v>980.66500000000008</v>
      </c>
      <c r="AM30" s="434">
        <f t="shared" si="23"/>
        <v>98.066500000000005</v>
      </c>
      <c r="AN30" s="434">
        <v>9.8066500000000001E-2</v>
      </c>
    </row>
    <row r="31" spans="2:40" s="242" customFormat="1" ht="15" customHeight="1">
      <c r="B31" s="249" t="b">
        <f>IF(Pressure_2_R1!A26="",FALSE,TRUE)</f>
        <v>0</v>
      </c>
      <c r="C31" s="250">
        <v>23</v>
      </c>
      <c r="D31" s="256" t="str">
        <f>IF($B31=FALSE,"",VALUE(Pressure_2_R1!D26))</f>
        <v/>
      </c>
      <c r="E31" s="251" t="str">
        <f>IF($B31=FALSE,"",표준압력!C36)</f>
        <v/>
      </c>
      <c r="F31" s="251" t="str">
        <f>IF($B31=FALSE,"",Pressure_2_R1!V26)</f>
        <v/>
      </c>
      <c r="G31" s="252" t="str">
        <f>IF($B31=FALSE,"",Pressure_2_R1!W26)</f>
        <v/>
      </c>
      <c r="H31" s="363" t="str">
        <f>IF($B31=FALSE,"",Pressure_2_R1!X26)</f>
        <v/>
      </c>
      <c r="I31" s="365" t="b">
        <f t="shared" si="12"/>
        <v>0</v>
      </c>
      <c r="J31" s="364" t="str">
        <f>IF($B31=FALSE,"",IF(Pressure_2_R1!D158="","기준기값없음",IF(Pressure_2_R1!L158="ok",Pressure_2_R1!D158,"파워선택안함")))</f>
        <v/>
      </c>
      <c r="K31" s="253" t="str">
        <f t="shared" si="6"/>
        <v/>
      </c>
      <c r="L31" s="254" t="str">
        <f t="shared" si="7"/>
        <v/>
      </c>
      <c r="M31" s="366" t="str">
        <f t="shared" si="8"/>
        <v/>
      </c>
      <c r="N31" s="251" t="str">
        <f t="shared" si="13"/>
        <v/>
      </c>
      <c r="O31" s="252" t="str">
        <f t="shared" si="14"/>
        <v/>
      </c>
      <c r="P31" s="252" t="str">
        <f t="shared" si="15"/>
        <v/>
      </c>
      <c r="Q31" s="367" t="str">
        <f t="shared" si="16"/>
        <v/>
      </c>
      <c r="R31" s="245"/>
      <c r="S31" s="255" t="b">
        <f t="shared" si="9"/>
        <v>0</v>
      </c>
      <c r="T31" s="900"/>
      <c r="U31" s="256">
        <v>8</v>
      </c>
      <c r="V31" s="253" t="str">
        <f t="shared" ca="1" si="24"/>
        <v/>
      </c>
      <c r="W31" s="255" t="str">
        <f t="shared" ca="1" si="25"/>
        <v/>
      </c>
      <c r="X31" s="255" t="str">
        <f t="shared" ca="1" si="26"/>
        <v/>
      </c>
      <c r="Y31" s="255" t="str">
        <f t="shared" si="18"/>
        <v/>
      </c>
      <c r="Z31" s="341" t="str">
        <f t="shared" si="10"/>
        <v/>
      </c>
      <c r="AA31" s="253" t="str">
        <f t="shared" si="19"/>
        <v/>
      </c>
      <c r="AB31" s="255" t="str">
        <f t="shared" si="19"/>
        <v/>
      </c>
      <c r="AC31" s="255" t="str">
        <f t="shared" si="19"/>
        <v/>
      </c>
      <c r="AD31" s="255" t="str">
        <f t="shared" si="11"/>
        <v/>
      </c>
      <c r="AF31" s="432" t="s">
        <v>709</v>
      </c>
      <c r="AG31" s="434">
        <f>AI31*1000</f>
        <v>101325</v>
      </c>
      <c r="AH31" s="434">
        <f>AI31*10</f>
        <v>1013.25</v>
      </c>
      <c r="AI31" s="434">
        <f>AJ31*1000</f>
        <v>101.325</v>
      </c>
      <c r="AJ31" s="434">
        <v>0.101325</v>
      </c>
      <c r="AK31" s="434">
        <f>AM31*1000</f>
        <v>101325</v>
      </c>
      <c r="AL31" s="434">
        <f>AM31*10</f>
        <v>1013.25</v>
      </c>
      <c r="AM31" s="434">
        <f>AN31*1000</f>
        <v>101.325</v>
      </c>
      <c r="AN31" s="434">
        <v>0.101325</v>
      </c>
    </row>
    <row r="32" spans="2:40" s="242" customFormat="1" ht="15" customHeight="1">
      <c r="B32" s="249" t="b">
        <f>IF(Pressure_2_R1!A27="",FALSE,TRUE)</f>
        <v>0</v>
      </c>
      <c r="C32" s="250">
        <v>24</v>
      </c>
      <c r="D32" s="256" t="str">
        <f>IF($B32=FALSE,"",VALUE(Pressure_2_R1!D27))</f>
        <v/>
      </c>
      <c r="E32" s="251" t="str">
        <f>IF($B32=FALSE,"",표준압력!C37)</f>
        <v/>
      </c>
      <c r="F32" s="251" t="str">
        <f>IF($B32=FALSE,"",Pressure_2_R1!V27)</f>
        <v/>
      </c>
      <c r="G32" s="252" t="str">
        <f>IF($B32=FALSE,"",Pressure_2_R1!W27)</f>
        <v/>
      </c>
      <c r="H32" s="363" t="str">
        <f>IF($B32=FALSE,"",Pressure_2_R1!X27)</f>
        <v/>
      </c>
      <c r="I32" s="365" t="b">
        <f t="shared" si="12"/>
        <v>0</v>
      </c>
      <c r="J32" s="364" t="str">
        <f>IF($B32=FALSE,"",IF(Pressure_2_R1!D159="","기준기값없음",IF(Pressure_2_R1!L159="ok",Pressure_2_R1!D159,"파워선택안함")))</f>
        <v/>
      </c>
      <c r="K32" s="253" t="str">
        <f t="shared" si="6"/>
        <v/>
      </c>
      <c r="L32" s="254" t="str">
        <f t="shared" si="7"/>
        <v/>
      </c>
      <c r="M32" s="366" t="str">
        <f t="shared" si="8"/>
        <v/>
      </c>
      <c r="N32" s="251" t="str">
        <f t="shared" si="13"/>
        <v/>
      </c>
      <c r="O32" s="252" t="str">
        <f t="shared" si="14"/>
        <v/>
      </c>
      <c r="P32" s="252" t="str">
        <f t="shared" si="15"/>
        <v/>
      </c>
      <c r="Q32" s="367" t="str">
        <f t="shared" si="16"/>
        <v/>
      </c>
      <c r="R32" s="245"/>
      <c r="S32" s="255" t="b">
        <f t="shared" si="9"/>
        <v>0</v>
      </c>
      <c r="T32" s="900"/>
      <c r="U32" s="256">
        <v>9</v>
      </c>
      <c r="V32" s="253" t="str">
        <f t="shared" ca="1" si="24"/>
        <v/>
      </c>
      <c r="W32" s="255" t="str">
        <f t="shared" ca="1" si="25"/>
        <v/>
      </c>
      <c r="X32" s="255" t="str">
        <f t="shared" ca="1" si="26"/>
        <v/>
      </c>
      <c r="Y32" s="255" t="str">
        <f t="shared" si="18"/>
        <v/>
      </c>
      <c r="Z32" s="341" t="str">
        <f t="shared" si="10"/>
        <v/>
      </c>
      <c r="AA32" s="253" t="str">
        <f t="shared" si="19"/>
        <v/>
      </c>
      <c r="AB32" s="255" t="str">
        <f t="shared" si="19"/>
        <v/>
      </c>
      <c r="AC32" s="255" t="str">
        <f t="shared" si="19"/>
        <v/>
      </c>
      <c r="AD32" s="255" t="str">
        <f t="shared" si="11"/>
        <v/>
      </c>
    </row>
    <row r="33" spans="2:30" s="242" customFormat="1" ht="15" customHeight="1">
      <c r="B33" s="249" t="b">
        <f>IF(Pressure_2_R1!A28="",FALSE,TRUE)</f>
        <v>0</v>
      </c>
      <c r="C33" s="250">
        <v>25</v>
      </c>
      <c r="D33" s="256" t="str">
        <f>IF($B33=FALSE,"",VALUE(Pressure_2_R1!D28))</f>
        <v/>
      </c>
      <c r="E33" s="251" t="str">
        <f>IF($B33=FALSE,"",표준압력!C38)</f>
        <v/>
      </c>
      <c r="F33" s="251" t="str">
        <f>IF($B33=FALSE,"",Pressure_2_R1!V28)</f>
        <v/>
      </c>
      <c r="G33" s="252" t="str">
        <f>IF($B33=FALSE,"",Pressure_2_R1!W28)</f>
        <v/>
      </c>
      <c r="H33" s="363" t="str">
        <f>IF($B33=FALSE,"",Pressure_2_R1!X28)</f>
        <v/>
      </c>
      <c r="I33" s="365" t="b">
        <f t="shared" si="12"/>
        <v>0</v>
      </c>
      <c r="J33" s="364" t="str">
        <f>IF($B33=FALSE,"",IF(Pressure_2_R1!D160="","기준기값없음",IF(Pressure_2_R1!L160="ok",Pressure_2_R1!D160,"파워선택안함")))</f>
        <v/>
      </c>
      <c r="K33" s="253" t="str">
        <f t="shared" si="6"/>
        <v/>
      </c>
      <c r="L33" s="254" t="str">
        <f t="shared" si="7"/>
        <v/>
      </c>
      <c r="M33" s="366" t="str">
        <f t="shared" si="8"/>
        <v/>
      </c>
      <c r="N33" s="251" t="str">
        <f t="shared" si="13"/>
        <v/>
      </c>
      <c r="O33" s="252" t="str">
        <f t="shared" si="14"/>
        <v/>
      </c>
      <c r="P33" s="252" t="str">
        <f t="shared" si="15"/>
        <v/>
      </c>
      <c r="Q33" s="367" t="str">
        <f t="shared" si="16"/>
        <v/>
      </c>
      <c r="R33" s="245"/>
      <c r="S33" s="255" t="b">
        <f t="shared" si="9"/>
        <v>0</v>
      </c>
      <c r="T33" s="900"/>
      <c r="U33" s="256">
        <v>10</v>
      </c>
      <c r="V33" s="253" t="str">
        <f t="shared" ca="1" si="24"/>
        <v/>
      </c>
      <c r="W33" s="255" t="str">
        <f t="shared" ca="1" si="25"/>
        <v/>
      </c>
      <c r="X33" s="255" t="str">
        <f t="shared" ca="1" si="26"/>
        <v/>
      </c>
      <c r="Y33" s="255" t="str">
        <f t="shared" si="18"/>
        <v/>
      </c>
      <c r="Z33" s="341" t="str">
        <f t="shared" si="10"/>
        <v/>
      </c>
      <c r="AA33" s="253" t="str">
        <f t="shared" si="19"/>
        <v/>
      </c>
      <c r="AB33" s="255" t="str">
        <f t="shared" si="19"/>
        <v/>
      </c>
      <c r="AC33" s="255" t="str">
        <f t="shared" si="19"/>
        <v/>
      </c>
      <c r="AD33" s="255" t="str">
        <f t="shared" si="11"/>
        <v/>
      </c>
    </row>
    <row r="34" spans="2:30" s="242" customFormat="1" ht="15" customHeight="1">
      <c r="B34" s="249" t="b">
        <f>IF(Pressure_2_R1!A29="",FALSE,TRUE)</f>
        <v>0</v>
      </c>
      <c r="C34" s="250">
        <v>26</v>
      </c>
      <c r="D34" s="256" t="str">
        <f>IF($B34=FALSE,"",VALUE(Pressure_2_R1!D29))</f>
        <v/>
      </c>
      <c r="E34" s="251" t="str">
        <f>IF($B34=FALSE,"",표준압력!C39)</f>
        <v/>
      </c>
      <c r="F34" s="251" t="str">
        <f>IF($B34=FALSE,"",Pressure_2_R1!V29)</f>
        <v/>
      </c>
      <c r="G34" s="252" t="str">
        <f>IF($B34=FALSE,"",Pressure_2_R1!W29)</f>
        <v/>
      </c>
      <c r="H34" s="363" t="str">
        <f>IF($B34=FALSE,"",Pressure_2_R1!X29)</f>
        <v/>
      </c>
      <c r="I34" s="365" t="b">
        <f t="shared" si="12"/>
        <v>0</v>
      </c>
      <c r="J34" s="364" t="str">
        <f>IF($B34=FALSE,"",IF(Pressure_2_R1!D161="","기준기값없음",IF(Pressure_2_R1!L161="ok",Pressure_2_R1!D161,"파워선택안함")))</f>
        <v/>
      </c>
      <c r="K34" s="253" t="str">
        <f t="shared" si="6"/>
        <v/>
      </c>
      <c r="L34" s="254" t="str">
        <f t="shared" si="7"/>
        <v/>
      </c>
      <c r="M34" s="366" t="str">
        <f t="shared" si="8"/>
        <v/>
      </c>
      <c r="N34" s="251" t="str">
        <f t="shared" si="13"/>
        <v/>
      </c>
      <c r="O34" s="252" t="str">
        <f t="shared" si="14"/>
        <v/>
      </c>
      <c r="P34" s="252" t="str">
        <f t="shared" si="15"/>
        <v/>
      </c>
      <c r="Q34" s="367" t="str">
        <f t="shared" si="16"/>
        <v/>
      </c>
      <c r="R34" s="245"/>
      <c r="S34" s="255" t="b">
        <f t="shared" si="9"/>
        <v>0</v>
      </c>
      <c r="T34" s="900"/>
      <c r="U34" s="256">
        <v>11</v>
      </c>
      <c r="V34" s="253" t="str">
        <f t="shared" ca="1" si="24"/>
        <v/>
      </c>
      <c r="W34" s="255" t="str">
        <f t="shared" ca="1" si="25"/>
        <v/>
      </c>
      <c r="X34" s="255" t="str">
        <f t="shared" ca="1" si="26"/>
        <v/>
      </c>
      <c r="Y34" s="255" t="str">
        <f t="shared" si="18"/>
        <v/>
      </c>
      <c r="Z34" s="341" t="str">
        <f t="shared" si="10"/>
        <v/>
      </c>
      <c r="AA34" s="253" t="str">
        <f t="shared" si="19"/>
        <v/>
      </c>
      <c r="AB34" s="255" t="str">
        <f t="shared" si="19"/>
        <v/>
      </c>
      <c r="AC34" s="255" t="str">
        <f t="shared" si="19"/>
        <v/>
      </c>
      <c r="AD34" s="255" t="str">
        <f t="shared" si="11"/>
        <v/>
      </c>
    </row>
    <row r="35" spans="2:30" s="242" customFormat="1" ht="15" customHeight="1">
      <c r="B35" s="249" t="b">
        <f>IF(Pressure_2_R1!A30="",FALSE,TRUE)</f>
        <v>0</v>
      </c>
      <c r="C35" s="250">
        <v>27</v>
      </c>
      <c r="D35" s="256" t="str">
        <f>IF($B35=FALSE,"",VALUE(Pressure_2_R1!D30))</f>
        <v/>
      </c>
      <c r="E35" s="251" t="str">
        <f>IF($B35=FALSE,"",표준압력!C40)</f>
        <v/>
      </c>
      <c r="F35" s="251" t="str">
        <f>IF($B35=FALSE,"",Pressure_2_R1!V30)</f>
        <v/>
      </c>
      <c r="G35" s="252" t="str">
        <f>IF($B35=FALSE,"",Pressure_2_R1!W30)</f>
        <v/>
      </c>
      <c r="H35" s="363" t="str">
        <f>IF($B35=FALSE,"",Pressure_2_R1!X30)</f>
        <v/>
      </c>
      <c r="I35" s="365" t="b">
        <f t="shared" si="12"/>
        <v>0</v>
      </c>
      <c r="J35" s="364" t="str">
        <f>IF($B35=FALSE,"",IF(Pressure_2_R1!D162="","기준기값없음",IF(Pressure_2_R1!L162="ok",Pressure_2_R1!D162,"파워선택안함")))</f>
        <v/>
      </c>
      <c r="K35" s="253" t="str">
        <f t="shared" si="6"/>
        <v/>
      </c>
      <c r="L35" s="254" t="str">
        <f t="shared" si="7"/>
        <v/>
      </c>
      <c r="M35" s="366" t="str">
        <f t="shared" si="8"/>
        <v/>
      </c>
      <c r="N35" s="251" t="str">
        <f t="shared" si="13"/>
        <v/>
      </c>
      <c r="O35" s="252" t="str">
        <f t="shared" si="14"/>
        <v/>
      </c>
      <c r="P35" s="252" t="str">
        <f t="shared" si="15"/>
        <v/>
      </c>
      <c r="Q35" s="367" t="str">
        <f t="shared" si="16"/>
        <v/>
      </c>
      <c r="R35" s="245"/>
      <c r="S35" s="255" t="b">
        <f t="shared" si="9"/>
        <v>0</v>
      </c>
      <c r="T35" s="900"/>
      <c r="U35" s="256">
        <v>12</v>
      </c>
      <c r="V35" s="253" t="str">
        <f t="shared" ca="1" si="24"/>
        <v/>
      </c>
      <c r="W35" s="255" t="str">
        <f t="shared" ca="1" si="25"/>
        <v/>
      </c>
      <c r="X35" s="255" t="str">
        <f t="shared" ca="1" si="26"/>
        <v/>
      </c>
      <c r="Y35" s="255" t="str">
        <f t="shared" si="18"/>
        <v/>
      </c>
      <c r="Z35" s="341" t="str">
        <f t="shared" si="10"/>
        <v/>
      </c>
      <c r="AA35" s="253" t="str">
        <f t="shared" si="19"/>
        <v/>
      </c>
      <c r="AB35" s="255" t="str">
        <f t="shared" si="19"/>
        <v/>
      </c>
      <c r="AC35" s="255" t="str">
        <f t="shared" si="19"/>
        <v/>
      </c>
      <c r="AD35" s="255" t="str">
        <f t="shared" si="11"/>
        <v/>
      </c>
    </row>
    <row r="36" spans="2:30" s="242" customFormat="1" ht="15" customHeight="1">
      <c r="B36" s="249" t="b">
        <f>IF(Pressure_2_R1!A31="",FALSE,TRUE)</f>
        <v>0</v>
      </c>
      <c r="C36" s="250">
        <v>28</v>
      </c>
      <c r="D36" s="256" t="str">
        <f>IF($B36=FALSE,"",VALUE(Pressure_2_R1!D31))</f>
        <v/>
      </c>
      <c r="E36" s="251" t="str">
        <f>IF($B36=FALSE,"",표준압력!C41)</f>
        <v/>
      </c>
      <c r="F36" s="251" t="str">
        <f>IF($B36=FALSE,"",Pressure_2_R1!V31)</f>
        <v/>
      </c>
      <c r="G36" s="252" t="str">
        <f>IF($B36=FALSE,"",Pressure_2_R1!W31)</f>
        <v/>
      </c>
      <c r="H36" s="363" t="str">
        <f>IF($B36=FALSE,"",Pressure_2_R1!X31)</f>
        <v/>
      </c>
      <c r="I36" s="365" t="b">
        <f t="shared" si="12"/>
        <v>0</v>
      </c>
      <c r="J36" s="364" t="str">
        <f>IF($B36=FALSE,"",IF(Pressure_2_R1!D163="","기준기값없음",IF(Pressure_2_R1!L163="ok",Pressure_2_R1!D163,"파워선택안함")))</f>
        <v/>
      </c>
      <c r="K36" s="253" t="str">
        <f t="shared" si="6"/>
        <v/>
      </c>
      <c r="L36" s="254" t="str">
        <f t="shared" si="7"/>
        <v/>
      </c>
      <c r="M36" s="366" t="str">
        <f t="shared" si="8"/>
        <v/>
      </c>
      <c r="N36" s="251" t="str">
        <f t="shared" si="13"/>
        <v/>
      </c>
      <c r="O36" s="252" t="str">
        <f t="shared" si="14"/>
        <v/>
      </c>
      <c r="P36" s="252" t="str">
        <f t="shared" si="15"/>
        <v/>
      </c>
      <c r="Q36" s="367" t="str">
        <f t="shared" si="16"/>
        <v/>
      </c>
      <c r="R36" s="245"/>
      <c r="S36" s="255" t="b">
        <f t="shared" si="9"/>
        <v>0</v>
      </c>
      <c r="T36" s="900"/>
      <c r="U36" s="256">
        <v>13</v>
      </c>
      <c r="V36" s="253" t="str">
        <f t="shared" ca="1" si="24"/>
        <v/>
      </c>
      <c r="W36" s="255" t="str">
        <f t="shared" ca="1" si="25"/>
        <v/>
      </c>
      <c r="X36" s="255" t="str">
        <f t="shared" ca="1" si="26"/>
        <v/>
      </c>
      <c r="Y36" s="255" t="str">
        <f t="shared" si="18"/>
        <v/>
      </c>
      <c r="Z36" s="341" t="str">
        <f t="shared" si="10"/>
        <v/>
      </c>
      <c r="AA36" s="253" t="str">
        <f t="shared" si="19"/>
        <v/>
      </c>
      <c r="AB36" s="255" t="str">
        <f t="shared" si="19"/>
        <v/>
      </c>
      <c r="AC36" s="255" t="str">
        <f t="shared" si="19"/>
        <v/>
      </c>
      <c r="AD36" s="255" t="str">
        <f t="shared" si="11"/>
        <v/>
      </c>
    </row>
    <row r="37" spans="2:30" s="242" customFormat="1" ht="15" customHeight="1">
      <c r="B37" s="249" t="b">
        <f>IF(Pressure_2_R1!A32="",FALSE,TRUE)</f>
        <v>0</v>
      </c>
      <c r="C37" s="250">
        <v>29</v>
      </c>
      <c r="D37" s="256" t="str">
        <f>IF($B37=FALSE,"",VALUE(Pressure_2_R1!D32))</f>
        <v/>
      </c>
      <c r="E37" s="251" t="str">
        <f>IF($B37=FALSE,"",표준압력!C42)</f>
        <v/>
      </c>
      <c r="F37" s="251" t="str">
        <f>IF($B37=FALSE,"",Pressure_2_R1!V32)</f>
        <v/>
      </c>
      <c r="G37" s="252" t="str">
        <f>IF($B37=FALSE,"",Pressure_2_R1!W32)</f>
        <v/>
      </c>
      <c r="H37" s="363" t="str">
        <f>IF($B37=FALSE,"",Pressure_2_R1!X32)</f>
        <v/>
      </c>
      <c r="I37" s="365" t="b">
        <f t="shared" si="12"/>
        <v>0</v>
      </c>
      <c r="J37" s="364" t="str">
        <f>IF($B37=FALSE,"",IF(Pressure_2_R1!D164="","기준기값없음",IF(Pressure_2_R1!L164="ok",Pressure_2_R1!D164,"파워선택안함")))</f>
        <v/>
      </c>
      <c r="K37" s="253" t="str">
        <f t="shared" si="6"/>
        <v/>
      </c>
      <c r="L37" s="254" t="str">
        <f t="shared" si="7"/>
        <v/>
      </c>
      <c r="M37" s="366" t="str">
        <f t="shared" si="8"/>
        <v/>
      </c>
      <c r="N37" s="251" t="str">
        <f t="shared" si="13"/>
        <v/>
      </c>
      <c r="O37" s="252" t="str">
        <f t="shared" si="14"/>
        <v/>
      </c>
      <c r="P37" s="252" t="str">
        <f t="shared" si="15"/>
        <v/>
      </c>
      <c r="Q37" s="367" t="str">
        <f t="shared" si="16"/>
        <v/>
      </c>
      <c r="R37" s="245"/>
      <c r="S37" s="255" t="b">
        <f t="shared" si="9"/>
        <v>0</v>
      </c>
      <c r="T37" s="900"/>
      <c r="U37" s="256">
        <v>14</v>
      </c>
      <c r="V37" s="253" t="str">
        <f t="shared" ca="1" si="24"/>
        <v/>
      </c>
      <c r="W37" s="255" t="str">
        <f t="shared" ca="1" si="25"/>
        <v/>
      </c>
      <c r="X37" s="255" t="str">
        <f t="shared" ca="1" si="26"/>
        <v/>
      </c>
      <c r="Y37" s="255" t="str">
        <f t="shared" si="18"/>
        <v/>
      </c>
      <c r="Z37" s="341" t="str">
        <f t="shared" si="10"/>
        <v/>
      </c>
      <c r="AA37" s="253" t="str">
        <f t="shared" si="19"/>
        <v/>
      </c>
      <c r="AB37" s="255" t="str">
        <f t="shared" si="19"/>
        <v/>
      </c>
      <c r="AC37" s="255" t="str">
        <f t="shared" si="19"/>
        <v/>
      </c>
      <c r="AD37" s="255" t="str">
        <f t="shared" si="11"/>
        <v/>
      </c>
    </row>
    <row r="38" spans="2:30" s="242" customFormat="1" ht="15" customHeight="1">
      <c r="B38" s="249" t="b">
        <f>IF(Pressure_2_R1!A33="",FALSE,TRUE)</f>
        <v>0</v>
      </c>
      <c r="C38" s="250">
        <v>30</v>
      </c>
      <c r="D38" s="256" t="str">
        <f>IF($B38=FALSE,"",VALUE(Pressure_2_R1!D33))</f>
        <v/>
      </c>
      <c r="E38" s="251" t="str">
        <f>IF($B38=FALSE,"",표준압력!C43)</f>
        <v/>
      </c>
      <c r="F38" s="251" t="str">
        <f>IF($B38=FALSE,"",Pressure_2_R1!V33)</f>
        <v/>
      </c>
      <c r="G38" s="252" t="str">
        <f>IF($B38=FALSE,"",Pressure_2_R1!W33)</f>
        <v/>
      </c>
      <c r="H38" s="363" t="str">
        <f>IF($B38=FALSE,"",Pressure_2_R1!X33)</f>
        <v/>
      </c>
      <c r="I38" s="365" t="b">
        <f t="shared" si="12"/>
        <v>0</v>
      </c>
      <c r="J38" s="364" t="str">
        <f>IF($B38=FALSE,"",IF(Pressure_2_R1!D165="","기준기값없음",IF(Pressure_2_R1!L165="ok",Pressure_2_R1!D165,"파워선택안함")))</f>
        <v/>
      </c>
      <c r="K38" s="253" t="str">
        <f t="shared" si="6"/>
        <v/>
      </c>
      <c r="L38" s="254" t="str">
        <f t="shared" si="7"/>
        <v/>
      </c>
      <c r="M38" s="366" t="str">
        <f t="shared" si="8"/>
        <v/>
      </c>
      <c r="N38" s="251" t="str">
        <f t="shared" si="13"/>
        <v/>
      </c>
      <c r="O38" s="252" t="str">
        <f t="shared" si="14"/>
        <v/>
      </c>
      <c r="P38" s="252" t="str">
        <f t="shared" si="15"/>
        <v/>
      </c>
      <c r="Q38" s="367" t="str">
        <f t="shared" si="16"/>
        <v/>
      </c>
      <c r="R38" s="245"/>
      <c r="S38" s="255" t="b">
        <f t="shared" si="9"/>
        <v>0</v>
      </c>
      <c r="T38" s="901"/>
      <c r="U38" s="256">
        <v>15</v>
      </c>
      <c r="V38" s="253" t="str">
        <f t="shared" ca="1" si="24"/>
        <v/>
      </c>
      <c r="W38" s="255" t="str">
        <f t="shared" ca="1" si="25"/>
        <v/>
      </c>
      <c r="X38" s="255" t="str">
        <f t="shared" ca="1" si="26"/>
        <v/>
      </c>
      <c r="Y38" s="255" t="str">
        <f t="shared" si="18"/>
        <v/>
      </c>
      <c r="Z38" s="341" t="str">
        <f t="shared" si="10"/>
        <v/>
      </c>
      <c r="AA38" s="253" t="str">
        <f t="shared" si="19"/>
        <v/>
      </c>
      <c r="AB38" s="255" t="str">
        <f t="shared" si="19"/>
        <v/>
      </c>
      <c r="AC38" s="255" t="str">
        <f t="shared" si="19"/>
        <v/>
      </c>
      <c r="AD38" s="255" t="str">
        <f t="shared" si="11"/>
        <v/>
      </c>
    </row>
    <row r="39" spans="2:30" ht="15" customHeight="1">
      <c r="B39" s="241"/>
      <c r="C39" s="241"/>
      <c r="D39" s="241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2:30" ht="15" customHeight="1">
      <c r="B40" s="247" t="s">
        <v>358</v>
      </c>
      <c r="C40" s="241"/>
      <c r="D40" s="241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</row>
    <row r="41" spans="2:30" ht="15" customHeight="1">
      <c r="B41" s="885" t="s">
        <v>552</v>
      </c>
      <c r="C41" s="888" t="s">
        <v>553</v>
      </c>
      <c r="D41" s="888" t="s">
        <v>554</v>
      </c>
      <c r="E41" s="891" t="s">
        <v>555</v>
      </c>
      <c r="F41" s="874" t="s">
        <v>556</v>
      </c>
      <c r="G41" s="882" t="s">
        <v>557</v>
      </c>
      <c r="H41" s="883"/>
      <c r="I41" s="883"/>
      <c r="J41" s="883"/>
      <c r="K41" s="884"/>
      <c r="L41" s="874" t="s">
        <v>359</v>
      </c>
      <c r="M41" s="882" t="s">
        <v>376</v>
      </c>
      <c r="N41" s="883"/>
      <c r="O41" s="883"/>
      <c r="P41" s="883"/>
      <c r="Q41" s="884"/>
      <c r="R41" s="874" t="s">
        <v>360</v>
      </c>
      <c r="S41" s="905" t="s">
        <v>558</v>
      </c>
      <c r="T41" s="906"/>
      <c r="U41" s="906"/>
      <c r="V41" s="906"/>
      <c r="W41" s="907"/>
      <c r="X41" s="874" t="s">
        <v>361</v>
      </c>
    </row>
    <row r="42" spans="2:30" ht="15" customHeight="1">
      <c r="B42" s="886"/>
      <c r="C42" s="889"/>
      <c r="D42" s="889"/>
      <c r="E42" s="892"/>
      <c r="F42" s="875"/>
      <c r="G42" s="330" t="s">
        <v>559</v>
      </c>
      <c r="H42" s="330" t="s">
        <v>559</v>
      </c>
      <c r="I42" s="330" t="s">
        <v>121</v>
      </c>
      <c r="J42" s="330" t="s">
        <v>70</v>
      </c>
      <c r="K42" s="330" t="s">
        <v>560</v>
      </c>
      <c r="L42" s="875"/>
      <c r="M42" s="874" t="s">
        <v>378</v>
      </c>
      <c r="N42" s="874" t="s">
        <v>362</v>
      </c>
      <c r="O42" s="874" t="s">
        <v>377</v>
      </c>
      <c r="P42" s="874" t="s">
        <v>70</v>
      </c>
      <c r="Q42" s="874" t="s">
        <v>561</v>
      </c>
      <c r="R42" s="875"/>
      <c r="S42" s="877" t="s">
        <v>562</v>
      </c>
      <c r="T42" s="877" t="s">
        <v>51</v>
      </c>
      <c r="U42" s="877" t="s">
        <v>363</v>
      </c>
      <c r="V42" s="877" t="s">
        <v>364</v>
      </c>
      <c r="W42" s="877" t="s">
        <v>365</v>
      </c>
      <c r="X42" s="875"/>
    </row>
    <row r="43" spans="2:30" ht="15" customHeight="1">
      <c r="B43" s="886"/>
      <c r="C43" s="890"/>
      <c r="D43" s="890"/>
      <c r="E43" s="893"/>
      <c r="F43" s="876"/>
      <c r="G43" s="330" t="s">
        <v>563</v>
      </c>
      <c r="H43" s="330" t="s">
        <v>564</v>
      </c>
      <c r="I43" s="330" t="s">
        <v>565</v>
      </c>
      <c r="J43" s="330" t="s">
        <v>566</v>
      </c>
      <c r="K43" s="330" t="s">
        <v>366</v>
      </c>
      <c r="L43" s="876"/>
      <c r="M43" s="876"/>
      <c r="N43" s="876"/>
      <c r="O43" s="876"/>
      <c r="P43" s="876"/>
      <c r="Q43" s="876"/>
      <c r="R43" s="876"/>
      <c r="S43" s="878"/>
      <c r="T43" s="878"/>
      <c r="U43" s="878"/>
      <c r="V43" s="878"/>
      <c r="W43" s="878"/>
      <c r="X43" s="875"/>
    </row>
    <row r="44" spans="2:30" ht="15" customHeight="1">
      <c r="B44" s="887"/>
      <c r="C44" s="362">
        <f>D8</f>
        <v>0</v>
      </c>
      <c r="D44" s="362">
        <f>E8</f>
        <v>0</v>
      </c>
      <c r="E44" s="359">
        <f>D44</f>
        <v>0</v>
      </c>
      <c r="F44" s="359">
        <f>F8</f>
        <v>0</v>
      </c>
      <c r="G44" s="359">
        <f>Y8</f>
        <v>0</v>
      </c>
      <c r="H44" s="359">
        <f>Z8</f>
        <v>0</v>
      </c>
      <c r="I44" s="359">
        <f>H44</f>
        <v>0</v>
      </c>
      <c r="J44" s="359">
        <f>G44</f>
        <v>0</v>
      </c>
      <c r="K44" s="359">
        <f>J44</f>
        <v>0</v>
      </c>
      <c r="L44" s="359">
        <f>E44</f>
        <v>0</v>
      </c>
      <c r="M44" s="359">
        <f t="shared" ref="M44:R44" si="29">L44</f>
        <v>0</v>
      </c>
      <c r="N44" s="359">
        <f>M44</f>
        <v>0</v>
      </c>
      <c r="O44" s="359">
        <f t="shared" si="29"/>
        <v>0</v>
      </c>
      <c r="P44" s="359">
        <f t="shared" si="29"/>
        <v>0</v>
      </c>
      <c r="Q44" s="359">
        <f t="shared" si="29"/>
        <v>0</v>
      </c>
      <c r="R44" s="359">
        <f t="shared" si="29"/>
        <v>0</v>
      </c>
      <c r="S44" s="359">
        <f>R44</f>
        <v>0</v>
      </c>
      <c r="T44" s="359">
        <f>W44</f>
        <v>0</v>
      </c>
      <c r="U44" s="359">
        <f>T44</f>
        <v>0</v>
      </c>
      <c r="V44" s="359"/>
      <c r="W44" s="359">
        <f>S44</f>
        <v>0</v>
      </c>
      <c r="X44" s="876"/>
    </row>
    <row r="45" spans="2:30" ht="15" customHeight="1">
      <c r="B45" s="258">
        <f>C9</f>
        <v>1</v>
      </c>
      <c r="C45" s="258" t="str">
        <f t="shared" ref="C45:D59" si="30">IF($S9=FALSE,"",D9)</f>
        <v/>
      </c>
      <c r="D45" s="255" t="str">
        <f t="shared" si="30"/>
        <v/>
      </c>
      <c r="E45" s="255" t="str">
        <f>IF($S9=FALSE,"",표준압력!F14)</f>
        <v/>
      </c>
      <c r="F45" s="255" t="str">
        <f>IF($S9=FALSE,"",Pressure_2_R1!F136/2)</f>
        <v/>
      </c>
      <c r="G45" s="258" t="str">
        <f t="shared" ref="G45:G59" si="31">IF($S9=FALSE,"",ROUND(AVERAGE(Y9,Y24),I$3))</f>
        <v/>
      </c>
      <c r="H45" s="255" t="str">
        <f t="shared" ref="H45:H59" si="32">IF($S9=FALSE,"",ROUND(AVERAGE(Z9,Z24),N$64))</f>
        <v/>
      </c>
      <c r="I45" s="255" t="str">
        <f t="shared" ref="I45:I59" si="33">IF($S9=FALSE,"",ROUND(D45,N$64)-H45)</f>
        <v/>
      </c>
      <c r="J45" s="255" t="str">
        <f t="shared" ref="J45:J59" si="34">IF($S9=FALSE,"",((V24-V9)+(W24-W9)+(X24-X9))/3)</f>
        <v/>
      </c>
      <c r="K45" s="255" t="str">
        <f t="shared" ref="K45:K59" si="35">IF($S9=FALSE,"",MAX(AD9,AD24))</f>
        <v/>
      </c>
      <c r="L45" s="255" t="str">
        <f t="shared" ref="L45:L59" si="36">IF($S9=FALSE,"",E45/2)</f>
        <v/>
      </c>
      <c r="M45" s="255" t="str">
        <f>IF($S9=FALSE,"",F45*Q$7)</f>
        <v/>
      </c>
      <c r="N45" s="255" t="str">
        <f t="shared" ref="N45:N59" si="37">IF($S9=FALSE,"",MAX(ABS(V$24-V$9),ABS(W$24-W$9),ABS(X$24-X$9))/2/SQRT(3)*Q$7)</f>
        <v/>
      </c>
      <c r="O45" s="255" t="str">
        <f t="shared" ref="O45:O59" si="38">IF($S9=FALSE,"",IF(K45=0,MAX(K$45:K$59),K45)/2/SQRT(3)*Q$7)</f>
        <v/>
      </c>
      <c r="P45" s="255" t="str">
        <f t="shared" ref="P45:P59" si="39">IF($S9=FALSE,"",J45/2/SQRT(3)*Q$7)</f>
        <v/>
      </c>
      <c r="Q45" s="255" t="str">
        <f t="shared" ref="Q45:Q59" si="40">IF($S9=FALSE,"",SQRT(SUMSQ(M45:P45)))</f>
        <v/>
      </c>
      <c r="R45" s="255" t="str">
        <f t="shared" ref="R45:R59" si="41">IF($S9=FALSE,"",SQRT(SUMSQ(L45,Q45)))</f>
        <v/>
      </c>
      <c r="S45" s="255" t="str">
        <f t="shared" ref="S45:S59" si="42">IF($S9=FALSE,"",R45*2)</f>
        <v/>
      </c>
      <c r="T45" s="331" t="str">
        <f>IF($S9=FALSE,"",Pressure_2_R1!L4*C45)</f>
        <v/>
      </c>
      <c r="U45" s="331" t="str">
        <f>IF($S9=FALSE,"",MAX(S45:T45))</f>
        <v/>
      </c>
      <c r="V45" s="331" t="str">
        <f t="shared" ref="V45:V59" si="43">IF($S9=FALSE,"",IF(((U45-ROUND(U45,N$64))/U45*100)&gt;=5,TRUE,FALSE))</f>
        <v/>
      </c>
      <c r="W45" s="331" t="str">
        <f>IF($S9=FALSE,"",IF(ROUND(U45,N$64)=0,ROUNDUP(U45,N$64),IF(V45=TRUE,ROUNDUP(U45,N$64),ROUND(U45,N$64))))</f>
        <v/>
      </c>
      <c r="X45" s="332" t="str">
        <f t="shared" ref="X45:X59" si="44">IF($S9=FALSE,"",IF(S45=U45,0,1))</f>
        <v/>
      </c>
    </row>
    <row r="46" spans="2:30" ht="15" customHeight="1">
      <c r="B46" s="258">
        <f>C10</f>
        <v>2</v>
      </c>
      <c r="C46" s="258" t="str">
        <f t="shared" si="30"/>
        <v/>
      </c>
      <c r="D46" s="255" t="str">
        <f t="shared" si="30"/>
        <v/>
      </c>
      <c r="E46" s="255" t="str">
        <f>IF($S10=FALSE,"",표준압력!F15)</f>
        <v/>
      </c>
      <c r="F46" s="255" t="str">
        <f>IF($S10=FALSE,"",Pressure_2_R1!F137/2)</f>
        <v/>
      </c>
      <c r="G46" s="258" t="str">
        <f t="shared" si="31"/>
        <v/>
      </c>
      <c r="H46" s="255" t="str">
        <f t="shared" si="32"/>
        <v/>
      </c>
      <c r="I46" s="255" t="str">
        <f t="shared" si="33"/>
        <v/>
      </c>
      <c r="J46" s="255" t="str">
        <f t="shared" si="34"/>
        <v/>
      </c>
      <c r="K46" s="255" t="str">
        <f t="shared" si="35"/>
        <v/>
      </c>
      <c r="L46" s="255" t="str">
        <f t="shared" si="36"/>
        <v/>
      </c>
      <c r="M46" s="255" t="str">
        <f t="shared" ref="M46:M59" si="45">IF($S10=FALSE,"",F46*Q$7)</f>
        <v/>
      </c>
      <c r="N46" s="255" t="str">
        <f t="shared" si="37"/>
        <v/>
      </c>
      <c r="O46" s="255" t="str">
        <f t="shared" si="38"/>
        <v/>
      </c>
      <c r="P46" s="255" t="str">
        <f t="shared" si="39"/>
        <v/>
      </c>
      <c r="Q46" s="255" t="str">
        <f t="shared" si="40"/>
        <v/>
      </c>
      <c r="R46" s="255" t="str">
        <f t="shared" si="41"/>
        <v/>
      </c>
      <c r="S46" s="255" t="str">
        <f t="shared" si="42"/>
        <v/>
      </c>
      <c r="T46" s="331" t="str">
        <f>IF($S10=FALSE,"",Pressure_2_R1!L5*C46)</f>
        <v/>
      </c>
      <c r="U46" s="331" t="str">
        <f t="shared" ref="U46:U59" si="46">IF($S10=FALSE,"",MAX(S46:T46))</f>
        <v/>
      </c>
      <c r="V46" s="331" t="str">
        <f t="shared" si="43"/>
        <v/>
      </c>
      <c r="W46" s="331" t="str">
        <f t="shared" ref="W46:W59" si="47">IF($S10=FALSE,"",IF(ROUND(U46,N$64)=0,ROUNDUP(U46,N$64),IF(V46=TRUE,ROUNDUP(U46,N$64),ROUND(U46,N$64))))</f>
        <v/>
      </c>
      <c r="X46" s="332" t="str">
        <f t="shared" si="44"/>
        <v/>
      </c>
    </row>
    <row r="47" spans="2:30" ht="15" customHeight="1">
      <c r="B47" s="258">
        <f t="shared" ref="B47:B59" si="48">C11</f>
        <v>3</v>
      </c>
      <c r="C47" s="258" t="str">
        <f t="shared" si="30"/>
        <v/>
      </c>
      <c r="D47" s="255" t="str">
        <f t="shared" si="30"/>
        <v/>
      </c>
      <c r="E47" s="255" t="str">
        <f>IF($S11=FALSE,"",표준압력!F16)</f>
        <v/>
      </c>
      <c r="F47" s="255" t="str">
        <f>IF($S11=FALSE,"",Pressure_2_R1!F138/2)</f>
        <v/>
      </c>
      <c r="G47" s="258" t="str">
        <f t="shared" si="31"/>
        <v/>
      </c>
      <c r="H47" s="255" t="str">
        <f t="shared" si="32"/>
        <v/>
      </c>
      <c r="I47" s="255" t="str">
        <f t="shared" si="33"/>
        <v/>
      </c>
      <c r="J47" s="255" t="str">
        <f t="shared" si="34"/>
        <v/>
      </c>
      <c r="K47" s="255" t="str">
        <f t="shared" si="35"/>
        <v/>
      </c>
      <c r="L47" s="255" t="str">
        <f t="shared" si="36"/>
        <v/>
      </c>
      <c r="M47" s="255" t="str">
        <f t="shared" si="45"/>
        <v/>
      </c>
      <c r="N47" s="255" t="str">
        <f t="shared" si="37"/>
        <v/>
      </c>
      <c r="O47" s="255" t="str">
        <f t="shared" si="38"/>
        <v/>
      </c>
      <c r="P47" s="255" t="str">
        <f t="shared" si="39"/>
        <v/>
      </c>
      <c r="Q47" s="255" t="str">
        <f t="shared" si="40"/>
        <v/>
      </c>
      <c r="R47" s="255" t="str">
        <f t="shared" si="41"/>
        <v/>
      </c>
      <c r="S47" s="255" t="str">
        <f t="shared" si="42"/>
        <v/>
      </c>
      <c r="T47" s="331" t="str">
        <f>IF($S11=FALSE,"",Pressure_2_R1!L6*C47)</f>
        <v/>
      </c>
      <c r="U47" s="331" t="str">
        <f t="shared" si="46"/>
        <v/>
      </c>
      <c r="V47" s="331" t="str">
        <f t="shared" si="43"/>
        <v/>
      </c>
      <c r="W47" s="331" t="str">
        <f t="shared" si="47"/>
        <v/>
      </c>
      <c r="X47" s="332" t="str">
        <f t="shared" si="44"/>
        <v/>
      </c>
    </row>
    <row r="48" spans="2:30" ht="15" customHeight="1">
      <c r="B48" s="258">
        <f t="shared" si="48"/>
        <v>4</v>
      </c>
      <c r="C48" s="258" t="str">
        <f t="shared" si="30"/>
        <v/>
      </c>
      <c r="D48" s="255" t="str">
        <f t="shared" si="30"/>
        <v/>
      </c>
      <c r="E48" s="255" t="str">
        <f>IF($S12=FALSE,"",표준압력!F17)</f>
        <v/>
      </c>
      <c r="F48" s="255" t="str">
        <f>IF($S12=FALSE,"",Pressure_2_R1!F139/2)</f>
        <v/>
      </c>
      <c r="G48" s="258" t="str">
        <f t="shared" si="31"/>
        <v/>
      </c>
      <c r="H48" s="255" t="str">
        <f t="shared" si="32"/>
        <v/>
      </c>
      <c r="I48" s="255" t="str">
        <f t="shared" si="33"/>
        <v/>
      </c>
      <c r="J48" s="255" t="str">
        <f t="shared" si="34"/>
        <v/>
      </c>
      <c r="K48" s="255" t="str">
        <f t="shared" si="35"/>
        <v/>
      </c>
      <c r="L48" s="255" t="str">
        <f t="shared" si="36"/>
        <v/>
      </c>
      <c r="M48" s="255" t="str">
        <f t="shared" si="45"/>
        <v/>
      </c>
      <c r="N48" s="255" t="str">
        <f t="shared" si="37"/>
        <v/>
      </c>
      <c r="O48" s="255" t="str">
        <f t="shared" si="38"/>
        <v/>
      </c>
      <c r="P48" s="255" t="str">
        <f t="shared" si="39"/>
        <v/>
      </c>
      <c r="Q48" s="255" t="str">
        <f t="shared" si="40"/>
        <v/>
      </c>
      <c r="R48" s="255" t="str">
        <f t="shared" si="41"/>
        <v/>
      </c>
      <c r="S48" s="255" t="str">
        <f t="shared" si="42"/>
        <v/>
      </c>
      <c r="T48" s="331" t="str">
        <f>IF($S12=FALSE,"",Pressure_2_R1!L7*C48)</f>
        <v/>
      </c>
      <c r="U48" s="331" t="str">
        <f t="shared" si="46"/>
        <v/>
      </c>
      <c r="V48" s="331" t="str">
        <f t="shared" si="43"/>
        <v/>
      </c>
      <c r="W48" s="331" t="str">
        <f t="shared" si="47"/>
        <v/>
      </c>
      <c r="X48" s="332" t="str">
        <f t="shared" si="44"/>
        <v/>
      </c>
    </row>
    <row r="49" spans="2:25" ht="15" customHeight="1">
      <c r="B49" s="258">
        <f t="shared" si="48"/>
        <v>5</v>
      </c>
      <c r="C49" s="258" t="str">
        <f t="shared" si="30"/>
        <v/>
      </c>
      <c r="D49" s="255" t="str">
        <f t="shared" si="30"/>
        <v/>
      </c>
      <c r="E49" s="255" t="str">
        <f>IF($S13=FALSE,"",표준압력!F18)</f>
        <v/>
      </c>
      <c r="F49" s="255" t="str">
        <f>IF($S13=FALSE,"",Pressure_2_R1!F140/2)</f>
        <v/>
      </c>
      <c r="G49" s="258" t="str">
        <f t="shared" si="31"/>
        <v/>
      </c>
      <c r="H49" s="255" t="str">
        <f t="shared" si="32"/>
        <v/>
      </c>
      <c r="I49" s="255" t="str">
        <f t="shared" si="33"/>
        <v/>
      </c>
      <c r="J49" s="255" t="str">
        <f t="shared" si="34"/>
        <v/>
      </c>
      <c r="K49" s="255" t="str">
        <f t="shared" si="35"/>
        <v/>
      </c>
      <c r="L49" s="255" t="str">
        <f t="shared" si="36"/>
        <v/>
      </c>
      <c r="M49" s="255" t="str">
        <f t="shared" si="45"/>
        <v/>
      </c>
      <c r="N49" s="255" t="str">
        <f t="shared" si="37"/>
        <v/>
      </c>
      <c r="O49" s="255" t="str">
        <f t="shared" si="38"/>
        <v/>
      </c>
      <c r="P49" s="255" t="str">
        <f t="shared" si="39"/>
        <v/>
      </c>
      <c r="Q49" s="255" t="str">
        <f t="shared" si="40"/>
        <v/>
      </c>
      <c r="R49" s="255" t="str">
        <f t="shared" si="41"/>
        <v/>
      </c>
      <c r="S49" s="255" t="str">
        <f t="shared" si="42"/>
        <v/>
      </c>
      <c r="T49" s="331" t="str">
        <f>IF($S13=FALSE,"",Pressure_2_R1!L8*C49)</f>
        <v/>
      </c>
      <c r="U49" s="331" t="str">
        <f t="shared" si="46"/>
        <v/>
      </c>
      <c r="V49" s="331" t="str">
        <f t="shared" si="43"/>
        <v/>
      </c>
      <c r="W49" s="331" t="str">
        <f t="shared" si="47"/>
        <v/>
      </c>
      <c r="X49" s="332" t="str">
        <f t="shared" si="44"/>
        <v/>
      </c>
    </row>
    <row r="50" spans="2:25" ht="15" customHeight="1">
      <c r="B50" s="258">
        <f t="shared" si="48"/>
        <v>6</v>
      </c>
      <c r="C50" s="258" t="str">
        <f t="shared" si="30"/>
        <v/>
      </c>
      <c r="D50" s="255" t="str">
        <f t="shared" si="30"/>
        <v/>
      </c>
      <c r="E50" s="255" t="str">
        <f>IF($S14=FALSE,"",표준압력!F19)</f>
        <v/>
      </c>
      <c r="F50" s="255" t="str">
        <f>IF($S14=FALSE,"",Pressure_2_R1!F141/2)</f>
        <v/>
      </c>
      <c r="G50" s="258" t="str">
        <f t="shared" si="31"/>
        <v/>
      </c>
      <c r="H50" s="255" t="str">
        <f t="shared" si="32"/>
        <v/>
      </c>
      <c r="I50" s="255" t="str">
        <f t="shared" si="33"/>
        <v/>
      </c>
      <c r="J50" s="255" t="str">
        <f t="shared" si="34"/>
        <v/>
      </c>
      <c r="K50" s="255" t="str">
        <f t="shared" si="35"/>
        <v/>
      </c>
      <c r="L50" s="255" t="str">
        <f t="shared" si="36"/>
        <v/>
      </c>
      <c r="M50" s="255" t="str">
        <f t="shared" si="45"/>
        <v/>
      </c>
      <c r="N50" s="255" t="str">
        <f t="shared" si="37"/>
        <v/>
      </c>
      <c r="O50" s="255" t="str">
        <f t="shared" si="38"/>
        <v/>
      </c>
      <c r="P50" s="255" t="str">
        <f t="shared" si="39"/>
        <v/>
      </c>
      <c r="Q50" s="255" t="str">
        <f t="shared" si="40"/>
        <v/>
      </c>
      <c r="R50" s="255" t="str">
        <f t="shared" si="41"/>
        <v/>
      </c>
      <c r="S50" s="255" t="str">
        <f t="shared" si="42"/>
        <v/>
      </c>
      <c r="T50" s="331" t="str">
        <f>IF($S14=FALSE,"",Pressure_2_R1!L9*C50)</f>
        <v/>
      </c>
      <c r="U50" s="331" t="str">
        <f t="shared" si="46"/>
        <v/>
      </c>
      <c r="V50" s="331" t="str">
        <f t="shared" si="43"/>
        <v/>
      </c>
      <c r="W50" s="331" t="str">
        <f t="shared" si="47"/>
        <v/>
      </c>
      <c r="X50" s="332" t="str">
        <f t="shared" si="44"/>
        <v/>
      </c>
    </row>
    <row r="51" spans="2:25" ht="15" customHeight="1">
      <c r="B51" s="258">
        <f t="shared" si="48"/>
        <v>7</v>
      </c>
      <c r="C51" s="258" t="str">
        <f t="shared" si="30"/>
        <v/>
      </c>
      <c r="D51" s="255" t="str">
        <f t="shared" si="30"/>
        <v/>
      </c>
      <c r="E51" s="255" t="str">
        <f>IF($S15=FALSE,"",표준압력!F20)</f>
        <v/>
      </c>
      <c r="F51" s="255" t="str">
        <f>IF($S15=FALSE,"",Pressure_2_R1!F142/2)</f>
        <v/>
      </c>
      <c r="G51" s="258" t="str">
        <f t="shared" si="31"/>
        <v/>
      </c>
      <c r="H51" s="255" t="str">
        <f t="shared" si="32"/>
        <v/>
      </c>
      <c r="I51" s="255" t="str">
        <f t="shared" si="33"/>
        <v/>
      </c>
      <c r="J51" s="255" t="str">
        <f t="shared" si="34"/>
        <v/>
      </c>
      <c r="K51" s="255" t="str">
        <f t="shared" si="35"/>
        <v/>
      </c>
      <c r="L51" s="255" t="str">
        <f t="shared" si="36"/>
        <v/>
      </c>
      <c r="M51" s="255" t="str">
        <f t="shared" si="45"/>
        <v/>
      </c>
      <c r="N51" s="255" t="str">
        <f t="shared" si="37"/>
        <v/>
      </c>
      <c r="O51" s="255" t="str">
        <f t="shared" si="38"/>
        <v/>
      </c>
      <c r="P51" s="255" t="str">
        <f t="shared" si="39"/>
        <v/>
      </c>
      <c r="Q51" s="255" t="str">
        <f t="shared" si="40"/>
        <v/>
      </c>
      <c r="R51" s="255" t="str">
        <f t="shared" si="41"/>
        <v/>
      </c>
      <c r="S51" s="255" t="str">
        <f t="shared" si="42"/>
        <v/>
      </c>
      <c r="T51" s="331" t="str">
        <f>IF($S15=FALSE,"",Pressure_2_R1!L10*C51)</f>
        <v/>
      </c>
      <c r="U51" s="331" t="str">
        <f t="shared" si="46"/>
        <v/>
      </c>
      <c r="V51" s="331" t="str">
        <f t="shared" si="43"/>
        <v/>
      </c>
      <c r="W51" s="331" t="str">
        <f t="shared" si="47"/>
        <v/>
      </c>
      <c r="X51" s="332" t="str">
        <f t="shared" si="44"/>
        <v/>
      </c>
    </row>
    <row r="52" spans="2:25" ht="15" customHeight="1">
      <c r="B52" s="258">
        <f t="shared" si="48"/>
        <v>8</v>
      </c>
      <c r="C52" s="258" t="str">
        <f t="shared" si="30"/>
        <v/>
      </c>
      <c r="D52" s="255" t="str">
        <f t="shared" si="30"/>
        <v/>
      </c>
      <c r="E52" s="255" t="str">
        <f>IF($S16=FALSE,"",표준압력!F21)</f>
        <v/>
      </c>
      <c r="F52" s="255" t="str">
        <f>IF($S16=FALSE,"",Pressure_2_R1!F143/2)</f>
        <v/>
      </c>
      <c r="G52" s="258" t="str">
        <f t="shared" si="31"/>
        <v/>
      </c>
      <c r="H52" s="255" t="str">
        <f t="shared" si="32"/>
        <v/>
      </c>
      <c r="I52" s="255" t="str">
        <f t="shared" si="33"/>
        <v/>
      </c>
      <c r="J52" s="255" t="str">
        <f t="shared" si="34"/>
        <v/>
      </c>
      <c r="K52" s="255" t="str">
        <f t="shared" si="35"/>
        <v/>
      </c>
      <c r="L52" s="255" t="str">
        <f t="shared" si="36"/>
        <v/>
      </c>
      <c r="M52" s="255" t="str">
        <f t="shared" si="45"/>
        <v/>
      </c>
      <c r="N52" s="255" t="str">
        <f t="shared" si="37"/>
        <v/>
      </c>
      <c r="O52" s="255" t="str">
        <f t="shared" si="38"/>
        <v/>
      </c>
      <c r="P52" s="255" t="str">
        <f t="shared" si="39"/>
        <v/>
      </c>
      <c r="Q52" s="255" t="str">
        <f t="shared" si="40"/>
        <v/>
      </c>
      <c r="R52" s="255" t="str">
        <f t="shared" si="41"/>
        <v/>
      </c>
      <c r="S52" s="255" t="str">
        <f t="shared" si="42"/>
        <v/>
      </c>
      <c r="T52" s="331" t="str">
        <f>IF($S16=FALSE,"",Pressure_2_R1!L11*C52)</f>
        <v/>
      </c>
      <c r="U52" s="331" t="str">
        <f t="shared" si="46"/>
        <v/>
      </c>
      <c r="V52" s="331" t="str">
        <f t="shared" si="43"/>
        <v/>
      </c>
      <c r="W52" s="331" t="str">
        <f t="shared" si="47"/>
        <v/>
      </c>
      <c r="X52" s="332" t="str">
        <f t="shared" si="44"/>
        <v/>
      </c>
    </row>
    <row r="53" spans="2:25" ht="15" customHeight="1">
      <c r="B53" s="258">
        <f t="shared" si="48"/>
        <v>9</v>
      </c>
      <c r="C53" s="258" t="str">
        <f t="shared" si="30"/>
        <v/>
      </c>
      <c r="D53" s="255" t="str">
        <f t="shared" si="30"/>
        <v/>
      </c>
      <c r="E53" s="255" t="str">
        <f>IF($S17=FALSE,"",표준압력!F22)</f>
        <v/>
      </c>
      <c r="F53" s="255" t="str">
        <f>IF($S17=FALSE,"",Pressure_2_R1!F144/2)</f>
        <v/>
      </c>
      <c r="G53" s="258" t="str">
        <f t="shared" si="31"/>
        <v/>
      </c>
      <c r="H53" s="255" t="str">
        <f t="shared" si="32"/>
        <v/>
      </c>
      <c r="I53" s="255" t="str">
        <f t="shared" si="33"/>
        <v/>
      </c>
      <c r="J53" s="255" t="str">
        <f t="shared" si="34"/>
        <v/>
      </c>
      <c r="K53" s="255" t="str">
        <f t="shared" si="35"/>
        <v/>
      </c>
      <c r="L53" s="255" t="str">
        <f t="shared" si="36"/>
        <v/>
      </c>
      <c r="M53" s="255" t="str">
        <f t="shared" si="45"/>
        <v/>
      </c>
      <c r="N53" s="255" t="str">
        <f t="shared" si="37"/>
        <v/>
      </c>
      <c r="O53" s="255" t="str">
        <f t="shared" si="38"/>
        <v/>
      </c>
      <c r="P53" s="255" t="str">
        <f t="shared" si="39"/>
        <v/>
      </c>
      <c r="Q53" s="255" t="str">
        <f t="shared" si="40"/>
        <v/>
      </c>
      <c r="R53" s="255" t="str">
        <f t="shared" si="41"/>
        <v/>
      </c>
      <c r="S53" s="255" t="str">
        <f t="shared" si="42"/>
        <v/>
      </c>
      <c r="T53" s="331" t="str">
        <f>IF($S17=FALSE,"",Pressure_2_R1!L12*C53)</f>
        <v/>
      </c>
      <c r="U53" s="331" t="str">
        <f t="shared" si="46"/>
        <v/>
      </c>
      <c r="V53" s="331" t="str">
        <f t="shared" si="43"/>
        <v/>
      </c>
      <c r="W53" s="331" t="str">
        <f t="shared" si="47"/>
        <v/>
      </c>
      <c r="X53" s="332" t="str">
        <f t="shared" si="44"/>
        <v/>
      </c>
    </row>
    <row r="54" spans="2:25" ht="15" customHeight="1">
      <c r="B54" s="258">
        <f t="shared" si="48"/>
        <v>10</v>
      </c>
      <c r="C54" s="258" t="str">
        <f t="shared" si="30"/>
        <v/>
      </c>
      <c r="D54" s="255" t="str">
        <f t="shared" si="30"/>
        <v/>
      </c>
      <c r="E54" s="255" t="str">
        <f>IF($S18=FALSE,"",표준압력!F23)</f>
        <v/>
      </c>
      <c r="F54" s="255" t="str">
        <f>IF($S18=FALSE,"",Pressure_2_R1!F145/2)</f>
        <v/>
      </c>
      <c r="G54" s="258" t="str">
        <f t="shared" si="31"/>
        <v/>
      </c>
      <c r="H54" s="255" t="str">
        <f t="shared" si="32"/>
        <v/>
      </c>
      <c r="I54" s="255" t="str">
        <f t="shared" si="33"/>
        <v/>
      </c>
      <c r="J54" s="255" t="str">
        <f t="shared" si="34"/>
        <v/>
      </c>
      <c r="K54" s="255" t="str">
        <f t="shared" si="35"/>
        <v/>
      </c>
      <c r="L54" s="255" t="str">
        <f t="shared" si="36"/>
        <v/>
      </c>
      <c r="M54" s="255" t="str">
        <f t="shared" si="45"/>
        <v/>
      </c>
      <c r="N54" s="255" t="str">
        <f t="shared" si="37"/>
        <v/>
      </c>
      <c r="O54" s="255" t="str">
        <f t="shared" si="38"/>
        <v/>
      </c>
      <c r="P54" s="255" t="str">
        <f t="shared" si="39"/>
        <v/>
      </c>
      <c r="Q54" s="255" t="str">
        <f t="shared" si="40"/>
        <v/>
      </c>
      <c r="R54" s="255" t="str">
        <f t="shared" si="41"/>
        <v/>
      </c>
      <c r="S54" s="255" t="str">
        <f t="shared" si="42"/>
        <v/>
      </c>
      <c r="T54" s="331" t="str">
        <f>IF($S18=FALSE,"",Pressure_2_R1!L13*C54)</f>
        <v/>
      </c>
      <c r="U54" s="331" t="str">
        <f t="shared" si="46"/>
        <v/>
      </c>
      <c r="V54" s="331" t="str">
        <f t="shared" si="43"/>
        <v/>
      </c>
      <c r="W54" s="331" t="str">
        <f t="shared" si="47"/>
        <v/>
      </c>
      <c r="X54" s="332" t="str">
        <f t="shared" si="44"/>
        <v/>
      </c>
    </row>
    <row r="55" spans="2:25" ht="15" customHeight="1">
      <c r="B55" s="258">
        <f t="shared" si="48"/>
        <v>11</v>
      </c>
      <c r="C55" s="258" t="str">
        <f t="shared" si="30"/>
        <v/>
      </c>
      <c r="D55" s="255" t="str">
        <f t="shared" si="30"/>
        <v/>
      </c>
      <c r="E55" s="255" t="str">
        <f>IF($S19=FALSE,"",표준압력!F24)</f>
        <v/>
      </c>
      <c r="F55" s="255" t="str">
        <f>IF($S19=FALSE,"",Pressure_2_R1!F146/2)</f>
        <v/>
      </c>
      <c r="G55" s="258" t="str">
        <f t="shared" si="31"/>
        <v/>
      </c>
      <c r="H55" s="255" t="str">
        <f t="shared" si="32"/>
        <v/>
      </c>
      <c r="I55" s="255" t="str">
        <f t="shared" si="33"/>
        <v/>
      </c>
      <c r="J55" s="255" t="str">
        <f t="shared" si="34"/>
        <v/>
      </c>
      <c r="K55" s="255" t="str">
        <f t="shared" si="35"/>
        <v/>
      </c>
      <c r="L55" s="255" t="str">
        <f t="shared" si="36"/>
        <v/>
      </c>
      <c r="M55" s="255" t="str">
        <f t="shared" si="45"/>
        <v/>
      </c>
      <c r="N55" s="255" t="str">
        <f t="shared" si="37"/>
        <v/>
      </c>
      <c r="O55" s="255" t="str">
        <f t="shared" si="38"/>
        <v/>
      </c>
      <c r="P55" s="255" t="str">
        <f t="shared" si="39"/>
        <v/>
      </c>
      <c r="Q55" s="255" t="str">
        <f t="shared" si="40"/>
        <v/>
      </c>
      <c r="R55" s="255" t="str">
        <f t="shared" si="41"/>
        <v/>
      </c>
      <c r="S55" s="255" t="str">
        <f t="shared" si="42"/>
        <v/>
      </c>
      <c r="T55" s="331" t="str">
        <f>IF($S19=FALSE,"",Pressure_2_R1!L14*C55)</f>
        <v/>
      </c>
      <c r="U55" s="331" t="str">
        <f t="shared" si="46"/>
        <v/>
      </c>
      <c r="V55" s="331" t="str">
        <f t="shared" si="43"/>
        <v/>
      </c>
      <c r="W55" s="331" t="str">
        <f t="shared" si="47"/>
        <v/>
      </c>
      <c r="X55" s="332" t="str">
        <f t="shared" si="44"/>
        <v/>
      </c>
    </row>
    <row r="56" spans="2:25" ht="15" customHeight="1">
      <c r="B56" s="258">
        <f t="shared" si="48"/>
        <v>12</v>
      </c>
      <c r="C56" s="258" t="str">
        <f t="shared" si="30"/>
        <v/>
      </c>
      <c r="D56" s="255" t="str">
        <f t="shared" si="30"/>
        <v/>
      </c>
      <c r="E56" s="255" t="str">
        <f>IF($S20=FALSE,"",표준압력!F25)</f>
        <v/>
      </c>
      <c r="F56" s="255" t="str">
        <f>IF($S20=FALSE,"",Pressure_2_R1!F147/2)</f>
        <v/>
      </c>
      <c r="G56" s="258" t="str">
        <f t="shared" si="31"/>
        <v/>
      </c>
      <c r="H56" s="255" t="str">
        <f t="shared" si="32"/>
        <v/>
      </c>
      <c r="I56" s="255" t="str">
        <f t="shared" si="33"/>
        <v/>
      </c>
      <c r="J56" s="255" t="str">
        <f t="shared" si="34"/>
        <v/>
      </c>
      <c r="K56" s="255" t="str">
        <f t="shared" si="35"/>
        <v/>
      </c>
      <c r="L56" s="255" t="str">
        <f t="shared" si="36"/>
        <v/>
      </c>
      <c r="M56" s="255" t="str">
        <f t="shared" si="45"/>
        <v/>
      </c>
      <c r="N56" s="255" t="str">
        <f t="shared" si="37"/>
        <v/>
      </c>
      <c r="O56" s="255" t="str">
        <f t="shared" si="38"/>
        <v/>
      </c>
      <c r="P56" s="255" t="str">
        <f t="shared" si="39"/>
        <v/>
      </c>
      <c r="Q56" s="255" t="str">
        <f t="shared" si="40"/>
        <v/>
      </c>
      <c r="R56" s="255" t="str">
        <f t="shared" si="41"/>
        <v/>
      </c>
      <c r="S56" s="255" t="str">
        <f t="shared" si="42"/>
        <v/>
      </c>
      <c r="T56" s="331" t="str">
        <f>IF($S20=FALSE,"",Pressure_2_R1!L15*C56)</f>
        <v/>
      </c>
      <c r="U56" s="331" t="str">
        <f t="shared" si="46"/>
        <v/>
      </c>
      <c r="V56" s="331" t="str">
        <f t="shared" si="43"/>
        <v/>
      </c>
      <c r="W56" s="331" t="str">
        <f t="shared" si="47"/>
        <v/>
      </c>
      <c r="X56" s="332" t="str">
        <f t="shared" si="44"/>
        <v/>
      </c>
    </row>
    <row r="57" spans="2:25" ht="15" customHeight="1">
      <c r="B57" s="258">
        <f t="shared" si="48"/>
        <v>13</v>
      </c>
      <c r="C57" s="258" t="str">
        <f t="shared" si="30"/>
        <v/>
      </c>
      <c r="D57" s="255" t="str">
        <f t="shared" si="30"/>
        <v/>
      </c>
      <c r="E57" s="255" t="str">
        <f>IF($S21=FALSE,"",표준압력!F26)</f>
        <v/>
      </c>
      <c r="F57" s="255" t="str">
        <f>IF($S21=FALSE,"",Pressure_2_R1!F148/2)</f>
        <v/>
      </c>
      <c r="G57" s="258" t="str">
        <f t="shared" si="31"/>
        <v/>
      </c>
      <c r="H57" s="255" t="str">
        <f t="shared" si="32"/>
        <v/>
      </c>
      <c r="I57" s="255" t="str">
        <f t="shared" si="33"/>
        <v/>
      </c>
      <c r="J57" s="255" t="str">
        <f t="shared" si="34"/>
        <v/>
      </c>
      <c r="K57" s="255" t="str">
        <f t="shared" si="35"/>
        <v/>
      </c>
      <c r="L57" s="255" t="str">
        <f t="shared" si="36"/>
        <v/>
      </c>
      <c r="M57" s="255" t="str">
        <f t="shared" si="45"/>
        <v/>
      </c>
      <c r="N57" s="255" t="str">
        <f t="shared" si="37"/>
        <v/>
      </c>
      <c r="O57" s="255" t="str">
        <f t="shared" si="38"/>
        <v/>
      </c>
      <c r="P57" s="255" t="str">
        <f t="shared" si="39"/>
        <v/>
      </c>
      <c r="Q57" s="255" t="str">
        <f t="shared" si="40"/>
        <v/>
      </c>
      <c r="R57" s="255" t="str">
        <f t="shared" si="41"/>
        <v/>
      </c>
      <c r="S57" s="255" t="str">
        <f t="shared" si="42"/>
        <v/>
      </c>
      <c r="T57" s="331" t="str">
        <f>IF($S21=FALSE,"",Pressure_2_R1!L16*C57)</f>
        <v/>
      </c>
      <c r="U57" s="331" t="str">
        <f t="shared" si="46"/>
        <v/>
      </c>
      <c r="V57" s="331" t="str">
        <f t="shared" si="43"/>
        <v/>
      </c>
      <c r="W57" s="331" t="str">
        <f t="shared" si="47"/>
        <v/>
      </c>
      <c r="X57" s="332" t="str">
        <f t="shared" si="44"/>
        <v/>
      </c>
    </row>
    <row r="58" spans="2:25" ht="15" customHeight="1">
      <c r="B58" s="258">
        <f t="shared" si="48"/>
        <v>14</v>
      </c>
      <c r="C58" s="258" t="str">
        <f t="shared" si="30"/>
        <v/>
      </c>
      <c r="D58" s="255" t="str">
        <f t="shared" si="30"/>
        <v/>
      </c>
      <c r="E58" s="255" t="str">
        <f>IF($S22=FALSE,"",표준압력!F27)</f>
        <v/>
      </c>
      <c r="F58" s="255" t="str">
        <f>IF($S22=FALSE,"",Pressure_2_R1!F149/2)</f>
        <v/>
      </c>
      <c r="G58" s="258" t="str">
        <f t="shared" si="31"/>
        <v/>
      </c>
      <c r="H58" s="255" t="str">
        <f t="shared" si="32"/>
        <v/>
      </c>
      <c r="I58" s="255" t="str">
        <f t="shared" si="33"/>
        <v/>
      </c>
      <c r="J58" s="255" t="str">
        <f t="shared" si="34"/>
        <v/>
      </c>
      <c r="K58" s="255" t="str">
        <f t="shared" si="35"/>
        <v/>
      </c>
      <c r="L58" s="255" t="str">
        <f t="shared" si="36"/>
        <v/>
      </c>
      <c r="M58" s="255" t="str">
        <f t="shared" si="45"/>
        <v/>
      </c>
      <c r="N58" s="255" t="str">
        <f t="shared" si="37"/>
        <v/>
      </c>
      <c r="O58" s="255" t="str">
        <f t="shared" si="38"/>
        <v/>
      </c>
      <c r="P58" s="255" t="str">
        <f t="shared" si="39"/>
        <v/>
      </c>
      <c r="Q58" s="255" t="str">
        <f t="shared" si="40"/>
        <v/>
      </c>
      <c r="R58" s="255" t="str">
        <f t="shared" si="41"/>
        <v/>
      </c>
      <c r="S58" s="255" t="str">
        <f t="shared" si="42"/>
        <v/>
      </c>
      <c r="T58" s="331" t="str">
        <f>IF($S22=FALSE,"",Pressure_2_R1!L17*C58)</f>
        <v/>
      </c>
      <c r="U58" s="331" t="str">
        <f t="shared" si="46"/>
        <v/>
      </c>
      <c r="V58" s="331" t="str">
        <f t="shared" si="43"/>
        <v/>
      </c>
      <c r="W58" s="331" t="str">
        <f t="shared" si="47"/>
        <v/>
      </c>
      <c r="X58" s="332" t="str">
        <f t="shared" si="44"/>
        <v/>
      </c>
    </row>
    <row r="59" spans="2:25" ht="15" customHeight="1" thickBot="1">
      <c r="B59" s="258">
        <f t="shared" si="48"/>
        <v>15</v>
      </c>
      <c r="C59" s="258" t="str">
        <f t="shared" si="30"/>
        <v/>
      </c>
      <c r="D59" s="255" t="str">
        <f t="shared" si="30"/>
        <v/>
      </c>
      <c r="E59" s="255" t="str">
        <f>IF($S23=FALSE,"",표준압력!F28)</f>
        <v/>
      </c>
      <c r="F59" s="255" t="str">
        <f>IF($S23=FALSE,"",Pressure_2_R1!F150/2)</f>
        <v/>
      </c>
      <c r="G59" s="258" t="str">
        <f t="shared" si="31"/>
        <v/>
      </c>
      <c r="H59" s="255" t="str">
        <f t="shared" si="32"/>
        <v/>
      </c>
      <c r="I59" s="255" t="str">
        <f t="shared" si="33"/>
        <v/>
      </c>
      <c r="J59" s="255" t="str">
        <f t="shared" si="34"/>
        <v/>
      </c>
      <c r="K59" s="255" t="str">
        <f t="shared" si="35"/>
        <v/>
      </c>
      <c r="L59" s="255" t="str">
        <f t="shared" si="36"/>
        <v/>
      </c>
      <c r="M59" s="255" t="str">
        <f t="shared" si="45"/>
        <v/>
      </c>
      <c r="N59" s="255" t="str">
        <f t="shared" si="37"/>
        <v/>
      </c>
      <c r="O59" s="255" t="str">
        <f t="shared" si="38"/>
        <v/>
      </c>
      <c r="P59" s="255" t="str">
        <f t="shared" si="39"/>
        <v/>
      </c>
      <c r="Q59" s="255" t="str">
        <f t="shared" si="40"/>
        <v/>
      </c>
      <c r="R59" s="255" t="str">
        <f t="shared" si="41"/>
        <v/>
      </c>
      <c r="S59" s="255" t="str">
        <f t="shared" si="42"/>
        <v/>
      </c>
      <c r="T59" s="331" t="str">
        <f>IF($S23=FALSE,"",Pressure_2_R1!L18*C59)</f>
        <v/>
      </c>
      <c r="U59" s="331" t="str">
        <f t="shared" si="46"/>
        <v/>
      </c>
      <c r="V59" s="331" t="str">
        <f t="shared" si="43"/>
        <v/>
      </c>
      <c r="W59" s="331" t="str">
        <f t="shared" si="47"/>
        <v/>
      </c>
      <c r="X59" s="332" t="str">
        <f t="shared" si="44"/>
        <v/>
      </c>
    </row>
    <row r="60" spans="2:25" ht="15" customHeight="1" thickBot="1">
      <c r="S60" s="243"/>
      <c r="U60" s="257"/>
      <c r="V60" s="257"/>
      <c r="W60" s="257"/>
      <c r="X60" s="263" t="str">
        <f>IF($S24=FALSE,"",IF(SUM(X45:X59)=0,"","초과"))</f>
        <v/>
      </c>
    </row>
    <row r="61" spans="2:25" ht="15" customHeight="1">
      <c r="B61" s="247" t="s">
        <v>567</v>
      </c>
      <c r="I61" s="247" t="s">
        <v>568</v>
      </c>
      <c r="U61" s="257"/>
      <c r="V61" s="257"/>
      <c r="W61" s="257"/>
    </row>
    <row r="62" spans="2:25" ht="15" customHeight="1">
      <c r="B62" s="877" t="s">
        <v>552</v>
      </c>
      <c r="C62" s="874" t="s">
        <v>569</v>
      </c>
      <c r="D62" s="882" t="s">
        <v>570</v>
      </c>
      <c r="E62" s="883"/>
      <c r="F62" s="884"/>
      <c r="G62" s="368"/>
      <c r="I62" s="914" t="s">
        <v>571</v>
      </c>
      <c r="J62" s="915"/>
      <c r="K62" s="916"/>
      <c r="L62" s="924" t="s">
        <v>572</v>
      </c>
      <c r="N62" s="261" t="s">
        <v>573</v>
      </c>
      <c r="O62" s="920" t="s">
        <v>574</v>
      </c>
      <c r="P62" s="921"/>
      <c r="Q62" s="921"/>
      <c r="R62" s="921"/>
      <c r="S62" s="921"/>
      <c r="U62" s="260" t="s">
        <v>575</v>
      </c>
      <c r="V62" s="260" t="s">
        <v>576</v>
      </c>
      <c r="W62" s="260" t="s">
        <v>379</v>
      </c>
      <c r="X62" s="260" t="s">
        <v>577</v>
      </c>
      <c r="Y62" s="260" t="s">
        <v>576</v>
      </c>
    </row>
    <row r="63" spans="2:25" ht="15" customHeight="1">
      <c r="B63" s="881"/>
      <c r="C63" s="876"/>
      <c r="D63" s="882" t="s">
        <v>578</v>
      </c>
      <c r="E63" s="884"/>
      <c r="F63" s="330" t="s">
        <v>121</v>
      </c>
      <c r="G63" s="330" t="s">
        <v>104</v>
      </c>
      <c r="I63" s="360" t="s">
        <v>367</v>
      </c>
      <c r="J63" s="360" t="s">
        <v>380</v>
      </c>
      <c r="K63" s="360" t="s">
        <v>579</v>
      </c>
      <c r="L63" s="925"/>
      <c r="N63" s="264" t="s">
        <v>580</v>
      </c>
      <c r="O63" s="333" t="s">
        <v>581</v>
      </c>
      <c r="P63" s="330" t="s">
        <v>368</v>
      </c>
      <c r="Q63" s="330" t="s">
        <v>578</v>
      </c>
      <c r="R63" s="330" t="s">
        <v>582</v>
      </c>
      <c r="S63" s="330" t="s">
        <v>381</v>
      </c>
      <c r="U63" s="262"/>
      <c r="V63" s="262" t="s">
        <v>113</v>
      </c>
      <c r="W63" s="260" t="s">
        <v>135</v>
      </c>
      <c r="X63" s="262"/>
      <c r="Y63" s="262" t="s">
        <v>113</v>
      </c>
    </row>
    <row r="64" spans="2:25" ht="15" customHeight="1">
      <c r="B64" s="878"/>
      <c r="C64" s="334">
        <f>D44</f>
        <v>0</v>
      </c>
      <c r="D64" s="334">
        <f>G44</f>
        <v>0</v>
      </c>
      <c r="E64" s="334">
        <f>H44</f>
        <v>0</v>
      </c>
      <c r="F64" s="334">
        <f>I44</f>
        <v>0</v>
      </c>
      <c r="G64" s="334">
        <f>W44</f>
        <v>0</v>
      </c>
      <c r="I64" s="360">
        <f>F8</f>
        <v>0</v>
      </c>
      <c r="J64" s="360">
        <f>I64</f>
        <v>0</v>
      </c>
      <c r="K64" s="360">
        <f>J64</f>
        <v>0</v>
      </c>
      <c r="L64" s="429" t="str">
        <f>IF(TYPE(MATCH("FAIL",L65:L79,0))=16,"PASS","FAIL")</f>
        <v>PASS</v>
      </c>
      <c r="N64" s="265">
        <f ca="1">MIN(N65:N79)</f>
        <v>0</v>
      </c>
      <c r="O64" s="266">
        <f ca="1">OFFSET(V63,MATCH(N64,W64:W73,0),0)</f>
        <v>0</v>
      </c>
      <c r="P64" s="266">
        <f ca="1">OFFSET(V63,MATCH(I3,W64:W73,0),0)</f>
        <v>0</v>
      </c>
      <c r="Q64" s="266">
        <f ca="1">O64</f>
        <v>0</v>
      </c>
      <c r="R64" s="266">
        <f ca="1">Q64</f>
        <v>0</v>
      </c>
      <c r="S64" s="266">
        <f ca="1">R64</f>
        <v>0</v>
      </c>
      <c r="U64" s="335">
        <v>9.9999999999999995E-8</v>
      </c>
      <c r="V64" s="335" t="s">
        <v>583</v>
      </c>
      <c r="W64" s="335">
        <v>7</v>
      </c>
      <c r="X64" s="335">
        <v>0</v>
      </c>
      <c r="Y64" s="335"/>
    </row>
    <row r="65" spans="2:25" ht="15" customHeight="1">
      <c r="B65" s="331">
        <f>B45</f>
        <v>1</v>
      </c>
      <c r="C65" s="336" t="str">
        <f t="shared" ref="C65:C79" si="49">IF($S9=FALSE,"",TEXT(ROUND(D45,$N$64),O65))</f>
        <v/>
      </c>
      <c r="D65" s="336" t="str">
        <f>IF($S9=FALSE,"",TEXT(G45,P65))</f>
        <v/>
      </c>
      <c r="E65" s="336" t="str">
        <f>IF($S9=FALSE,"",TEXT(H45,Q65))</f>
        <v/>
      </c>
      <c r="F65" s="336" t="str">
        <f t="shared" ref="F65:F79" si="50">IF($S9=FALSE,"",TEXT(ROUND(I45,$N$64),R65))</f>
        <v/>
      </c>
      <c r="G65" s="336" t="str">
        <f>IF($S9=FALSE,"",TEXT(ROUND(W45,$N$64),S65))</f>
        <v/>
      </c>
      <c r="I65" s="267" t="str">
        <f>IF($S9=FALSE,"",ROUND(IF(D$3="mV/V",Pressure_2_R1!S4/G$3,Pressure_2_R1!S4),I$3))</f>
        <v/>
      </c>
      <c r="J65" s="267" t="str">
        <f>IF($S9=FALSE,"",ROUND(IF(D$3="mV/V",Pressure_2_R1!T4/G$3,Pressure_2_R1!T4),I$3))</f>
        <v/>
      </c>
      <c r="K65" s="267" t="str">
        <f t="shared" ref="K65:K79" si="51">IF($S9=FALSE,"","± "&amp;TEXT((J65-I65)/2,Q65))</f>
        <v/>
      </c>
      <c r="L65" s="268" t="str">
        <f t="shared" ref="L65:L79" si="52">IF($S9=FALSE,"",IF(AND(I65&lt;=G45,G45&lt;=J65),"PASS","FAIL"))</f>
        <v/>
      </c>
      <c r="N65" s="258" t="str">
        <f ca="1">IF($S9=FALSE,"",OFFSET(W$63,COUNTIF(U$64:U$73,"&lt;="&amp;U45),0)+1)</f>
        <v/>
      </c>
      <c r="O65" s="258" t="str">
        <f t="shared" ref="O65:O79" ca="1" si="53">IF($S9=FALSE,"",SUBSTITUTE(OFFSET($Y$63,COUNTIF($X$64:$X$73,"&lt;="&amp;ABS(C45)),0),0,"")&amp;O$64)</f>
        <v/>
      </c>
      <c r="P65" s="258" t="str">
        <f t="shared" ref="P65:P76" ca="1" si="54">IF($S9=FALSE,"",SUBSTITUTE(OFFSET($Y$63,COUNTIF($X$64:$X$73,"&lt;="&amp;ABS(G45)),0),0,"")&amp;P$64)</f>
        <v/>
      </c>
      <c r="Q65" s="258" t="str">
        <f t="shared" ref="Q65:Q76" ca="1" si="55">IF($S9=FALSE,"",SUBSTITUTE(OFFSET($Y$63,COUNTIF($X$64:$X$73,"&lt;="&amp;ABS(H45)),0),0,"")&amp;Q$64)</f>
        <v/>
      </c>
      <c r="R65" s="258" t="str">
        <f t="shared" ref="R65:R76" ca="1" si="56">IF($S9=FALSE,"",SUBSTITUTE(OFFSET($Y$63,COUNTIF($X$64:$X$73,"&lt;="&amp;ABS(I45)),0),0,"")&amp;R$64)</f>
        <v/>
      </c>
      <c r="S65" s="258" t="str">
        <f t="shared" ref="S65:S79" si="57">IF($S9=FALSE,"",S$64)</f>
        <v/>
      </c>
      <c r="U65" s="335">
        <v>9.9999999999999995E-7</v>
      </c>
      <c r="V65" s="335" t="s">
        <v>584</v>
      </c>
      <c r="W65" s="335">
        <v>6</v>
      </c>
      <c r="X65" s="335">
        <v>1</v>
      </c>
      <c r="Y65" s="335"/>
    </row>
    <row r="66" spans="2:25" ht="15" customHeight="1">
      <c r="B66" s="331">
        <f>B46</f>
        <v>2</v>
      </c>
      <c r="C66" s="336" t="str">
        <f t="shared" si="49"/>
        <v/>
      </c>
      <c r="D66" s="336" t="str">
        <f t="shared" ref="D66:D79" si="58">IF($S10=FALSE,"",TEXT(G46,P66))</f>
        <v/>
      </c>
      <c r="E66" s="336" t="str">
        <f t="shared" ref="E66:E79" si="59">IF($S10=FALSE,"",TEXT(H46,Q66))</f>
        <v/>
      </c>
      <c r="F66" s="336" t="str">
        <f t="shared" si="50"/>
        <v/>
      </c>
      <c r="G66" s="336" t="str">
        <f t="shared" ref="G66:G79" si="60">IF($S10=FALSE,"",TEXT(ROUND(W46,$N$64),S66))</f>
        <v/>
      </c>
      <c r="I66" s="267" t="str">
        <f>IF($S10=FALSE,"",ROUND(IF(D$3="mV/V",Pressure_2_R1!S5/G$3,Pressure_2_R1!S5),I$3))</f>
        <v/>
      </c>
      <c r="J66" s="267" t="str">
        <f>IF($S10=FALSE,"",ROUND(IF(D$3="mV/V",Pressure_2_R1!T5/G$3,Pressure_2_R1!T5),I$3))</f>
        <v/>
      </c>
      <c r="K66" s="267" t="str">
        <f t="shared" si="51"/>
        <v/>
      </c>
      <c r="L66" s="268" t="str">
        <f t="shared" si="52"/>
        <v/>
      </c>
      <c r="N66" s="258" t="str">
        <f t="shared" ref="N66:N79" ca="1" si="61">IF($S10=FALSE,"",OFFSET(W$63,COUNTIF(U$64:U$73,"&lt;="&amp;U46),0)+1)</f>
        <v/>
      </c>
      <c r="O66" s="258" t="str">
        <f t="shared" ca="1" si="53"/>
        <v/>
      </c>
      <c r="P66" s="258" t="str">
        <f t="shared" ca="1" si="54"/>
        <v/>
      </c>
      <c r="Q66" s="258" t="str">
        <f t="shared" ca="1" si="55"/>
        <v/>
      </c>
      <c r="R66" s="258" t="str">
        <f t="shared" ca="1" si="56"/>
        <v/>
      </c>
      <c r="S66" s="258" t="str">
        <f t="shared" si="57"/>
        <v/>
      </c>
      <c r="U66" s="335">
        <v>1.0000000000000001E-5</v>
      </c>
      <c r="V66" s="335" t="s">
        <v>382</v>
      </c>
      <c r="W66" s="335">
        <v>5</v>
      </c>
      <c r="X66" s="335">
        <v>10</v>
      </c>
      <c r="Y66" s="335" t="s">
        <v>114</v>
      </c>
    </row>
    <row r="67" spans="2:25" ht="15" customHeight="1">
      <c r="B67" s="331">
        <f t="shared" ref="B67:B79" si="62">B47</f>
        <v>3</v>
      </c>
      <c r="C67" s="336" t="str">
        <f t="shared" si="49"/>
        <v/>
      </c>
      <c r="D67" s="336" t="str">
        <f t="shared" si="58"/>
        <v/>
      </c>
      <c r="E67" s="336" t="str">
        <f t="shared" si="59"/>
        <v/>
      </c>
      <c r="F67" s="336" t="str">
        <f t="shared" si="50"/>
        <v/>
      </c>
      <c r="G67" s="336" t="str">
        <f t="shared" si="60"/>
        <v/>
      </c>
      <c r="I67" s="267" t="str">
        <f>IF($S11=FALSE,"",ROUND(IF(D$3="mV/V",Pressure_2_R1!S6/G$3,Pressure_2_R1!S6),I$3))</f>
        <v/>
      </c>
      <c r="J67" s="267" t="str">
        <f>IF($S11=FALSE,"",ROUND(IF(D$3="mV/V",Pressure_2_R1!T6/G$3,Pressure_2_R1!T6),I$3))</f>
        <v/>
      </c>
      <c r="K67" s="267" t="str">
        <f t="shared" si="51"/>
        <v/>
      </c>
      <c r="L67" s="268" t="str">
        <f t="shared" si="52"/>
        <v/>
      </c>
      <c r="N67" s="258" t="str">
        <f t="shared" ca="1" si="61"/>
        <v/>
      </c>
      <c r="O67" s="258" t="str">
        <f t="shared" ca="1" si="53"/>
        <v/>
      </c>
      <c r="P67" s="258" t="str">
        <f t="shared" ca="1" si="54"/>
        <v/>
      </c>
      <c r="Q67" s="258" t="str">
        <f t="shared" ca="1" si="55"/>
        <v/>
      </c>
      <c r="R67" s="258" t="str">
        <f t="shared" ca="1" si="56"/>
        <v/>
      </c>
      <c r="S67" s="258" t="str">
        <f t="shared" si="57"/>
        <v/>
      </c>
      <c r="U67" s="335">
        <v>1E-4</v>
      </c>
      <c r="V67" s="335" t="s">
        <v>383</v>
      </c>
      <c r="W67" s="335">
        <v>4</v>
      </c>
      <c r="X67" s="335">
        <v>100</v>
      </c>
      <c r="Y67" s="335" t="s">
        <v>115</v>
      </c>
    </row>
    <row r="68" spans="2:25" ht="15" customHeight="1">
      <c r="B68" s="331">
        <f t="shared" si="62"/>
        <v>4</v>
      </c>
      <c r="C68" s="336" t="str">
        <f t="shared" si="49"/>
        <v/>
      </c>
      <c r="D68" s="336" t="str">
        <f t="shared" si="58"/>
        <v/>
      </c>
      <c r="E68" s="336" t="str">
        <f t="shared" si="59"/>
        <v/>
      </c>
      <c r="F68" s="336" t="str">
        <f t="shared" si="50"/>
        <v/>
      </c>
      <c r="G68" s="336" t="str">
        <f t="shared" si="60"/>
        <v/>
      </c>
      <c r="I68" s="267" t="str">
        <f>IF($S12=FALSE,"",ROUND(IF(D$3="mV/V",Pressure_2_R1!S7/G$3,Pressure_2_R1!S7),I$3))</f>
        <v/>
      </c>
      <c r="J68" s="267" t="str">
        <f>IF($S12=FALSE,"",ROUND(IF(D$3="mV/V",Pressure_2_R1!T7/G$3,Pressure_2_R1!T7),I$3))</f>
        <v/>
      </c>
      <c r="K68" s="267" t="str">
        <f t="shared" si="51"/>
        <v/>
      </c>
      <c r="L68" s="268" t="str">
        <f t="shared" si="52"/>
        <v/>
      </c>
      <c r="N68" s="258" t="str">
        <f t="shared" ca="1" si="61"/>
        <v/>
      </c>
      <c r="O68" s="258" t="str">
        <f t="shared" ca="1" si="53"/>
        <v/>
      </c>
      <c r="P68" s="258" t="str">
        <f t="shared" ca="1" si="54"/>
        <v/>
      </c>
      <c r="Q68" s="258" t="str">
        <f t="shared" ca="1" si="55"/>
        <v/>
      </c>
      <c r="R68" s="258" t="str">
        <f t="shared" ca="1" si="56"/>
        <v/>
      </c>
      <c r="S68" s="258" t="str">
        <f t="shared" si="57"/>
        <v/>
      </c>
      <c r="U68" s="335">
        <v>1E-3</v>
      </c>
      <c r="V68" s="337" t="s">
        <v>384</v>
      </c>
      <c r="W68" s="335">
        <v>3</v>
      </c>
      <c r="X68" s="335">
        <v>1000</v>
      </c>
      <c r="Y68" s="335" t="s">
        <v>116</v>
      </c>
    </row>
    <row r="69" spans="2:25" ht="15" customHeight="1">
      <c r="B69" s="331">
        <f t="shared" si="62"/>
        <v>5</v>
      </c>
      <c r="C69" s="336" t="str">
        <f t="shared" si="49"/>
        <v/>
      </c>
      <c r="D69" s="336" t="str">
        <f t="shared" si="58"/>
        <v/>
      </c>
      <c r="E69" s="336" t="str">
        <f t="shared" si="59"/>
        <v/>
      </c>
      <c r="F69" s="336" t="str">
        <f t="shared" si="50"/>
        <v/>
      </c>
      <c r="G69" s="336" t="str">
        <f t="shared" si="60"/>
        <v/>
      </c>
      <c r="I69" s="267" t="str">
        <f>IF($S13=FALSE,"",ROUND(IF(D$3="mV/V",Pressure_2_R1!S8/G$3,Pressure_2_R1!S8),I$3))</f>
        <v/>
      </c>
      <c r="J69" s="267" t="str">
        <f>IF($S13=FALSE,"",ROUND(IF(D$3="mV/V",Pressure_2_R1!T8/G$3,Pressure_2_R1!T8),I$3))</f>
        <v/>
      </c>
      <c r="K69" s="267" t="str">
        <f t="shared" si="51"/>
        <v/>
      </c>
      <c r="L69" s="268" t="str">
        <f t="shared" si="52"/>
        <v/>
      </c>
      <c r="N69" s="258" t="str">
        <f t="shared" ca="1" si="61"/>
        <v/>
      </c>
      <c r="O69" s="258" t="str">
        <f t="shared" ca="1" si="53"/>
        <v/>
      </c>
      <c r="P69" s="258" t="str">
        <f t="shared" ca="1" si="54"/>
        <v/>
      </c>
      <c r="Q69" s="258" t="str">
        <f t="shared" ca="1" si="55"/>
        <v/>
      </c>
      <c r="R69" s="258" t="str">
        <f t="shared" ca="1" si="56"/>
        <v/>
      </c>
      <c r="S69" s="258" t="str">
        <f t="shared" si="57"/>
        <v/>
      </c>
      <c r="U69" s="335">
        <v>0.01</v>
      </c>
      <c r="V69" s="337" t="s">
        <v>585</v>
      </c>
      <c r="W69" s="335">
        <v>2</v>
      </c>
      <c r="X69" s="335">
        <v>10000</v>
      </c>
      <c r="Y69" s="335" t="s">
        <v>117</v>
      </c>
    </row>
    <row r="70" spans="2:25" ht="15" customHeight="1">
      <c r="B70" s="331">
        <f t="shared" si="62"/>
        <v>6</v>
      </c>
      <c r="C70" s="336" t="str">
        <f t="shared" si="49"/>
        <v/>
      </c>
      <c r="D70" s="336" t="str">
        <f t="shared" si="58"/>
        <v/>
      </c>
      <c r="E70" s="336" t="str">
        <f t="shared" si="59"/>
        <v/>
      </c>
      <c r="F70" s="336" t="str">
        <f t="shared" si="50"/>
        <v/>
      </c>
      <c r="G70" s="336" t="str">
        <f t="shared" si="60"/>
        <v/>
      </c>
      <c r="I70" s="267" t="str">
        <f>IF($S14=FALSE,"",ROUND(IF(D$3="mV/V",Pressure_2_R1!S9/G$3,Pressure_2_R1!S9),I$3))</f>
        <v/>
      </c>
      <c r="J70" s="267" t="str">
        <f>IF($S14=FALSE,"",ROUND(IF(D$3="mV/V",Pressure_2_R1!T9/G$3,Pressure_2_R1!T9),I$3))</f>
        <v/>
      </c>
      <c r="K70" s="267" t="str">
        <f t="shared" si="51"/>
        <v/>
      </c>
      <c r="L70" s="268" t="str">
        <f t="shared" si="52"/>
        <v/>
      </c>
      <c r="N70" s="258" t="str">
        <f t="shared" ca="1" si="61"/>
        <v/>
      </c>
      <c r="O70" s="258" t="str">
        <f t="shared" ca="1" si="53"/>
        <v/>
      </c>
      <c r="P70" s="258" t="str">
        <f t="shared" ca="1" si="54"/>
        <v/>
      </c>
      <c r="Q70" s="258" t="str">
        <f t="shared" ca="1" si="55"/>
        <v/>
      </c>
      <c r="R70" s="258" t="str">
        <f t="shared" ca="1" si="56"/>
        <v/>
      </c>
      <c r="S70" s="258" t="str">
        <f t="shared" si="57"/>
        <v/>
      </c>
      <c r="U70" s="335">
        <v>0.1</v>
      </c>
      <c r="V70" s="337" t="s">
        <v>385</v>
      </c>
      <c r="W70" s="335">
        <v>1</v>
      </c>
      <c r="X70" s="335">
        <v>100000</v>
      </c>
      <c r="Y70" s="335" t="s">
        <v>118</v>
      </c>
    </row>
    <row r="71" spans="2:25" ht="15" customHeight="1">
      <c r="B71" s="331">
        <f t="shared" si="62"/>
        <v>7</v>
      </c>
      <c r="C71" s="336" t="str">
        <f t="shared" si="49"/>
        <v/>
      </c>
      <c r="D71" s="336" t="str">
        <f t="shared" si="58"/>
        <v/>
      </c>
      <c r="E71" s="336" t="str">
        <f t="shared" si="59"/>
        <v/>
      </c>
      <c r="F71" s="336" t="str">
        <f t="shared" si="50"/>
        <v/>
      </c>
      <c r="G71" s="336" t="str">
        <f t="shared" si="60"/>
        <v/>
      </c>
      <c r="I71" s="267" t="str">
        <f>IF($S15=FALSE,"",ROUND(IF(D$3="mV/V",Pressure_2_R1!S10/G$3,Pressure_2_R1!S10),I$3))</f>
        <v/>
      </c>
      <c r="J71" s="267" t="str">
        <f>IF($S15=FALSE,"",ROUND(IF(D$3="mV/V",Pressure_2_R1!T10/G$3,Pressure_2_R1!T10),I$3))</f>
        <v/>
      </c>
      <c r="K71" s="267" t="str">
        <f t="shared" si="51"/>
        <v/>
      </c>
      <c r="L71" s="268" t="str">
        <f t="shared" si="52"/>
        <v/>
      </c>
      <c r="N71" s="258" t="str">
        <f t="shared" ca="1" si="61"/>
        <v/>
      </c>
      <c r="O71" s="258" t="str">
        <f t="shared" ca="1" si="53"/>
        <v/>
      </c>
      <c r="P71" s="258" t="str">
        <f t="shared" ca="1" si="54"/>
        <v/>
      </c>
      <c r="Q71" s="258" t="str">
        <f t="shared" ca="1" si="55"/>
        <v/>
      </c>
      <c r="R71" s="258" t="str">
        <f t="shared" ca="1" si="56"/>
        <v/>
      </c>
      <c r="S71" s="258" t="str">
        <f t="shared" si="57"/>
        <v/>
      </c>
      <c r="U71" s="335">
        <v>1</v>
      </c>
      <c r="V71" s="335">
        <v>0</v>
      </c>
      <c r="W71" s="335">
        <v>0</v>
      </c>
      <c r="X71" s="335">
        <v>1000000</v>
      </c>
      <c r="Y71" s="335" t="s">
        <v>119</v>
      </c>
    </row>
    <row r="72" spans="2:25" ht="15" customHeight="1">
      <c r="B72" s="331">
        <f t="shared" si="62"/>
        <v>8</v>
      </c>
      <c r="C72" s="336" t="str">
        <f t="shared" si="49"/>
        <v/>
      </c>
      <c r="D72" s="336" t="str">
        <f t="shared" si="58"/>
        <v/>
      </c>
      <c r="E72" s="336" t="str">
        <f t="shared" si="59"/>
        <v/>
      </c>
      <c r="F72" s="336" t="str">
        <f t="shared" si="50"/>
        <v/>
      </c>
      <c r="G72" s="336" t="str">
        <f t="shared" si="60"/>
        <v/>
      </c>
      <c r="I72" s="267" t="str">
        <f>IF($S16=FALSE,"",ROUND(IF(D$3="mV/V",Pressure_2_R1!S11/G$3,Pressure_2_R1!S11),I$3))</f>
        <v/>
      </c>
      <c r="J72" s="267" t="str">
        <f>IF($S16=FALSE,"",ROUND(IF(D$3="mV/V",Pressure_2_R1!T11/G$3,Pressure_2_R1!T11),I$3))</f>
        <v/>
      </c>
      <c r="K72" s="267" t="str">
        <f t="shared" si="51"/>
        <v/>
      </c>
      <c r="L72" s="268" t="str">
        <f t="shared" si="52"/>
        <v/>
      </c>
      <c r="N72" s="258" t="str">
        <f t="shared" ca="1" si="61"/>
        <v/>
      </c>
      <c r="O72" s="258" t="str">
        <f t="shared" ca="1" si="53"/>
        <v/>
      </c>
      <c r="P72" s="258" t="str">
        <f t="shared" ca="1" si="54"/>
        <v/>
      </c>
      <c r="Q72" s="258" t="str">
        <f t="shared" ca="1" si="55"/>
        <v/>
      </c>
      <c r="R72" s="258" t="str">
        <f t="shared" ca="1" si="56"/>
        <v/>
      </c>
      <c r="S72" s="258" t="str">
        <f t="shared" si="57"/>
        <v/>
      </c>
      <c r="U72" s="335">
        <v>10</v>
      </c>
      <c r="V72" s="335">
        <v>0</v>
      </c>
      <c r="W72" s="335">
        <v>-1</v>
      </c>
      <c r="X72" s="335">
        <v>10000000</v>
      </c>
      <c r="Y72" s="335" t="s">
        <v>120</v>
      </c>
    </row>
    <row r="73" spans="2:25" ht="15" customHeight="1">
      <c r="B73" s="331">
        <f t="shared" si="62"/>
        <v>9</v>
      </c>
      <c r="C73" s="336" t="str">
        <f t="shared" si="49"/>
        <v/>
      </c>
      <c r="D73" s="336" t="str">
        <f t="shared" si="58"/>
        <v/>
      </c>
      <c r="E73" s="336" t="str">
        <f t="shared" si="59"/>
        <v/>
      </c>
      <c r="F73" s="336" t="str">
        <f t="shared" si="50"/>
        <v/>
      </c>
      <c r="G73" s="336" t="str">
        <f t="shared" si="60"/>
        <v/>
      </c>
      <c r="I73" s="267" t="str">
        <f>IF($S17=FALSE,"",ROUND(IF(D$3="mV/V",Pressure_2_R1!S12/G$3,Pressure_2_R1!S12),I$3))</f>
        <v/>
      </c>
      <c r="J73" s="267" t="str">
        <f>IF($S17=FALSE,"",ROUND(IF(D$3="mV/V",Pressure_2_R1!T12/G$3,Pressure_2_R1!T12),I$3))</f>
        <v/>
      </c>
      <c r="K73" s="267" t="str">
        <f t="shared" si="51"/>
        <v/>
      </c>
      <c r="L73" s="268" t="str">
        <f t="shared" si="52"/>
        <v/>
      </c>
      <c r="N73" s="258" t="str">
        <f t="shared" ca="1" si="61"/>
        <v/>
      </c>
      <c r="O73" s="258" t="str">
        <f t="shared" ca="1" si="53"/>
        <v/>
      </c>
      <c r="P73" s="258" t="str">
        <f t="shared" ca="1" si="54"/>
        <v/>
      </c>
      <c r="Q73" s="258" t="str">
        <f t="shared" ca="1" si="55"/>
        <v/>
      </c>
      <c r="R73" s="258" t="str">
        <f t="shared" ca="1" si="56"/>
        <v/>
      </c>
      <c r="S73" s="258" t="str">
        <f t="shared" si="57"/>
        <v/>
      </c>
      <c r="U73" s="335">
        <v>100</v>
      </c>
      <c r="V73" s="335">
        <v>0</v>
      </c>
      <c r="W73" s="335">
        <v>-2</v>
      </c>
      <c r="X73" s="335"/>
      <c r="Y73" s="335"/>
    </row>
    <row r="74" spans="2:25" ht="15" customHeight="1">
      <c r="B74" s="331">
        <f t="shared" si="62"/>
        <v>10</v>
      </c>
      <c r="C74" s="336" t="str">
        <f t="shared" si="49"/>
        <v/>
      </c>
      <c r="D74" s="336" t="str">
        <f t="shared" si="58"/>
        <v/>
      </c>
      <c r="E74" s="336" t="str">
        <f t="shared" si="59"/>
        <v/>
      </c>
      <c r="F74" s="336" t="str">
        <f t="shared" si="50"/>
        <v/>
      </c>
      <c r="G74" s="336" t="str">
        <f t="shared" si="60"/>
        <v/>
      </c>
      <c r="I74" s="267" t="str">
        <f>IF($S18=FALSE,"",ROUND(IF(D$3="mV/V",Pressure_2_R1!S13/G$3,Pressure_2_R1!S13),I$3))</f>
        <v/>
      </c>
      <c r="J74" s="267" t="str">
        <f>IF($S18=FALSE,"",ROUND(IF(D$3="mV/V",Pressure_2_R1!T13/G$3,Pressure_2_R1!T13),I$3))</f>
        <v/>
      </c>
      <c r="K74" s="267" t="str">
        <f t="shared" si="51"/>
        <v/>
      </c>
      <c r="L74" s="268" t="str">
        <f t="shared" si="52"/>
        <v/>
      </c>
      <c r="N74" s="258" t="str">
        <f t="shared" ca="1" si="61"/>
        <v/>
      </c>
      <c r="O74" s="258" t="str">
        <f t="shared" ca="1" si="53"/>
        <v/>
      </c>
      <c r="P74" s="258" t="str">
        <f t="shared" ca="1" si="54"/>
        <v/>
      </c>
      <c r="Q74" s="258" t="str">
        <f t="shared" ca="1" si="55"/>
        <v/>
      </c>
      <c r="R74" s="258" t="str">
        <f t="shared" ca="1" si="56"/>
        <v/>
      </c>
      <c r="S74" s="258" t="str">
        <f t="shared" si="57"/>
        <v/>
      </c>
    </row>
    <row r="75" spans="2:25" ht="15" customHeight="1">
      <c r="B75" s="331">
        <f t="shared" si="62"/>
        <v>11</v>
      </c>
      <c r="C75" s="336" t="str">
        <f t="shared" si="49"/>
        <v/>
      </c>
      <c r="D75" s="336" t="str">
        <f t="shared" si="58"/>
        <v/>
      </c>
      <c r="E75" s="336" t="str">
        <f t="shared" si="59"/>
        <v/>
      </c>
      <c r="F75" s="336" t="str">
        <f t="shared" si="50"/>
        <v/>
      </c>
      <c r="G75" s="336" t="str">
        <f t="shared" si="60"/>
        <v/>
      </c>
      <c r="I75" s="267" t="str">
        <f>IF($S19=FALSE,"",ROUND(IF(D$3="mV/V",Pressure_2_R1!S14/G$3,Pressure_2_R1!S14),I$3))</f>
        <v/>
      </c>
      <c r="J75" s="267" t="str">
        <f>IF($S19=FALSE,"",ROUND(IF(D$3="mV/V",Pressure_2_R1!T14/G$3,Pressure_2_R1!T14),I$3))</f>
        <v/>
      </c>
      <c r="K75" s="267" t="str">
        <f t="shared" si="51"/>
        <v/>
      </c>
      <c r="L75" s="268" t="str">
        <f t="shared" si="52"/>
        <v/>
      </c>
      <c r="N75" s="258" t="str">
        <f t="shared" ca="1" si="61"/>
        <v/>
      </c>
      <c r="O75" s="258" t="str">
        <f t="shared" ca="1" si="53"/>
        <v/>
      </c>
      <c r="P75" s="258" t="str">
        <f t="shared" ca="1" si="54"/>
        <v/>
      </c>
      <c r="Q75" s="258" t="str">
        <f t="shared" ca="1" si="55"/>
        <v/>
      </c>
      <c r="R75" s="258" t="str">
        <f t="shared" ca="1" si="56"/>
        <v/>
      </c>
      <c r="S75" s="258" t="str">
        <f t="shared" si="57"/>
        <v/>
      </c>
      <c r="U75" s="247" t="s">
        <v>586</v>
      </c>
      <c r="V75" s="257"/>
    </row>
    <row r="76" spans="2:25" ht="15" customHeight="1">
      <c r="B76" s="331">
        <f t="shared" si="62"/>
        <v>12</v>
      </c>
      <c r="C76" s="336" t="str">
        <f t="shared" si="49"/>
        <v/>
      </c>
      <c r="D76" s="336" t="str">
        <f t="shared" si="58"/>
        <v/>
      </c>
      <c r="E76" s="336" t="str">
        <f t="shared" si="59"/>
        <v/>
      </c>
      <c r="F76" s="336" t="str">
        <f t="shared" si="50"/>
        <v/>
      </c>
      <c r="G76" s="336" t="str">
        <f t="shared" si="60"/>
        <v/>
      </c>
      <c r="I76" s="267" t="str">
        <f>IF($S20=FALSE,"",ROUND(IF(D$3="mV/V",Pressure_2_R1!S15/G$3,Pressure_2_R1!S15),I$3))</f>
        <v/>
      </c>
      <c r="J76" s="267" t="str">
        <f>IF($S20=FALSE,"",ROUND(IF(D$3="mV/V",Pressure_2_R1!T15/G$3,Pressure_2_R1!T15),I$3))</f>
        <v/>
      </c>
      <c r="K76" s="267" t="str">
        <f t="shared" si="51"/>
        <v/>
      </c>
      <c r="L76" s="268" t="str">
        <f t="shared" si="52"/>
        <v/>
      </c>
      <c r="N76" s="258" t="str">
        <f t="shared" ca="1" si="61"/>
        <v/>
      </c>
      <c r="O76" s="258" t="str">
        <f t="shared" ca="1" si="53"/>
        <v/>
      </c>
      <c r="P76" s="258" t="str">
        <f t="shared" ca="1" si="54"/>
        <v/>
      </c>
      <c r="Q76" s="258" t="str">
        <f t="shared" ca="1" si="55"/>
        <v/>
      </c>
      <c r="R76" s="258" t="str">
        <f t="shared" ca="1" si="56"/>
        <v/>
      </c>
      <c r="S76" s="258" t="str">
        <f t="shared" si="57"/>
        <v/>
      </c>
      <c r="U76" s="894" t="s">
        <v>587</v>
      </c>
      <c r="V76" s="895"/>
    </row>
    <row r="77" spans="2:25" ht="15" customHeight="1">
      <c r="B77" s="331">
        <f t="shared" si="62"/>
        <v>13</v>
      </c>
      <c r="C77" s="336" t="str">
        <f t="shared" si="49"/>
        <v/>
      </c>
      <c r="D77" s="336" t="str">
        <f t="shared" si="58"/>
        <v/>
      </c>
      <c r="E77" s="336" t="str">
        <f t="shared" si="59"/>
        <v/>
      </c>
      <c r="F77" s="336" t="str">
        <f t="shared" si="50"/>
        <v/>
      </c>
      <c r="G77" s="336" t="str">
        <f t="shared" si="60"/>
        <v/>
      </c>
      <c r="I77" s="267" t="str">
        <f>IF($S21=FALSE,"",ROUND(IF(D$3="mV/V",Pressure_2_R1!S16/G$3,Pressure_2_R1!S16),I$3))</f>
        <v/>
      </c>
      <c r="J77" s="267" t="str">
        <f>IF($S21=FALSE,"",ROUND(IF(D$3="mV/V",Pressure_2_R1!T16/G$3,Pressure_2_R1!T16),I$3))</f>
        <v/>
      </c>
      <c r="K77" s="267" t="str">
        <f t="shared" si="51"/>
        <v/>
      </c>
      <c r="L77" s="268" t="str">
        <f t="shared" si="52"/>
        <v/>
      </c>
      <c r="N77" s="258" t="str">
        <f t="shared" ca="1" si="61"/>
        <v/>
      </c>
      <c r="O77" s="258" t="str">
        <f t="shared" ca="1" si="53"/>
        <v/>
      </c>
      <c r="P77" s="258" t="str">
        <f t="shared" ref="P77:P79" ca="1" si="63">IF($S21=FALSE,"",SUBSTITUTE(OFFSET($Y$63,COUNTIF($X$64:$X$73,"&lt;="&amp;ABS(G57)),0),0,"")&amp;P$64)</f>
        <v/>
      </c>
      <c r="Q77" s="258" t="str">
        <f t="shared" ref="Q77:R79" ca="1" si="64">IF($S21=FALSE,"",SUBSTITUTE(OFFSET($Y$63,COUNTIF($X$64:$X$73,"&lt;="&amp;ABS(H57)),0),0,"")&amp;Q$64)</f>
        <v/>
      </c>
      <c r="R77" s="258" t="str">
        <f t="shared" ca="1" si="64"/>
        <v/>
      </c>
      <c r="S77" s="258" t="str">
        <f t="shared" si="57"/>
        <v/>
      </c>
      <c r="U77" s="338" t="s">
        <v>588</v>
      </c>
      <c r="V77" s="339" t="e">
        <f>SLOPE(D45:D59,H45:H59)</f>
        <v>#DIV/0!</v>
      </c>
    </row>
    <row r="78" spans="2:25" ht="15" customHeight="1">
      <c r="B78" s="331">
        <f t="shared" si="62"/>
        <v>14</v>
      </c>
      <c r="C78" s="336" t="str">
        <f t="shared" si="49"/>
        <v/>
      </c>
      <c r="D78" s="336" t="str">
        <f t="shared" si="58"/>
        <v/>
      </c>
      <c r="E78" s="336" t="str">
        <f t="shared" si="59"/>
        <v/>
      </c>
      <c r="F78" s="336" t="str">
        <f t="shared" si="50"/>
        <v/>
      </c>
      <c r="G78" s="336" t="str">
        <f t="shared" si="60"/>
        <v/>
      </c>
      <c r="I78" s="267" t="str">
        <f>IF($S22=FALSE,"",ROUND(IF(D$3="mV/V",Pressure_2_R1!S17/G$3,Pressure_2_R1!S17),I$3))</f>
        <v/>
      </c>
      <c r="J78" s="267" t="str">
        <f>IF($S22=FALSE,"",ROUND(IF(D$3="mV/V",Pressure_2_R1!T17/G$3,Pressure_2_R1!T17),I$3))</f>
        <v/>
      </c>
      <c r="K78" s="267" t="str">
        <f t="shared" si="51"/>
        <v/>
      </c>
      <c r="L78" s="268" t="str">
        <f t="shared" si="52"/>
        <v/>
      </c>
      <c r="N78" s="258" t="str">
        <f t="shared" ca="1" si="61"/>
        <v/>
      </c>
      <c r="O78" s="258" t="str">
        <f t="shared" ca="1" si="53"/>
        <v/>
      </c>
      <c r="P78" s="258" t="str">
        <f t="shared" ca="1" si="63"/>
        <v/>
      </c>
      <c r="Q78" s="258" t="str">
        <f t="shared" ca="1" si="64"/>
        <v/>
      </c>
      <c r="R78" s="258" t="str">
        <f t="shared" ca="1" si="64"/>
        <v/>
      </c>
      <c r="S78" s="258" t="str">
        <f t="shared" si="57"/>
        <v/>
      </c>
      <c r="U78" s="338" t="s">
        <v>589</v>
      </c>
      <c r="V78" s="339" t="e">
        <f>INTERCEPT(D45:D59,H45:H59)</f>
        <v>#DIV/0!</v>
      </c>
      <c r="W78" s="269"/>
    </row>
    <row r="79" spans="2:25" ht="15" customHeight="1">
      <c r="B79" s="331">
        <f t="shared" si="62"/>
        <v>15</v>
      </c>
      <c r="C79" s="336" t="str">
        <f t="shared" si="49"/>
        <v/>
      </c>
      <c r="D79" s="336" t="str">
        <f t="shared" si="58"/>
        <v/>
      </c>
      <c r="E79" s="336" t="str">
        <f t="shared" si="59"/>
        <v/>
      </c>
      <c r="F79" s="336" t="str">
        <f t="shared" si="50"/>
        <v/>
      </c>
      <c r="G79" s="336" t="str">
        <f t="shared" si="60"/>
        <v/>
      </c>
      <c r="I79" s="267" t="str">
        <f>IF($S23=FALSE,"",ROUND(IF(D$3="mV/V",Pressure_2_R1!S18/G$3,Pressure_2_R1!S18),I$3))</f>
        <v/>
      </c>
      <c r="J79" s="267" t="str">
        <f>IF($S23=FALSE,"",ROUND(IF(D$3="mV/V",Pressure_2_R1!T18/G$3,Pressure_2_R1!T18),I$3))</f>
        <v/>
      </c>
      <c r="K79" s="267" t="str">
        <f t="shared" si="51"/>
        <v/>
      </c>
      <c r="L79" s="268" t="str">
        <f t="shared" si="52"/>
        <v/>
      </c>
      <c r="N79" s="258" t="str">
        <f t="shared" ca="1" si="61"/>
        <v/>
      </c>
      <c r="O79" s="258" t="str">
        <f t="shared" ca="1" si="53"/>
        <v/>
      </c>
      <c r="P79" s="258" t="str">
        <f t="shared" ca="1" si="63"/>
        <v/>
      </c>
      <c r="Q79" s="258" t="str">
        <f t="shared" ca="1" si="64"/>
        <v/>
      </c>
      <c r="R79" s="258" t="str">
        <f t="shared" ca="1" si="64"/>
        <v/>
      </c>
      <c r="S79" s="258" t="str">
        <f t="shared" si="57"/>
        <v/>
      </c>
      <c r="T79" s="243"/>
      <c r="U79" s="257"/>
    </row>
    <row r="80" spans="2:25" ht="15" customHeight="1">
      <c r="B80" s="243"/>
      <c r="C80" s="243"/>
      <c r="D80" s="243"/>
      <c r="E80" s="243"/>
    </row>
    <row r="81" spans="2:20" ht="15" customHeight="1">
      <c r="B81" s="247" t="s">
        <v>656</v>
      </c>
      <c r="T81" s="243"/>
    </row>
    <row r="82" spans="2:20" ht="15" customHeight="1">
      <c r="B82" s="885" t="s">
        <v>552</v>
      </c>
      <c r="C82" s="926" t="s">
        <v>657</v>
      </c>
      <c r="D82" s="926" t="s">
        <v>659</v>
      </c>
      <c r="E82" s="926"/>
      <c r="F82" s="926"/>
      <c r="G82" s="926"/>
      <c r="H82" s="926"/>
      <c r="I82" s="926"/>
      <c r="J82" s="926"/>
      <c r="K82" s="926"/>
      <c r="L82" s="926"/>
      <c r="M82" s="922" t="s">
        <v>671</v>
      </c>
      <c r="N82" s="259"/>
    </row>
    <row r="83" spans="2:20" ht="15" customHeight="1">
      <c r="B83" s="927"/>
      <c r="C83" s="926"/>
      <c r="D83" s="928" t="s">
        <v>660</v>
      </c>
      <c r="E83" s="928" t="s">
        <v>661</v>
      </c>
      <c r="F83" s="928" t="s">
        <v>662</v>
      </c>
      <c r="G83" s="928" t="s">
        <v>663</v>
      </c>
      <c r="H83" s="928" t="s">
        <v>664</v>
      </c>
      <c r="I83" s="928" t="s">
        <v>665</v>
      </c>
      <c r="J83" s="928" t="s">
        <v>666</v>
      </c>
      <c r="K83" s="926" t="s">
        <v>667</v>
      </c>
      <c r="L83" s="926" t="s">
        <v>668</v>
      </c>
      <c r="M83" s="923"/>
      <c r="N83" s="259"/>
    </row>
    <row r="84" spans="2:20" ht="15" customHeight="1">
      <c r="B84" s="927"/>
      <c r="C84" s="334" t="s">
        <v>658</v>
      </c>
      <c r="D84" s="928"/>
      <c r="E84" s="928"/>
      <c r="F84" s="929"/>
      <c r="G84" s="928"/>
      <c r="H84" s="928"/>
      <c r="I84" s="928"/>
      <c r="J84" s="928"/>
      <c r="K84" s="926"/>
      <c r="L84" s="926"/>
      <c r="M84" s="426">
        <f>D3</f>
        <v>0</v>
      </c>
      <c r="N84" s="259"/>
    </row>
    <row r="85" spans="2:20" ht="15" customHeight="1">
      <c r="B85" s="331">
        <f t="shared" ref="B85:B99" si="65">B65</f>
        <v>1</v>
      </c>
      <c r="C85" s="339" t="e">
        <f>MAX(MAX(J45:J59),ABS(MIN(J45:J59)))/MAX(G45:G59)</f>
        <v>#DIV/0!</v>
      </c>
      <c r="D85" s="331" t="str">
        <f>D45</f>
        <v/>
      </c>
      <c r="E85" s="331" t="str">
        <f>G45</f>
        <v/>
      </c>
      <c r="F85" s="331" t="e">
        <f t="shared" ref="F85:F99" si="66">(G85-H85)/(I85-J85)*D85+H85</f>
        <v>#DIV/0!</v>
      </c>
      <c r="G85" s="331">
        <f>MAX(E85:E99)</f>
        <v>0</v>
      </c>
      <c r="H85" s="331">
        <f>MIN(E85:E99)</f>
        <v>0</v>
      </c>
      <c r="I85" s="331">
        <f>MAX(D85:D99)</f>
        <v>0</v>
      </c>
      <c r="J85" s="331">
        <f>MIN(D85:D99)</f>
        <v>0</v>
      </c>
      <c r="K85" s="331" t="str">
        <f>IF(D85="","",ABS((E85-F85)/(G85-H85)))</f>
        <v/>
      </c>
      <c r="L85" s="331">
        <f>MAX(K85:K99)</f>
        <v>0</v>
      </c>
      <c r="M85" s="412">
        <f>(G85-H85)</f>
        <v>0</v>
      </c>
      <c r="N85" s="259"/>
    </row>
    <row r="86" spans="2:20" ht="15" customHeight="1">
      <c r="B86" s="331">
        <f t="shared" si="65"/>
        <v>2</v>
      </c>
      <c r="C86" s="410"/>
      <c r="D86" s="331" t="str">
        <f t="shared" ref="D86:D99" si="67">D46</f>
        <v/>
      </c>
      <c r="E86" s="331" t="str">
        <f t="shared" ref="E86:E99" si="68">G46</f>
        <v/>
      </c>
      <c r="F86" s="331" t="e">
        <f t="shared" si="66"/>
        <v>#DIV/0!</v>
      </c>
      <c r="G86" s="411">
        <f>G85</f>
        <v>0</v>
      </c>
      <c r="H86" s="411">
        <f>H85</f>
        <v>0</v>
      </c>
      <c r="I86" s="411">
        <f>I85</f>
        <v>0</v>
      </c>
      <c r="J86" s="411">
        <f>J85</f>
        <v>0</v>
      </c>
      <c r="K86" s="331" t="str">
        <f t="shared" ref="K86:K99" si="69">IF(D86="","",ABS((E86-F86)/(G86-H86)))</f>
        <v/>
      </c>
      <c r="L86" s="413"/>
      <c r="M86" s="413"/>
      <c r="N86" s="259"/>
    </row>
    <row r="87" spans="2:20" ht="15" customHeight="1">
      <c r="B87" s="331">
        <f t="shared" si="65"/>
        <v>3</v>
      </c>
      <c r="C87" s="410"/>
      <c r="D87" s="331" t="str">
        <f t="shared" si="67"/>
        <v/>
      </c>
      <c r="E87" s="331" t="str">
        <f t="shared" si="68"/>
        <v/>
      </c>
      <c r="F87" s="331" t="e">
        <f t="shared" si="66"/>
        <v>#DIV/0!</v>
      </c>
      <c r="G87" s="411">
        <f t="shared" ref="G87:G99" si="70">G86</f>
        <v>0</v>
      </c>
      <c r="H87" s="411">
        <f t="shared" ref="H87:J99" si="71">H86</f>
        <v>0</v>
      </c>
      <c r="I87" s="411">
        <f t="shared" si="71"/>
        <v>0</v>
      </c>
      <c r="J87" s="411">
        <f t="shared" si="71"/>
        <v>0</v>
      </c>
      <c r="K87" s="331" t="str">
        <f t="shared" si="69"/>
        <v/>
      </c>
      <c r="L87" s="413"/>
      <c r="M87" s="413"/>
      <c r="N87" s="259"/>
    </row>
    <row r="88" spans="2:20" ht="15" customHeight="1">
      <c r="B88" s="331">
        <f t="shared" si="65"/>
        <v>4</v>
      </c>
      <c r="C88" s="410"/>
      <c r="D88" s="331" t="str">
        <f t="shared" si="67"/>
        <v/>
      </c>
      <c r="E88" s="331" t="str">
        <f t="shared" si="68"/>
        <v/>
      </c>
      <c r="F88" s="331" t="e">
        <f t="shared" si="66"/>
        <v>#DIV/0!</v>
      </c>
      <c r="G88" s="411">
        <f t="shared" si="70"/>
        <v>0</v>
      </c>
      <c r="H88" s="411">
        <f t="shared" si="71"/>
        <v>0</v>
      </c>
      <c r="I88" s="411">
        <f t="shared" si="71"/>
        <v>0</v>
      </c>
      <c r="J88" s="411">
        <f t="shared" si="71"/>
        <v>0</v>
      </c>
      <c r="K88" s="331" t="str">
        <f t="shared" si="69"/>
        <v/>
      </c>
      <c r="L88" s="413"/>
      <c r="M88" s="413"/>
      <c r="N88" s="259"/>
    </row>
    <row r="89" spans="2:20" ht="15" customHeight="1">
      <c r="B89" s="331">
        <f t="shared" si="65"/>
        <v>5</v>
      </c>
      <c r="C89" s="410"/>
      <c r="D89" s="331" t="str">
        <f t="shared" si="67"/>
        <v/>
      </c>
      <c r="E89" s="331" t="str">
        <f t="shared" si="68"/>
        <v/>
      </c>
      <c r="F89" s="331" t="e">
        <f t="shared" si="66"/>
        <v>#DIV/0!</v>
      </c>
      <c r="G89" s="411">
        <f t="shared" si="70"/>
        <v>0</v>
      </c>
      <c r="H89" s="411">
        <f t="shared" si="71"/>
        <v>0</v>
      </c>
      <c r="I89" s="411">
        <f t="shared" si="71"/>
        <v>0</v>
      </c>
      <c r="J89" s="411">
        <f t="shared" si="71"/>
        <v>0</v>
      </c>
      <c r="K89" s="331" t="str">
        <f t="shared" si="69"/>
        <v/>
      </c>
      <c r="L89" s="413"/>
      <c r="M89" s="413"/>
      <c r="N89" s="259"/>
    </row>
    <row r="90" spans="2:20" ht="15" customHeight="1">
      <c r="B90" s="331">
        <f t="shared" si="65"/>
        <v>6</v>
      </c>
      <c r="C90" s="410"/>
      <c r="D90" s="331" t="str">
        <f t="shared" si="67"/>
        <v/>
      </c>
      <c r="E90" s="331" t="str">
        <f t="shared" si="68"/>
        <v/>
      </c>
      <c r="F90" s="331" t="e">
        <f t="shared" si="66"/>
        <v>#DIV/0!</v>
      </c>
      <c r="G90" s="411">
        <f t="shared" si="70"/>
        <v>0</v>
      </c>
      <c r="H90" s="411">
        <f t="shared" si="71"/>
        <v>0</v>
      </c>
      <c r="I90" s="411">
        <f t="shared" si="71"/>
        <v>0</v>
      </c>
      <c r="J90" s="411">
        <f t="shared" si="71"/>
        <v>0</v>
      </c>
      <c r="K90" s="331" t="str">
        <f t="shared" si="69"/>
        <v/>
      </c>
      <c r="L90" s="413"/>
      <c r="M90" s="243"/>
      <c r="N90" s="243"/>
      <c r="O90" s="243"/>
      <c r="P90" s="243"/>
      <c r="Q90" s="243"/>
      <c r="R90" s="243"/>
      <c r="S90" s="243"/>
      <c r="T90" s="243"/>
    </row>
    <row r="91" spans="2:20" ht="15" customHeight="1">
      <c r="B91" s="331">
        <f t="shared" si="65"/>
        <v>7</v>
      </c>
      <c r="C91" s="410"/>
      <c r="D91" s="331" t="str">
        <f t="shared" si="67"/>
        <v/>
      </c>
      <c r="E91" s="331" t="str">
        <f t="shared" si="68"/>
        <v/>
      </c>
      <c r="F91" s="331" t="e">
        <f t="shared" si="66"/>
        <v>#DIV/0!</v>
      </c>
      <c r="G91" s="411">
        <f t="shared" si="70"/>
        <v>0</v>
      </c>
      <c r="H91" s="411">
        <f t="shared" si="71"/>
        <v>0</v>
      </c>
      <c r="I91" s="411">
        <f t="shared" si="71"/>
        <v>0</v>
      </c>
      <c r="J91" s="411">
        <f t="shared" si="71"/>
        <v>0</v>
      </c>
      <c r="K91" s="331" t="str">
        <f t="shared" si="69"/>
        <v/>
      </c>
      <c r="L91" s="413"/>
      <c r="M91" s="243"/>
      <c r="N91" s="243"/>
      <c r="O91" s="243"/>
      <c r="P91" s="243"/>
      <c r="Q91" s="243"/>
      <c r="R91" s="243"/>
      <c r="S91" s="243"/>
      <c r="T91" s="243"/>
    </row>
    <row r="92" spans="2:20" ht="15" customHeight="1">
      <c r="B92" s="331">
        <f t="shared" si="65"/>
        <v>8</v>
      </c>
      <c r="C92" s="410"/>
      <c r="D92" s="331" t="str">
        <f t="shared" si="67"/>
        <v/>
      </c>
      <c r="E92" s="331" t="str">
        <f t="shared" si="68"/>
        <v/>
      </c>
      <c r="F92" s="331" t="e">
        <f t="shared" si="66"/>
        <v>#DIV/0!</v>
      </c>
      <c r="G92" s="411">
        <f t="shared" si="70"/>
        <v>0</v>
      </c>
      <c r="H92" s="411">
        <f t="shared" si="71"/>
        <v>0</v>
      </c>
      <c r="I92" s="411">
        <f t="shared" si="71"/>
        <v>0</v>
      </c>
      <c r="J92" s="411">
        <f t="shared" si="71"/>
        <v>0</v>
      </c>
      <c r="K92" s="331" t="str">
        <f t="shared" si="69"/>
        <v/>
      </c>
      <c r="L92" s="413"/>
      <c r="M92" s="413"/>
      <c r="N92" s="259"/>
    </row>
    <row r="93" spans="2:20" ht="15" customHeight="1">
      <c r="B93" s="331">
        <f t="shared" si="65"/>
        <v>9</v>
      </c>
      <c r="C93" s="410"/>
      <c r="D93" s="331" t="str">
        <f t="shared" si="67"/>
        <v/>
      </c>
      <c r="E93" s="331" t="str">
        <f t="shared" si="68"/>
        <v/>
      </c>
      <c r="F93" s="331" t="e">
        <f t="shared" si="66"/>
        <v>#DIV/0!</v>
      </c>
      <c r="G93" s="411">
        <f t="shared" si="70"/>
        <v>0</v>
      </c>
      <c r="H93" s="411">
        <f t="shared" si="71"/>
        <v>0</v>
      </c>
      <c r="I93" s="411">
        <f t="shared" si="71"/>
        <v>0</v>
      </c>
      <c r="J93" s="411">
        <f t="shared" si="71"/>
        <v>0</v>
      </c>
      <c r="K93" s="331" t="str">
        <f t="shared" si="69"/>
        <v/>
      </c>
      <c r="L93" s="413"/>
      <c r="M93" s="413"/>
      <c r="N93" s="259"/>
    </row>
    <row r="94" spans="2:20" ht="15" customHeight="1">
      <c r="B94" s="331">
        <f t="shared" si="65"/>
        <v>10</v>
      </c>
      <c r="C94" s="410"/>
      <c r="D94" s="331" t="str">
        <f t="shared" si="67"/>
        <v/>
      </c>
      <c r="E94" s="331" t="str">
        <f t="shared" si="68"/>
        <v/>
      </c>
      <c r="F94" s="331" t="e">
        <f t="shared" si="66"/>
        <v>#DIV/0!</v>
      </c>
      <c r="G94" s="411">
        <f t="shared" si="70"/>
        <v>0</v>
      </c>
      <c r="H94" s="411">
        <f t="shared" si="71"/>
        <v>0</v>
      </c>
      <c r="I94" s="411">
        <f t="shared" si="71"/>
        <v>0</v>
      </c>
      <c r="J94" s="411">
        <f t="shared" si="71"/>
        <v>0</v>
      </c>
      <c r="K94" s="331" t="str">
        <f t="shared" si="69"/>
        <v/>
      </c>
      <c r="L94" s="413"/>
      <c r="M94" s="413"/>
      <c r="N94" s="259"/>
    </row>
    <row r="95" spans="2:20" ht="15" customHeight="1">
      <c r="B95" s="331">
        <f t="shared" si="65"/>
        <v>11</v>
      </c>
      <c r="C95" s="410"/>
      <c r="D95" s="331" t="str">
        <f t="shared" si="67"/>
        <v/>
      </c>
      <c r="E95" s="331" t="str">
        <f t="shared" si="68"/>
        <v/>
      </c>
      <c r="F95" s="331" t="e">
        <f t="shared" si="66"/>
        <v>#DIV/0!</v>
      </c>
      <c r="G95" s="411">
        <f t="shared" si="70"/>
        <v>0</v>
      </c>
      <c r="H95" s="411">
        <f t="shared" si="71"/>
        <v>0</v>
      </c>
      <c r="I95" s="411">
        <f t="shared" si="71"/>
        <v>0</v>
      </c>
      <c r="J95" s="411">
        <f t="shared" si="71"/>
        <v>0</v>
      </c>
      <c r="K95" s="331" t="str">
        <f t="shared" si="69"/>
        <v/>
      </c>
      <c r="L95" s="259"/>
      <c r="M95" s="259"/>
      <c r="N95" s="259"/>
    </row>
    <row r="96" spans="2:20" ht="15" customHeight="1">
      <c r="B96" s="331">
        <f t="shared" si="65"/>
        <v>12</v>
      </c>
      <c r="C96" s="410"/>
      <c r="D96" s="331" t="str">
        <f t="shared" si="67"/>
        <v/>
      </c>
      <c r="E96" s="331" t="str">
        <f t="shared" si="68"/>
        <v/>
      </c>
      <c r="F96" s="331" t="e">
        <f t="shared" si="66"/>
        <v>#DIV/0!</v>
      </c>
      <c r="G96" s="411">
        <f t="shared" si="70"/>
        <v>0</v>
      </c>
      <c r="H96" s="411">
        <f t="shared" si="71"/>
        <v>0</v>
      </c>
      <c r="I96" s="411">
        <f t="shared" si="71"/>
        <v>0</v>
      </c>
      <c r="J96" s="411">
        <f t="shared" si="71"/>
        <v>0</v>
      </c>
      <c r="K96" s="331" t="str">
        <f t="shared" si="69"/>
        <v/>
      </c>
      <c r="L96" s="259"/>
      <c r="M96" s="259"/>
      <c r="N96" s="259"/>
    </row>
    <row r="97" spans="1:24" ht="15" customHeight="1">
      <c r="B97" s="331">
        <f t="shared" si="65"/>
        <v>13</v>
      </c>
      <c r="C97" s="410"/>
      <c r="D97" s="331" t="str">
        <f t="shared" si="67"/>
        <v/>
      </c>
      <c r="E97" s="331" t="str">
        <f t="shared" si="68"/>
        <v/>
      </c>
      <c r="F97" s="331" t="e">
        <f t="shared" si="66"/>
        <v>#DIV/0!</v>
      </c>
      <c r="G97" s="411">
        <f t="shared" si="70"/>
        <v>0</v>
      </c>
      <c r="H97" s="411">
        <f t="shared" si="71"/>
        <v>0</v>
      </c>
      <c r="I97" s="411">
        <f t="shared" si="71"/>
        <v>0</v>
      </c>
      <c r="J97" s="411">
        <f t="shared" si="71"/>
        <v>0</v>
      </c>
      <c r="K97" s="331" t="str">
        <f t="shared" si="69"/>
        <v/>
      </c>
      <c r="L97" s="259"/>
      <c r="M97" s="259"/>
      <c r="N97" s="259"/>
    </row>
    <row r="98" spans="1:24" ht="15" customHeight="1">
      <c r="B98" s="331">
        <f t="shared" si="65"/>
        <v>14</v>
      </c>
      <c r="C98" s="410"/>
      <c r="D98" s="331" t="str">
        <f t="shared" si="67"/>
        <v/>
      </c>
      <c r="E98" s="331" t="str">
        <f t="shared" si="68"/>
        <v/>
      </c>
      <c r="F98" s="331" t="e">
        <f t="shared" si="66"/>
        <v>#DIV/0!</v>
      </c>
      <c r="G98" s="411">
        <f t="shared" si="70"/>
        <v>0</v>
      </c>
      <c r="H98" s="411">
        <f t="shared" si="71"/>
        <v>0</v>
      </c>
      <c r="I98" s="411">
        <f t="shared" si="71"/>
        <v>0</v>
      </c>
      <c r="J98" s="411">
        <f t="shared" si="71"/>
        <v>0</v>
      </c>
      <c r="K98" s="331" t="str">
        <f t="shared" si="69"/>
        <v/>
      </c>
      <c r="L98" s="259"/>
      <c r="M98" s="259"/>
      <c r="N98" s="259"/>
    </row>
    <row r="99" spans="1:24" ht="15" customHeight="1">
      <c r="B99" s="331">
        <f t="shared" si="65"/>
        <v>15</v>
      </c>
      <c r="C99" s="410"/>
      <c r="D99" s="331" t="str">
        <f t="shared" si="67"/>
        <v/>
      </c>
      <c r="E99" s="331" t="str">
        <f t="shared" si="68"/>
        <v/>
      </c>
      <c r="F99" s="331" t="e">
        <f t="shared" si="66"/>
        <v>#DIV/0!</v>
      </c>
      <c r="G99" s="411">
        <f t="shared" si="70"/>
        <v>0</v>
      </c>
      <c r="H99" s="411">
        <f t="shared" si="71"/>
        <v>0</v>
      </c>
      <c r="I99" s="411">
        <f t="shared" si="71"/>
        <v>0</v>
      </c>
      <c r="J99" s="411">
        <f t="shared" si="71"/>
        <v>0</v>
      </c>
      <c r="K99" s="331" t="str">
        <f t="shared" si="69"/>
        <v/>
      </c>
      <c r="L99" s="259"/>
      <c r="M99" s="259"/>
      <c r="N99" s="259"/>
    </row>
    <row r="100" spans="1:24" ht="15" customHeight="1">
      <c r="B100" s="243"/>
      <c r="C100" s="243"/>
      <c r="D100" s="243"/>
      <c r="E100" s="243"/>
      <c r="H100" s="259"/>
      <c r="I100" s="259"/>
      <c r="J100" s="259"/>
      <c r="K100" s="259"/>
      <c r="L100" s="259"/>
      <c r="M100" s="259"/>
      <c r="N100" s="259"/>
    </row>
    <row r="101" spans="1:24" ht="15" customHeight="1">
      <c r="B101" s="243"/>
      <c r="C101" s="243"/>
      <c r="D101" s="243"/>
      <c r="E101" s="243"/>
      <c r="H101" s="259"/>
      <c r="I101" s="259"/>
      <c r="J101" s="259"/>
      <c r="K101" s="259"/>
      <c r="L101" s="259"/>
      <c r="M101" s="259"/>
      <c r="N101" s="259"/>
    </row>
    <row r="102" spans="1:24" ht="15" customHeight="1">
      <c r="B102" s="352" t="s">
        <v>590</v>
      </c>
      <c r="C102" s="352" t="s">
        <v>591</v>
      </c>
      <c r="D102" s="352" t="s">
        <v>592</v>
      </c>
      <c r="E102" s="352" t="s">
        <v>387</v>
      </c>
      <c r="F102" s="352" t="s">
        <v>593</v>
      </c>
      <c r="G102" s="352" t="s">
        <v>388</v>
      </c>
      <c r="I102" s="352" t="s">
        <v>390</v>
      </c>
      <c r="J102" s="352" t="s">
        <v>386</v>
      </c>
      <c r="K102" s="352" t="s">
        <v>592</v>
      </c>
      <c r="L102" s="352" t="s">
        <v>387</v>
      </c>
      <c r="M102" s="352" t="s">
        <v>593</v>
      </c>
      <c r="N102" s="352" t="s">
        <v>594</v>
      </c>
    </row>
    <row r="103" spans="1:24" ht="15" customHeight="1">
      <c r="B103" s="318" t="s">
        <v>733</v>
      </c>
      <c r="C103" s="320" t="str">
        <f>IF(F8="mA","압력 전송기","압력 변환기")</f>
        <v>압력 변환기</v>
      </c>
      <c r="D103" s="320" t="str">
        <f>IF(F8="mA","Pressure Transmitter","Pressure Transducer")</f>
        <v>Pressure Transducer</v>
      </c>
      <c r="E103" s="320" t="s">
        <v>734</v>
      </c>
      <c r="F103" s="320" t="s">
        <v>734</v>
      </c>
      <c r="G103" s="320" t="s">
        <v>734</v>
      </c>
      <c r="I103" s="318">
        <f>기본정보!C9</f>
        <v>0</v>
      </c>
      <c r="J103" s="318" t="e">
        <f>VLOOKUP($I103,$B103:$G108,2,FALSE)</f>
        <v>#N/A</v>
      </c>
      <c r="K103" s="318" t="e">
        <f>VLOOKUP($I103,$B103:$G108,3,FALSE)</f>
        <v>#N/A</v>
      </c>
      <c r="L103" s="318" t="e">
        <f>VLOOKUP($I103,$B103:$G108,4,FALSE)</f>
        <v>#N/A</v>
      </c>
      <c r="M103" s="318" t="e">
        <f>VLOOKUP($I103,$B103:$G108,5,FALSE)</f>
        <v>#N/A</v>
      </c>
      <c r="N103" s="318" t="e">
        <f>VLOOKUP($I103,$B103:$G108,6,FALSE)</f>
        <v>#N/A</v>
      </c>
    </row>
    <row r="104" spans="1:24" ht="15" customHeight="1">
      <c r="B104" s="318"/>
      <c r="C104" s="320"/>
      <c r="D104" s="320"/>
      <c r="E104" s="320"/>
      <c r="F104" s="320"/>
      <c r="G104" s="320"/>
    </row>
    <row r="105" spans="1:24" ht="15" customHeight="1">
      <c r="B105" s="318"/>
      <c r="C105" s="320"/>
      <c r="D105" s="320"/>
      <c r="E105" s="320"/>
      <c r="F105" s="320"/>
      <c r="G105" s="320"/>
    </row>
    <row r="106" spans="1:24" ht="15" customHeight="1">
      <c r="B106" s="318"/>
      <c r="C106" s="320"/>
      <c r="D106" s="320"/>
      <c r="E106" s="320"/>
      <c r="F106" s="320"/>
      <c r="G106" s="320"/>
    </row>
    <row r="107" spans="1:24" ht="15" customHeight="1">
      <c r="B107" s="318"/>
      <c r="C107" s="320"/>
      <c r="D107" s="320"/>
      <c r="E107" s="320"/>
      <c r="F107" s="320"/>
      <c r="G107" s="320"/>
    </row>
    <row r="108" spans="1:24" ht="15" customHeight="1">
      <c r="B108" s="318"/>
      <c r="C108" s="320"/>
      <c r="D108" s="320"/>
      <c r="E108" s="320"/>
      <c r="F108" s="320"/>
      <c r="G108" s="320"/>
    </row>
    <row r="110" spans="1:24" ht="15" customHeight="1">
      <c r="A110" s="311" t="s">
        <v>389</v>
      </c>
    </row>
    <row r="111" spans="1:24" ht="15" customHeight="1">
      <c r="B111" s="318" t="s">
        <v>390</v>
      </c>
      <c r="C111" s="356" t="s">
        <v>595</v>
      </c>
      <c r="D111" s="357"/>
      <c r="E111" s="358"/>
      <c r="F111" s="356" t="s">
        <v>596</v>
      </c>
      <c r="G111" s="358"/>
      <c r="H111" s="318" t="s">
        <v>391</v>
      </c>
      <c r="I111" s="318" t="s">
        <v>597</v>
      </c>
      <c r="J111" s="318" t="s">
        <v>392</v>
      </c>
      <c r="L111" s="318" t="s">
        <v>598</v>
      </c>
      <c r="M111" s="318" t="s">
        <v>599</v>
      </c>
      <c r="N111" s="318" t="s">
        <v>600</v>
      </c>
      <c r="O111" s="318" t="s">
        <v>601</v>
      </c>
      <c r="P111" s="318" t="s">
        <v>597</v>
      </c>
      <c r="Q111" s="318" t="s">
        <v>673</v>
      </c>
      <c r="R111" s="318" t="s">
        <v>602</v>
      </c>
      <c r="S111" s="318" t="s">
        <v>603</v>
      </c>
      <c r="U111" s="257"/>
      <c r="V111" s="257"/>
      <c r="W111" s="257"/>
      <c r="X111" s="257"/>
    </row>
    <row r="112" spans="1:24" ht="15" customHeight="1">
      <c r="B112" s="350" t="s">
        <v>735</v>
      </c>
      <c r="C112" s="350" t="s">
        <v>604</v>
      </c>
      <c r="D112" s="350" t="s">
        <v>605</v>
      </c>
      <c r="E112" s="350">
        <v>0.01</v>
      </c>
      <c r="F112" s="350" t="s">
        <v>394</v>
      </c>
      <c r="G112" s="350">
        <v>100</v>
      </c>
      <c r="H112" s="350"/>
      <c r="I112" s="324">
        <v>105500</v>
      </c>
      <c r="J112" s="911" t="s">
        <v>606</v>
      </c>
      <c r="L112" s="318" t="s">
        <v>607</v>
      </c>
      <c r="M112" s="321">
        <f>COUNT(F9:H38)</f>
        <v>0</v>
      </c>
      <c r="N112" s="318" t="b">
        <f>NOT(M112=0)</f>
        <v>0</v>
      </c>
      <c r="O112" s="318">
        <f>IF((M112-16)&lt;0,0,M112-16)</f>
        <v>0</v>
      </c>
      <c r="P112" s="319" t="e">
        <f ca="1">OFFSET(I$111,L118+P118+T118,0)</f>
        <v>#N/A</v>
      </c>
      <c r="Q112" s="319" t="e">
        <f ca="1">P112*6.25%*O112</f>
        <v>#N/A</v>
      </c>
      <c r="R112" s="319">
        <f>IF(N112=TRUE,P112+Q112,0)</f>
        <v>0</v>
      </c>
      <c r="S112" s="917">
        <f>SUM(R112:R115)</f>
        <v>0</v>
      </c>
      <c r="U112" s="257"/>
      <c r="V112" s="257"/>
      <c r="W112" s="257"/>
      <c r="X112" s="257"/>
    </row>
    <row r="113" spans="2:24" ht="15" customHeight="1">
      <c r="B113" s="350"/>
      <c r="C113" s="350" t="s">
        <v>393</v>
      </c>
      <c r="D113" s="350" t="s">
        <v>394</v>
      </c>
      <c r="E113" s="350">
        <v>0.01</v>
      </c>
      <c r="F113" s="350" t="s">
        <v>394</v>
      </c>
      <c r="G113" s="350">
        <v>100</v>
      </c>
      <c r="H113" s="350"/>
      <c r="I113" s="324">
        <v>97500</v>
      </c>
      <c r="J113" s="912"/>
      <c r="L113" s="318" t="s">
        <v>608</v>
      </c>
      <c r="M113" s="321">
        <f>COUNT(#REF!)</f>
        <v>0</v>
      </c>
      <c r="N113" s="318" t="b">
        <f>NOT(M113=0)</f>
        <v>0</v>
      </c>
      <c r="O113" s="318">
        <f>IF((M113-16)&lt;0,0,M113-16)</f>
        <v>0</v>
      </c>
      <c r="P113" s="319" t="e">
        <f ca="1">OFFSET(I$111,L119+P119+T119,0)</f>
        <v>#N/A</v>
      </c>
      <c r="Q113" s="319" t="e">
        <f ca="1">P113*6.25%*O113</f>
        <v>#N/A</v>
      </c>
      <c r="R113" s="319">
        <f>IF(N113=TRUE,P113+Q113,0)</f>
        <v>0</v>
      </c>
      <c r="S113" s="918"/>
      <c r="U113" s="257"/>
      <c r="V113" s="257"/>
      <c r="W113" s="257"/>
      <c r="X113" s="257"/>
    </row>
    <row r="114" spans="2:24" ht="15" customHeight="1">
      <c r="B114" s="350"/>
      <c r="C114" s="350" t="s">
        <v>609</v>
      </c>
      <c r="D114" s="350" t="s">
        <v>394</v>
      </c>
      <c r="E114" s="350">
        <v>0.01</v>
      </c>
      <c r="F114" s="350" t="s">
        <v>395</v>
      </c>
      <c r="G114" s="350">
        <v>100</v>
      </c>
      <c r="H114" s="350"/>
      <c r="I114" s="324">
        <v>122100</v>
      </c>
      <c r="J114" s="912"/>
      <c r="L114" s="318" t="s">
        <v>610</v>
      </c>
      <c r="M114" s="321">
        <f>COUNT(#REF!)</f>
        <v>0</v>
      </c>
      <c r="N114" s="318" t="b">
        <f>NOT(M114=0)</f>
        <v>0</v>
      </c>
      <c r="O114" s="318">
        <f>IF((M114-16)&lt;0,0,M114-16)</f>
        <v>0</v>
      </c>
      <c r="P114" s="319" t="e">
        <f ca="1">OFFSET(I$111,L120+P120+T120,0)</f>
        <v>#N/A</v>
      </c>
      <c r="Q114" s="319" t="e">
        <f ca="1">P114*6.25%*O114</f>
        <v>#N/A</v>
      </c>
      <c r="R114" s="319">
        <f>IF(N114=TRUE,P114+Q114,0)</f>
        <v>0</v>
      </c>
      <c r="S114" s="918"/>
      <c r="U114" s="257"/>
      <c r="V114" s="257"/>
      <c r="W114" s="257"/>
      <c r="X114" s="257"/>
    </row>
    <row r="115" spans="2:24" ht="15" customHeight="1">
      <c r="B115" s="350"/>
      <c r="C115" s="350"/>
      <c r="D115" s="350"/>
      <c r="E115" s="350"/>
      <c r="F115" s="350"/>
      <c r="G115" s="350"/>
      <c r="H115" s="350"/>
      <c r="I115" s="324"/>
      <c r="J115" s="912"/>
      <c r="L115" s="318" t="s">
        <v>611</v>
      </c>
      <c r="M115" s="321">
        <f>COUNT(#REF!)</f>
        <v>0</v>
      </c>
      <c r="N115" s="318" t="b">
        <f>NOT(M115=0)</f>
        <v>0</v>
      </c>
      <c r="O115" s="318">
        <f>IF((M115-16)&lt;0,0,M115-16)</f>
        <v>0</v>
      </c>
      <c r="P115" s="319" t="e">
        <f ca="1">OFFSET(I$111,L121+P121+T121,0)</f>
        <v>#N/A</v>
      </c>
      <c r="Q115" s="319" t="e">
        <f ca="1">P115*6.25%*O115</f>
        <v>#N/A</v>
      </c>
      <c r="R115" s="319">
        <f>IF(N115=TRUE,P115+Q115,0)</f>
        <v>0</v>
      </c>
      <c r="S115" s="919"/>
      <c r="U115" s="257"/>
      <c r="V115" s="257"/>
      <c r="W115" s="257"/>
      <c r="X115" s="257"/>
    </row>
    <row r="116" spans="2:24" ht="15" customHeight="1">
      <c r="B116" s="350"/>
      <c r="C116" s="350"/>
      <c r="D116" s="350"/>
      <c r="E116" s="350"/>
      <c r="F116" s="350"/>
      <c r="G116" s="350"/>
      <c r="H116" s="350"/>
      <c r="I116" s="324"/>
      <c r="J116" s="912"/>
      <c r="L116" s="243"/>
      <c r="U116" s="257"/>
      <c r="V116" s="257"/>
      <c r="W116" s="257"/>
      <c r="X116" s="257"/>
    </row>
    <row r="117" spans="2:24" ht="15" customHeight="1">
      <c r="B117" s="350"/>
      <c r="C117" s="350"/>
      <c r="D117" s="350"/>
      <c r="E117" s="350"/>
      <c r="F117" s="350"/>
      <c r="G117" s="350"/>
      <c r="H117" s="350"/>
      <c r="I117" s="324"/>
      <c r="J117" s="912"/>
      <c r="L117" s="318" t="s">
        <v>612</v>
      </c>
      <c r="M117" s="908" t="s">
        <v>613</v>
      </c>
      <c r="N117" s="909"/>
      <c r="O117" s="909"/>
      <c r="P117" s="910"/>
      <c r="Q117" s="908" t="s">
        <v>613</v>
      </c>
      <c r="R117" s="909"/>
      <c r="S117" s="909"/>
      <c r="T117" s="910"/>
    </row>
    <row r="118" spans="2:24" ht="15" customHeight="1">
      <c r="B118" s="325"/>
      <c r="C118" s="325"/>
      <c r="D118" s="325"/>
      <c r="E118" s="325"/>
      <c r="F118" s="325"/>
      <c r="G118" s="325"/>
      <c r="H118" s="325"/>
      <c r="I118" s="326"/>
      <c r="J118" s="912"/>
      <c r="L118" s="318" t="e">
        <f>MATCH(I103,B$112:B$131,0)</f>
        <v>#N/A</v>
      </c>
      <c r="M118" s="318" t="e">
        <f ca="1">MAX(D9:D38,ABS(MIN(D9:D38)))*OFFSET(AF6,MATCH(D8,AF7:AF31,0),MATCH("MPa",AG6:AN6,0))</f>
        <v>#N/A</v>
      </c>
      <c r="N118" s="318" t="e">
        <f t="shared" ref="N118:N121" ca="1" si="72">OFFSET(D$111,L118,0)</f>
        <v>#N/A</v>
      </c>
      <c r="O118" s="318" t="e">
        <f t="shared" ref="O118:O121" ca="1" si="73">OFFSET(E$111,L118,0)</f>
        <v>#N/A</v>
      </c>
      <c r="P118" s="318" t="e">
        <f ca="1">IF(IF(N118="&lt;",M118&gt;=O118,IF(N118="&gt;=",M118&lt;O118,IF(N118="&gt;",M118&lt;=O118,IF(N118="&lt;=",M118&gt;O118,FALSE))))=TRUE,1,0)</f>
        <v>#N/A</v>
      </c>
      <c r="Q118" s="318" t="e">
        <f ca="1">M118</f>
        <v>#N/A</v>
      </c>
      <c r="R118" s="318" t="e">
        <f ca="1">OFFSET(F$111,L118,0)</f>
        <v>#N/A</v>
      </c>
      <c r="S118" s="318" t="e">
        <f ca="1">OFFSET(G$111,L118,0)</f>
        <v>#N/A</v>
      </c>
      <c r="T118" s="318" t="e">
        <f ca="1">IF(IF(R118="&lt;",Q118&gt;=S118,IF(R118="&gt;=",Q118&lt;S118,IF(R118="&gt;",Q118&lt;=S118,IF(R118="&lt;=",Q118&gt;S118,FALSE))))=TRUE,1,0)</f>
        <v>#N/A</v>
      </c>
    </row>
    <row r="119" spans="2:24" ht="15" customHeight="1">
      <c r="B119" s="325"/>
      <c r="C119" s="325"/>
      <c r="D119" s="325"/>
      <c r="E119" s="325"/>
      <c r="F119" s="325"/>
      <c r="G119" s="325"/>
      <c r="H119" s="325"/>
      <c r="I119" s="326"/>
      <c r="J119" s="912"/>
      <c r="L119" s="318" t="e">
        <f>L118</f>
        <v>#N/A</v>
      </c>
      <c r="M119" s="318" t="e">
        <f ca="1">MAX(#REF!,ABS(MIN(#REF!)))*OFFSET(AF6,MATCH(#REF!,AF7:AF31,0),MATCH("MPa",AG6:AN6,0))</f>
        <v>#REF!</v>
      </c>
      <c r="N119" s="318" t="e">
        <f ca="1">OFFSET(D$111,L119,0)</f>
        <v>#N/A</v>
      </c>
      <c r="O119" s="318" t="e">
        <f t="shared" ca="1" si="73"/>
        <v>#N/A</v>
      </c>
      <c r="P119" s="318" t="e">
        <f t="shared" ref="P119:P121" ca="1" si="74">IF(IF(N119="&lt;",M119&gt;=O119,IF(N119="&gt;=",M119&lt;O119,IF(N119="&gt;",M119&lt;=O119,IF(N119="&lt;=",M119&gt;O119,FALSE))))=TRUE,1,0)</f>
        <v>#N/A</v>
      </c>
      <c r="Q119" s="318" t="e">
        <f t="shared" ref="Q119:Q121" ca="1" si="75">M119</f>
        <v>#REF!</v>
      </c>
      <c r="R119" s="318" t="e">
        <f ca="1">OFFSET(F$111,L119,0)</f>
        <v>#N/A</v>
      </c>
      <c r="S119" s="318" t="e">
        <f t="shared" ref="S119:S121" ca="1" si="76">OFFSET(G$111,L119,0)</f>
        <v>#N/A</v>
      </c>
      <c r="T119" s="318" t="e">
        <f ca="1">IF(IF(R119="&lt;",Q119&gt;=S119,IF(R119="&gt;=",Q119&lt;S119,IF(R119="&gt;",Q119&lt;=S119,IF(R119="&lt;=",Q119&gt;S119,FALSE))))=TRUE,1,0)</f>
        <v>#N/A</v>
      </c>
    </row>
    <row r="120" spans="2:24" ht="15" customHeight="1">
      <c r="B120" s="325"/>
      <c r="C120" s="325"/>
      <c r="D120" s="325"/>
      <c r="E120" s="325"/>
      <c r="F120" s="325"/>
      <c r="G120" s="325"/>
      <c r="H120" s="325"/>
      <c r="I120" s="326"/>
      <c r="J120" s="912"/>
      <c r="L120" s="318" t="e">
        <f>L119</f>
        <v>#N/A</v>
      </c>
      <c r="M120" s="318" t="e">
        <f ca="1">MAX(#REF!,ABS(MIN(#REF!)))*OFFSET(AF6,MATCH(#REF!,AF7:AF31,0),MATCH("MPa",AG6:AN6,0))</f>
        <v>#REF!</v>
      </c>
      <c r="N120" s="318" t="e">
        <f ca="1">OFFSET(D$111,L120,0)</f>
        <v>#N/A</v>
      </c>
      <c r="O120" s="318" t="e">
        <f t="shared" ca="1" si="73"/>
        <v>#N/A</v>
      </c>
      <c r="P120" s="318" t="e">
        <f t="shared" ca="1" si="74"/>
        <v>#N/A</v>
      </c>
      <c r="Q120" s="318" t="e">
        <f t="shared" ca="1" si="75"/>
        <v>#REF!</v>
      </c>
      <c r="R120" s="318" t="e">
        <f ca="1">OFFSET(F$111,L120,0)</f>
        <v>#N/A</v>
      </c>
      <c r="S120" s="318" t="e">
        <f t="shared" ca="1" si="76"/>
        <v>#N/A</v>
      </c>
      <c r="T120" s="318" t="e">
        <f ca="1">IF(IF(R120="&lt;",Q120&gt;=S120,IF(R120="&gt;=",Q120&lt;S120,IF(R120="&gt;",Q120&lt;=S120,IF(R120="&lt;=",Q120&gt;S120,FALSE))))=TRUE,1,0)</f>
        <v>#N/A</v>
      </c>
    </row>
    <row r="121" spans="2:24" ht="15" customHeight="1">
      <c r="B121" s="325"/>
      <c r="C121" s="325"/>
      <c r="D121" s="325"/>
      <c r="E121" s="325"/>
      <c r="F121" s="325"/>
      <c r="G121" s="325"/>
      <c r="H121" s="325"/>
      <c r="I121" s="326"/>
      <c r="J121" s="912"/>
      <c r="L121" s="318" t="e">
        <f>L120</f>
        <v>#N/A</v>
      </c>
      <c r="M121" s="318" t="e">
        <f ca="1">MAX(#REF!,ABS(MIN(#REF!)))*OFFSET(AF6,MATCH(#REF!,AF7:AF31,0),MATCH("MPa",AG6:AN6,0))</f>
        <v>#REF!</v>
      </c>
      <c r="N121" s="318" t="e">
        <f t="shared" ca="1" si="72"/>
        <v>#N/A</v>
      </c>
      <c r="O121" s="318" t="e">
        <f t="shared" ca="1" si="73"/>
        <v>#N/A</v>
      </c>
      <c r="P121" s="318" t="e">
        <f t="shared" ca="1" si="74"/>
        <v>#N/A</v>
      </c>
      <c r="Q121" s="318" t="e">
        <f t="shared" ca="1" si="75"/>
        <v>#REF!</v>
      </c>
      <c r="R121" s="318" t="e">
        <f ca="1">OFFSET(F$111,L121,0)</f>
        <v>#N/A</v>
      </c>
      <c r="S121" s="318" t="e">
        <f t="shared" ca="1" si="76"/>
        <v>#N/A</v>
      </c>
      <c r="T121" s="318" t="e">
        <f ca="1">IF(IF(R121="&lt;",Q121&gt;=S121,IF(R121="&gt;=",Q121&lt;S121,IF(R121="&gt;",Q121&lt;=S121,IF(R121="&lt;=",Q121&gt;S121,FALSE))))=TRUE,1,0)</f>
        <v>#N/A</v>
      </c>
    </row>
    <row r="122" spans="2:24" ht="15" customHeight="1">
      <c r="B122" s="350"/>
      <c r="C122" s="350"/>
      <c r="D122" s="350"/>
      <c r="E122" s="350"/>
      <c r="F122" s="350"/>
      <c r="G122" s="350"/>
      <c r="H122" s="350"/>
      <c r="I122" s="324"/>
      <c r="J122" s="912"/>
      <c r="K122" s="243"/>
      <c r="L122" s="243"/>
      <c r="M122" s="243"/>
      <c r="N122" s="243"/>
      <c r="O122" s="243"/>
      <c r="P122" s="243"/>
      <c r="U122" s="257"/>
      <c r="V122" s="257"/>
      <c r="W122" s="257"/>
      <c r="X122" s="257"/>
    </row>
    <row r="123" spans="2:24" ht="15" customHeight="1">
      <c r="B123" s="350"/>
      <c r="C123" s="350"/>
      <c r="D123" s="350"/>
      <c r="E123" s="350"/>
      <c r="F123" s="350"/>
      <c r="G123" s="350"/>
      <c r="H123" s="350"/>
      <c r="I123" s="324"/>
      <c r="J123" s="912"/>
      <c r="L123" s="322" t="s">
        <v>614</v>
      </c>
      <c r="U123" s="257"/>
      <c r="V123" s="257"/>
      <c r="W123" s="257"/>
      <c r="X123" s="257"/>
    </row>
    <row r="124" spans="2:24" ht="15" customHeight="1">
      <c r="B124" s="325"/>
      <c r="C124" s="325"/>
      <c r="D124" s="325"/>
      <c r="E124" s="325"/>
      <c r="F124" s="325"/>
      <c r="G124" s="325"/>
      <c r="H124" s="325"/>
      <c r="I124" s="326"/>
      <c r="J124" s="912"/>
      <c r="L124" s="428" t="s">
        <v>672</v>
      </c>
      <c r="M124" s="243"/>
      <c r="N124" s="243"/>
      <c r="O124" s="243"/>
      <c r="P124" s="243"/>
      <c r="U124" s="257"/>
      <c r="V124" s="257"/>
      <c r="W124" s="257"/>
    </row>
    <row r="125" spans="2:24" ht="15" customHeight="1">
      <c r="B125" s="325"/>
      <c r="C125" s="325"/>
      <c r="D125" s="325"/>
      <c r="E125" s="325"/>
      <c r="F125" s="325"/>
      <c r="G125" s="325"/>
      <c r="H125" s="325"/>
      <c r="I125" s="326"/>
      <c r="J125" s="912"/>
      <c r="L125" s="323" t="s">
        <v>615</v>
      </c>
      <c r="M125" s="243"/>
      <c r="N125" s="243"/>
      <c r="O125" s="243"/>
      <c r="P125" s="243"/>
      <c r="U125" s="257"/>
      <c r="V125" s="257"/>
      <c r="W125" s="257"/>
      <c r="X125" s="257"/>
    </row>
    <row r="126" spans="2:24" ht="15" customHeight="1">
      <c r="B126" s="325"/>
      <c r="C126" s="325"/>
      <c r="D126" s="325"/>
      <c r="E126" s="325"/>
      <c r="F126" s="325"/>
      <c r="G126" s="325"/>
      <c r="H126" s="325"/>
      <c r="I126" s="326"/>
      <c r="J126" s="912"/>
      <c r="L126" s="323" t="s">
        <v>616</v>
      </c>
      <c r="M126" s="243"/>
      <c r="N126" s="243"/>
      <c r="O126" s="243"/>
      <c r="P126" s="243"/>
      <c r="U126" s="257"/>
      <c r="V126" s="257"/>
      <c r="W126" s="257"/>
      <c r="X126" s="257"/>
    </row>
    <row r="127" spans="2:24" ht="15" customHeight="1">
      <c r="B127" s="325"/>
      <c r="C127" s="325"/>
      <c r="D127" s="325"/>
      <c r="E127" s="325"/>
      <c r="F127" s="325"/>
      <c r="G127" s="325"/>
      <c r="H127" s="325"/>
      <c r="I127" s="326"/>
      <c r="J127" s="912"/>
      <c r="L127" s="323" t="s">
        <v>617</v>
      </c>
      <c r="M127" s="243"/>
      <c r="N127" s="243"/>
      <c r="O127" s="243"/>
      <c r="P127" s="243"/>
      <c r="Q127" s="243"/>
      <c r="U127" s="257"/>
      <c r="V127" s="257"/>
      <c r="W127" s="257"/>
      <c r="X127" s="257"/>
    </row>
    <row r="128" spans="2:24" ht="15" customHeight="1">
      <c r="B128" s="350"/>
      <c r="C128" s="350"/>
      <c r="D128" s="350"/>
      <c r="E128" s="350"/>
      <c r="F128" s="350"/>
      <c r="G128" s="350"/>
      <c r="H128" s="350"/>
      <c r="I128" s="324"/>
      <c r="J128" s="912"/>
      <c r="K128" s="243"/>
      <c r="L128" s="243"/>
      <c r="M128" s="243"/>
      <c r="N128" s="243"/>
      <c r="O128" s="243"/>
      <c r="X128" s="257"/>
    </row>
    <row r="129" spans="2:24" ht="15" customHeight="1">
      <c r="B129" s="350"/>
      <c r="C129" s="350"/>
      <c r="D129" s="350"/>
      <c r="E129" s="350"/>
      <c r="F129" s="350"/>
      <c r="G129" s="350"/>
      <c r="H129" s="350"/>
      <c r="I129" s="324"/>
      <c r="J129" s="912"/>
      <c r="K129" s="243"/>
      <c r="L129" s="243"/>
      <c r="M129" s="243"/>
      <c r="N129" s="243"/>
      <c r="O129" s="243"/>
      <c r="X129" s="257"/>
    </row>
    <row r="130" spans="2:24" ht="15" customHeight="1">
      <c r="B130" s="325"/>
      <c r="C130" s="325"/>
      <c r="D130" s="325"/>
      <c r="E130" s="325"/>
      <c r="F130" s="325"/>
      <c r="G130" s="325"/>
      <c r="H130" s="325"/>
      <c r="I130" s="326"/>
      <c r="J130" s="912"/>
      <c r="K130" s="243"/>
      <c r="L130" s="243"/>
      <c r="M130" s="243"/>
      <c r="N130" s="243"/>
      <c r="O130" s="243"/>
      <c r="X130" s="257"/>
    </row>
    <row r="131" spans="2:24" ht="15" customHeight="1">
      <c r="B131" s="325"/>
      <c r="C131" s="325"/>
      <c r="D131" s="325"/>
      <c r="E131" s="325"/>
      <c r="F131" s="325"/>
      <c r="G131" s="325"/>
      <c r="H131" s="325"/>
      <c r="I131" s="326"/>
      <c r="J131" s="913"/>
      <c r="K131" s="243"/>
      <c r="L131" s="243"/>
      <c r="M131" s="243"/>
      <c r="N131" s="243"/>
      <c r="O131" s="243"/>
      <c r="X131" s="257"/>
    </row>
  </sheetData>
  <mergeCells count="62">
    <mergeCell ref="C82:C83"/>
    <mergeCell ref="B82:B84"/>
    <mergeCell ref="D82:L82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M117:P117"/>
    <mergeCell ref="Q117:T117"/>
    <mergeCell ref="J112:J131"/>
    <mergeCell ref="I62:K62"/>
    <mergeCell ref="S112:S115"/>
    <mergeCell ref="O62:S62"/>
    <mergeCell ref="M82:M83"/>
    <mergeCell ref="L62:L63"/>
    <mergeCell ref="U76:V76"/>
    <mergeCell ref="AA6:AD6"/>
    <mergeCell ref="T9:T23"/>
    <mergeCell ref="T24:T38"/>
    <mergeCell ref="T6:T8"/>
    <mergeCell ref="U42:U43"/>
    <mergeCell ref="W42:W43"/>
    <mergeCell ref="X41:X44"/>
    <mergeCell ref="U6:U8"/>
    <mergeCell ref="T42:T43"/>
    <mergeCell ref="V6:Z6"/>
    <mergeCell ref="V42:V43"/>
    <mergeCell ref="S41:W41"/>
    <mergeCell ref="S6:S8"/>
    <mergeCell ref="K6:M6"/>
    <mergeCell ref="L41:L43"/>
    <mergeCell ref="M41:Q41"/>
    <mergeCell ref="O42:O43"/>
    <mergeCell ref="M42:M43"/>
    <mergeCell ref="N42:N43"/>
    <mergeCell ref="G41:K41"/>
    <mergeCell ref="N6:Q6"/>
    <mergeCell ref="J6:J7"/>
    <mergeCell ref="I6:I8"/>
    <mergeCell ref="P42:P43"/>
    <mergeCell ref="Q42:Q43"/>
    <mergeCell ref="R41:R43"/>
    <mergeCell ref="S42:S43"/>
    <mergeCell ref="E6:E7"/>
    <mergeCell ref="F6:H6"/>
    <mergeCell ref="B62:B64"/>
    <mergeCell ref="C62:C63"/>
    <mergeCell ref="D62:F62"/>
    <mergeCell ref="B6:B8"/>
    <mergeCell ref="C6:C8"/>
    <mergeCell ref="D6:D7"/>
    <mergeCell ref="B41:B44"/>
    <mergeCell ref="C41:C43"/>
    <mergeCell ref="D41:D43"/>
    <mergeCell ref="E41:E43"/>
    <mergeCell ref="F41:F43"/>
    <mergeCell ref="D63:E63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showGridLines="0" workbookViewId="0"/>
  </sheetViews>
  <sheetFormatPr defaultColWidth="10" defaultRowHeight="15" customHeight="1"/>
  <cols>
    <col min="1" max="1" width="3.88671875" style="243" customWidth="1"/>
    <col min="2" max="2" width="10" style="259"/>
    <col min="3" max="3" width="10.44140625" style="259" bestFit="1" customWidth="1"/>
    <col min="4" max="4" width="10" style="259"/>
    <col min="5" max="20" width="10" style="257"/>
    <col min="21" max="16384" width="10" style="243"/>
  </cols>
  <sheetData>
    <row r="1" spans="1:40" ht="15" customHeight="1">
      <c r="A1" s="240" t="s">
        <v>136</v>
      </c>
      <c r="B1" s="241"/>
      <c r="C1" s="241"/>
      <c r="D1" s="241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3"/>
      <c r="T1" s="243"/>
    </row>
    <row r="2" spans="1:40" ht="15" customHeight="1" thickBot="1">
      <c r="B2" s="474" t="s">
        <v>343</v>
      </c>
      <c r="C2" s="330" t="s">
        <v>373</v>
      </c>
      <c r="D2" s="330" t="s">
        <v>334</v>
      </c>
      <c r="E2" s="330" t="s">
        <v>330</v>
      </c>
      <c r="F2" s="330" t="s">
        <v>331</v>
      </c>
      <c r="G2" s="330" t="s">
        <v>332</v>
      </c>
      <c r="H2" s="334" t="s">
        <v>52</v>
      </c>
      <c r="I2" s="334" t="s">
        <v>543</v>
      </c>
      <c r="J2" s="334" t="s">
        <v>184</v>
      </c>
      <c r="K2" s="425" t="s">
        <v>670</v>
      </c>
      <c r="M2" s="242"/>
      <c r="N2" s="242"/>
      <c r="O2" s="242"/>
      <c r="P2" s="242"/>
      <c r="Q2" s="242"/>
      <c r="R2" s="243"/>
      <c r="S2" s="243"/>
      <c r="T2" s="243"/>
    </row>
    <row r="3" spans="1:40" ht="15" customHeight="1" thickBot="1">
      <c r="B3" s="275" t="str">
        <f>IF(SUM(X45:X59)=0,"","초과")</f>
        <v/>
      </c>
      <c r="C3" s="331">
        <f>COUNTIF(B9:B38,TRUE)/2</f>
        <v>0</v>
      </c>
      <c r="D3" s="331">
        <f>Pressure_2_R1!H$4</f>
        <v>0</v>
      </c>
      <c r="E3" s="331">
        <f>Pressure_2_R1!I$4</f>
        <v>0</v>
      </c>
      <c r="F3" s="331">
        <f>Pressure_2_R1!J$4</f>
        <v>0</v>
      </c>
      <c r="G3" s="331">
        <f>Pressure_2_R1!K$4</f>
        <v>0</v>
      </c>
      <c r="H3" s="342">
        <f>Pressure_2_R1!Q4</f>
        <v>0</v>
      </c>
      <c r="I3" s="342">
        <f>IF(TYPE(FIND(".",H3))=16,0,LEN(H3)-2)</f>
        <v>0</v>
      </c>
      <c r="J3" s="342">
        <f ca="1">OFFSET(V63,MATCH(I3,W64:W73,0),0)</f>
        <v>0</v>
      </c>
      <c r="K3" s="424" t="str">
        <f>D9</f>
        <v/>
      </c>
      <c r="M3" s="242"/>
      <c r="N3" s="242"/>
      <c r="O3" s="242"/>
      <c r="P3" s="242"/>
      <c r="Q3" s="242"/>
      <c r="R3" s="243"/>
      <c r="S3" s="243"/>
      <c r="T3" s="243"/>
    </row>
    <row r="4" spans="1:40" ht="15" customHeight="1">
      <c r="C4" s="241"/>
      <c r="D4" s="242"/>
      <c r="E4" s="242"/>
      <c r="F4" s="242"/>
      <c r="G4" s="242"/>
      <c r="I4" s="242"/>
      <c r="J4" s="242"/>
      <c r="K4" s="242"/>
      <c r="L4" s="242"/>
      <c r="M4" s="242"/>
      <c r="N4" s="242"/>
      <c r="O4" s="242"/>
      <c r="P4" s="243"/>
      <c r="Q4" s="243"/>
      <c r="R4" s="243"/>
      <c r="S4" s="243"/>
      <c r="T4" s="243"/>
    </row>
    <row r="5" spans="1:40" s="248" customFormat="1" ht="15" customHeight="1">
      <c r="B5" s="247" t="s">
        <v>344</v>
      </c>
      <c r="C5" s="245"/>
      <c r="D5" s="245"/>
      <c r="E5" s="246"/>
      <c r="F5" s="245"/>
      <c r="G5" s="241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7" t="s">
        <v>544</v>
      </c>
    </row>
    <row r="6" spans="1:40" s="242" customFormat="1" ht="15" customHeight="1">
      <c r="B6" s="880" t="s">
        <v>545</v>
      </c>
      <c r="C6" s="880" t="s">
        <v>137</v>
      </c>
      <c r="D6" s="880" t="s">
        <v>183</v>
      </c>
      <c r="E6" s="879" t="s">
        <v>546</v>
      </c>
      <c r="F6" s="880" t="s">
        <v>345</v>
      </c>
      <c r="G6" s="880"/>
      <c r="H6" s="880"/>
      <c r="I6" s="880" t="s">
        <v>346</v>
      </c>
      <c r="J6" s="880" t="s">
        <v>347</v>
      </c>
      <c r="K6" s="879" t="s">
        <v>348</v>
      </c>
      <c r="L6" s="879"/>
      <c r="M6" s="879"/>
      <c r="N6" s="879" t="s">
        <v>547</v>
      </c>
      <c r="O6" s="879"/>
      <c r="P6" s="879"/>
      <c r="Q6" s="879"/>
      <c r="R6" s="245"/>
      <c r="S6" s="902" t="s">
        <v>545</v>
      </c>
      <c r="T6" s="902" t="s">
        <v>349</v>
      </c>
      <c r="U6" s="902" t="s">
        <v>412</v>
      </c>
      <c r="V6" s="896" t="s">
        <v>350</v>
      </c>
      <c r="W6" s="897"/>
      <c r="X6" s="897"/>
      <c r="Y6" s="897"/>
      <c r="Z6" s="898"/>
      <c r="AA6" s="896" t="s">
        <v>374</v>
      </c>
      <c r="AB6" s="897"/>
      <c r="AC6" s="897"/>
      <c r="AD6" s="898"/>
      <c r="AF6" s="433" t="s">
        <v>71</v>
      </c>
      <c r="AG6" s="432" t="s">
        <v>317</v>
      </c>
      <c r="AH6" s="432" t="s">
        <v>320</v>
      </c>
      <c r="AI6" s="432" t="s">
        <v>133</v>
      </c>
      <c r="AJ6" s="432" t="s">
        <v>134</v>
      </c>
      <c r="AK6" s="432" t="s">
        <v>322</v>
      </c>
      <c r="AL6" s="432" t="s">
        <v>323</v>
      </c>
      <c r="AM6" s="432" t="s">
        <v>324</v>
      </c>
      <c r="AN6" s="432" t="s">
        <v>325</v>
      </c>
    </row>
    <row r="7" spans="1:40" s="242" customFormat="1" ht="15" customHeight="1">
      <c r="B7" s="880"/>
      <c r="C7" s="880"/>
      <c r="D7" s="880"/>
      <c r="E7" s="879"/>
      <c r="F7" s="477" t="s">
        <v>65</v>
      </c>
      <c r="G7" s="477" t="s">
        <v>66</v>
      </c>
      <c r="H7" s="477" t="s">
        <v>0</v>
      </c>
      <c r="I7" s="880"/>
      <c r="J7" s="880"/>
      <c r="K7" s="476" t="s">
        <v>65</v>
      </c>
      <c r="L7" s="476" t="s">
        <v>375</v>
      </c>
      <c r="M7" s="476" t="s">
        <v>94</v>
      </c>
      <c r="N7" s="477" t="s">
        <v>351</v>
      </c>
      <c r="O7" s="252" t="e">
        <f>SUM(O9:Q38)/(SUM(N9:N38)*3)</f>
        <v>#DIV/0!</v>
      </c>
      <c r="P7" s="477" t="s">
        <v>548</v>
      </c>
      <c r="Q7" s="252" t="e">
        <f>1/O7</f>
        <v>#DIV/0!</v>
      </c>
      <c r="R7" s="245"/>
      <c r="S7" s="903"/>
      <c r="T7" s="903"/>
      <c r="U7" s="903"/>
      <c r="V7" s="476" t="s">
        <v>65</v>
      </c>
      <c r="W7" s="476" t="s">
        <v>66</v>
      </c>
      <c r="X7" s="476" t="s">
        <v>94</v>
      </c>
      <c r="Y7" s="476" t="s">
        <v>352</v>
      </c>
      <c r="Z7" s="476" t="s">
        <v>353</v>
      </c>
      <c r="AA7" s="476" t="s">
        <v>65</v>
      </c>
      <c r="AB7" s="476" t="s">
        <v>66</v>
      </c>
      <c r="AC7" s="476" t="s">
        <v>94</v>
      </c>
      <c r="AD7" s="476" t="s">
        <v>354</v>
      </c>
      <c r="AF7" s="432" t="s">
        <v>317</v>
      </c>
      <c r="AG7" s="434">
        <f t="shared" ref="AG7:AG21" si="0">AI7*1000</f>
        <v>1</v>
      </c>
      <c r="AH7" s="434">
        <f>AI7*10</f>
        <v>0.01</v>
      </c>
      <c r="AI7" s="434">
        <f t="shared" ref="AI7:AI21" si="1">AJ7*1000</f>
        <v>1E-3</v>
      </c>
      <c r="AJ7" s="434">
        <v>9.9999999999999995E-7</v>
      </c>
      <c r="AK7" s="434">
        <f t="shared" ref="AK7:AK21" si="2">AM7*1000</f>
        <v>1</v>
      </c>
      <c r="AL7" s="434">
        <f>AM7*10</f>
        <v>0.01</v>
      </c>
      <c r="AM7" s="434">
        <f t="shared" ref="AM7:AM21" si="3">AN7*1000</f>
        <v>1E-3</v>
      </c>
      <c r="AN7" s="434">
        <v>9.9999999999999995E-7</v>
      </c>
    </row>
    <row r="8" spans="1:40" s="242" customFormat="1" ht="15" customHeight="1">
      <c r="B8" s="880"/>
      <c r="C8" s="880"/>
      <c r="D8" s="476">
        <f>E8</f>
        <v>0</v>
      </c>
      <c r="E8" s="476">
        <f>표준압력!C13</f>
        <v>0</v>
      </c>
      <c r="F8" s="476">
        <f>IF(D3="mV/V","mV",D3)</f>
        <v>0</v>
      </c>
      <c r="G8" s="476">
        <f>F8</f>
        <v>0</v>
      </c>
      <c r="H8" s="476">
        <f>G8</f>
        <v>0</v>
      </c>
      <c r="I8" s="880"/>
      <c r="J8" s="477">
        <f>Pressure_2_R1!E136</f>
        <v>0</v>
      </c>
      <c r="K8" s="477">
        <f>D3</f>
        <v>0</v>
      </c>
      <c r="L8" s="477">
        <f>K8</f>
        <v>0</v>
      </c>
      <c r="M8" s="477">
        <f>L8</f>
        <v>0</v>
      </c>
      <c r="N8" s="477" t="s">
        <v>549</v>
      </c>
      <c r="O8" s="477" t="s">
        <v>355</v>
      </c>
      <c r="P8" s="477" t="s">
        <v>550</v>
      </c>
      <c r="Q8" s="477" t="s">
        <v>342</v>
      </c>
      <c r="R8" s="245"/>
      <c r="S8" s="904"/>
      <c r="T8" s="904"/>
      <c r="U8" s="904"/>
      <c r="V8" s="477">
        <f>K8</f>
        <v>0</v>
      </c>
      <c r="W8" s="477">
        <f>V8</f>
        <v>0</v>
      </c>
      <c r="X8" s="477">
        <f>W8</f>
        <v>0</v>
      </c>
      <c r="Y8" s="477">
        <f>K8</f>
        <v>0</v>
      </c>
      <c r="Z8" s="477">
        <f>E8</f>
        <v>0</v>
      </c>
      <c r="AA8" s="477">
        <f>V8</f>
        <v>0</v>
      </c>
      <c r="AB8" s="477">
        <f>AA8</f>
        <v>0</v>
      </c>
      <c r="AC8" s="477">
        <f>AB8</f>
        <v>0</v>
      </c>
      <c r="AD8" s="477">
        <f>AC8</f>
        <v>0</v>
      </c>
      <c r="AF8" s="432" t="s">
        <v>320</v>
      </c>
      <c r="AG8" s="434">
        <f t="shared" si="0"/>
        <v>100</v>
      </c>
      <c r="AH8" s="434">
        <f t="shared" ref="AH8:AH30" si="4">AI8*10</f>
        <v>1</v>
      </c>
      <c r="AI8" s="434">
        <f t="shared" si="1"/>
        <v>0.1</v>
      </c>
      <c r="AJ8" s="434">
        <v>1E-4</v>
      </c>
      <c r="AK8" s="434">
        <f t="shared" si="2"/>
        <v>100</v>
      </c>
      <c r="AL8" s="434">
        <f t="shared" ref="AL8:AL30" si="5">AM8*10</f>
        <v>1</v>
      </c>
      <c r="AM8" s="434">
        <f t="shared" si="3"/>
        <v>0.1</v>
      </c>
      <c r="AN8" s="434">
        <v>1E-4</v>
      </c>
    </row>
    <row r="9" spans="1:40" s="242" customFormat="1" ht="15" customHeight="1">
      <c r="B9" s="249" t="b">
        <f>IF(Pressure_2_R1!Z4="",FALSE,TRUE)</f>
        <v>0</v>
      </c>
      <c r="C9" s="250">
        <v>1</v>
      </c>
      <c r="D9" s="256" t="str">
        <f>IF($B9=FALSE,"",Pressure_2_R1!D4)</f>
        <v/>
      </c>
      <c r="E9" s="251" t="str">
        <f>IF($B9=FALSE,"",표준압력!C14)</f>
        <v/>
      </c>
      <c r="F9" s="251" t="str">
        <f>IF($B9=FALSE,"",Pressure_2_R1!Z4)</f>
        <v/>
      </c>
      <c r="G9" s="252" t="str">
        <f>IF($B9=FALSE,"",Pressure_2_R1!AA4)</f>
        <v/>
      </c>
      <c r="H9" s="363" t="str">
        <f>IF($B9=FALSE,"",Pressure_2_R1!AB4)</f>
        <v/>
      </c>
      <c r="I9" s="365" t="b">
        <f>TYPE(G9)=1</f>
        <v>0</v>
      </c>
      <c r="J9" s="364" t="str">
        <f>IF($B9=FALSE,"",IF(Pressure_2_R1!D136="","기준기값없음",IF(Pressure_2_R1!L136="ok",Pressure_2_R1!D136,"파워선택안함")))</f>
        <v/>
      </c>
      <c r="K9" s="253" t="str">
        <f t="shared" ref="K9:K38" si="6">IF($B9=FALSE,"",IF(D$3="mV/V",F9/G$3+J9,F9+J9))</f>
        <v/>
      </c>
      <c r="L9" s="254" t="str">
        <f t="shared" ref="L9:L38" si="7">IF($B9=FALSE,"",IF(G9="ⅹ",K9,IF(D$3="mV/V",G9/G$3+J9,G9+J9)))</f>
        <v/>
      </c>
      <c r="M9" s="366" t="str">
        <f t="shared" ref="M9:M38" si="8">IF($B9=FALSE,"",IF(H9="ⅹ",L9,IF(D$3="mV/V",H9/G$3+J9,H9+J9)))</f>
        <v/>
      </c>
      <c r="N9" s="251" t="str">
        <f>IF($B9=FALSE,"",(E9-K$3)^2)</f>
        <v/>
      </c>
      <c r="O9" s="252" t="str">
        <f>IF($B9=FALSE,"",(E9-K$3)*(K9-E$3))</f>
        <v/>
      </c>
      <c r="P9" s="252" t="str">
        <f>IF($B9=FALSE,"",(E9-K$3)*(L9-E$3))</f>
        <v/>
      </c>
      <c r="Q9" s="367" t="str">
        <f>IF($B9=FALSE,"",(E9-K$3)*(M9-E$3))</f>
        <v/>
      </c>
      <c r="R9" s="245"/>
      <c r="S9" s="255" t="b">
        <f t="shared" ref="S9:S38" si="9">IF($U9&gt;$C$3,FALSE,TRUE)</f>
        <v>0</v>
      </c>
      <c r="T9" s="899" t="s">
        <v>551</v>
      </c>
      <c r="U9" s="256">
        <v>1</v>
      </c>
      <c r="V9" s="253" t="str">
        <f>IF($S9=FALSE,"",K9)</f>
        <v/>
      </c>
      <c r="W9" s="255" t="str">
        <f>IF($S9=FALSE,"",L9)</f>
        <v/>
      </c>
      <c r="X9" s="255" t="str">
        <f>IF($S9=FALSE,"",M9)</f>
        <v/>
      </c>
      <c r="Y9" s="255" t="str">
        <f>IF($S9=FALSE,"",AVERAGE(V9:X9))</f>
        <v/>
      </c>
      <c r="Z9" s="341" t="str">
        <f t="shared" ref="Z9:Z38" si="10">IF($S9=FALSE,"",K$3+Q$7*(Y9-E$3))</f>
        <v/>
      </c>
      <c r="AA9" s="253" t="str">
        <f>IF($S9=FALSE,"",V9-V$9)</f>
        <v/>
      </c>
      <c r="AB9" s="255" t="str">
        <f>IF($S9=FALSE,"",W9-W$9)</f>
        <v/>
      </c>
      <c r="AC9" s="255" t="str">
        <f>IF($S9=FALSE,"",X9-X$9)</f>
        <v/>
      </c>
      <c r="AD9" s="255" t="str">
        <f t="shared" ref="AD9:AD38" si="11">IF($S9=FALSE,"",MAX(AA9:AC9)-MIN(AA9:AC9))</f>
        <v/>
      </c>
      <c r="AF9" s="432" t="s">
        <v>691</v>
      </c>
      <c r="AG9" s="434">
        <f t="shared" si="0"/>
        <v>1000</v>
      </c>
      <c r="AH9" s="434">
        <f t="shared" si="4"/>
        <v>10</v>
      </c>
      <c r="AI9" s="434">
        <f t="shared" si="1"/>
        <v>1</v>
      </c>
      <c r="AJ9" s="434">
        <v>1E-3</v>
      </c>
      <c r="AK9" s="434">
        <f t="shared" si="2"/>
        <v>1000</v>
      </c>
      <c r="AL9" s="434">
        <f t="shared" si="5"/>
        <v>10</v>
      </c>
      <c r="AM9" s="434">
        <f t="shared" si="3"/>
        <v>1</v>
      </c>
      <c r="AN9" s="434">
        <v>1E-3</v>
      </c>
    </row>
    <row r="10" spans="1:40" s="242" customFormat="1" ht="15" customHeight="1">
      <c r="B10" s="249" t="b">
        <f>IF(Pressure_2_R1!Z5="",FALSE,TRUE)</f>
        <v>0</v>
      </c>
      <c r="C10" s="250">
        <v>2</v>
      </c>
      <c r="D10" s="256" t="str">
        <f>IF($B10=FALSE,"",Pressure_2_R1!D5)</f>
        <v/>
      </c>
      <c r="E10" s="251" t="str">
        <f>IF($B10=FALSE,"",표준압력!C15)</f>
        <v/>
      </c>
      <c r="F10" s="251" t="str">
        <f>IF($B10=FALSE,"",Pressure_2_R1!Z5)</f>
        <v/>
      </c>
      <c r="G10" s="252" t="str">
        <f>IF($B10=FALSE,"",Pressure_2_R1!AA5)</f>
        <v/>
      </c>
      <c r="H10" s="363" t="str">
        <f>IF($B10=FALSE,"",Pressure_2_R1!AB5)</f>
        <v/>
      </c>
      <c r="I10" s="365" t="b">
        <f t="shared" ref="I10:I38" si="12">TYPE(G10)=1</f>
        <v>0</v>
      </c>
      <c r="J10" s="364" t="str">
        <f>IF($B10=FALSE,"",IF(Pressure_2_R1!D137="","기준기값없음",IF(Pressure_2_R1!L137="ok",Pressure_2_R1!D137,"파워선택안함")))</f>
        <v/>
      </c>
      <c r="K10" s="253" t="str">
        <f t="shared" si="6"/>
        <v/>
      </c>
      <c r="L10" s="254" t="str">
        <f t="shared" si="7"/>
        <v/>
      </c>
      <c r="M10" s="366" t="str">
        <f t="shared" si="8"/>
        <v/>
      </c>
      <c r="N10" s="251" t="str">
        <f t="shared" ref="N10:N38" si="13">IF($B10=FALSE,"",(E10-K$3)^2)</f>
        <v/>
      </c>
      <c r="O10" s="252" t="str">
        <f t="shared" ref="O10:O38" si="14">IF($B10=FALSE,"",(E10-K$3)*(K10-E$3))</f>
        <v/>
      </c>
      <c r="P10" s="252" t="str">
        <f t="shared" ref="P10:P38" si="15">IF($B10=FALSE,"",(E10-K$3)*(L10-E$3))</f>
        <v/>
      </c>
      <c r="Q10" s="367" t="str">
        <f t="shared" ref="Q10:Q38" si="16">IF($B10=FALSE,"",(E10-K$3)*(M10-E$3))</f>
        <v/>
      </c>
      <c r="R10" s="245"/>
      <c r="S10" s="255" t="b">
        <f t="shared" si="9"/>
        <v>0</v>
      </c>
      <c r="T10" s="900"/>
      <c r="U10" s="256">
        <v>2</v>
      </c>
      <c r="V10" s="253" t="str">
        <f t="shared" ref="V10:X23" si="17">IF($S10=FALSE,"",K10)</f>
        <v/>
      </c>
      <c r="W10" s="255" t="str">
        <f t="shared" si="17"/>
        <v/>
      </c>
      <c r="X10" s="255" t="str">
        <f t="shared" si="17"/>
        <v/>
      </c>
      <c r="Y10" s="255" t="str">
        <f t="shared" ref="Y10:Y38" si="18">IF($S10=FALSE,"",AVERAGE(V10:X10))</f>
        <v/>
      </c>
      <c r="Z10" s="341" t="str">
        <f t="shared" si="10"/>
        <v/>
      </c>
      <c r="AA10" s="253" t="str">
        <f t="shared" ref="AA10:AC38" si="19">IF($S10=FALSE,"",V10-V$9)</f>
        <v/>
      </c>
      <c r="AB10" s="255" t="str">
        <f t="shared" si="19"/>
        <v/>
      </c>
      <c r="AC10" s="255" t="str">
        <f t="shared" si="19"/>
        <v/>
      </c>
      <c r="AD10" s="255" t="str">
        <f t="shared" si="11"/>
        <v/>
      </c>
      <c r="AF10" s="432" t="s">
        <v>134</v>
      </c>
      <c r="AG10" s="434">
        <f t="shared" si="0"/>
        <v>1000000</v>
      </c>
      <c r="AH10" s="434">
        <f t="shared" si="4"/>
        <v>10000</v>
      </c>
      <c r="AI10" s="434">
        <f t="shared" si="1"/>
        <v>1000</v>
      </c>
      <c r="AJ10" s="434">
        <v>1</v>
      </c>
      <c r="AK10" s="434">
        <f t="shared" si="2"/>
        <v>1000000</v>
      </c>
      <c r="AL10" s="434">
        <f t="shared" si="5"/>
        <v>10000</v>
      </c>
      <c r="AM10" s="434">
        <f t="shared" si="3"/>
        <v>1000</v>
      </c>
      <c r="AN10" s="434">
        <v>1</v>
      </c>
    </row>
    <row r="11" spans="1:40" s="242" customFormat="1" ht="15" customHeight="1">
      <c r="B11" s="249" t="b">
        <f>IF(Pressure_2_R1!Z6="",FALSE,TRUE)</f>
        <v>0</v>
      </c>
      <c r="C11" s="250">
        <v>3</v>
      </c>
      <c r="D11" s="256" t="str">
        <f>IF($B11=FALSE,"",Pressure_2_R1!D6)</f>
        <v/>
      </c>
      <c r="E11" s="251" t="str">
        <f>IF($B11=FALSE,"",표준압력!C16)</f>
        <v/>
      </c>
      <c r="F11" s="251" t="str">
        <f>IF($B11=FALSE,"",Pressure_2_R1!Z6)</f>
        <v/>
      </c>
      <c r="G11" s="252" t="str">
        <f>IF($B11=FALSE,"",Pressure_2_R1!AA6)</f>
        <v/>
      </c>
      <c r="H11" s="363" t="str">
        <f>IF($B11=FALSE,"",Pressure_2_R1!AB6)</f>
        <v/>
      </c>
      <c r="I11" s="365" t="b">
        <f t="shared" si="12"/>
        <v>0</v>
      </c>
      <c r="J11" s="364" t="str">
        <f>IF($B11=FALSE,"",IF(Pressure_2_R1!D138="","기준기값없음",IF(Pressure_2_R1!L138="ok",Pressure_2_R1!D138,"파워선택안함")))</f>
        <v/>
      </c>
      <c r="K11" s="253" t="str">
        <f t="shared" si="6"/>
        <v/>
      </c>
      <c r="L11" s="254" t="str">
        <f t="shared" si="7"/>
        <v/>
      </c>
      <c r="M11" s="366" t="str">
        <f t="shared" si="8"/>
        <v/>
      </c>
      <c r="N11" s="251" t="str">
        <f t="shared" si="13"/>
        <v/>
      </c>
      <c r="O11" s="252" t="str">
        <f t="shared" si="14"/>
        <v/>
      </c>
      <c r="P11" s="252" t="str">
        <f t="shared" si="15"/>
        <v/>
      </c>
      <c r="Q11" s="367" t="str">
        <f t="shared" si="16"/>
        <v/>
      </c>
      <c r="R11" s="245"/>
      <c r="S11" s="255" t="b">
        <f t="shared" si="9"/>
        <v>0</v>
      </c>
      <c r="T11" s="900"/>
      <c r="U11" s="256">
        <v>3</v>
      </c>
      <c r="V11" s="253" t="str">
        <f t="shared" si="17"/>
        <v/>
      </c>
      <c r="W11" s="255" t="str">
        <f t="shared" si="17"/>
        <v/>
      </c>
      <c r="X11" s="255" t="str">
        <f t="shared" si="17"/>
        <v/>
      </c>
      <c r="Y11" s="255" t="str">
        <f t="shared" si="18"/>
        <v/>
      </c>
      <c r="Z11" s="341" t="str">
        <f t="shared" si="10"/>
        <v/>
      </c>
      <c r="AA11" s="253" t="str">
        <f t="shared" si="19"/>
        <v/>
      </c>
      <c r="AB11" s="255" t="str">
        <f t="shared" si="19"/>
        <v/>
      </c>
      <c r="AC11" s="255" t="str">
        <f t="shared" si="19"/>
        <v/>
      </c>
      <c r="AD11" s="255" t="str">
        <f t="shared" si="11"/>
        <v/>
      </c>
      <c r="AF11" s="432" t="s">
        <v>356</v>
      </c>
      <c r="AG11" s="434">
        <f t="shared" si="0"/>
        <v>100</v>
      </c>
      <c r="AH11" s="434">
        <f t="shared" si="4"/>
        <v>1</v>
      </c>
      <c r="AI11" s="434">
        <f t="shared" si="1"/>
        <v>0.1</v>
      </c>
      <c r="AJ11" s="434">
        <v>1E-4</v>
      </c>
      <c r="AK11" s="434">
        <f t="shared" si="2"/>
        <v>100</v>
      </c>
      <c r="AL11" s="434">
        <f t="shared" si="5"/>
        <v>1</v>
      </c>
      <c r="AM11" s="434">
        <f t="shared" si="3"/>
        <v>0.1</v>
      </c>
      <c r="AN11" s="434">
        <v>1E-4</v>
      </c>
    </row>
    <row r="12" spans="1:40" s="242" customFormat="1" ht="15" customHeight="1">
      <c r="B12" s="249" t="b">
        <f>IF(Pressure_2_R1!Z7="",FALSE,TRUE)</f>
        <v>0</v>
      </c>
      <c r="C12" s="250">
        <v>4</v>
      </c>
      <c r="D12" s="256" t="str">
        <f>IF($B12=FALSE,"",Pressure_2_R1!D7)</f>
        <v/>
      </c>
      <c r="E12" s="251" t="str">
        <f>IF($B12=FALSE,"",표준압력!C17)</f>
        <v/>
      </c>
      <c r="F12" s="251" t="str">
        <f>IF($B12=FALSE,"",Pressure_2_R1!Z7)</f>
        <v/>
      </c>
      <c r="G12" s="252" t="str">
        <f>IF($B12=FALSE,"",Pressure_2_R1!AA7)</f>
        <v/>
      </c>
      <c r="H12" s="363" t="str">
        <f>IF($B12=FALSE,"",Pressure_2_R1!AB7)</f>
        <v/>
      </c>
      <c r="I12" s="365" t="b">
        <f t="shared" si="12"/>
        <v>0</v>
      </c>
      <c r="J12" s="364" t="str">
        <f>IF($B12=FALSE,"",IF(Pressure_2_R1!D139="","기준기값없음",IF(Pressure_2_R1!L139="ok",Pressure_2_R1!D139,"파워선택안함")))</f>
        <v/>
      </c>
      <c r="K12" s="253" t="str">
        <f t="shared" si="6"/>
        <v/>
      </c>
      <c r="L12" s="254" t="str">
        <f t="shared" si="7"/>
        <v/>
      </c>
      <c r="M12" s="366" t="str">
        <f t="shared" si="8"/>
        <v/>
      </c>
      <c r="N12" s="251" t="str">
        <f t="shared" si="13"/>
        <v/>
      </c>
      <c r="O12" s="252" t="str">
        <f t="shared" si="14"/>
        <v/>
      </c>
      <c r="P12" s="252" t="str">
        <f t="shared" si="15"/>
        <v/>
      </c>
      <c r="Q12" s="367" t="str">
        <f t="shared" si="16"/>
        <v/>
      </c>
      <c r="R12" s="245"/>
      <c r="S12" s="255" t="b">
        <f t="shared" si="9"/>
        <v>0</v>
      </c>
      <c r="T12" s="900"/>
      <c r="U12" s="256">
        <v>4</v>
      </c>
      <c r="V12" s="253" t="str">
        <f t="shared" si="17"/>
        <v/>
      </c>
      <c r="W12" s="255" t="str">
        <f t="shared" si="17"/>
        <v/>
      </c>
      <c r="X12" s="255" t="str">
        <f t="shared" si="17"/>
        <v/>
      </c>
      <c r="Y12" s="255" t="str">
        <f t="shared" si="18"/>
        <v/>
      </c>
      <c r="Z12" s="341" t="str">
        <f t="shared" si="10"/>
        <v/>
      </c>
      <c r="AA12" s="253" t="str">
        <f t="shared" si="19"/>
        <v/>
      </c>
      <c r="AB12" s="255" t="str">
        <f t="shared" si="19"/>
        <v/>
      </c>
      <c r="AC12" s="255" t="str">
        <f t="shared" si="19"/>
        <v/>
      </c>
      <c r="AD12" s="255" t="str">
        <f t="shared" si="11"/>
        <v/>
      </c>
      <c r="AF12" s="432" t="s">
        <v>692</v>
      </c>
      <c r="AG12" s="434">
        <f t="shared" si="0"/>
        <v>100000</v>
      </c>
      <c r="AH12" s="434">
        <f t="shared" si="4"/>
        <v>1000</v>
      </c>
      <c r="AI12" s="434">
        <f t="shared" si="1"/>
        <v>100</v>
      </c>
      <c r="AJ12" s="434">
        <v>0.1</v>
      </c>
      <c r="AK12" s="434">
        <f t="shared" si="2"/>
        <v>100000</v>
      </c>
      <c r="AL12" s="434">
        <f t="shared" si="5"/>
        <v>1000</v>
      </c>
      <c r="AM12" s="434">
        <f t="shared" si="3"/>
        <v>100</v>
      </c>
      <c r="AN12" s="434">
        <v>0.1</v>
      </c>
    </row>
    <row r="13" spans="1:40" s="242" customFormat="1" ht="15" customHeight="1">
      <c r="B13" s="249" t="b">
        <f>IF(Pressure_2_R1!Z8="",FALSE,TRUE)</f>
        <v>0</v>
      </c>
      <c r="C13" s="250">
        <v>5</v>
      </c>
      <c r="D13" s="256" t="str">
        <f>IF($B13=FALSE,"",Pressure_2_R1!D8)</f>
        <v/>
      </c>
      <c r="E13" s="251" t="str">
        <f>IF($B13=FALSE,"",표준압력!C18)</f>
        <v/>
      </c>
      <c r="F13" s="251" t="str">
        <f>IF($B13=FALSE,"",Pressure_2_R1!Z8)</f>
        <v/>
      </c>
      <c r="G13" s="252" t="str">
        <f>IF($B13=FALSE,"",Pressure_2_R1!AA8)</f>
        <v/>
      </c>
      <c r="H13" s="363" t="str">
        <f>IF($B13=FALSE,"",Pressure_2_R1!AB8)</f>
        <v/>
      </c>
      <c r="I13" s="365" t="b">
        <f t="shared" si="12"/>
        <v>0</v>
      </c>
      <c r="J13" s="364" t="str">
        <f>IF($B13=FALSE,"",IF(Pressure_2_R1!D140="","기준기값없음",IF(Pressure_2_R1!L140="ok",Pressure_2_R1!D140,"파워선택안함")))</f>
        <v/>
      </c>
      <c r="K13" s="253" t="str">
        <f t="shared" si="6"/>
        <v/>
      </c>
      <c r="L13" s="254" t="str">
        <f t="shared" si="7"/>
        <v/>
      </c>
      <c r="M13" s="366" t="str">
        <f t="shared" si="8"/>
        <v/>
      </c>
      <c r="N13" s="251" t="str">
        <f t="shared" si="13"/>
        <v/>
      </c>
      <c r="O13" s="252" t="str">
        <f t="shared" si="14"/>
        <v/>
      </c>
      <c r="P13" s="252" t="str">
        <f t="shared" si="15"/>
        <v/>
      </c>
      <c r="Q13" s="367" t="str">
        <f t="shared" si="16"/>
        <v/>
      </c>
      <c r="R13" s="245"/>
      <c r="S13" s="255" t="b">
        <f t="shared" si="9"/>
        <v>0</v>
      </c>
      <c r="T13" s="900"/>
      <c r="U13" s="256">
        <v>5</v>
      </c>
      <c r="V13" s="253" t="str">
        <f t="shared" si="17"/>
        <v/>
      </c>
      <c r="W13" s="255" t="str">
        <f t="shared" si="17"/>
        <v/>
      </c>
      <c r="X13" s="255" t="str">
        <f t="shared" si="17"/>
        <v/>
      </c>
      <c r="Y13" s="255" t="str">
        <f t="shared" si="18"/>
        <v/>
      </c>
      <c r="Z13" s="341" t="str">
        <f t="shared" si="10"/>
        <v/>
      </c>
      <c r="AA13" s="253" t="str">
        <f t="shared" si="19"/>
        <v/>
      </c>
      <c r="AB13" s="255" t="str">
        <f t="shared" si="19"/>
        <v/>
      </c>
      <c r="AC13" s="255" t="str">
        <f t="shared" si="19"/>
        <v/>
      </c>
      <c r="AD13" s="255" t="str">
        <f t="shared" si="11"/>
        <v/>
      </c>
      <c r="AF13" s="432" t="s">
        <v>693</v>
      </c>
      <c r="AG13" s="434">
        <f t="shared" si="0"/>
        <v>6894.7569999999996</v>
      </c>
      <c r="AH13" s="434">
        <f t="shared" si="4"/>
        <v>68.947569999999999</v>
      </c>
      <c r="AI13" s="434">
        <f t="shared" si="1"/>
        <v>6.8947569999999994</v>
      </c>
      <c r="AJ13" s="434">
        <v>6.8947569999999996E-3</v>
      </c>
      <c r="AK13" s="434">
        <f t="shared" si="2"/>
        <v>6894.7569999999996</v>
      </c>
      <c r="AL13" s="434">
        <f t="shared" si="5"/>
        <v>68.947569999999999</v>
      </c>
      <c r="AM13" s="434">
        <f t="shared" si="3"/>
        <v>6.8947569999999994</v>
      </c>
      <c r="AN13" s="434">
        <v>6.8947569999999996E-3</v>
      </c>
    </row>
    <row r="14" spans="1:40" s="242" customFormat="1" ht="15" customHeight="1">
      <c r="B14" s="249" t="b">
        <f>IF(Pressure_2_R1!Z9="",FALSE,TRUE)</f>
        <v>0</v>
      </c>
      <c r="C14" s="250">
        <v>6</v>
      </c>
      <c r="D14" s="256" t="str">
        <f>IF($B14=FALSE,"",Pressure_2_R1!D9)</f>
        <v/>
      </c>
      <c r="E14" s="251" t="str">
        <f>IF($B14=FALSE,"",표준압력!C19)</f>
        <v/>
      </c>
      <c r="F14" s="251" t="str">
        <f>IF($B14=FALSE,"",Pressure_2_R1!Z9)</f>
        <v/>
      </c>
      <c r="G14" s="252" t="str">
        <f>IF($B14=FALSE,"",Pressure_2_R1!AA9)</f>
        <v/>
      </c>
      <c r="H14" s="363" t="str">
        <f>IF($B14=FALSE,"",Pressure_2_R1!AB9)</f>
        <v/>
      </c>
      <c r="I14" s="365" t="b">
        <f t="shared" si="12"/>
        <v>0</v>
      </c>
      <c r="J14" s="364" t="str">
        <f>IF($B14=FALSE,"",IF(Pressure_2_R1!D141="","기준기값없음",IF(Pressure_2_R1!L141="ok",Pressure_2_R1!D141,"파워선택안함")))</f>
        <v/>
      </c>
      <c r="K14" s="253" t="str">
        <f t="shared" si="6"/>
        <v/>
      </c>
      <c r="L14" s="254" t="str">
        <f t="shared" si="7"/>
        <v/>
      </c>
      <c r="M14" s="366" t="str">
        <f t="shared" si="8"/>
        <v/>
      </c>
      <c r="N14" s="251" t="str">
        <f t="shared" si="13"/>
        <v/>
      </c>
      <c r="O14" s="252" t="str">
        <f t="shared" si="14"/>
        <v/>
      </c>
      <c r="P14" s="252" t="str">
        <f t="shared" si="15"/>
        <v/>
      </c>
      <c r="Q14" s="367" t="str">
        <f t="shared" si="16"/>
        <v/>
      </c>
      <c r="R14" s="245"/>
      <c r="S14" s="255" t="b">
        <f t="shared" si="9"/>
        <v>0</v>
      </c>
      <c r="T14" s="900"/>
      <c r="U14" s="256">
        <v>6</v>
      </c>
      <c r="V14" s="253" t="str">
        <f t="shared" si="17"/>
        <v/>
      </c>
      <c r="W14" s="255" t="str">
        <f t="shared" si="17"/>
        <v/>
      </c>
      <c r="X14" s="255" t="str">
        <f t="shared" si="17"/>
        <v/>
      </c>
      <c r="Y14" s="255" t="str">
        <f t="shared" si="18"/>
        <v/>
      </c>
      <c r="Z14" s="341" t="str">
        <f t="shared" si="10"/>
        <v/>
      </c>
      <c r="AA14" s="253" t="str">
        <f t="shared" si="19"/>
        <v/>
      </c>
      <c r="AB14" s="255" t="str">
        <f t="shared" si="19"/>
        <v/>
      </c>
      <c r="AC14" s="255" t="str">
        <f t="shared" si="19"/>
        <v/>
      </c>
      <c r="AD14" s="255" t="str">
        <f t="shared" si="11"/>
        <v/>
      </c>
      <c r="AF14" s="432" t="s">
        <v>694</v>
      </c>
      <c r="AG14" s="434">
        <f t="shared" si="0"/>
        <v>98066.5</v>
      </c>
      <c r="AH14" s="434">
        <f t="shared" si="4"/>
        <v>980.66500000000008</v>
      </c>
      <c r="AI14" s="434">
        <f t="shared" si="1"/>
        <v>98.066500000000005</v>
      </c>
      <c r="AJ14" s="434">
        <v>9.8066500000000001E-2</v>
      </c>
      <c r="AK14" s="434">
        <f t="shared" si="2"/>
        <v>98066.5</v>
      </c>
      <c r="AL14" s="434">
        <f t="shared" si="5"/>
        <v>980.66500000000008</v>
      </c>
      <c r="AM14" s="434">
        <f t="shared" si="3"/>
        <v>98.066500000000005</v>
      </c>
      <c r="AN14" s="434">
        <v>9.8066500000000001E-2</v>
      </c>
    </row>
    <row r="15" spans="1:40" s="242" customFormat="1" ht="15" customHeight="1">
      <c r="B15" s="249" t="b">
        <f>IF(Pressure_2_R1!Z10="",FALSE,TRUE)</f>
        <v>0</v>
      </c>
      <c r="C15" s="250">
        <v>7</v>
      </c>
      <c r="D15" s="256" t="str">
        <f>IF($B15=FALSE,"",Pressure_2_R1!D10)</f>
        <v/>
      </c>
      <c r="E15" s="251" t="str">
        <f>IF($B15=FALSE,"",표준압력!C20)</f>
        <v/>
      </c>
      <c r="F15" s="251" t="str">
        <f>IF($B15=FALSE,"",Pressure_2_R1!Z10)</f>
        <v/>
      </c>
      <c r="G15" s="252" t="str">
        <f>IF($B15=FALSE,"",Pressure_2_R1!AA10)</f>
        <v/>
      </c>
      <c r="H15" s="363" t="str">
        <f>IF($B15=FALSE,"",Pressure_2_R1!AB10)</f>
        <v/>
      </c>
      <c r="I15" s="365" t="b">
        <f t="shared" si="12"/>
        <v>0</v>
      </c>
      <c r="J15" s="364" t="str">
        <f>IF($B15=FALSE,"",IF(Pressure_2_R1!D142="","기준기값없음",IF(Pressure_2_R1!L142="ok",Pressure_2_R1!D142,"파워선택안함")))</f>
        <v/>
      </c>
      <c r="K15" s="253" t="str">
        <f t="shared" si="6"/>
        <v/>
      </c>
      <c r="L15" s="254" t="str">
        <f t="shared" si="7"/>
        <v/>
      </c>
      <c r="M15" s="366" t="str">
        <f t="shared" si="8"/>
        <v/>
      </c>
      <c r="N15" s="251" t="str">
        <f t="shared" si="13"/>
        <v/>
      </c>
      <c r="O15" s="252" t="str">
        <f t="shared" si="14"/>
        <v/>
      </c>
      <c r="P15" s="252" t="str">
        <f t="shared" si="15"/>
        <v/>
      </c>
      <c r="Q15" s="367" t="str">
        <f t="shared" si="16"/>
        <v/>
      </c>
      <c r="R15" s="245"/>
      <c r="S15" s="255" t="b">
        <f t="shared" si="9"/>
        <v>0</v>
      </c>
      <c r="T15" s="900"/>
      <c r="U15" s="256">
        <v>7</v>
      </c>
      <c r="V15" s="253" t="str">
        <f t="shared" si="17"/>
        <v/>
      </c>
      <c r="W15" s="255" t="str">
        <f t="shared" si="17"/>
        <v/>
      </c>
      <c r="X15" s="255" t="str">
        <f t="shared" si="17"/>
        <v/>
      </c>
      <c r="Y15" s="255" t="str">
        <f t="shared" si="18"/>
        <v/>
      </c>
      <c r="Z15" s="341" t="str">
        <f t="shared" si="10"/>
        <v/>
      </c>
      <c r="AA15" s="253" t="str">
        <f t="shared" si="19"/>
        <v/>
      </c>
      <c r="AB15" s="255" t="str">
        <f t="shared" si="19"/>
        <v/>
      </c>
      <c r="AC15" s="255" t="str">
        <f t="shared" si="19"/>
        <v/>
      </c>
      <c r="AD15" s="255" t="str">
        <f t="shared" si="11"/>
        <v/>
      </c>
      <c r="AF15" s="432" t="s">
        <v>112</v>
      </c>
      <c r="AG15" s="434">
        <f t="shared" si="0"/>
        <v>9.8066499999999994</v>
      </c>
      <c r="AH15" s="434">
        <f t="shared" si="4"/>
        <v>9.8066500000000001E-2</v>
      </c>
      <c r="AI15" s="434">
        <f t="shared" si="1"/>
        <v>9.8066500000000001E-3</v>
      </c>
      <c r="AJ15" s="435">
        <v>9.8066500000000004E-6</v>
      </c>
      <c r="AK15" s="434">
        <f t="shared" si="2"/>
        <v>9.8066499999999994</v>
      </c>
      <c r="AL15" s="434">
        <f t="shared" si="5"/>
        <v>9.8066500000000001E-2</v>
      </c>
      <c r="AM15" s="434">
        <f t="shared" si="3"/>
        <v>9.8066500000000001E-3</v>
      </c>
      <c r="AN15" s="435">
        <v>9.8066500000000004E-6</v>
      </c>
    </row>
    <row r="16" spans="1:40" s="242" customFormat="1" ht="15" customHeight="1">
      <c r="B16" s="249" t="b">
        <f>IF(Pressure_2_R1!Z11="",FALSE,TRUE)</f>
        <v>0</v>
      </c>
      <c r="C16" s="250">
        <v>8</v>
      </c>
      <c r="D16" s="256" t="str">
        <f>IF($B16=FALSE,"",Pressure_2_R1!D11)</f>
        <v/>
      </c>
      <c r="E16" s="251" t="str">
        <f>IF($B16=FALSE,"",표준압력!C21)</f>
        <v/>
      </c>
      <c r="F16" s="251" t="str">
        <f>IF($B16=FALSE,"",Pressure_2_R1!Z11)</f>
        <v/>
      </c>
      <c r="G16" s="252" t="str">
        <f>IF($B16=FALSE,"",Pressure_2_R1!AA11)</f>
        <v/>
      </c>
      <c r="H16" s="363" t="str">
        <f>IF($B16=FALSE,"",Pressure_2_R1!AB11)</f>
        <v/>
      </c>
      <c r="I16" s="365" t="b">
        <f t="shared" si="12"/>
        <v>0</v>
      </c>
      <c r="J16" s="364" t="str">
        <f>IF($B16=FALSE,"",IF(Pressure_2_R1!D143="","기준기값없음",IF(Pressure_2_R1!L143="ok",Pressure_2_R1!D143,"파워선택안함")))</f>
        <v/>
      </c>
      <c r="K16" s="253" t="str">
        <f t="shared" si="6"/>
        <v/>
      </c>
      <c r="L16" s="254" t="str">
        <f t="shared" si="7"/>
        <v/>
      </c>
      <c r="M16" s="366" t="str">
        <f t="shared" si="8"/>
        <v/>
      </c>
      <c r="N16" s="251" t="str">
        <f t="shared" si="13"/>
        <v/>
      </c>
      <c r="O16" s="252" t="str">
        <f t="shared" si="14"/>
        <v/>
      </c>
      <c r="P16" s="252" t="str">
        <f t="shared" si="15"/>
        <v/>
      </c>
      <c r="Q16" s="367" t="str">
        <f t="shared" si="16"/>
        <v/>
      </c>
      <c r="R16" s="245"/>
      <c r="S16" s="255" t="b">
        <f t="shared" si="9"/>
        <v>0</v>
      </c>
      <c r="T16" s="900"/>
      <c r="U16" s="256">
        <v>8</v>
      </c>
      <c r="V16" s="253" t="str">
        <f t="shared" si="17"/>
        <v/>
      </c>
      <c r="W16" s="255" t="str">
        <f t="shared" si="17"/>
        <v/>
      </c>
      <c r="X16" s="255" t="str">
        <f t="shared" si="17"/>
        <v/>
      </c>
      <c r="Y16" s="255" t="str">
        <f t="shared" si="18"/>
        <v/>
      </c>
      <c r="Z16" s="341" t="str">
        <f t="shared" si="10"/>
        <v/>
      </c>
      <c r="AA16" s="253" t="str">
        <f t="shared" si="19"/>
        <v/>
      </c>
      <c r="AB16" s="255" t="str">
        <f t="shared" si="19"/>
        <v/>
      </c>
      <c r="AC16" s="255" t="str">
        <f t="shared" si="19"/>
        <v/>
      </c>
      <c r="AD16" s="255" t="str">
        <f t="shared" si="11"/>
        <v/>
      </c>
      <c r="AF16" s="432" t="s">
        <v>695</v>
      </c>
      <c r="AG16" s="434">
        <f t="shared" si="0"/>
        <v>3386.3889999999997</v>
      </c>
      <c r="AH16" s="434">
        <f t="shared" si="4"/>
        <v>33.863889999999998</v>
      </c>
      <c r="AI16" s="434">
        <f t="shared" si="1"/>
        <v>3.3863889999999999</v>
      </c>
      <c r="AJ16" s="434">
        <v>3.3863890000000001E-3</v>
      </c>
      <c r="AK16" s="434">
        <f t="shared" si="2"/>
        <v>3386.3889999999997</v>
      </c>
      <c r="AL16" s="434">
        <f t="shared" si="5"/>
        <v>33.863889999999998</v>
      </c>
      <c r="AM16" s="434">
        <f t="shared" si="3"/>
        <v>3.3863889999999999</v>
      </c>
      <c r="AN16" s="434">
        <v>3.3863890000000001E-3</v>
      </c>
    </row>
    <row r="17" spans="2:40" s="242" customFormat="1" ht="15" customHeight="1">
      <c r="B17" s="249" t="b">
        <f>IF(Pressure_2_R1!Z12="",FALSE,TRUE)</f>
        <v>0</v>
      </c>
      <c r="C17" s="250">
        <v>9</v>
      </c>
      <c r="D17" s="256" t="str">
        <f>IF($B17=FALSE,"",Pressure_2_R1!D12)</f>
        <v/>
      </c>
      <c r="E17" s="251" t="str">
        <f>IF($B17=FALSE,"",표준압력!C22)</f>
        <v/>
      </c>
      <c r="F17" s="251" t="str">
        <f>IF($B17=FALSE,"",Pressure_2_R1!Z12)</f>
        <v/>
      </c>
      <c r="G17" s="252" t="str">
        <f>IF($B17=FALSE,"",Pressure_2_R1!AA12)</f>
        <v/>
      </c>
      <c r="H17" s="363" t="str">
        <f>IF($B17=FALSE,"",Pressure_2_R1!AB12)</f>
        <v/>
      </c>
      <c r="I17" s="365" t="b">
        <f t="shared" si="12"/>
        <v>0</v>
      </c>
      <c r="J17" s="364" t="str">
        <f>IF($B17=FALSE,"",IF(Pressure_2_R1!D144="","기준기값없음",IF(Pressure_2_R1!L144="ok",Pressure_2_R1!D144,"파워선택안함")))</f>
        <v/>
      </c>
      <c r="K17" s="253" t="str">
        <f t="shared" si="6"/>
        <v/>
      </c>
      <c r="L17" s="254" t="str">
        <f t="shared" si="7"/>
        <v/>
      </c>
      <c r="M17" s="366" t="str">
        <f t="shared" si="8"/>
        <v/>
      </c>
      <c r="N17" s="251" t="str">
        <f t="shared" si="13"/>
        <v/>
      </c>
      <c r="O17" s="252" t="str">
        <f t="shared" si="14"/>
        <v/>
      </c>
      <c r="P17" s="252" t="str">
        <f t="shared" si="15"/>
        <v/>
      </c>
      <c r="Q17" s="367" t="str">
        <f t="shared" si="16"/>
        <v/>
      </c>
      <c r="R17" s="245"/>
      <c r="S17" s="255" t="b">
        <f t="shared" si="9"/>
        <v>0</v>
      </c>
      <c r="T17" s="900"/>
      <c r="U17" s="256">
        <v>9</v>
      </c>
      <c r="V17" s="253" t="str">
        <f t="shared" si="17"/>
        <v/>
      </c>
      <c r="W17" s="255" t="str">
        <f t="shared" si="17"/>
        <v/>
      </c>
      <c r="X17" s="255" t="str">
        <f t="shared" si="17"/>
        <v/>
      </c>
      <c r="Y17" s="255" t="str">
        <f t="shared" si="18"/>
        <v/>
      </c>
      <c r="Z17" s="341" t="str">
        <f t="shared" si="10"/>
        <v/>
      </c>
      <c r="AA17" s="253" t="str">
        <f t="shared" si="19"/>
        <v/>
      </c>
      <c r="AB17" s="255" t="str">
        <f t="shared" si="19"/>
        <v/>
      </c>
      <c r="AC17" s="255" t="str">
        <f t="shared" si="19"/>
        <v/>
      </c>
      <c r="AD17" s="255" t="str">
        <f t="shared" si="11"/>
        <v/>
      </c>
      <c r="AF17" s="432" t="s">
        <v>696</v>
      </c>
      <c r="AG17" s="434">
        <f t="shared" si="0"/>
        <v>133.32240000000002</v>
      </c>
      <c r="AH17" s="434">
        <f t="shared" si="4"/>
        <v>1.333224</v>
      </c>
      <c r="AI17" s="434">
        <f t="shared" si="1"/>
        <v>0.13332240000000001</v>
      </c>
      <c r="AJ17" s="434">
        <v>1.3332240000000001E-4</v>
      </c>
      <c r="AK17" s="434">
        <f t="shared" si="2"/>
        <v>133.32240000000002</v>
      </c>
      <c r="AL17" s="434">
        <f t="shared" si="5"/>
        <v>1.333224</v>
      </c>
      <c r="AM17" s="434">
        <f t="shared" si="3"/>
        <v>0.13332240000000001</v>
      </c>
      <c r="AN17" s="434">
        <v>1.3332240000000001E-4</v>
      </c>
    </row>
    <row r="18" spans="2:40" s="242" customFormat="1" ht="15" customHeight="1">
      <c r="B18" s="249" t="b">
        <f>IF(Pressure_2_R1!Z13="",FALSE,TRUE)</f>
        <v>0</v>
      </c>
      <c r="C18" s="250">
        <v>10</v>
      </c>
      <c r="D18" s="256" t="str">
        <f>IF($B18=FALSE,"",Pressure_2_R1!D13)</f>
        <v/>
      </c>
      <c r="E18" s="251" t="str">
        <f>IF($B18=FALSE,"",표준압력!C23)</f>
        <v/>
      </c>
      <c r="F18" s="251" t="str">
        <f>IF($B18=FALSE,"",Pressure_2_R1!Z13)</f>
        <v/>
      </c>
      <c r="G18" s="252" t="str">
        <f>IF($B18=FALSE,"",Pressure_2_R1!AA13)</f>
        <v/>
      </c>
      <c r="H18" s="363" t="str">
        <f>IF($B18=FALSE,"",Pressure_2_R1!AB13)</f>
        <v/>
      </c>
      <c r="I18" s="365" t="b">
        <f t="shared" si="12"/>
        <v>0</v>
      </c>
      <c r="J18" s="364" t="str">
        <f>IF($B18=FALSE,"",IF(Pressure_2_R1!D145="","기준기값없음",IF(Pressure_2_R1!L145="ok",Pressure_2_R1!D145,"파워선택안함")))</f>
        <v/>
      </c>
      <c r="K18" s="253" t="str">
        <f t="shared" si="6"/>
        <v/>
      </c>
      <c r="L18" s="254" t="str">
        <f t="shared" si="7"/>
        <v/>
      </c>
      <c r="M18" s="366" t="str">
        <f t="shared" si="8"/>
        <v/>
      </c>
      <c r="N18" s="251" t="str">
        <f t="shared" si="13"/>
        <v/>
      </c>
      <c r="O18" s="252" t="str">
        <f t="shared" si="14"/>
        <v/>
      </c>
      <c r="P18" s="252" t="str">
        <f t="shared" si="15"/>
        <v/>
      </c>
      <c r="Q18" s="367" t="str">
        <f t="shared" si="16"/>
        <v/>
      </c>
      <c r="R18" s="245"/>
      <c r="S18" s="255" t="b">
        <f t="shared" si="9"/>
        <v>0</v>
      </c>
      <c r="T18" s="900"/>
      <c r="U18" s="256">
        <v>10</v>
      </c>
      <c r="V18" s="253" t="str">
        <f t="shared" si="17"/>
        <v/>
      </c>
      <c r="W18" s="255" t="str">
        <f t="shared" si="17"/>
        <v/>
      </c>
      <c r="X18" s="255" t="str">
        <f t="shared" si="17"/>
        <v/>
      </c>
      <c r="Y18" s="255" t="str">
        <f t="shared" si="18"/>
        <v/>
      </c>
      <c r="Z18" s="341" t="str">
        <f t="shared" si="10"/>
        <v/>
      </c>
      <c r="AA18" s="253" t="str">
        <f t="shared" si="19"/>
        <v/>
      </c>
      <c r="AB18" s="255" t="str">
        <f t="shared" si="19"/>
        <v/>
      </c>
      <c r="AC18" s="255" t="str">
        <f t="shared" si="19"/>
        <v/>
      </c>
      <c r="AD18" s="255" t="str">
        <f t="shared" si="11"/>
        <v/>
      </c>
      <c r="AF18" s="432" t="s">
        <v>697</v>
      </c>
      <c r="AG18" s="434">
        <f t="shared" si="0"/>
        <v>1333.2239999999999</v>
      </c>
      <c r="AH18" s="434">
        <f t="shared" si="4"/>
        <v>13.332239999999999</v>
      </c>
      <c r="AI18" s="434">
        <f t="shared" si="1"/>
        <v>1.333224</v>
      </c>
      <c r="AJ18" s="434">
        <v>1.333224E-3</v>
      </c>
      <c r="AK18" s="434">
        <f t="shared" si="2"/>
        <v>1333.2239999999999</v>
      </c>
      <c r="AL18" s="434">
        <f t="shared" si="5"/>
        <v>13.332239999999999</v>
      </c>
      <c r="AM18" s="434">
        <f t="shared" si="3"/>
        <v>1.333224</v>
      </c>
      <c r="AN18" s="434">
        <v>1.333224E-3</v>
      </c>
    </row>
    <row r="19" spans="2:40" s="242" customFormat="1" ht="15" customHeight="1">
      <c r="B19" s="249" t="b">
        <f>IF(Pressure_2_R1!Z14="",FALSE,TRUE)</f>
        <v>0</v>
      </c>
      <c r="C19" s="250">
        <v>11</v>
      </c>
      <c r="D19" s="256" t="str">
        <f>IF($B19=FALSE,"",Pressure_2_R1!D14)</f>
        <v/>
      </c>
      <c r="E19" s="251" t="str">
        <f>IF($B19=FALSE,"",표준압력!C24)</f>
        <v/>
      </c>
      <c r="F19" s="251" t="str">
        <f>IF($B19=FALSE,"",Pressure_2_R1!Z14)</f>
        <v/>
      </c>
      <c r="G19" s="252" t="str">
        <f>IF($B19=FALSE,"",Pressure_2_R1!AA14)</f>
        <v/>
      </c>
      <c r="H19" s="363" t="str">
        <f>IF($B19=FALSE,"",Pressure_2_R1!AB14)</f>
        <v/>
      </c>
      <c r="I19" s="365" t="b">
        <f t="shared" si="12"/>
        <v>0</v>
      </c>
      <c r="J19" s="364" t="str">
        <f>IF($B19=FALSE,"",IF(Pressure_2_R1!D146="","기준기값없음",IF(Pressure_2_R1!L146="ok",Pressure_2_R1!D146,"파워선택안함")))</f>
        <v/>
      </c>
      <c r="K19" s="253" t="str">
        <f t="shared" si="6"/>
        <v/>
      </c>
      <c r="L19" s="254" t="str">
        <f t="shared" si="7"/>
        <v/>
      </c>
      <c r="M19" s="366" t="str">
        <f t="shared" si="8"/>
        <v/>
      </c>
      <c r="N19" s="251" t="str">
        <f t="shared" si="13"/>
        <v/>
      </c>
      <c r="O19" s="252" t="str">
        <f t="shared" si="14"/>
        <v/>
      </c>
      <c r="P19" s="252" t="str">
        <f t="shared" si="15"/>
        <v/>
      </c>
      <c r="Q19" s="367" t="str">
        <f t="shared" si="16"/>
        <v/>
      </c>
      <c r="R19" s="245"/>
      <c r="S19" s="255" t="b">
        <f t="shared" si="9"/>
        <v>0</v>
      </c>
      <c r="T19" s="900"/>
      <c r="U19" s="256">
        <v>11</v>
      </c>
      <c r="V19" s="253" t="str">
        <f t="shared" si="17"/>
        <v/>
      </c>
      <c r="W19" s="255" t="str">
        <f t="shared" si="17"/>
        <v/>
      </c>
      <c r="X19" s="255" t="str">
        <f t="shared" si="17"/>
        <v/>
      </c>
      <c r="Y19" s="255" t="str">
        <f t="shared" si="18"/>
        <v/>
      </c>
      <c r="Z19" s="341" t="str">
        <f t="shared" si="10"/>
        <v/>
      </c>
      <c r="AA19" s="253" t="str">
        <f t="shared" si="19"/>
        <v/>
      </c>
      <c r="AB19" s="255" t="str">
        <f t="shared" si="19"/>
        <v/>
      </c>
      <c r="AC19" s="255" t="str">
        <f t="shared" si="19"/>
        <v/>
      </c>
      <c r="AD19" s="255" t="str">
        <f t="shared" si="11"/>
        <v/>
      </c>
      <c r="AF19" s="432" t="s">
        <v>698</v>
      </c>
      <c r="AG19" s="434">
        <f t="shared" si="0"/>
        <v>249.0889</v>
      </c>
      <c r="AH19" s="434">
        <f t="shared" si="4"/>
        <v>2.4908890000000001</v>
      </c>
      <c r="AI19" s="434">
        <f t="shared" si="1"/>
        <v>0.2490889</v>
      </c>
      <c r="AJ19" s="434">
        <v>2.4908889999999999E-4</v>
      </c>
      <c r="AK19" s="434">
        <f t="shared" si="2"/>
        <v>249.0889</v>
      </c>
      <c r="AL19" s="434">
        <f t="shared" si="5"/>
        <v>2.4908890000000001</v>
      </c>
      <c r="AM19" s="434">
        <f t="shared" si="3"/>
        <v>0.2490889</v>
      </c>
      <c r="AN19" s="434">
        <v>2.4908889999999999E-4</v>
      </c>
    </row>
    <row r="20" spans="2:40" s="242" customFormat="1" ht="15" customHeight="1">
      <c r="B20" s="249" t="b">
        <f>IF(Pressure_2_R1!Z15="",FALSE,TRUE)</f>
        <v>0</v>
      </c>
      <c r="C20" s="250">
        <v>12</v>
      </c>
      <c r="D20" s="256" t="str">
        <f>IF($B20=FALSE,"",Pressure_2_R1!D15)</f>
        <v/>
      </c>
      <c r="E20" s="251" t="str">
        <f>IF($B20=FALSE,"",표준압력!C25)</f>
        <v/>
      </c>
      <c r="F20" s="251" t="str">
        <f>IF($B20=FALSE,"",Pressure_2_R1!Z15)</f>
        <v/>
      </c>
      <c r="G20" s="252" t="str">
        <f>IF($B20=FALSE,"",Pressure_2_R1!AA15)</f>
        <v/>
      </c>
      <c r="H20" s="363" t="str">
        <f>IF($B20=FALSE,"",Pressure_2_R1!AB15)</f>
        <v/>
      </c>
      <c r="I20" s="365" t="b">
        <f t="shared" si="12"/>
        <v>0</v>
      </c>
      <c r="J20" s="364" t="str">
        <f>IF($B20=FALSE,"",IF(Pressure_2_R1!D147="","기준기값없음",IF(Pressure_2_R1!L147="ok",Pressure_2_R1!D147,"파워선택안함")))</f>
        <v/>
      </c>
      <c r="K20" s="253" t="str">
        <f t="shared" si="6"/>
        <v/>
      </c>
      <c r="L20" s="254" t="str">
        <f t="shared" si="7"/>
        <v/>
      </c>
      <c r="M20" s="366" t="str">
        <f t="shared" si="8"/>
        <v/>
      </c>
      <c r="N20" s="251" t="str">
        <f t="shared" si="13"/>
        <v/>
      </c>
      <c r="O20" s="252" t="str">
        <f t="shared" si="14"/>
        <v/>
      </c>
      <c r="P20" s="252" t="str">
        <f t="shared" si="15"/>
        <v/>
      </c>
      <c r="Q20" s="367" t="str">
        <f t="shared" si="16"/>
        <v/>
      </c>
      <c r="R20" s="245"/>
      <c r="S20" s="255" t="b">
        <f t="shared" si="9"/>
        <v>0</v>
      </c>
      <c r="T20" s="900"/>
      <c r="U20" s="256">
        <v>12</v>
      </c>
      <c r="V20" s="253" t="str">
        <f t="shared" si="17"/>
        <v/>
      </c>
      <c r="W20" s="255" t="str">
        <f t="shared" si="17"/>
        <v/>
      </c>
      <c r="X20" s="255" t="str">
        <f t="shared" si="17"/>
        <v/>
      </c>
      <c r="Y20" s="255" t="str">
        <f t="shared" si="18"/>
        <v/>
      </c>
      <c r="Z20" s="341" t="str">
        <f t="shared" si="10"/>
        <v/>
      </c>
      <c r="AA20" s="253" t="str">
        <f t="shared" si="19"/>
        <v/>
      </c>
      <c r="AB20" s="255" t="str">
        <f t="shared" si="19"/>
        <v/>
      </c>
      <c r="AC20" s="255" t="str">
        <f t="shared" si="19"/>
        <v/>
      </c>
      <c r="AD20" s="255" t="str">
        <f t="shared" si="11"/>
        <v/>
      </c>
      <c r="AF20" s="432" t="s">
        <v>699</v>
      </c>
      <c r="AG20" s="434">
        <f t="shared" si="0"/>
        <v>9.8066499999999994</v>
      </c>
      <c r="AH20" s="434">
        <f t="shared" si="4"/>
        <v>9.8066500000000001E-2</v>
      </c>
      <c r="AI20" s="434">
        <f t="shared" si="1"/>
        <v>9.8066500000000001E-3</v>
      </c>
      <c r="AJ20" s="434">
        <v>9.8066500000000004E-6</v>
      </c>
      <c r="AK20" s="434">
        <f t="shared" si="2"/>
        <v>9.8066499999999994</v>
      </c>
      <c r="AL20" s="434">
        <f t="shared" si="5"/>
        <v>9.8066500000000001E-2</v>
      </c>
      <c r="AM20" s="434">
        <f t="shared" si="3"/>
        <v>9.8066500000000001E-3</v>
      </c>
      <c r="AN20" s="434">
        <v>9.8066500000000004E-6</v>
      </c>
    </row>
    <row r="21" spans="2:40" s="242" customFormat="1" ht="15" customHeight="1">
      <c r="B21" s="249" t="b">
        <f>IF(Pressure_2_R1!Z16="",FALSE,TRUE)</f>
        <v>0</v>
      </c>
      <c r="C21" s="250">
        <v>13</v>
      </c>
      <c r="D21" s="256" t="str">
        <f>IF($B21=FALSE,"",Pressure_2_R1!D16)</f>
        <v/>
      </c>
      <c r="E21" s="251" t="str">
        <f>IF($B21=FALSE,"",표준압력!C26)</f>
        <v/>
      </c>
      <c r="F21" s="251" t="str">
        <f>IF($B21=FALSE,"",Pressure_2_R1!Z16)</f>
        <v/>
      </c>
      <c r="G21" s="252" t="str">
        <f>IF($B21=FALSE,"",Pressure_2_R1!AA16)</f>
        <v/>
      </c>
      <c r="H21" s="363" t="str">
        <f>IF($B21=FALSE,"",Pressure_2_R1!AB16)</f>
        <v/>
      </c>
      <c r="I21" s="365" t="b">
        <f t="shared" si="12"/>
        <v>0</v>
      </c>
      <c r="J21" s="364" t="str">
        <f>IF($B21=FALSE,"",IF(Pressure_2_R1!D148="","기준기값없음",IF(Pressure_2_R1!L148="ok",Pressure_2_R1!D148,"파워선택안함")))</f>
        <v/>
      </c>
      <c r="K21" s="253" t="str">
        <f t="shared" si="6"/>
        <v/>
      </c>
      <c r="L21" s="254" t="str">
        <f t="shared" si="7"/>
        <v/>
      </c>
      <c r="M21" s="366" t="str">
        <f t="shared" si="8"/>
        <v/>
      </c>
      <c r="N21" s="251" t="str">
        <f t="shared" si="13"/>
        <v/>
      </c>
      <c r="O21" s="252" t="str">
        <f t="shared" si="14"/>
        <v/>
      </c>
      <c r="P21" s="252" t="str">
        <f t="shared" si="15"/>
        <v/>
      </c>
      <c r="Q21" s="367" t="str">
        <f t="shared" si="16"/>
        <v/>
      </c>
      <c r="R21" s="245"/>
      <c r="S21" s="255" t="b">
        <f t="shared" si="9"/>
        <v>0</v>
      </c>
      <c r="T21" s="900"/>
      <c r="U21" s="256">
        <v>13</v>
      </c>
      <c r="V21" s="253" t="str">
        <f t="shared" si="17"/>
        <v/>
      </c>
      <c r="W21" s="255" t="str">
        <f t="shared" si="17"/>
        <v/>
      </c>
      <c r="X21" s="255" t="str">
        <f t="shared" si="17"/>
        <v/>
      </c>
      <c r="Y21" s="255" t="str">
        <f t="shared" si="18"/>
        <v/>
      </c>
      <c r="Z21" s="341" t="str">
        <f t="shared" si="10"/>
        <v/>
      </c>
      <c r="AA21" s="253" t="str">
        <f t="shared" si="19"/>
        <v/>
      </c>
      <c r="AB21" s="255" t="str">
        <f t="shared" si="19"/>
        <v/>
      </c>
      <c r="AC21" s="255" t="str">
        <f t="shared" si="19"/>
        <v/>
      </c>
      <c r="AD21" s="255" t="str">
        <f t="shared" si="11"/>
        <v/>
      </c>
      <c r="AF21" s="432" t="s">
        <v>700</v>
      </c>
      <c r="AG21" s="434">
        <f t="shared" si="0"/>
        <v>98.066500000000005</v>
      </c>
      <c r="AH21" s="434">
        <f t="shared" si="4"/>
        <v>0.98066500000000001</v>
      </c>
      <c r="AI21" s="434">
        <f t="shared" si="1"/>
        <v>9.8066500000000001E-2</v>
      </c>
      <c r="AJ21" s="435">
        <v>9.80665E-5</v>
      </c>
      <c r="AK21" s="434">
        <f t="shared" si="2"/>
        <v>98.066500000000005</v>
      </c>
      <c r="AL21" s="434">
        <f t="shared" si="5"/>
        <v>0.98066500000000001</v>
      </c>
      <c r="AM21" s="434">
        <f t="shared" si="3"/>
        <v>9.8066500000000001E-2</v>
      </c>
      <c r="AN21" s="435">
        <v>9.80665E-5</v>
      </c>
    </row>
    <row r="22" spans="2:40" s="242" customFormat="1" ht="15" customHeight="1">
      <c r="B22" s="249" t="b">
        <f>IF(Pressure_2_R1!Z17="",FALSE,TRUE)</f>
        <v>0</v>
      </c>
      <c r="C22" s="250">
        <v>14</v>
      </c>
      <c r="D22" s="256" t="str">
        <f>IF($B22=FALSE,"",Pressure_2_R1!D17)</f>
        <v/>
      </c>
      <c r="E22" s="251" t="str">
        <f>IF($B22=FALSE,"",표준압력!C27)</f>
        <v/>
      </c>
      <c r="F22" s="251" t="str">
        <f>IF($B22=FALSE,"",Pressure_2_R1!Z17)</f>
        <v/>
      </c>
      <c r="G22" s="252" t="str">
        <f>IF($B22=FALSE,"",Pressure_2_R1!AA17)</f>
        <v/>
      </c>
      <c r="H22" s="363" t="str">
        <f>IF($B22=FALSE,"",Pressure_2_R1!AB17)</f>
        <v/>
      </c>
      <c r="I22" s="365" t="b">
        <f t="shared" si="12"/>
        <v>0</v>
      </c>
      <c r="J22" s="364" t="str">
        <f>IF($B22=FALSE,"",IF(Pressure_2_R1!D149="","기준기값없음",IF(Pressure_2_R1!L149="ok",Pressure_2_R1!D149,"파워선택안함")))</f>
        <v/>
      </c>
      <c r="K22" s="253" t="str">
        <f t="shared" si="6"/>
        <v/>
      </c>
      <c r="L22" s="254" t="str">
        <f t="shared" si="7"/>
        <v/>
      </c>
      <c r="M22" s="366" t="str">
        <f t="shared" si="8"/>
        <v/>
      </c>
      <c r="N22" s="251" t="str">
        <f t="shared" si="13"/>
        <v/>
      </c>
      <c r="O22" s="252" t="str">
        <f t="shared" si="14"/>
        <v/>
      </c>
      <c r="P22" s="252" t="str">
        <f t="shared" si="15"/>
        <v/>
      </c>
      <c r="Q22" s="367" t="str">
        <f t="shared" si="16"/>
        <v/>
      </c>
      <c r="R22" s="245"/>
      <c r="S22" s="255" t="b">
        <f t="shared" si="9"/>
        <v>0</v>
      </c>
      <c r="T22" s="900"/>
      <c r="U22" s="256">
        <v>14</v>
      </c>
      <c r="V22" s="253" t="str">
        <f t="shared" si="17"/>
        <v/>
      </c>
      <c r="W22" s="255" t="str">
        <f t="shared" si="17"/>
        <v/>
      </c>
      <c r="X22" s="255" t="str">
        <f t="shared" si="17"/>
        <v/>
      </c>
      <c r="Y22" s="255" t="str">
        <f t="shared" si="18"/>
        <v/>
      </c>
      <c r="Z22" s="341" t="str">
        <f t="shared" si="10"/>
        <v/>
      </c>
      <c r="AA22" s="253" t="str">
        <f t="shared" si="19"/>
        <v/>
      </c>
      <c r="AB22" s="255" t="str">
        <f t="shared" si="19"/>
        <v/>
      </c>
      <c r="AC22" s="255" t="str">
        <f t="shared" si="19"/>
        <v/>
      </c>
      <c r="AD22" s="255" t="str">
        <f t="shared" si="11"/>
        <v/>
      </c>
      <c r="AF22" s="432" t="s">
        <v>701</v>
      </c>
      <c r="AG22" s="434">
        <v>10000</v>
      </c>
      <c r="AH22" s="434">
        <f t="shared" si="4"/>
        <v>100</v>
      </c>
      <c r="AI22" s="434">
        <v>10</v>
      </c>
      <c r="AJ22" s="435">
        <v>0.01</v>
      </c>
      <c r="AK22" s="434">
        <v>10000</v>
      </c>
      <c r="AL22" s="434">
        <f t="shared" si="5"/>
        <v>100</v>
      </c>
      <c r="AM22" s="434">
        <v>10</v>
      </c>
      <c r="AN22" s="435">
        <v>0.01</v>
      </c>
    </row>
    <row r="23" spans="2:40" s="242" customFormat="1" ht="15" customHeight="1">
      <c r="B23" s="249" t="b">
        <f>IF(Pressure_2_R1!Z18="",FALSE,TRUE)</f>
        <v>0</v>
      </c>
      <c r="C23" s="250">
        <v>15</v>
      </c>
      <c r="D23" s="256" t="str">
        <f>IF($B23=FALSE,"",Pressure_2_R1!D18)</f>
        <v/>
      </c>
      <c r="E23" s="251" t="str">
        <f>IF($B23=FALSE,"",표준압력!C28)</f>
        <v/>
      </c>
      <c r="F23" s="251" t="str">
        <f>IF($B23=FALSE,"",Pressure_2_R1!Z18)</f>
        <v/>
      </c>
      <c r="G23" s="252" t="str">
        <f>IF($B23=FALSE,"",Pressure_2_R1!AA18)</f>
        <v/>
      </c>
      <c r="H23" s="363" t="str">
        <f>IF($B23=FALSE,"",Pressure_2_R1!AB18)</f>
        <v/>
      </c>
      <c r="I23" s="365" t="b">
        <f t="shared" si="12"/>
        <v>0</v>
      </c>
      <c r="J23" s="364" t="str">
        <f>IF($B23=FALSE,"",IF(Pressure_2_R1!D150="","기준기값없음",IF(Pressure_2_R1!L150="ok",Pressure_2_R1!D150,"파워선택안함")))</f>
        <v/>
      </c>
      <c r="K23" s="253" t="str">
        <f t="shared" si="6"/>
        <v/>
      </c>
      <c r="L23" s="254" t="str">
        <f t="shared" si="7"/>
        <v/>
      </c>
      <c r="M23" s="366" t="str">
        <f t="shared" si="8"/>
        <v/>
      </c>
      <c r="N23" s="251" t="str">
        <f t="shared" si="13"/>
        <v/>
      </c>
      <c r="O23" s="252" t="str">
        <f t="shared" si="14"/>
        <v/>
      </c>
      <c r="P23" s="252" t="str">
        <f t="shared" si="15"/>
        <v/>
      </c>
      <c r="Q23" s="367" t="str">
        <f t="shared" si="16"/>
        <v/>
      </c>
      <c r="R23" s="245"/>
      <c r="S23" s="255" t="b">
        <f t="shared" si="9"/>
        <v>0</v>
      </c>
      <c r="T23" s="901"/>
      <c r="U23" s="256">
        <v>15</v>
      </c>
      <c r="V23" s="253" t="str">
        <f t="shared" si="17"/>
        <v/>
      </c>
      <c r="W23" s="255" t="str">
        <f t="shared" si="17"/>
        <v/>
      </c>
      <c r="X23" s="255" t="str">
        <f t="shared" si="17"/>
        <v/>
      </c>
      <c r="Y23" s="255" t="str">
        <f t="shared" si="18"/>
        <v/>
      </c>
      <c r="Z23" s="341" t="str">
        <f t="shared" si="10"/>
        <v/>
      </c>
      <c r="AA23" s="253" t="str">
        <f t="shared" si="19"/>
        <v/>
      </c>
      <c r="AB23" s="255" t="str">
        <f t="shared" si="19"/>
        <v/>
      </c>
      <c r="AC23" s="255" t="str">
        <f t="shared" si="19"/>
        <v/>
      </c>
      <c r="AD23" s="255" t="str">
        <f t="shared" si="11"/>
        <v/>
      </c>
      <c r="AF23" s="432" t="s">
        <v>702</v>
      </c>
      <c r="AG23" s="434">
        <f t="shared" ref="AG23:AG30" si="20">AI23*1000</f>
        <v>1</v>
      </c>
      <c r="AH23" s="434">
        <f t="shared" si="4"/>
        <v>0.01</v>
      </c>
      <c r="AI23" s="434">
        <f t="shared" ref="AI23:AI30" si="21">AJ23*1000</f>
        <v>1E-3</v>
      </c>
      <c r="AJ23" s="434">
        <v>9.9999999999999995E-7</v>
      </c>
      <c r="AK23" s="434">
        <f t="shared" ref="AK23:AK30" si="22">AM23*1000</f>
        <v>1</v>
      </c>
      <c r="AL23" s="434">
        <f t="shared" si="5"/>
        <v>0.01</v>
      </c>
      <c r="AM23" s="434">
        <f t="shared" ref="AM23:AM30" si="23">AN23*1000</f>
        <v>1E-3</v>
      </c>
      <c r="AN23" s="434">
        <v>9.9999999999999995E-7</v>
      </c>
    </row>
    <row r="24" spans="2:40" s="242" customFormat="1" ht="15" customHeight="1">
      <c r="B24" s="249" t="b">
        <f>IF(Pressure_2_R1!Z19="",FALSE,TRUE)</f>
        <v>0</v>
      </c>
      <c r="C24" s="250">
        <v>16</v>
      </c>
      <c r="D24" s="256" t="str">
        <f>IF($B24=FALSE,"",Pressure_2_R1!D19)</f>
        <v/>
      </c>
      <c r="E24" s="251" t="str">
        <f>IF($B24=FALSE,"",표준압력!C29)</f>
        <v/>
      </c>
      <c r="F24" s="251" t="str">
        <f>IF($B24=FALSE,"",Pressure_2_R1!Z19)</f>
        <v/>
      </c>
      <c r="G24" s="252" t="str">
        <f>IF($B24=FALSE,"",Pressure_2_R1!AA19)</f>
        <v/>
      </c>
      <c r="H24" s="363" t="str">
        <f>IF($B24=FALSE,"",Pressure_2_R1!AB19)</f>
        <v/>
      </c>
      <c r="I24" s="365" t="b">
        <f t="shared" si="12"/>
        <v>0</v>
      </c>
      <c r="J24" s="364" t="str">
        <f>IF($B24=FALSE,"",IF(Pressure_2_R1!D151="","기준기값없음",IF(Pressure_2_R1!L151="ok",Pressure_2_R1!D151,"파워선택안함")))</f>
        <v/>
      </c>
      <c r="K24" s="253" t="str">
        <f t="shared" si="6"/>
        <v/>
      </c>
      <c r="L24" s="254" t="str">
        <f t="shared" si="7"/>
        <v/>
      </c>
      <c r="M24" s="366" t="str">
        <f t="shared" si="8"/>
        <v/>
      </c>
      <c r="N24" s="251" t="str">
        <f t="shared" si="13"/>
        <v/>
      </c>
      <c r="O24" s="252" t="str">
        <f t="shared" si="14"/>
        <v/>
      </c>
      <c r="P24" s="252" t="str">
        <f t="shared" si="15"/>
        <v/>
      </c>
      <c r="Q24" s="367" t="str">
        <f t="shared" si="16"/>
        <v/>
      </c>
      <c r="R24" s="245"/>
      <c r="S24" s="255" t="b">
        <f t="shared" si="9"/>
        <v>0</v>
      </c>
      <c r="T24" s="899" t="s">
        <v>357</v>
      </c>
      <c r="U24" s="256">
        <v>1</v>
      </c>
      <c r="V24" s="253" t="str">
        <f t="shared" ref="V24:X38" ca="1" si="24">IF($S24=FALSE,"",OFFSET(K$8,$C$3*2-($U24-1),0))</f>
        <v/>
      </c>
      <c r="W24" s="255" t="str">
        <f t="shared" ca="1" si="24"/>
        <v/>
      </c>
      <c r="X24" s="255" t="str">
        <f t="shared" ca="1" si="24"/>
        <v/>
      </c>
      <c r="Y24" s="255" t="str">
        <f t="shared" si="18"/>
        <v/>
      </c>
      <c r="Z24" s="341" t="str">
        <f t="shared" si="10"/>
        <v/>
      </c>
      <c r="AA24" s="253" t="str">
        <f t="shared" si="19"/>
        <v/>
      </c>
      <c r="AB24" s="255" t="str">
        <f t="shared" si="19"/>
        <v/>
      </c>
      <c r="AC24" s="255" t="str">
        <f t="shared" si="19"/>
        <v/>
      </c>
      <c r="AD24" s="255" t="str">
        <f t="shared" si="11"/>
        <v/>
      </c>
      <c r="AF24" s="432" t="s">
        <v>703</v>
      </c>
      <c r="AG24" s="434">
        <f t="shared" si="20"/>
        <v>100</v>
      </c>
      <c r="AH24" s="434">
        <f t="shared" si="4"/>
        <v>1</v>
      </c>
      <c r="AI24" s="434">
        <f t="shared" si="21"/>
        <v>0.1</v>
      </c>
      <c r="AJ24" s="434">
        <v>1E-4</v>
      </c>
      <c r="AK24" s="434">
        <f t="shared" si="22"/>
        <v>100</v>
      </c>
      <c r="AL24" s="434">
        <f t="shared" si="5"/>
        <v>1</v>
      </c>
      <c r="AM24" s="434">
        <f t="shared" si="23"/>
        <v>0.1</v>
      </c>
      <c r="AN24" s="434">
        <v>1E-4</v>
      </c>
    </row>
    <row r="25" spans="2:40" s="242" customFormat="1" ht="15" customHeight="1">
      <c r="B25" s="249" t="b">
        <f>IF(Pressure_2_R1!Z20="",FALSE,TRUE)</f>
        <v>0</v>
      </c>
      <c r="C25" s="250">
        <v>17</v>
      </c>
      <c r="D25" s="256" t="str">
        <f>IF($B25=FALSE,"",Pressure_2_R1!D20)</f>
        <v/>
      </c>
      <c r="E25" s="251" t="str">
        <f>IF($B25=FALSE,"",표준압력!C30)</f>
        <v/>
      </c>
      <c r="F25" s="251" t="str">
        <f>IF($B25=FALSE,"",Pressure_2_R1!Z20)</f>
        <v/>
      </c>
      <c r="G25" s="252" t="str">
        <f>IF($B25=FALSE,"",Pressure_2_R1!AA20)</f>
        <v/>
      </c>
      <c r="H25" s="363" t="str">
        <f>IF($B25=FALSE,"",Pressure_2_R1!AB20)</f>
        <v/>
      </c>
      <c r="I25" s="365" t="b">
        <f t="shared" si="12"/>
        <v>0</v>
      </c>
      <c r="J25" s="364" t="str">
        <f>IF($B25=FALSE,"",IF(Pressure_2_R1!D152="","기준기값없음",IF(Pressure_2_R1!L152="ok",Pressure_2_R1!D152,"파워선택안함")))</f>
        <v/>
      </c>
      <c r="K25" s="253" t="str">
        <f t="shared" si="6"/>
        <v/>
      </c>
      <c r="L25" s="254" t="str">
        <f t="shared" si="7"/>
        <v/>
      </c>
      <c r="M25" s="366" t="str">
        <f t="shared" si="8"/>
        <v/>
      </c>
      <c r="N25" s="251" t="str">
        <f t="shared" si="13"/>
        <v/>
      </c>
      <c r="O25" s="252" t="str">
        <f t="shared" si="14"/>
        <v/>
      </c>
      <c r="P25" s="252" t="str">
        <f t="shared" si="15"/>
        <v/>
      </c>
      <c r="Q25" s="367" t="str">
        <f t="shared" si="16"/>
        <v/>
      </c>
      <c r="R25" s="245"/>
      <c r="S25" s="255" t="b">
        <f t="shared" si="9"/>
        <v>0</v>
      </c>
      <c r="T25" s="900"/>
      <c r="U25" s="256">
        <v>2</v>
      </c>
      <c r="V25" s="253" t="str">
        <f t="shared" ca="1" si="24"/>
        <v/>
      </c>
      <c r="W25" s="255" t="str">
        <f t="shared" ca="1" si="24"/>
        <v/>
      </c>
      <c r="X25" s="255" t="str">
        <f t="shared" ca="1" si="24"/>
        <v/>
      </c>
      <c r="Y25" s="255" t="str">
        <f t="shared" si="18"/>
        <v/>
      </c>
      <c r="Z25" s="341" t="str">
        <f t="shared" si="10"/>
        <v/>
      </c>
      <c r="AA25" s="253" t="str">
        <f t="shared" si="19"/>
        <v/>
      </c>
      <c r="AB25" s="255" t="str">
        <f t="shared" si="19"/>
        <v/>
      </c>
      <c r="AC25" s="255" t="str">
        <f t="shared" si="19"/>
        <v/>
      </c>
      <c r="AD25" s="255" t="str">
        <f t="shared" si="11"/>
        <v/>
      </c>
      <c r="AF25" s="432" t="s">
        <v>704</v>
      </c>
      <c r="AG25" s="434">
        <f t="shared" si="20"/>
        <v>1000</v>
      </c>
      <c r="AH25" s="434">
        <f t="shared" si="4"/>
        <v>10</v>
      </c>
      <c r="AI25" s="434">
        <f t="shared" si="21"/>
        <v>1</v>
      </c>
      <c r="AJ25" s="434">
        <v>1E-3</v>
      </c>
      <c r="AK25" s="434">
        <f t="shared" si="22"/>
        <v>1000</v>
      </c>
      <c r="AL25" s="434">
        <f t="shared" si="5"/>
        <v>10</v>
      </c>
      <c r="AM25" s="434">
        <f t="shared" si="23"/>
        <v>1</v>
      </c>
      <c r="AN25" s="434">
        <v>1E-3</v>
      </c>
    </row>
    <row r="26" spans="2:40" s="242" customFormat="1" ht="15" customHeight="1">
      <c r="B26" s="249" t="b">
        <f>IF(Pressure_2_R1!Z21="",FALSE,TRUE)</f>
        <v>0</v>
      </c>
      <c r="C26" s="250">
        <v>18</v>
      </c>
      <c r="D26" s="256" t="str">
        <f>IF($B26=FALSE,"",Pressure_2_R1!D21)</f>
        <v/>
      </c>
      <c r="E26" s="251" t="str">
        <f>IF($B26=FALSE,"",표준압력!C31)</f>
        <v/>
      </c>
      <c r="F26" s="251" t="str">
        <f>IF($B26=FALSE,"",Pressure_2_R1!Z21)</f>
        <v/>
      </c>
      <c r="G26" s="252" t="str">
        <f>IF($B26=FALSE,"",Pressure_2_R1!AA21)</f>
        <v/>
      </c>
      <c r="H26" s="363" t="str">
        <f>IF($B26=FALSE,"",Pressure_2_R1!AB21)</f>
        <v/>
      </c>
      <c r="I26" s="365" t="b">
        <f t="shared" si="12"/>
        <v>0</v>
      </c>
      <c r="J26" s="364" t="str">
        <f>IF($B26=FALSE,"",IF(Pressure_2_R1!D153="","기준기값없음",IF(Pressure_2_R1!L153="ok",Pressure_2_R1!D153,"파워선택안함")))</f>
        <v/>
      </c>
      <c r="K26" s="253" t="str">
        <f t="shared" si="6"/>
        <v/>
      </c>
      <c r="L26" s="254" t="str">
        <f t="shared" si="7"/>
        <v/>
      </c>
      <c r="M26" s="366" t="str">
        <f t="shared" si="8"/>
        <v/>
      </c>
      <c r="N26" s="251" t="str">
        <f t="shared" si="13"/>
        <v/>
      </c>
      <c r="O26" s="252" t="str">
        <f t="shared" si="14"/>
        <v/>
      </c>
      <c r="P26" s="252" t="str">
        <f t="shared" si="15"/>
        <v/>
      </c>
      <c r="Q26" s="367" t="str">
        <f t="shared" si="16"/>
        <v/>
      </c>
      <c r="R26" s="245"/>
      <c r="S26" s="255" t="b">
        <f t="shared" si="9"/>
        <v>0</v>
      </c>
      <c r="T26" s="900"/>
      <c r="U26" s="256">
        <v>3</v>
      </c>
      <c r="V26" s="253" t="str">
        <f t="shared" ca="1" si="24"/>
        <v/>
      </c>
      <c r="W26" s="255" t="str">
        <f t="shared" ca="1" si="24"/>
        <v/>
      </c>
      <c r="X26" s="255" t="str">
        <f t="shared" ca="1" si="24"/>
        <v/>
      </c>
      <c r="Y26" s="255" t="str">
        <f t="shared" si="18"/>
        <v/>
      </c>
      <c r="Z26" s="341" t="str">
        <f t="shared" si="10"/>
        <v/>
      </c>
      <c r="AA26" s="253" t="str">
        <f t="shared" si="19"/>
        <v/>
      </c>
      <c r="AB26" s="255" t="str">
        <f t="shared" si="19"/>
        <v/>
      </c>
      <c r="AC26" s="255" t="str">
        <f t="shared" si="19"/>
        <v/>
      </c>
      <c r="AD26" s="255" t="str">
        <f t="shared" si="11"/>
        <v/>
      </c>
      <c r="AF26" s="432" t="s">
        <v>705</v>
      </c>
      <c r="AG26" s="434">
        <f t="shared" si="20"/>
        <v>1000000</v>
      </c>
      <c r="AH26" s="434">
        <f t="shared" si="4"/>
        <v>10000</v>
      </c>
      <c r="AI26" s="434">
        <f t="shared" si="21"/>
        <v>1000</v>
      </c>
      <c r="AJ26" s="434">
        <v>1</v>
      </c>
      <c r="AK26" s="434">
        <f t="shared" si="22"/>
        <v>1000000</v>
      </c>
      <c r="AL26" s="434">
        <f t="shared" si="5"/>
        <v>10000</v>
      </c>
      <c r="AM26" s="434">
        <f t="shared" si="23"/>
        <v>1000</v>
      </c>
      <c r="AN26" s="434">
        <v>1</v>
      </c>
    </row>
    <row r="27" spans="2:40" s="242" customFormat="1" ht="15" customHeight="1">
      <c r="B27" s="249" t="b">
        <f>IF(Pressure_2_R1!Z22="",FALSE,TRUE)</f>
        <v>0</v>
      </c>
      <c r="C27" s="250">
        <v>19</v>
      </c>
      <c r="D27" s="256" t="str">
        <f>IF($B27=FALSE,"",Pressure_2_R1!D22)</f>
        <v/>
      </c>
      <c r="E27" s="251" t="str">
        <f>IF($B27=FALSE,"",표준압력!C32)</f>
        <v/>
      </c>
      <c r="F27" s="251" t="str">
        <f>IF($B27=FALSE,"",Pressure_2_R1!Z22)</f>
        <v/>
      </c>
      <c r="G27" s="252" t="str">
        <f>IF($B27=FALSE,"",Pressure_2_R1!AA22)</f>
        <v/>
      </c>
      <c r="H27" s="363" t="str">
        <f>IF($B27=FALSE,"",Pressure_2_R1!AB22)</f>
        <v/>
      </c>
      <c r="I27" s="365" t="b">
        <f t="shared" si="12"/>
        <v>0</v>
      </c>
      <c r="J27" s="364" t="str">
        <f>IF($B27=FALSE,"",IF(Pressure_2_R1!D154="","기준기값없음",IF(Pressure_2_R1!L154="ok",Pressure_2_R1!D154,"파워선택안함")))</f>
        <v/>
      </c>
      <c r="K27" s="253" t="str">
        <f t="shared" si="6"/>
        <v/>
      </c>
      <c r="L27" s="254" t="str">
        <f t="shared" si="7"/>
        <v/>
      </c>
      <c r="M27" s="366" t="str">
        <f t="shared" si="8"/>
        <v/>
      </c>
      <c r="N27" s="251" t="str">
        <f t="shared" si="13"/>
        <v/>
      </c>
      <c r="O27" s="252" t="str">
        <f t="shared" si="14"/>
        <v/>
      </c>
      <c r="P27" s="252" t="str">
        <f t="shared" si="15"/>
        <v/>
      </c>
      <c r="Q27" s="367" t="str">
        <f t="shared" si="16"/>
        <v/>
      </c>
      <c r="R27" s="245"/>
      <c r="S27" s="255" t="b">
        <f t="shared" si="9"/>
        <v>0</v>
      </c>
      <c r="T27" s="900"/>
      <c r="U27" s="256">
        <v>4</v>
      </c>
      <c r="V27" s="253" t="str">
        <f t="shared" ca="1" si="24"/>
        <v/>
      </c>
      <c r="W27" s="255" t="str">
        <f t="shared" ca="1" si="24"/>
        <v/>
      </c>
      <c r="X27" s="255" t="str">
        <f t="shared" ca="1" si="24"/>
        <v/>
      </c>
      <c r="Y27" s="255" t="str">
        <f t="shared" si="18"/>
        <v/>
      </c>
      <c r="Z27" s="341" t="str">
        <f t="shared" si="10"/>
        <v/>
      </c>
      <c r="AA27" s="253" t="str">
        <f t="shared" si="19"/>
        <v/>
      </c>
      <c r="AB27" s="255" t="str">
        <f t="shared" si="19"/>
        <v/>
      </c>
      <c r="AC27" s="255" t="str">
        <f t="shared" si="19"/>
        <v/>
      </c>
      <c r="AD27" s="255" t="str">
        <f t="shared" si="11"/>
        <v/>
      </c>
      <c r="AF27" s="432" t="s">
        <v>706</v>
      </c>
      <c r="AG27" s="434">
        <f t="shared" si="20"/>
        <v>100</v>
      </c>
      <c r="AH27" s="434">
        <f t="shared" si="4"/>
        <v>1</v>
      </c>
      <c r="AI27" s="434">
        <f t="shared" si="21"/>
        <v>0.1</v>
      </c>
      <c r="AJ27" s="434">
        <v>1E-4</v>
      </c>
      <c r="AK27" s="434">
        <f t="shared" si="22"/>
        <v>100</v>
      </c>
      <c r="AL27" s="434">
        <f t="shared" si="5"/>
        <v>1</v>
      </c>
      <c r="AM27" s="434">
        <f t="shared" si="23"/>
        <v>0.1</v>
      </c>
      <c r="AN27" s="434">
        <v>1E-4</v>
      </c>
    </row>
    <row r="28" spans="2:40" s="242" customFormat="1" ht="15" customHeight="1">
      <c r="B28" s="249" t="b">
        <f>IF(Pressure_2_R1!Z23="",FALSE,TRUE)</f>
        <v>0</v>
      </c>
      <c r="C28" s="250">
        <v>20</v>
      </c>
      <c r="D28" s="256" t="str">
        <f>IF($B28=FALSE,"",Pressure_2_R1!D23)</f>
        <v/>
      </c>
      <c r="E28" s="251" t="str">
        <f>IF($B28=FALSE,"",표준압력!C33)</f>
        <v/>
      </c>
      <c r="F28" s="251" t="str">
        <f>IF($B28=FALSE,"",Pressure_2_R1!Z23)</f>
        <v/>
      </c>
      <c r="G28" s="252" t="str">
        <f>IF($B28=FALSE,"",Pressure_2_R1!AA23)</f>
        <v/>
      </c>
      <c r="H28" s="363" t="str">
        <f>IF($B28=FALSE,"",Pressure_2_R1!AB23)</f>
        <v/>
      </c>
      <c r="I28" s="365" t="b">
        <f t="shared" si="12"/>
        <v>0</v>
      </c>
      <c r="J28" s="364" t="str">
        <f>IF($B28=FALSE,"",IF(Pressure_2_R1!D155="","기준기값없음",IF(Pressure_2_R1!L155="ok",Pressure_2_R1!D155,"파워선택안함")))</f>
        <v/>
      </c>
      <c r="K28" s="253" t="str">
        <f t="shared" si="6"/>
        <v/>
      </c>
      <c r="L28" s="254" t="str">
        <f t="shared" si="7"/>
        <v/>
      </c>
      <c r="M28" s="366" t="str">
        <f t="shared" si="8"/>
        <v/>
      </c>
      <c r="N28" s="251" t="str">
        <f t="shared" si="13"/>
        <v/>
      </c>
      <c r="O28" s="252" t="str">
        <f t="shared" si="14"/>
        <v/>
      </c>
      <c r="P28" s="252" t="str">
        <f t="shared" si="15"/>
        <v/>
      </c>
      <c r="Q28" s="367" t="str">
        <f t="shared" si="16"/>
        <v/>
      </c>
      <c r="R28" s="245"/>
      <c r="S28" s="255" t="b">
        <f t="shared" si="9"/>
        <v>0</v>
      </c>
      <c r="T28" s="900"/>
      <c r="U28" s="256">
        <v>5</v>
      </c>
      <c r="V28" s="253" t="str">
        <f t="shared" ca="1" si="24"/>
        <v/>
      </c>
      <c r="W28" s="255" t="str">
        <f t="shared" ca="1" si="24"/>
        <v/>
      </c>
      <c r="X28" s="255" t="str">
        <f t="shared" ca="1" si="24"/>
        <v/>
      </c>
      <c r="Y28" s="255" t="str">
        <f t="shared" si="18"/>
        <v/>
      </c>
      <c r="Z28" s="341" t="str">
        <f t="shared" si="10"/>
        <v/>
      </c>
      <c r="AA28" s="253" t="str">
        <f t="shared" si="19"/>
        <v/>
      </c>
      <c r="AB28" s="255" t="str">
        <f t="shared" si="19"/>
        <v/>
      </c>
      <c r="AC28" s="255" t="str">
        <f t="shared" si="19"/>
        <v/>
      </c>
      <c r="AD28" s="255" t="str">
        <f t="shared" si="11"/>
        <v/>
      </c>
      <c r="AF28" s="432" t="s">
        <v>707</v>
      </c>
      <c r="AG28" s="434">
        <f t="shared" si="20"/>
        <v>100000</v>
      </c>
      <c r="AH28" s="434">
        <f t="shared" si="4"/>
        <v>1000</v>
      </c>
      <c r="AI28" s="434">
        <f t="shared" si="21"/>
        <v>100</v>
      </c>
      <c r="AJ28" s="434">
        <v>0.1</v>
      </c>
      <c r="AK28" s="434">
        <f t="shared" si="22"/>
        <v>100000</v>
      </c>
      <c r="AL28" s="434">
        <f t="shared" si="5"/>
        <v>1000</v>
      </c>
      <c r="AM28" s="434">
        <f t="shared" si="23"/>
        <v>100</v>
      </c>
      <c r="AN28" s="434">
        <v>0.1</v>
      </c>
    </row>
    <row r="29" spans="2:40" s="242" customFormat="1" ht="15" customHeight="1">
      <c r="B29" s="249" t="b">
        <f>IF(Pressure_2_R1!Z24="",FALSE,TRUE)</f>
        <v>0</v>
      </c>
      <c r="C29" s="250">
        <v>21</v>
      </c>
      <c r="D29" s="256" t="str">
        <f>IF($B29=FALSE,"",Pressure_2_R1!D24)</f>
        <v/>
      </c>
      <c r="E29" s="251" t="str">
        <f>IF($B29=FALSE,"",표준압력!C34)</f>
        <v/>
      </c>
      <c r="F29" s="251" t="str">
        <f>IF($B29=FALSE,"",Pressure_2_R1!Z24)</f>
        <v/>
      </c>
      <c r="G29" s="252" t="str">
        <f>IF($B29=FALSE,"",Pressure_2_R1!AA24)</f>
        <v/>
      </c>
      <c r="H29" s="363" t="str">
        <f>IF($B29=FALSE,"",Pressure_2_R1!AB24)</f>
        <v/>
      </c>
      <c r="I29" s="365" t="b">
        <f t="shared" si="12"/>
        <v>0</v>
      </c>
      <c r="J29" s="364" t="str">
        <f>IF($B29=FALSE,"",IF(Pressure_2_R1!D156="","기준기값없음",IF(Pressure_2_R1!L156="ok",Pressure_2_R1!D156,"파워선택안함")))</f>
        <v/>
      </c>
      <c r="K29" s="253" t="str">
        <f t="shared" si="6"/>
        <v/>
      </c>
      <c r="L29" s="254" t="str">
        <f t="shared" si="7"/>
        <v/>
      </c>
      <c r="M29" s="366" t="str">
        <f t="shared" si="8"/>
        <v/>
      </c>
      <c r="N29" s="251" t="str">
        <f t="shared" si="13"/>
        <v/>
      </c>
      <c r="O29" s="252" t="str">
        <f t="shared" si="14"/>
        <v/>
      </c>
      <c r="P29" s="252" t="str">
        <f t="shared" si="15"/>
        <v/>
      </c>
      <c r="Q29" s="367" t="str">
        <f t="shared" si="16"/>
        <v/>
      </c>
      <c r="R29" s="245"/>
      <c r="S29" s="255" t="b">
        <f t="shared" si="9"/>
        <v>0</v>
      </c>
      <c r="T29" s="900"/>
      <c r="U29" s="256">
        <v>6</v>
      </c>
      <c r="V29" s="253" t="str">
        <f t="shared" ca="1" si="24"/>
        <v/>
      </c>
      <c r="W29" s="255" t="str">
        <f t="shared" ca="1" si="24"/>
        <v/>
      </c>
      <c r="X29" s="255" t="str">
        <f t="shared" ca="1" si="24"/>
        <v/>
      </c>
      <c r="Y29" s="255" t="str">
        <f t="shared" si="18"/>
        <v/>
      </c>
      <c r="Z29" s="341" t="str">
        <f t="shared" si="10"/>
        <v/>
      </c>
      <c r="AA29" s="253" t="str">
        <f t="shared" si="19"/>
        <v/>
      </c>
      <c r="AB29" s="255" t="str">
        <f t="shared" si="19"/>
        <v/>
      </c>
      <c r="AC29" s="255" t="str">
        <f t="shared" si="19"/>
        <v/>
      </c>
      <c r="AD29" s="255" t="str">
        <f t="shared" si="11"/>
        <v/>
      </c>
      <c r="AF29" s="432" t="s">
        <v>708</v>
      </c>
      <c r="AG29" s="434">
        <f t="shared" si="20"/>
        <v>6894.7569999999996</v>
      </c>
      <c r="AH29" s="434">
        <f t="shared" si="4"/>
        <v>68.947569999999999</v>
      </c>
      <c r="AI29" s="434">
        <f t="shared" si="21"/>
        <v>6.8947569999999994</v>
      </c>
      <c r="AJ29" s="434">
        <v>6.8947569999999996E-3</v>
      </c>
      <c r="AK29" s="434">
        <f t="shared" si="22"/>
        <v>6894.7569999999996</v>
      </c>
      <c r="AL29" s="434">
        <f t="shared" si="5"/>
        <v>68.947569999999999</v>
      </c>
      <c r="AM29" s="434">
        <f t="shared" si="23"/>
        <v>6.8947569999999994</v>
      </c>
      <c r="AN29" s="434">
        <v>6.8947569999999996E-3</v>
      </c>
    </row>
    <row r="30" spans="2:40" s="242" customFormat="1" ht="15" customHeight="1">
      <c r="B30" s="249" t="b">
        <f>IF(Pressure_2_R1!Z25="",FALSE,TRUE)</f>
        <v>0</v>
      </c>
      <c r="C30" s="250">
        <v>22</v>
      </c>
      <c r="D30" s="256" t="str">
        <f>IF($B30=FALSE,"",Pressure_2_R1!D25)</f>
        <v/>
      </c>
      <c r="E30" s="251" t="str">
        <f>IF($B30=FALSE,"",표준압력!C35)</f>
        <v/>
      </c>
      <c r="F30" s="251" t="str">
        <f>IF($B30=FALSE,"",Pressure_2_R1!Z25)</f>
        <v/>
      </c>
      <c r="G30" s="252" t="str">
        <f>IF($B30=FALSE,"",Pressure_2_R1!AA25)</f>
        <v/>
      </c>
      <c r="H30" s="363" t="str">
        <f>IF($B30=FALSE,"",Pressure_2_R1!AB25)</f>
        <v/>
      </c>
      <c r="I30" s="365" t="b">
        <f t="shared" si="12"/>
        <v>0</v>
      </c>
      <c r="J30" s="364" t="str">
        <f>IF($B30=FALSE,"",IF(Pressure_2_R1!D157="","기준기값없음",IF(Pressure_2_R1!L157="ok",Pressure_2_R1!D157,"파워선택안함")))</f>
        <v/>
      </c>
      <c r="K30" s="253" t="str">
        <f t="shared" si="6"/>
        <v/>
      </c>
      <c r="L30" s="254" t="str">
        <f t="shared" si="7"/>
        <v/>
      </c>
      <c r="M30" s="366" t="str">
        <f t="shared" si="8"/>
        <v/>
      </c>
      <c r="N30" s="251" t="str">
        <f t="shared" si="13"/>
        <v/>
      </c>
      <c r="O30" s="252" t="str">
        <f t="shared" si="14"/>
        <v/>
      </c>
      <c r="P30" s="252" t="str">
        <f t="shared" si="15"/>
        <v/>
      </c>
      <c r="Q30" s="367" t="str">
        <f t="shared" si="16"/>
        <v/>
      </c>
      <c r="R30" s="245"/>
      <c r="S30" s="255" t="b">
        <f t="shared" si="9"/>
        <v>0</v>
      </c>
      <c r="T30" s="900"/>
      <c r="U30" s="256">
        <v>7</v>
      </c>
      <c r="V30" s="253" t="str">
        <f t="shared" ca="1" si="24"/>
        <v/>
      </c>
      <c r="W30" s="255" t="str">
        <f t="shared" ca="1" si="24"/>
        <v/>
      </c>
      <c r="X30" s="255" t="str">
        <f t="shared" ca="1" si="24"/>
        <v/>
      </c>
      <c r="Y30" s="255" t="str">
        <f t="shared" si="18"/>
        <v/>
      </c>
      <c r="Z30" s="341" t="str">
        <f t="shared" si="10"/>
        <v/>
      </c>
      <c r="AA30" s="253" t="str">
        <f t="shared" si="19"/>
        <v/>
      </c>
      <c r="AB30" s="255" t="str">
        <f t="shared" si="19"/>
        <v/>
      </c>
      <c r="AC30" s="255" t="str">
        <f t="shared" si="19"/>
        <v/>
      </c>
      <c r="AD30" s="255" t="str">
        <f t="shared" si="11"/>
        <v/>
      </c>
      <c r="AF30" s="432" t="s">
        <v>710</v>
      </c>
      <c r="AG30" s="434">
        <f t="shared" si="20"/>
        <v>98066.5</v>
      </c>
      <c r="AH30" s="434">
        <f t="shared" si="4"/>
        <v>980.66500000000008</v>
      </c>
      <c r="AI30" s="434">
        <f t="shared" si="21"/>
        <v>98.066500000000005</v>
      </c>
      <c r="AJ30" s="434">
        <v>9.8066500000000001E-2</v>
      </c>
      <c r="AK30" s="434">
        <f t="shared" si="22"/>
        <v>98066.5</v>
      </c>
      <c r="AL30" s="434">
        <f t="shared" si="5"/>
        <v>980.66500000000008</v>
      </c>
      <c r="AM30" s="434">
        <f t="shared" si="23"/>
        <v>98.066500000000005</v>
      </c>
      <c r="AN30" s="434">
        <v>9.8066500000000001E-2</v>
      </c>
    </row>
    <row r="31" spans="2:40" s="242" customFormat="1" ht="15" customHeight="1">
      <c r="B31" s="249" t="b">
        <f>IF(Pressure_2_R1!Z26="",FALSE,TRUE)</f>
        <v>0</v>
      </c>
      <c r="C31" s="250">
        <v>23</v>
      </c>
      <c r="D31" s="256" t="str">
        <f>IF($B31=FALSE,"",Pressure_2_R1!D26)</f>
        <v/>
      </c>
      <c r="E31" s="251" t="str">
        <f>IF($B31=FALSE,"",표준압력!C36)</f>
        <v/>
      </c>
      <c r="F31" s="251" t="str">
        <f>IF($B31=FALSE,"",Pressure_2_R1!Z26)</f>
        <v/>
      </c>
      <c r="G31" s="252" t="str">
        <f>IF($B31=FALSE,"",Pressure_2_R1!AA26)</f>
        <v/>
      </c>
      <c r="H31" s="363" t="str">
        <f>IF($B31=FALSE,"",Pressure_2_R1!AB26)</f>
        <v/>
      </c>
      <c r="I31" s="365" t="b">
        <f t="shared" si="12"/>
        <v>0</v>
      </c>
      <c r="J31" s="364" t="str">
        <f>IF($B31=FALSE,"",IF(Pressure_2_R1!D158="","기준기값없음",IF(Pressure_2_R1!L158="ok",Pressure_2_R1!D158,"파워선택안함")))</f>
        <v/>
      </c>
      <c r="K31" s="253" t="str">
        <f t="shared" si="6"/>
        <v/>
      </c>
      <c r="L31" s="254" t="str">
        <f t="shared" si="7"/>
        <v/>
      </c>
      <c r="M31" s="366" t="str">
        <f t="shared" si="8"/>
        <v/>
      </c>
      <c r="N31" s="251" t="str">
        <f t="shared" si="13"/>
        <v/>
      </c>
      <c r="O31" s="252" t="str">
        <f t="shared" si="14"/>
        <v/>
      </c>
      <c r="P31" s="252" t="str">
        <f t="shared" si="15"/>
        <v/>
      </c>
      <c r="Q31" s="367" t="str">
        <f t="shared" si="16"/>
        <v/>
      </c>
      <c r="R31" s="245"/>
      <c r="S31" s="255" t="b">
        <f t="shared" si="9"/>
        <v>0</v>
      </c>
      <c r="T31" s="900"/>
      <c r="U31" s="256">
        <v>8</v>
      </c>
      <c r="V31" s="253" t="str">
        <f t="shared" ca="1" si="24"/>
        <v/>
      </c>
      <c r="W31" s="255" t="str">
        <f t="shared" ca="1" si="24"/>
        <v/>
      </c>
      <c r="X31" s="255" t="str">
        <f t="shared" ca="1" si="24"/>
        <v/>
      </c>
      <c r="Y31" s="255" t="str">
        <f t="shared" si="18"/>
        <v/>
      </c>
      <c r="Z31" s="341" t="str">
        <f t="shared" si="10"/>
        <v/>
      </c>
      <c r="AA31" s="253" t="str">
        <f t="shared" si="19"/>
        <v/>
      </c>
      <c r="AB31" s="255" t="str">
        <f t="shared" si="19"/>
        <v/>
      </c>
      <c r="AC31" s="255" t="str">
        <f t="shared" si="19"/>
        <v/>
      </c>
      <c r="AD31" s="255" t="str">
        <f t="shared" si="11"/>
        <v/>
      </c>
      <c r="AF31" s="432" t="s">
        <v>709</v>
      </c>
      <c r="AG31" s="434">
        <f>AI31*1000</f>
        <v>101325</v>
      </c>
      <c r="AH31" s="434">
        <f>AI31*10</f>
        <v>1013.25</v>
      </c>
      <c r="AI31" s="434">
        <f>AJ31*1000</f>
        <v>101.325</v>
      </c>
      <c r="AJ31" s="434">
        <v>0.101325</v>
      </c>
      <c r="AK31" s="434">
        <f>AM31*1000</f>
        <v>101325</v>
      </c>
      <c r="AL31" s="434">
        <f>AM31*10</f>
        <v>1013.25</v>
      </c>
      <c r="AM31" s="434">
        <f>AN31*1000</f>
        <v>101.325</v>
      </c>
      <c r="AN31" s="434">
        <v>0.101325</v>
      </c>
    </row>
    <row r="32" spans="2:40" s="242" customFormat="1" ht="15" customHeight="1">
      <c r="B32" s="249" t="b">
        <f>IF(Pressure_2_R1!Z27="",FALSE,TRUE)</f>
        <v>0</v>
      </c>
      <c r="C32" s="250">
        <v>24</v>
      </c>
      <c r="D32" s="256" t="str">
        <f>IF($B32=FALSE,"",Pressure_2_R1!D27)</f>
        <v/>
      </c>
      <c r="E32" s="251" t="str">
        <f>IF($B32=FALSE,"",표준압력!C37)</f>
        <v/>
      </c>
      <c r="F32" s="251" t="str">
        <f>IF($B32=FALSE,"",Pressure_2_R1!Z27)</f>
        <v/>
      </c>
      <c r="G32" s="252" t="str">
        <f>IF($B32=FALSE,"",Pressure_2_R1!AA27)</f>
        <v/>
      </c>
      <c r="H32" s="363" t="str">
        <f>IF($B32=FALSE,"",Pressure_2_R1!AB27)</f>
        <v/>
      </c>
      <c r="I32" s="365" t="b">
        <f t="shared" si="12"/>
        <v>0</v>
      </c>
      <c r="J32" s="364" t="str">
        <f>IF($B32=FALSE,"",IF(Pressure_2_R1!D159="","기준기값없음",IF(Pressure_2_R1!L159="ok",Pressure_2_R1!D159,"파워선택안함")))</f>
        <v/>
      </c>
      <c r="K32" s="253" t="str">
        <f t="shared" si="6"/>
        <v/>
      </c>
      <c r="L32" s="254" t="str">
        <f t="shared" si="7"/>
        <v/>
      </c>
      <c r="M32" s="366" t="str">
        <f t="shared" si="8"/>
        <v/>
      </c>
      <c r="N32" s="251" t="str">
        <f t="shared" si="13"/>
        <v/>
      </c>
      <c r="O32" s="252" t="str">
        <f t="shared" si="14"/>
        <v/>
      </c>
      <c r="P32" s="252" t="str">
        <f t="shared" si="15"/>
        <v/>
      </c>
      <c r="Q32" s="367" t="str">
        <f t="shared" si="16"/>
        <v/>
      </c>
      <c r="R32" s="245"/>
      <c r="S32" s="255" t="b">
        <f t="shared" si="9"/>
        <v>0</v>
      </c>
      <c r="T32" s="900"/>
      <c r="U32" s="256">
        <v>9</v>
      </c>
      <c r="V32" s="253" t="str">
        <f t="shared" ca="1" si="24"/>
        <v/>
      </c>
      <c r="W32" s="255" t="str">
        <f t="shared" ca="1" si="24"/>
        <v/>
      </c>
      <c r="X32" s="255" t="str">
        <f t="shared" ca="1" si="24"/>
        <v/>
      </c>
      <c r="Y32" s="255" t="str">
        <f t="shared" si="18"/>
        <v/>
      </c>
      <c r="Z32" s="341" t="str">
        <f t="shared" si="10"/>
        <v/>
      </c>
      <c r="AA32" s="253" t="str">
        <f t="shared" si="19"/>
        <v/>
      </c>
      <c r="AB32" s="255" t="str">
        <f t="shared" si="19"/>
        <v/>
      </c>
      <c r="AC32" s="255" t="str">
        <f t="shared" si="19"/>
        <v/>
      </c>
      <c r="AD32" s="255" t="str">
        <f t="shared" si="11"/>
        <v/>
      </c>
    </row>
    <row r="33" spans="2:30" s="242" customFormat="1" ht="15" customHeight="1">
      <c r="B33" s="249" t="b">
        <f>IF(Pressure_2_R1!Z28="",FALSE,TRUE)</f>
        <v>0</v>
      </c>
      <c r="C33" s="250">
        <v>25</v>
      </c>
      <c r="D33" s="256" t="str">
        <f>IF($B33=FALSE,"",Pressure_2_R1!D28)</f>
        <v/>
      </c>
      <c r="E33" s="251" t="str">
        <f>IF($B33=FALSE,"",표준압력!C38)</f>
        <v/>
      </c>
      <c r="F33" s="251" t="str">
        <f>IF($B33=FALSE,"",Pressure_2_R1!Z28)</f>
        <v/>
      </c>
      <c r="G33" s="252" t="str">
        <f>IF($B33=FALSE,"",Pressure_2_R1!AA28)</f>
        <v/>
      </c>
      <c r="H33" s="363" t="str">
        <f>IF($B33=FALSE,"",Pressure_2_R1!AB28)</f>
        <v/>
      </c>
      <c r="I33" s="365" t="b">
        <f t="shared" si="12"/>
        <v>0</v>
      </c>
      <c r="J33" s="364" t="str">
        <f>IF($B33=FALSE,"",IF(Pressure_2_R1!D160="","기준기값없음",IF(Pressure_2_R1!L160="ok",Pressure_2_R1!D160,"파워선택안함")))</f>
        <v/>
      </c>
      <c r="K33" s="253" t="str">
        <f t="shared" si="6"/>
        <v/>
      </c>
      <c r="L33" s="254" t="str">
        <f t="shared" si="7"/>
        <v/>
      </c>
      <c r="M33" s="366" t="str">
        <f t="shared" si="8"/>
        <v/>
      </c>
      <c r="N33" s="251" t="str">
        <f t="shared" si="13"/>
        <v/>
      </c>
      <c r="O33" s="252" t="str">
        <f t="shared" si="14"/>
        <v/>
      </c>
      <c r="P33" s="252" t="str">
        <f t="shared" si="15"/>
        <v/>
      </c>
      <c r="Q33" s="367" t="str">
        <f t="shared" si="16"/>
        <v/>
      </c>
      <c r="R33" s="245"/>
      <c r="S33" s="255" t="b">
        <f t="shared" si="9"/>
        <v>0</v>
      </c>
      <c r="T33" s="900"/>
      <c r="U33" s="256">
        <v>10</v>
      </c>
      <c r="V33" s="253" t="str">
        <f t="shared" ca="1" si="24"/>
        <v/>
      </c>
      <c r="W33" s="255" t="str">
        <f t="shared" ca="1" si="24"/>
        <v/>
      </c>
      <c r="X33" s="255" t="str">
        <f t="shared" ca="1" si="24"/>
        <v/>
      </c>
      <c r="Y33" s="255" t="str">
        <f t="shared" si="18"/>
        <v/>
      </c>
      <c r="Z33" s="341" t="str">
        <f t="shared" si="10"/>
        <v/>
      </c>
      <c r="AA33" s="253" t="str">
        <f t="shared" si="19"/>
        <v/>
      </c>
      <c r="AB33" s="255" t="str">
        <f t="shared" si="19"/>
        <v/>
      </c>
      <c r="AC33" s="255" t="str">
        <f t="shared" si="19"/>
        <v/>
      </c>
      <c r="AD33" s="255" t="str">
        <f t="shared" si="11"/>
        <v/>
      </c>
    </row>
    <row r="34" spans="2:30" s="242" customFormat="1" ht="15" customHeight="1">
      <c r="B34" s="249" t="b">
        <f>IF(Pressure_2_R1!Z29="",FALSE,TRUE)</f>
        <v>0</v>
      </c>
      <c r="C34" s="250">
        <v>26</v>
      </c>
      <c r="D34" s="256" t="str">
        <f>IF($B34=FALSE,"",Pressure_2_R1!D29)</f>
        <v/>
      </c>
      <c r="E34" s="251" t="str">
        <f>IF($B34=FALSE,"",표준압력!C39)</f>
        <v/>
      </c>
      <c r="F34" s="251" t="str">
        <f>IF($B34=FALSE,"",Pressure_2_R1!Z29)</f>
        <v/>
      </c>
      <c r="G34" s="252" t="str">
        <f>IF($B34=FALSE,"",Pressure_2_R1!AA29)</f>
        <v/>
      </c>
      <c r="H34" s="363" t="str">
        <f>IF($B34=FALSE,"",Pressure_2_R1!AB29)</f>
        <v/>
      </c>
      <c r="I34" s="365" t="b">
        <f t="shared" si="12"/>
        <v>0</v>
      </c>
      <c r="J34" s="364" t="str">
        <f>IF($B34=FALSE,"",IF(Pressure_2_R1!D161="","기준기값없음",IF(Pressure_2_R1!L161="ok",Pressure_2_R1!D161,"파워선택안함")))</f>
        <v/>
      </c>
      <c r="K34" s="253" t="str">
        <f t="shared" si="6"/>
        <v/>
      </c>
      <c r="L34" s="254" t="str">
        <f t="shared" si="7"/>
        <v/>
      </c>
      <c r="M34" s="366" t="str">
        <f t="shared" si="8"/>
        <v/>
      </c>
      <c r="N34" s="251" t="str">
        <f t="shared" si="13"/>
        <v/>
      </c>
      <c r="O34" s="252" t="str">
        <f t="shared" si="14"/>
        <v/>
      </c>
      <c r="P34" s="252" t="str">
        <f t="shared" si="15"/>
        <v/>
      </c>
      <c r="Q34" s="367" t="str">
        <f t="shared" si="16"/>
        <v/>
      </c>
      <c r="R34" s="245"/>
      <c r="S34" s="255" t="b">
        <f t="shared" si="9"/>
        <v>0</v>
      </c>
      <c r="T34" s="900"/>
      <c r="U34" s="256">
        <v>11</v>
      </c>
      <c r="V34" s="253" t="str">
        <f t="shared" ca="1" si="24"/>
        <v/>
      </c>
      <c r="W34" s="255" t="str">
        <f t="shared" ca="1" si="24"/>
        <v/>
      </c>
      <c r="X34" s="255" t="str">
        <f t="shared" ca="1" si="24"/>
        <v/>
      </c>
      <c r="Y34" s="255" t="str">
        <f t="shared" si="18"/>
        <v/>
      </c>
      <c r="Z34" s="341" t="str">
        <f t="shared" si="10"/>
        <v/>
      </c>
      <c r="AA34" s="253" t="str">
        <f t="shared" si="19"/>
        <v/>
      </c>
      <c r="AB34" s="255" t="str">
        <f t="shared" si="19"/>
        <v/>
      </c>
      <c r="AC34" s="255" t="str">
        <f t="shared" si="19"/>
        <v/>
      </c>
      <c r="AD34" s="255" t="str">
        <f t="shared" si="11"/>
        <v/>
      </c>
    </row>
    <row r="35" spans="2:30" s="242" customFormat="1" ht="15" customHeight="1">
      <c r="B35" s="249" t="b">
        <f>IF(Pressure_2_R1!Z30="",FALSE,TRUE)</f>
        <v>0</v>
      </c>
      <c r="C35" s="250">
        <v>27</v>
      </c>
      <c r="D35" s="256" t="str">
        <f>IF($B35=FALSE,"",Pressure_2_R1!D30)</f>
        <v/>
      </c>
      <c r="E35" s="251" t="str">
        <f>IF($B35=FALSE,"",표준압력!C40)</f>
        <v/>
      </c>
      <c r="F35" s="251" t="str">
        <f>IF($B35=FALSE,"",Pressure_2_R1!Z30)</f>
        <v/>
      </c>
      <c r="G35" s="252" t="str">
        <f>IF($B35=FALSE,"",Pressure_2_R1!AA30)</f>
        <v/>
      </c>
      <c r="H35" s="363" t="str">
        <f>IF($B35=FALSE,"",Pressure_2_R1!AB30)</f>
        <v/>
      </c>
      <c r="I35" s="365" t="b">
        <f t="shared" si="12"/>
        <v>0</v>
      </c>
      <c r="J35" s="364" t="str">
        <f>IF($B35=FALSE,"",IF(Pressure_2_R1!D162="","기준기값없음",IF(Pressure_2_R1!L162="ok",Pressure_2_R1!D162,"파워선택안함")))</f>
        <v/>
      </c>
      <c r="K35" s="253" t="str">
        <f t="shared" si="6"/>
        <v/>
      </c>
      <c r="L35" s="254" t="str">
        <f t="shared" si="7"/>
        <v/>
      </c>
      <c r="M35" s="366" t="str">
        <f t="shared" si="8"/>
        <v/>
      </c>
      <c r="N35" s="251" t="str">
        <f t="shared" si="13"/>
        <v/>
      </c>
      <c r="O35" s="252" t="str">
        <f t="shared" si="14"/>
        <v/>
      </c>
      <c r="P35" s="252" t="str">
        <f t="shared" si="15"/>
        <v/>
      </c>
      <c r="Q35" s="367" t="str">
        <f t="shared" si="16"/>
        <v/>
      </c>
      <c r="R35" s="245"/>
      <c r="S35" s="255" t="b">
        <f t="shared" si="9"/>
        <v>0</v>
      </c>
      <c r="T35" s="900"/>
      <c r="U35" s="256">
        <v>12</v>
      </c>
      <c r="V35" s="253" t="str">
        <f t="shared" ca="1" si="24"/>
        <v/>
      </c>
      <c r="W35" s="255" t="str">
        <f t="shared" ca="1" si="24"/>
        <v/>
      </c>
      <c r="X35" s="255" t="str">
        <f t="shared" ca="1" si="24"/>
        <v/>
      </c>
      <c r="Y35" s="255" t="str">
        <f t="shared" si="18"/>
        <v/>
      </c>
      <c r="Z35" s="341" t="str">
        <f t="shared" si="10"/>
        <v/>
      </c>
      <c r="AA35" s="253" t="str">
        <f t="shared" si="19"/>
        <v/>
      </c>
      <c r="AB35" s="255" t="str">
        <f t="shared" si="19"/>
        <v/>
      </c>
      <c r="AC35" s="255" t="str">
        <f t="shared" si="19"/>
        <v/>
      </c>
      <c r="AD35" s="255" t="str">
        <f t="shared" si="11"/>
        <v/>
      </c>
    </row>
    <row r="36" spans="2:30" s="242" customFormat="1" ht="15" customHeight="1">
      <c r="B36" s="249" t="b">
        <f>IF(Pressure_2_R1!Z31="",FALSE,TRUE)</f>
        <v>0</v>
      </c>
      <c r="C36" s="250">
        <v>28</v>
      </c>
      <c r="D36" s="256" t="str">
        <f>IF($B36=FALSE,"",Pressure_2_R1!D31)</f>
        <v/>
      </c>
      <c r="E36" s="251" t="str">
        <f>IF($B36=FALSE,"",표준압력!C41)</f>
        <v/>
      </c>
      <c r="F36" s="251" t="str">
        <f>IF($B36=FALSE,"",Pressure_2_R1!Z31)</f>
        <v/>
      </c>
      <c r="G36" s="252" t="str">
        <f>IF($B36=FALSE,"",Pressure_2_R1!AA31)</f>
        <v/>
      </c>
      <c r="H36" s="363" t="str">
        <f>IF($B36=FALSE,"",Pressure_2_R1!AB31)</f>
        <v/>
      </c>
      <c r="I36" s="365" t="b">
        <f t="shared" si="12"/>
        <v>0</v>
      </c>
      <c r="J36" s="364" t="str">
        <f>IF($B36=FALSE,"",IF(Pressure_2_R1!D163="","기준기값없음",IF(Pressure_2_R1!L163="ok",Pressure_2_R1!D163,"파워선택안함")))</f>
        <v/>
      </c>
      <c r="K36" s="253" t="str">
        <f t="shared" si="6"/>
        <v/>
      </c>
      <c r="L36" s="254" t="str">
        <f t="shared" si="7"/>
        <v/>
      </c>
      <c r="M36" s="366" t="str">
        <f t="shared" si="8"/>
        <v/>
      </c>
      <c r="N36" s="251" t="str">
        <f t="shared" si="13"/>
        <v/>
      </c>
      <c r="O36" s="252" t="str">
        <f t="shared" si="14"/>
        <v/>
      </c>
      <c r="P36" s="252" t="str">
        <f t="shared" si="15"/>
        <v/>
      </c>
      <c r="Q36" s="367" t="str">
        <f t="shared" si="16"/>
        <v/>
      </c>
      <c r="R36" s="245"/>
      <c r="S36" s="255" t="b">
        <f t="shared" si="9"/>
        <v>0</v>
      </c>
      <c r="T36" s="900"/>
      <c r="U36" s="256">
        <v>13</v>
      </c>
      <c r="V36" s="253" t="str">
        <f t="shared" ca="1" si="24"/>
        <v/>
      </c>
      <c r="W36" s="255" t="str">
        <f t="shared" ca="1" si="24"/>
        <v/>
      </c>
      <c r="X36" s="255" t="str">
        <f t="shared" ca="1" si="24"/>
        <v/>
      </c>
      <c r="Y36" s="255" t="str">
        <f t="shared" si="18"/>
        <v/>
      </c>
      <c r="Z36" s="341" t="str">
        <f t="shared" si="10"/>
        <v/>
      </c>
      <c r="AA36" s="253" t="str">
        <f t="shared" si="19"/>
        <v/>
      </c>
      <c r="AB36" s="255" t="str">
        <f t="shared" si="19"/>
        <v/>
      </c>
      <c r="AC36" s="255" t="str">
        <f t="shared" si="19"/>
        <v/>
      </c>
      <c r="AD36" s="255" t="str">
        <f t="shared" si="11"/>
        <v/>
      </c>
    </row>
    <row r="37" spans="2:30" s="242" customFormat="1" ht="15" customHeight="1">
      <c r="B37" s="249" t="b">
        <f>IF(Pressure_2_R1!Z32="",FALSE,TRUE)</f>
        <v>0</v>
      </c>
      <c r="C37" s="250">
        <v>29</v>
      </c>
      <c r="D37" s="256" t="str">
        <f>IF($B37=FALSE,"",Pressure_2_R1!D32)</f>
        <v/>
      </c>
      <c r="E37" s="251" t="str">
        <f>IF($B37=FALSE,"",표준압력!C42)</f>
        <v/>
      </c>
      <c r="F37" s="251" t="str">
        <f>IF($B37=FALSE,"",Pressure_2_R1!Z32)</f>
        <v/>
      </c>
      <c r="G37" s="252" t="str">
        <f>IF($B37=FALSE,"",Pressure_2_R1!AA32)</f>
        <v/>
      </c>
      <c r="H37" s="363" t="str">
        <f>IF($B37=FALSE,"",Pressure_2_R1!AB32)</f>
        <v/>
      </c>
      <c r="I37" s="365" t="b">
        <f t="shared" si="12"/>
        <v>0</v>
      </c>
      <c r="J37" s="364" t="str">
        <f>IF($B37=FALSE,"",IF(Pressure_2_R1!D164="","기준기값없음",IF(Pressure_2_R1!L164="ok",Pressure_2_R1!D164,"파워선택안함")))</f>
        <v/>
      </c>
      <c r="K37" s="253" t="str">
        <f t="shared" si="6"/>
        <v/>
      </c>
      <c r="L37" s="254" t="str">
        <f t="shared" si="7"/>
        <v/>
      </c>
      <c r="M37" s="366" t="str">
        <f t="shared" si="8"/>
        <v/>
      </c>
      <c r="N37" s="251" t="str">
        <f t="shared" si="13"/>
        <v/>
      </c>
      <c r="O37" s="252" t="str">
        <f t="shared" si="14"/>
        <v/>
      </c>
      <c r="P37" s="252" t="str">
        <f t="shared" si="15"/>
        <v/>
      </c>
      <c r="Q37" s="367" t="str">
        <f t="shared" si="16"/>
        <v/>
      </c>
      <c r="R37" s="245"/>
      <c r="S37" s="255" t="b">
        <f t="shared" si="9"/>
        <v>0</v>
      </c>
      <c r="T37" s="900"/>
      <c r="U37" s="256">
        <v>14</v>
      </c>
      <c r="V37" s="253" t="str">
        <f t="shared" ca="1" si="24"/>
        <v/>
      </c>
      <c r="W37" s="255" t="str">
        <f t="shared" ca="1" si="24"/>
        <v/>
      </c>
      <c r="X37" s="255" t="str">
        <f t="shared" ca="1" si="24"/>
        <v/>
      </c>
      <c r="Y37" s="255" t="str">
        <f t="shared" si="18"/>
        <v/>
      </c>
      <c r="Z37" s="341" t="str">
        <f t="shared" si="10"/>
        <v/>
      </c>
      <c r="AA37" s="253" t="str">
        <f t="shared" si="19"/>
        <v/>
      </c>
      <c r="AB37" s="255" t="str">
        <f t="shared" si="19"/>
        <v/>
      </c>
      <c r="AC37" s="255" t="str">
        <f t="shared" si="19"/>
        <v/>
      </c>
      <c r="AD37" s="255" t="str">
        <f t="shared" si="11"/>
        <v/>
      </c>
    </row>
    <row r="38" spans="2:30" s="242" customFormat="1" ht="15" customHeight="1">
      <c r="B38" s="249" t="b">
        <f>IF(Pressure_2_R1!Z33="",FALSE,TRUE)</f>
        <v>0</v>
      </c>
      <c r="C38" s="250">
        <v>30</v>
      </c>
      <c r="D38" s="256" t="str">
        <f>IF($B38=FALSE,"",Pressure_2_R1!D33)</f>
        <v/>
      </c>
      <c r="E38" s="251" t="str">
        <f>IF($B38=FALSE,"",표준압력!C43)</f>
        <v/>
      </c>
      <c r="F38" s="251" t="str">
        <f>IF($B38=FALSE,"",Pressure_2_R1!Z33)</f>
        <v/>
      </c>
      <c r="G38" s="252" t="str">
        <f>IF($B38=FALSE,"",Pressure_2_R1!AA33)</f>
        <v/>
      </c>
      <c r="H38" s="363" t="str">
        <f>IF($B38=FALSE,"",Pressure_2_R1!AB33)</f>
        <v/>
      </c>
      <c r="I38" s="365" t="b">
        <f t="shared" si="12"/>
        <v>0</v>
      </c>
      <c r="J38" s="364" t="str">
        <f>IF($B38=FALSE,"",IF(Pressure_2_R1!D165="","기준기값없음",IF(Pressure_2_R1!L165="ok",Pressure_2_R1!D165,"파워선택안함")))</f>
        <v/>
      </c>
      <c r="K38" s="253" t="str">
        <f t="shared" si="6"/>
        <v/>
      </c>
      <c r="L38" s="254" t="str">
        <f t="shared" si="7"/>
        <v/>
      </c>
      <c r="M38" s="366" t="str">
        <f t="shared" si="8"/>
        <v/>
      </c>
      <c r="N38" s="251" t="str">
        <f t="shared" si="13"/>
        <v/>
      </c>
      <c r="O38" s="252" t="str">
        <f t="shared" si="14"/>
        <v/>
      </c>
      <c r="P38" s="252" t="str">
        <f t="shared" si="15"/>
        <v/>
      </c>
      <c r="Q38" s="367" t="str">
        <f t="shared" si="16"/>
        <v/>
      </c>
      <c r="R38" s="245"/>
      <c r="S38" s="255" t="b">
        <f t="shared" si="9"/>
        <v>0</v>
      </c>
      <c r="T38" s="901"/>
      <c r="U38" s="256">
        <v>15</v>
      </c>
      <c r="V38" s="253" t="str">
        <f t="shared" ca="1" si="24"/>
        <v/>
      </c>
      <c r="W38" s="255" t="str">
        <f t="shared" ca="1" si="24"/>
        <v/>
      </c>
      <c r="X38" s="255" t="str">
        <f t="shared" ca="1" si="24"/>
        <v/>
      </c>
      <c r="Y38" s="255" t="str">
        <f t="shared" si="18"/>
        <v/>
      </c>
      <c r="Z38" s="341" t="str">
        <f t="shared" si="10"/>
        <v/>
      </c>
      <c r="AA38" s="253" t="str">
        <f t="shared" si="19"/>
        <v/>
      </c>
      <c r="AB38" s="255" t="str">
        <f t="shared" si="19"/>
        <v/>
      </c>
      <c r="AC38" s="255" t="str">
        <f t="shared" si="19"/>
        <v/>
      </c>
      <c r="AD38" s="255" t="str">
        <f t="shared" si="11"/>
        <v/>
      </c>
    </row>
    <row r="39" spans="2:30" ht="15" customHeight="1">
      <c r="B39" s="241"/>
      <c r="C39" s="241"/>
      <c r="D39" s="241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2:30" ht="15" customHeight="1">
      <c r="B40" s="247" t="s">
        <v>358</v>
      </c>
      <c r="C40" s="241"/>
      <c r="D40" s="241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</row>
    <row r="41" spans="2:30" ht="15" customHeight="1">
      <c r="B41" s="885" t="s">
        <v>552</v>
      </c>
      <c r="C41" s="888" t="s">
        <v>183</v>
      </c>
      <c r="D41" s="888" t="s">
        <v>554</v>
      </c>
      <c r="E41" s="891" t="s">
        <v>555</v>
      </c>
      <c r="F41" s="874" t="s">
        <v>556</v>
      </c>
      <c r="G41" s="882" t="s">
        <v>557</v>
      </c>
      <c r="H41" s="883"/>
      <c r="I41" s="883"/>
      <c r="J41" s="883"/>
      <c r="K41" s="884"/>
      <c r="L41" s="874" t="s">
        <v>359</v>
      </c>
      <c r="M41" s="882" t="s">
        <v>376</v>
      </c>
      <c r="N41" s="883"/>
      <c r="O41" s="883"/>
      <c r="P41" s="883"/>
      <c r="Q41" s="884"/>
      <c r="R41" s="874" t="s">
        <v>360</v>
      </c>
      <c r="S41" s="905" t="s">
        <v>558</v>
      </c>
      <c r="T41" s="906"/>
      <c r="U41" s="906"/>
      <c r="V41" s="906"/>
      <c r="W41" s="907"/>
      <c r="X41" s="874" t="s">
        <v>361</v>
      </c>
    </row>
    <row r="42" spans="2:30" ht="15" customHeight="1">
      <c r="B42" s="886"/>
      <c r="C42" s="889"/>
      <c r="D42" s="889"/>
      <c r="E42" s="892"/>
      <c r="F42" s="875"/>
      <c r="G42" s="330" t="s">
        <v>447</v>
      </c>
      <c r="H42" s="330" t="s">
        <v>447</v>
      </c>
      <c r="I42" s="330" t="s">
        <v>121</v>
      </c>
      <c r="J42" s="330" t="s">
        <v>70</v>
      </c>
      <c r="K42" s="330" t="s">
        <v>377</v>
      </c>
      <c r="L42" s="875"/>
      <c r="M42" s="874" t="s">
        <v>378</v>
      </c>
      <c r="N42" s="874" t="s">
        <v>362</v>
      </c>
      <c r="O42" s="874" t="s">
        <v>377</v>
      </c>
      <c r="P42" s="874" t="s">
        <v>70</v>
      </c>
      <c r="Q42" s="874" t="s">
        <v>561</v>
      </c>
      <c r="R42" s="875"/>
      <c r="S42" s="877" t="s">
        <v>562</v>
      </c>
      <c r="T42" s="877" t="s">
        <v>51</v>
      </c>
      <c r="U42" s="877" t="s">
        <v>363</v>
      </c>
      <c r="V42" s="877" t="s">
        <v>364</v>
      </c>
      <c r="W42" s="877" t="s">
        <v>365</v>
      </c>
      <c r="X42" s="875"/>
    </row>
    <row r="43" spans="2:30" ht="15" customHeight="1">
      <c r="B43" s="886"/>
      <c r="C43" s="890"/>
      <c r="D43" s="890"/>
      <c r="E43" s="893"/>
      <c r="F43" s="876"/>
      <c r="G43" s="330" t="s">
        <v>563</v>
      </c>
      <c r="H43" s="330" t="s">
        <v>564</v>
      </c>
      <c r="I43" s="330" t="s">
        <v>565</v>
      </c>
      <c r="J43" s="330" t="s">
        <v>566</v>
      </c>
      <c r="K43" s="330" t="s">
        <v>366</v>
      </c>
      <c r="L43" s="876"/>
      <c r="M43" s="876"/>
      <c r="N43" s="876"/>
      <c r="O43" s="876"/>
      <c r="P43" s="876"/>
      <c r="Q43" s="876"/>
      <c r="R43" s="876"/>
      <c r="S43" s="878"/>
      <c r="T43" s="878"/>
      <c r="U43" s="878"/>
      <c r="V43" s="878"/>
      <c r="W43" s="878"/>
      <c r="X43" s="875"/>
    </row>
    <row r="44" spans="2:30" ht="15" customHeight="1">
      <c r="B44" s="887"/>
      <c r="C44" s="478">
        <f>D8</f>
        <v>0</v>
      </c>
      <c r="D44" s="478">
        <f>E8</f>
        <v>0</v>
      </c>
      <c r="E44" s="475">
        <f>D44</f>
        <v>0</v>
      </c>
      <c r="F44" s="475">
        <f>F8</f>
        <v>0</v>
      </c>
      <c r="G44" s="475">
        <f>Y8</f>
        <v>0</v>
      </c>
      <c r="H44" s="475">
        <f>Z8</f>
        <v>0</v>
      </c>
      <c r="I44" s="475">
        <f>H44</f>
        <v>0</v>
      </c>
      <c r="J44" s="475">
        <f>G44</f>
        <v>0</v>
      </c>
      <c r="K44" s="475">
        <f>J44</f>
        <v>0</v>
      </c>
      <c r="L44" s="475">
        <f>E44</f>
        <v>0</v>
      </c>
      <c r="M44" s="475">
        <f t="shared" ref="M44:R44" si="25">L44</f>
        <v>0</v>
      </c>
      <c r="N44" s="475">
        <f>M44</f>
        <v>0</v>
      </c>
      <c r="O44" s="475">
        <f t="shared" si="25"/>
        <v>0</v>
      </c>
      <c r="P44" s="475">
        <f t="shared" si="25"/>
        <v>0</v>
      </c>
      <c r="Q44" s="475">
        <f t="shared" si="25"/>
        <v>0</v>
      </c>
      <c r="R44" s="475">
        <f t="shared" si="25"/>
        <v>0</v>
      </c>
      <c r="S44" s="475">
        <f>R44</f>
        <v>0</v>
      </c>
      <c r="T44" s="475">
        <f>W44</f>
        <v>0</v>
      </c>
      <c r="U44" s="475">
        <f>T44</f>
        <v>0</v>
      </c>
      <c r="V44" s="475"/>
      <c r="W44" s="475">
        <f>S44</f>
        <v>0</v>
      </c>
      <c r="X44" s="876"/>
    </row>
    <row r="45" spans="2:30" ht="15" customHeight="1">
      <c r="B45" s="258">
        <f>C9</f>
        <v>1</v>
      </c>
      <c r="C45" s="258" t="str">
        <f t="shared" ref="C45:D59" si="26">IF($S9=FALSE,"",D9)</f>
        <v/>
      </c>
      <c r="D45" s="255" t="str">
        <f t="shared" si="26"/>
        <v/>
      </c>
      <c r="E45" s="255" t="str">
        <f>IF($S9=FALSE,"",표준압력!F14)</f>
        <v/>
      </c>
      <c r="F45" s="255" t="str">
        <f>IF($S9=FALSE,"",Pressure_2_R1!F136/2)</f>
        <v/>
      </c>
      <c r="G45" s="258" t="str">
        <f t="shared" ref="G45:G59" si="27">IF($S9=FALSE,"",ROUND(AVERAGE(Y9,Y24),I$3))</f>
        <v/>
      </c>
      <c r="H45" s="255" t="str">
        <f t="shared" ref="H45:H59" si="28">IF($S9=FALSE,"",ROUND(AVERAGE(Z9,Z24),N$64))</f>
        <v/>
      </c>
      <c r="I45" s="255" t="str">
        <f t="shared" ref="I45:I59" si="29">IF($S9=FALSE,"",ROUND(D45,N$64)-H45)</f>
        <v/>
      </c>
      <c r="J45" s="255" t="str">
        <f t="shared" ref="J45:J59" si="30">IF($S9=FALSE,"",((V24-V9)+(W24-W9)+(X24-X9))/3)</f>
        <v/>
      </c>
      <c r="K45" s="255" t="str">
        <f t="shared" ref="K45:K59" si="31">IF($S9=FALSE,"",MAX(AD9,AD24))</f>
        <v/>
      </c>
      <c r="L45" s="255" t="str">
        <f t="shared" ref="L45:L59" si="32">IF($S9=FALSE,"",E45/2)</f>
        <v/>
      </c>
      <c r="M45" s="255" t="str">
        <f>IF($S9=FALSE,"",F45*Q$7)</f>
        <v/>
      </c>
      <c r="N45" s="255" t="str">
        <f t="shared" ref="N45:N59" si="33">IF($S9=FALSE,"",MAX(ABS(V$24-V$9),ABS(W$24-W$9),ABS(X$24-X$9))/2/SQRT(3)*Q$7)</f>
        <v/>
      </c>
      <c r="O45" s="255" t="str">
        <f t="shared" ref="O45:O59" si="34">IF($S9=FALSE,"",IF(K45=0,MAX(K$45:K$59),K45)/2/SQRT(3)*Q$7)</f>
        <v/>
      </c>
      <c r="P45" s="255" t="str">
        <f t="shared" ref="P45:P59" si="35">IF($S9=FALSE,"",J45/2/SQRT(3)*Q$7)</f>
        <v/>
      </c>
      <c r="Q45" s="255" t="str">
        <f t="shared" ref="Q45:Q59" si="36">IF($S9=FALSE,"",SQRT(SUMSQ(M45:P45)))</f>
        <v/>
      </c>
      <c r="R45" s="255" t="str">
        <f t="shared" ref="R45:R59" si="37">IF($S9=FALSE,"",SQRT(SUMSQ(L45,Q45)))</f>
        <v/>
      </c>
      <c r="S45" s="255" t="str">
        <f t="shared" ref="S45:S59" si="38">IF($S9=FALSE,"",R45*2)</f>
        <v/>
      </c>
      <c r="T45" s="331" t="str">
        <f>IF($S9=FALSE,"",Pressure_2_R1!L4*C45)</f>
        <v/>
      </c>
      <c r="U45" s="331" t="str">
        <f>IF($S9=FALSE,"",MAX(S45:T45))</f>
        <v/>
      </c>
      <c r="V45" s="331" t="str">
        <f t="shared" ref="V45:V59" si="39">IF($S9=FALSE,"",IF(((U45-ROUND(U45,N$64))/U45*100)&gt;=5,TRUE,FALSE))</f>
        <v/>
      </c>
      <c r="W45" s="331" t="str">
        <f>IF($S9=FALSE,"",IF(ROUND(U45,N$64)=0,ROUNDUP(U45,N$64),IF(V45=TRUE,ROUNDUP(U45,N$64),ROUND(U45,N$64))))</f>
        <v/>
      </c>
      <c r="X45" s="332" t="str">
        <f t="shared" ref="X45:X59" si="40">IF($S9=FALSE,"",IF(S45=U45,0,1))</f>
        <v/>
      </c>
    </row>
    <row r="46" spans="2:30" ht="15" customHeight="1">
      <c r="B46" s="258">
        <f>C10</f>
        <v>2</v>
      </c>
      <c r="C46" s="258" t="str">
        <f t="shared" si="26"/>
        <v/>
      </c>
      <c r="D46" s="255" t="str">
        <f t="shared" si="26"/>
        <v/>
      </c>
      <c r="E46" s="255" t="str">
        <f>IF($S10=FALSE,"",표준압력!F15)</f>
        <v/>
      </c>
      <c r="F46" s="255" t="str">
        <f>IF($S10=FALSE,"",Pressure_2_R1!F137/2)</f>
        <v/>
      </c>
      <c r="G46" s="258" t="str">
        <f t="shared" si="27"/>
        <v/>
      </c>
      <c r="H46" s="255" t="str">
        <f t="shared" si="28"/>
        <v/>
      </c>
      <c r="I46" s="255" t="str">
        <f t="shared" si="29"/>
        <v/>
      </c>
      <c r="J46" s="255" t="str">
        <f t="shared" si="30"/>
        <v/>
      </c>
      <c r="K46" s="255" t="str">
        <f t="shared" si="31"/>
        <v/>
      </c>
      <c r="L46" s="255" t="str">
        <f t="shared" si="32"/>
        <v/>
      </c>
      <c r="M46" s="255" t="str">
        <f t="shared" ref="M46:M59" si="41">IF($S10=FALSE,"",F46*Q$7)</f>
        <v/>
      </c>
      <c r="N46" s="255" t="str">
        <f t="shared" si="33"/>
        <v/>
      </c>
      <c r="O46" s="255" t="str">
        <f t="shared" si="34"/>
        <v/>
      </c>
      <c r="P46" s="255" t="str">
        <f t="shared" si="35"/>
        <v/>
      </c>
      <c r="Q46" s="255" t="str">
        <f t="shared" si="36"/>
        <v/>
      </c>
      <c r="R46" s="255" t="str">
        <f t="shared" si="37"/>
        <v/>
      </c>
      <c r="S46" s="255" t="str">
        <f t="shared" si="38"/>
        <v/>
      </c>
      <c r="T46" s="331" t="str">
        <f>IF($S10=FALSE,"",Pressure_2_R1!L5*C46)</f>
        <v/>
      </c>
      <c r="U46" s="331" t="str">
        <f t="shared" ref="U46:U59" si="42">IF($S10=FALSE,"",MAX(S46:T46))</f>
        <v/>
      </c>
      <c r="V46" s="331" t="str">
        <f t="shared" si="39"/>
        <v/>
      </c>
      <c r="W46" s="331" t="str">
        <f t="shared" ref="W46:W59" si="43">IF($S10=FALSE,"",IF(ROUND(U46,N$64)=0,ROUNDUP(U46,N$64),IF(V46=TRUE,ROUNDUP(U46,N$64),ROUND(U46,N$64))))</f>
        <v/>
      </c>
      <c r="X46" s="332" t="str">
        <f t="shared" si="40"/>
        <v/>
      </c>
    </row>
    <row r="47" spans="2:30" ht="15" customHeight="1">
      <c r="B47" s="258">
        <f t="shared" ref="B47:B59" si="44">C11</f>
        <v>3</v>
      </c>
      <c r="C47" s="258" t="str">
        <f t="shared" si="26"/>
        <v/>
      </c>
      <c r="D47" s="255" t="str">
        <f t="shared" si="26"/>
        <v/>
      </c>
      <c r="E47" s="255" t="str">
        <f>IF($S11=FALSE,"",표준압력!F16)</f>
        <v/>
      </c>
      <c r="F47" s="255" t="str">
        <f>IF($S11=FALSE,"",Pressure_2_R1!F138/2)</f>
        <v/>
      </c>
      <c r="G47" s="258" t="str">
        <f t="shared" si="27"/>
        <v/>
      </c>
      <c r="H47" s="255" t="str">
        <f t="shared" si="28"/>
        <v/>
      </c>
      <c r="I47" s="255" t="str">
        <f t="shared" si="29"/>
        <v/>
      </c>
      <c r="J47" s="255" t="str">
        <f t="shared" si="30"/>
        <v/>
      </c>
      <c r="K47" s="255" t="str">
        <f t="shared" si="31"/>
        <v/>
      </c>
      <c r="L47" s="255" t="str">
        <f t="shared" si="32"/>
        <v/>
      </c>
      <c r="M47" s="255" t="str">
        <f t="shared" si="41"/>
        <v/>
      </c>
      <c r="N47" s="255" t="str">
        <f t="shared" si="33"/>
        <v/>
      </c>
      <c r="O47" s="255" t="str">
        <f t="shared" si="34"/>
        <v/>
      </c>
      <c r="P47" s="255" t="str">
        <f t="shared" si="35"/>
        <v/>
      </c>
      <c r="Q47" s="255" t="str">
        <f t="shared" si="36"/>
        <v/>
      </c>
      <c r="R47" s="255" t="str">
        <f t="shared" si="37"/>
        <v/>
      </c>
      <c r="S47" s="255" t="str">
        <f t="shared" si="38"/>
        <v/>
      </c>
      <c r="T47" s="331" t="str">
        <f>IF($S11=FALSE,"",Pressure_2_R1!L6*C47)</f>
        <v/>
      </c>
      <c r="U47" s="331" t="str">
        <f t="shared" si="42"/>
        <v/>
      </c>
      <c r="V47" s="331" t="str">
        <f t="shared" si="39"/>
        <v/>
      </c>
      <c r="W47" s="331" t="str">
        <f t="shared" si="43"/>
        <v/>
      </c>
      <c r="X47" s="332" t="str">
        <f t="shared" si="40"/>
        <v/>
      </c>
    </row>
    <row r="48" spans="2:30" ht="15" customHeight="1">
      <c r="B48" s="258">
        <f t="shared" si="44"/>
        <v>4</v>
      </c>
      <c r="C48" s="258" t="str">
        <f t="shared" si="26"/>
        <v/>
      </c>
      <c r="D48" s="255" t="str">
        <f t="shared" si="26"/>
        <v/>
      </c>
      <c r="E48" s="255" t="str">
        <f>IF($S12=FALSE,"",표준압력!F17)</f>
        <v/>
      </c>
      <c r="F48" s="255" t="str">
        <f>IF($S12=FALSE,"",Pressure_2_R1!F139/2)</f>
        <v/>
      </c>
      <c r="G48" s="258" t="str">
        <f t="shared" si="27"/>
        <v/>
      </c>
      <c r="H48" s="255" t="str">
        <f t="shared" si="28"/>
        <v/>
      </c>
      <c r="I48" s="255" t="str">
        <f t="shared" si="29"/>
        <v/>
      </c>
      <c r="J48" s="255" t="str">
        <f t="shared" si="30"/>
        <v/>
      </c>
      <c r="K48" s="255" t="str">
        <f t="shared" si="31"/>
        <v/>
      </c>
      <c r="L48" s="255" t="str">
        <f t="shared" si="32"/>
        <v/>
      </c>
      <c r="M48" s="255" t="str">
        <f t="shared" si="41"/>
        <v/>
      </c>
      <c r="N48" s="255" t="str">
        <f t="shared" si="33"/>
        <v/>
      </c>
      <c r="O48" s="255" t="str">
        <f t="shared" si="34"/>
        <v/>
      </c>
      <c r="P48" s="255" t="str">
        <f t="shared" si="35"/>
        <v/>
      </c>
      <c r="Q48" s="255" t="str">
        <f t="shared" si="36"/>
        <v/>
      </c>
      <c r="R48" s="255" t="str">
        <f t="shared" si="37"/>
        <v/>
      </c>
      <c r="S48" s="255" t="str">
        <f t="shared" si="38"/>
        <v/>
      </c>
      <c r="T48" s="331" t="str">
        <f>IF($S12=FALSE,"",Pressure_2_R1!L7*C48)</f>
        <v/>
      </c>
      <c r="U48" s="331" t="str">
        <f t="shared" si="42"/>
        <v/>
      </c>
      <c r="V48" s="331" t="str">
        <f t="shared" si="39"/>
        <v/>
      </c>
      <c r="W48" s="331" t="str">
        <f t="shared" si="43"/>
        <v/>
      </c>
      <c r="X48" s="332" t="str">
        <f t="shared" si="40"/>
        <v/>
      </c>
    </row>
    <row r="49" spans="2:25" ht="15" customHeight="1">
      <c r="B49" s="258">
        <f t="shared" si="44"/>
        <v>5</v>
      </c>
      <c r="C49" s="258" t="str">
        <f t="shared" si="26"/>
        <v/>
      </c>
      <c r="D49" s="255" t="str">
        <f t="shared" si="26"/>
        <v/>
      </c>
      <c r="E49" s="255" t="str">
        <f>IF($S13=FALSE,"",표준압력!F18)</f>
        <v/>
      </c>
      <c r="F49" s="255" t="str">
        <f>IF($S13=FALSE,"",Pressure_2_R1!F140/2)</f>
        <v/>
      </c>
      <c r="G49" s="258" t="str">
        <f t="shared" si="27"/>
        <v/>
      </c>
      <c r="H49" s="255" t="str">
        <f t="shared" si="28"/>
        <v/>
      </c>
      <c r="I49" s="255" t="str">
        <f t="shared" si="29"/>
        <v/>
      </c>
      <c r="J49" s="255" t="str">
        <f t="shared" si="30"/>
        <v/>
      </c>
      <c r="K49" s="255" t="str">
        <f t="shared" si="31"/>
        <v/>
      </c>
      <c r="L49" s="255" t="str">
        <f t="shared" si="32"/>
        <v/>
      </c>
      <c r="M49" s="255" t="str">
        <f t="shared" si="41"/>
        <v/>
      </c>
      <c r="N49" s="255" t="str">
        <f t="shared" si="33"/>
        <v/>
      </c>
      <c r="O49" s="255" t="str">
        <f t="shared" si="34"/>
        <v/>
      </c>
      <c r="P49" s="255" t="str">
        <f t="shared" si="35"/>
        <v/>
      </c>
      <c r="Q49" s="255" t="str">
        <f t="shared" si="36"/>
        <v/>
      </c>
      <c r="R49" s="255" t="str">
        <f t="shared" si="37"/>
        <v/>
      </c>
      <c r="S49" s="255" t="str">
        <f t="shared" si="38"/>
        <v/>
      </c>
      <c r="T49" s="331" t="str">
        <f>IF($S13=FALSE,"",Pressure_2_R1!L8*C49)</f>
        <v/>
      </c>
      <c r="U49" s="331" t="str">
        <f t="shared" si="42"/>
        <v/>
      </c>
      <c r="V49" s="331" t="str">
        <f t="shared" si="39"/>
        <v/>
      </c>
      <c r="W49" s="331" t="str">
        <f t="shared" si="43"/>
        <v/>
      </c>
      <c r="X49" s="332" t="str">
        <f t="shared" si="40"/>
        <v/>
      </c>
    </row>
    <row r="50" spans="2:25" ht="15" customHeight="1">
      <c r="B50" s="258">
        <f t="shared" si="44"/>
        <v>6</v>
      </c>
      <c r="C50" s="258" t="str">
        <f t="shared" si="26"/>
        <v/>
      </c>
      <c r="D50" s="255" t="str">
        <f t="shared" si="26"/>
        <v/>
      </c>
      <c r="E50" s="255" t="str">
        <f>IF($S14=FALSE,"",표준압력!F19)</f>
        <v/>
      </c>
      <c r="F50" s="255" t="str">
        <f>IF($S14=FALSE,"",Pressure_2_R1!F141/2)</f>
        <v/>
      </c>
      <c r="G50" s="258" t="str">
        <f t="shared" si="27"/>
        <v/>
      </c>
      <c r="H50" s="255" t="str">
        <f t="shared" si="28"/>
        <v/>
      </c>
      <c r="I50" s="255" t="str">
        <f t="shared" si="29"/>
        <v/>
      </c>
      <c r="J50" s="255" t="str">
        <f t="shared" si="30"/>
        <v/>
      </c>
      <c r="K50" s="255" t="str">
        <f t="shared" si="31"/>
        <v/>
      </c>
      <c r="L50" s="255" t="str">
        <f t="shared" si="32"/>
        <v/>
      </c>
      <c r="M50" s="255" t="str">
        <f t="shared" si="41"/>
        <v/>
      </c>
      <c r="N50" s="255" t="str">
        <f t="shared" si="33"/>
        <v/>
      </c>
      <c r="O50" s="255" t="str">
        <f t="shared" si="34"/>
        <v/>
      </c>
      <c r="P50" s="255" t="str">
        <f t="shared" si="35"/>
        <v/>
      </c>
      <c r="Q50" s="255" t="str">
        <f t="shared" si="36"/>
        <v/>
      </c>
      <c r="R50" s="255" t="str">
        <f t="shared" si="37"/>
        <v/>
      </c>
      <c r="S50" s="255" t="str">
        <f t="shared" si="38"/>
        <v/>
      </c>
      <c r="T50" s="331" t="str">
        <f>IF($S14=FALSE,"",Pressure_2_R1!L9*C50)</f>
        <v/>
      </c>
      <c r="U50" s="331" t="str">
        <f t="shared" si="42"/>
        <v/>
      </c>
      <c r="V50" s="331" t="str">
        <f t="shared" si="39"/>
        <v/>
      </c>
      <c r="W50" s="331" t="str">
        <f t="shared" si="43"/>
        <v/>
      </c>
      <c r="X50" s="332" t="str">
        <f t="shared" si="40"/>
        <v/>
      </c>
    </row>
    <row r="51" spans="2:25" ht="15" customHeight="1">
      <c r="B51" s="258">
        <f t="shared" si="44"/>
        <v>7</v>
      </c>
      <c r="C51" s="258" t="str">
        <f t="shared" si="26"/>
        <v/>
      </c>
      <c r="D51" s="255" t="str">
        <f t="shared" si="26"/>
        <v/>
      </c>
      <c r="E51" s="255" t="str">
        <f>IF($S15=FALSE,"",표준압력!F20)</f>
        <v/>
      </c>
      <c r="F51" s="255" t="str">
        <f>IF($S15=FALSE,"",Pressure_2_R1!F142/2)</f>
        <v/>
      </c>
      <c r="G51" s="258" t="str">
        <f t="shared" si="27"/>
        <v/>
      </c>
      <c r="H51" s="255" t="str">
        <f t="shared" si="28"/>
        <v/>
      </c>
      <c r="I51" s="255" t="str">
        <f t="shared" si="29"/>
        <v/>
      </c>
      <c r="J51" s="255" t="str">
        <f t="shared" si="30"/>
        <v/>
      </c>
      <c r="K51" s="255" t="str">
        <f t="shared" si="31"/>
        <v/>
      </c>
      <c r="L51" s="255" t="str">
        <f t="shared" si="32"/>
        <v/>
      </c>
      <c r="M51" s="255" t="str">
        <f t="shared" si="41"/>
        <v/>
      </c>
      <c r="N51" s="255" t="str">
        <f t="shared" si="33"/>
        <v/>
      </c>
      <c r="O51" s="255" t="str">
        <f t="shared" si="34"/>
        <v/>
      </c>
      <c r="P51" s="255" t="str">
        <f t="shared" si="35"/>
        <v/>
      </c>
      <c r="Q51" s="255" t="str">
        <f t="shared" si="36"/>
        <v/>
      </c>
      <c r="R51" s="255" t="str">
        <f t="shared" si="37"/>
        <v/>
      </c>
      <c r="S51" s="255" t="str">
        <f t="shared" si="38"/>
        <v/>
      </c>
      <c r="T51" s="331" t="str">
        <f>IF($S15=FALSE,"",Pressure_2_R1!L10*C51)</f>
        <v/>
      </c>
      <c r="U51" s="331" t="str">
        <f t="shared" si="42"/>
        <v/>
      </c>
      <c r="V51" s="331" t="str">
        <f t="shared" si="39"/>
        <v/>
      </c>
      <c r="W51" s="331" t="str">
        <f t="shared" si="43"/>
        <v/>
      </c>
      <c r="X51" s="332" t="str">
        <f t="shared" si="40"/>
        <v/>
      </c>
    </row>
    <row r="52" spans="2:25" ht="15" customHeight="1">
      <c r="B52" s="258">
        <f t="shared" si="44"/>
        <v>8</v>
      </c>
      <c r="C52" s="258" t="str">
        <f t="shared" si="26"/>
        <v/>
      </c>
      <c r="D52" s="255" t="str">
        <f t="shared" si="26"/>
        <v/>
      </c>
      <c r="E52" s="255" t="str">
        <f>IF($S16=FALSE,"",표준압력!F21)</f>
        <v/>
      </c>
      <c r="F52" s="255" t="str">
        <f>IF($S16=FALSE,"",Pressure_2_R1!F143/2)</f>
        <v/>
      </c>
      <c r="G52" s="258" t="str">
        <f t="shared" si="27"/>
        <v/>
      </c>
      <c r="H52" s="255" t="str">
        <f t="shared" si="28"/>
        <v/>
      </c>
      <c r="I52" s="255" t="str">
        <f t="shared" si="29"/>
        <v/>
      </c>
      <c r="J52" s="255" t="str">
        <f t="shared" si="30"/>
        <v/>
      </c>
      <c r="K52" s="255" t="str">
        <f t="shared" si="31"/>
        <v/>
      </c>
      <c r="L52" s="255" t="str">
        <f t="shared" si="32"/>
        <v/>
      </c>
      <c r="M52" s="255" t="str">
        <f t="shared" si="41"/>
        <v/>
      </c>
      <c r="N52" s="255" t="str">
        <f t="shared" si="33"/>
        <v/>
      </c>
      <c r="O52" s="255" t="str">
        <f t="shared" si="34"/>
        <v/>
      </c>
      <c r="P52" s="255" t="str">
        <f t="shared" si="35"/>
        <v/>
      </c>
      <c r="Q52" s="255" t="str">
        <f t="shared" si="36"/>
        <v/>
      </c>
      <c r="R52" s="255" t="str">
        <f t="shared" si="37"/>
        <v/>
      </c>
      <c r="S52" s="255" t="str">
        <f t="shared" si="38"/>
        <v/>
      </c>
      <c r="T52" s="331" t="str">
        <f>IF($S16=FALSE,"",Pressure_2_R1!L11*C52)</f>
        <v/>
      </c>
      <c r="U52" s="331" t="str">
        <f t="shared" si="42"/>
        <v/>
      </c>
      <c r="V52" s="331" t="str">
        <f t="shared" si="39"/>
        <v/>
      </c>
      <c r="W52" s="331" t="str">
        <f t="shared" si="43"/>
        <v/>
      </c>
      <c r="X52" s="332" t="str">
        <f t="shared" si="40"/>
        <v/>
      </c>
    </row>
    <row r="53" spans="2:25" ht="15" customHeight="1">
      <c r="B53" s="258">
        <f t="shared" si="44"/>
        <v>9</v>
      </c>
      <c r="C53" s="258" t="str">
        <f t="shared" si="26"/>
        <v/>
      </c>
      <c r="D53" s="255" t="str">
        <f t="shared" si="26"/>
        <v/>
      </c>
      <c r="E53" s="255" t="str">
        <f>IF($S17=FALSE,"",표준압력!F22)</f>
        <v/>
      </c>
      <c r="F53" s="255" t="str">
        <f>IF($S17=FALSE,"",Pressure_2_R1!F144/2)</f>
        <v/>
      </c>
      <c r="G53" s="258" t="str">
        <f t="shared" si="27"/>
        <v/>
      </c>
      <c r="H53" s="255" t="str">
        <f t="shared" si="28"/>
        <v/>
      </c>
      <c r="I53" s="255" t="str">
        <f t="shared" si="29"/>
        <v/>
      </c>
      <c r="J53" s="255" t="str">
        <f t="shared" si="30"/>
        <v/>
      </c>
      <c r="K53" s="255" t="str">
        <f t="shared" si="31"/>
        <v/>
      </c>
      <c r="L53" s="255" t="str">
        <f t="shared" si="32"/>
        <v/>
      </c>
      <c r="M53" s="255" t="str">
        <f t="shared" si="41"/>
        <v/>
      </c>
      <c r="N53" s="255" t="str">
        <f t="shared" si="33"/>
        <v/>
      </c>
      <c r="O53" s="255" t="str">
        <f t="shared" si="34"/>
        <v/>
      </c>
      <c r="P53" s="255" t="str">
        <f t="shared" si="35"/>
        <v/>
      </c>
      <c r="Q53" s="255" t="str">
        <f t="shared" si="36"/>
        <v/>
      </c>
      <c r="R53" s="255" t="str">
        <f t="shared" si="37"/>
        <v/>
      </c>
      <c r="S53" s="255" t="str">
        <f t="shared" si="38"/>
        <v/>
      </c>
      <c r="T53" s="331" t="str">
        <f>IF($S17=FALSE,"",Pressure_2_R1!L12*C53)</f>
        <v/>
      </c>
      <c r="U53" s="331" t="str">
        <f t="shared" si="42"/>
        <v/>
      </c>
      <c r="V53" s="331" t="str">
        <f t="shared" si="39"/>
        <v/>
      </c>
      <c r="W53" s="331" t="str">
        <f t="shared" si="43"/>
        <v/>
      </c>
      <c r="X53" s="332" t="str">
        <f t="shared" si="40"/>
        <v/>
      </c>
    </row>
    <row r="54" spans="2:25" ht="15" customHeight="1">
      <c r="B54" s="258">
        <f t="shared" si="44"/>
        <v>10</v>
      </c>
      <c r="C54" s="258" t="str">
        <f t="shared" si="26"/>
        <v/>
      </c>
      <c r="D54" s="255" t="str">
        <f t="shared" si="26"/>
        <v/>
      </c>
      <c r="E54" s="255" t="str">
        <f>IF($S18=FALSE,"",표준압력!F23)</f>
        <v/>
      </c>
      <c r="F54" s="255" t="str">
        <f>IF($S18=FALSE,"",Pressure_2_R1!F145/2)</f>
        <v/>
      </c>
      <c r="G54" s="258" t="str">
        <f t="shared" si="27"/>
        <v/>
      </c>
      <c r="H54" s="255" t="str">
        <f t="shared" si="28"/>
        <v/>
      </c>
      <c r="I54" s="255" t="str">
        <f t="shared" si="29"/>
        <v/>
      </c>
      <c r="J54" s="255" t="str">
        <f t="shared" si="30"/>
        <v/>
      </c>
      <c r="K54" s="255" t="str">
        <f t="shared" si="31"/>
        <v/>
      </c>
      <c r="L54" s="255" t="str">
        <f t="shared" si="32"/>
        <v/>
      </c>
      <c r="M54" s="255" t="str">
        <f t="shared" si="41"/>
        <v/>
      </c>
      <c r="N54" s="255" t="str">
        <f t="shared" si="33"/>
        <v/>
      </c>
      <c r="O54" s="255" t="str">
        <f t="shared" si="34"/>
        <v/>
      </c>
      <c r="P54" s="255" t="str">
        <f t="shared" si="35"/>
        <v/>
      </c>
      <c r="Q54" s="255" t="str">
        <f t="shared" si="36"/>
        <v/>
      </c>
      <c r="R54" s="255" t="str">
        <f t="shared" si="37"/>
        <v/>
      </c>
      <c r="S54" s="255" t="str">
        <f t="shared" si="38"/>
        <v/>
      </c>
      <c r="T54" s="331" t="str">
        <f>IF($S18=FALSE,"",Pressure_2_R1!L13*C54)</f>
        <v/>
      </c>
      <c r="U54" s="331" t="str">
        <f t="shared" si="42"/>
        <v/>
      </c>
      <c r="V54" s="331" t="str">
        <f t="shared" si="39"/>
        <v/>
      </c>
      <c r="W54" s="331" t="str">
        <f t="shared" si="43"/>
        <v/>
      </c>
      <c r="X54" s="332" t="str">
        <f t="shared" si="40"/>
        <v/>
      </c>
    </row>
    <row r="55" spans="2:25" ht="15" customHeight="1">
      <c r="B55" s="258">
        <f t="shared" si="44"/>
        <v>11</v>
      </c>
      <c r="C55" s="258" t="str">
        <f t="shared" si="26"/>
        <v/>
      </c>
      <c r="D55" s="255" t="str">
        <f t="shared" si="26"/>
        <v/>
      </c>
      <c r="E55" s="255" t="str">
        <f>IF($S19=FALSE,"",표준압력!F24)</f>
        <v/>
      </c>
      <c r="F55" s="255" t="str">
        <f>IF($S19=FALSE,"",Pressure_2_R1!F146/2)</f>
        <v/>
      </c>
      <c r="G55" s="258" t="str">
        <f t="shared" si="27"/>
        <v/>
      </c>
      <c r="H55" s="255" t="str">
        <f t="shared" si="28"/>
        <v/>
      </c>
      <c r="I55" s="255" t="str">
        <f t="shared" si="29"/>
        <v/>
      </c>
      <c r="J55" s="255" t="str">
        <f t="shared" si="30"/>
        <v/>
      </c>
      <c r="K55" s="255" t="str">
        <f t="shared" si="31"/>
        <v/>
      </c>
      <c r="L55" s="255" t="str">
        <f t="shared" si="32"/>
        <v/>
      </c>
      <c r="M55" s="255" t="str">
        <f t="shared" si="41"/>
        <v/>
      </c>
      <c r="N55" s="255" t="str">
        <f t="shared" si="33"/>
        <v/>
      </c>
      <c r="O55" s="255" t="str">
        <f t="shared" si="34"/>
        <v/>
      </c>
      <c r="P55" s="255" t="str">
        <f t="shared" si="35"/>
        <v/>
      </c>
      <c r="Q55" s="255" t="str">
        <f t="shared" si="36"/>
        <v/>
      </c>
      <c r="R55" s="255" t="str">
        <f t="shared" si="37"/>
        <v/>
      </c>
      <c r="S55" s="255" t="str">
        <f t="shared" si="38"/>
        <v/>
      </c>
      <c r="T55" s="331" t="str">
        <f>IF($S19=FALSE,"",Pressure_2_R1!L14*C55)</f>
        <v/>
      </c>
      <c r="U55" s="331" t="str">
        <f t="shared" si="42"/>
        <v/>
      </c>
      <c r="V55" s="331" t="str">
        <f t="shared" si="39"/>
        <v/>
      </c>
      <c r="W55" s="331" t="str">
        <f t="shared" si="43"/>
        <v/>
      </c>
      <c r="X55" s="332" t="str">
        <f t="shared" si="40"/>
        <v/>
      </c>
    </row>
    <row r="56" spans="2:25" ht="15" customHeight="1">
      <c r="B56" s="258">
        <f t="shared" si="44"/>
        <v>12</v>
      </c>
      <c r="C56" s="258" t="str">
        <f t="shared" si="26"/>
        <v/>
      </c>
      <c r="D56" s="255" t="str">
        <f t="shared" si="26"/>
        <v/>
      </c>
      <c r="E56" s="255" t="str">
        <f>IF($S20=FALSE,"",표준압력!F25)</f>
        <v/>
      </c>
      <c r="F56" s="255" t="str">
        <f>IF($S20=FALSE,"",Pressure_2_R1!F147/2)</f>
        <v/>
      </c>
      <c r="G56" s="258" t="str">
        <f t="shared" si="27"/>
        <v/>
      </c>
      <c r="H56" s="255" t="str">
        <f t="shared" si="28"/>
        <v/>
      </c>
      <c r="I56" s="255" t="str">
        <f t="shared" si="29"/>
        <v/>
      </c>
      <c r="J56" s="255" t="str">
        <f t="shared" si="30"/>
        <v/>
      </c>
      <c r="K56" s="255" t="str">
        <f t="shared" si="31"/>
        <v/>
      </c>
      <c r="L56" s="255" t="str">
        <f t="shared" si="32"/>
        <v/>
      </c>
      <c r="M56" s="255" t="str">
        <f t="shared" si="41"/>
        <v/>
      </c>
      <c r="N56" s="255" t="str">
        <f t="shared" si="33"/>
        <v/>
      </c>
      <c r="O56" s="255" t="str">
        <f t="shared" si="34"/>
        <v/>
      </c>
      <c r="P56" s="255" t="str">
        <f t="shared" si="35"/>
        <v/>
      </c>
      <c r="Q56" s="255" t="str">
        <f t="shared" si="36"/>
        <v/>
      </c>
      <c r="R56" s="255" t="str">
        <f t="shared" si="37"/>
        <v/>
      </c>
      <c r="S56" s="255" t="str">
        <f t="shared" si="38"/>
        <v/>
      </c>
      <c r="T56" s="331" t="str">
        <f>IF($S20=FALSE,"",Pressure_2_R1!L15*C56)</f>
        <v/>
      </c>
      <c r="U56" s="331" t="str">
        <f t="shared" si="42"/>
        <v/>
      </c>
      <c r="V56" s="331" t="str">
        <f t="shared" si="39"/>
        <v/>
      </c>
      <c r="W56" s="331" t="str">
        <f t="shared" si="43"/>
        <v/>
      </c>
      <c r="X56" s="332" t="str">
        <f t="shared" si="40"/>
        <v/>
      </c>
    </row>
    <row r="57" spans="2:25" ht="15" customHeight="1">
      <c r="B57" s="258">
        <f t="shared" si="44"/>
        <v>13</v>
      </c>
      <c r="C57" s="258" t="str">
        <f t="shared" si="26"/>
        <v/>
      </c>
      <c r="D57" s="255" t="str">
        <f t="shared" si="26"/>
        <v/>
      </c>
      <c r="E57" s="255" t="str">
        <f>IF($S21=FALSE,"",표준압력!F26)</f>
        <v/>
      </c>
      <c r="F57" s="255" t="str">
        <f>IF($S21=FALSE,"",Pressure_2_R1!F148/2)</f>
        <v/>
      </c>
      <c r="G57" s="258" t="str">
        <f t="shared" si="27"/>
        <v/>
      </c>
      <c r="H57" s="255" t="str">
        <f t="shared" si="28"/>
        <v/>
      </c>
      <c r="I57" s="255" t="str">
        <f t="shared" si="29"/>
        <v/>
      </c>
      <c r="J57" s="255" t="str">
        <f t="shared" si="30"/>
        <v/>
      </c>
      <c r="K57" s="255" t="str">
        <f t="shared" si="31"/>
        <v/>
      </c>
      <c r="L57" s="255" t="str">
        <f t="shared" si="32"/>
        <v/>
      </c>
      <c r="M57" s="255" t="str">
        <f t="shared" si="41"/>
        <v/>
      </c>
      <c r="N57" s="255" t="str">
        <f t="shared" si="33"/>
        <v/>
      </c>
      <c r="O57" s="255" t="str">
        <f t="shared" si="34"/>
        <v/>
      </c>
      <c r="P57" s="255" t="str">
        <f t="shared" si="35"/>
        <v/>
      </c>
      <c r="Q57" s="255" t="str">
        <f t="shared" si="36"/>
        <v/>
      </c>
      <c r="R57" s="255" t="str">
        <f t="shared" si="37"/>
        <v/>
      </c>
      <c r="S57" s="255" t="str">
        <f t="shared" si="38"/>
        <v/>
      </c>
      <c r="T57" s="331" t="str">
        <f>IF($S21=FALSE,"",Pressure_2_R1!L16*C57)</f>
        <v/>
      </c>
      <c r="U57" s="331" t="str">
        <f t="shared" si="42"/>
        <v/>
      </c>
      <c r="V57" s="331" t="str">
        <f t="shared" si="39"/>
        <v/>
      </c>
      <c r="W57" s="331" t="str">
        <f t="shared" si="43"/>
        <v/>
      </c>
      <c r="X57" s="332" t="str">
        <f t="shared" si="40"/>
        <v/>
      </c>
    </row>
    <row r="58" spans="2:25" ht="15" customHeight="1">
      <c r="B58" s="258">
        <f t="shared" si="44"/>
        <v>14</v>
      </c>
      <c r="C58" s="258" t="str">
        <f t="shared" si="26"/>
        <v/>
      </c>
      <c r="D58" s="255" t="str">
        <f t="shared" si="26"/>
        <v/>
      </c>
      <c r="E58" s="255" t="str">
        <f>IF($S22=FALSE,"",표준압력!F27)</f>
        <v/>
      </c>
      <c r="F58" s="255" t="str">
        <f>IF($S22=FALSE,"",Pressure_2_R1!F149/2)</f>
        <v/>
      </c>
      <c r="G58" s="258" t="str">
        <f t="shared" si="27"/>
        <v/>
      </c>
      <c r="H58" s="255" t="str">
        <f t="shared" si="28"/>
        <v/>
      </c>
      <c r="I58" s="255" t="str">
        <f t="shared" si="29"/>
        <v/>
      </c>
      <c r="J58" s="255" t="str">
        <f t="shared" si="30"/>
        <v/>
      </c>
      <c r="K58" s="255" t="str">
        <f t="shared" si="31"/>
        <v/>
      </c>
      <c r="L58" s="255" t="str">
        <f t="shared" si="32"/>
        <v/>
      </c>
      <c r="M58" s="255" t="str">
        <f t="shared" si="41"/>
        <v/>
      </c>
      <c r="N58" s="255" t="str">
        <f t="shared" si="33"/>
        <v/>
      </c>
      <c r="O58" s="255" t="str">
        <f t="shared" si="34"/>
        <v/>
      </c>
      <c r="P58" s="255" t="str">
        <f t="shared" si="35"/>
        <v/>
      </c>
      <c r="Q58" s="255" t="str">
        <f t="shared" si="36"/>
        <v/>
      </c>
      <c r="R58" s="255" t="str">
        <f t="shared" si="37"/>
        <v/>
      </c>
      <c r="S58" s="255" t="str">
        <f t="shared" si="38"/>
        <v/>
      </c>
      <c r="T58" s="331" t="str">
        <f>IF($S22=FALSE,"",Pressure_2_R1!L17*C58)</f>
        <v/>
      </c>
      <c r="U58" s="331" t="str">
        <f t="shared" si="42"/>
        <v/>
      </c>
      <c r="V58" s="331" t="str">
        <f t="shared" si="39"/>
        <v/>
      </c>
      <c r="W58" s="331" t="str">
        <f t="shared" si="43"/>
        <v/>
      </c>
      <c r="X58" s="332" t="str">
        <f t="shared" si="40"/>
        <v/>
      </c>
    </row>
    <row r="59" spans="2:25" ht="15" customHeight="1" thickBot="1">
      <c r="B59" s="258">
        <f t="shared" si="44"/>
        <v>15</v>
      </c>
      <c r="C59" s="258" t="str">
        <f t="shared" si="26"/>
        <v/>
      </c>
      <c r="D59" s="255" t="str">
        <f t="shared" si="26"/>
        <v/>
      </c>
      <c r="E59" s="255" t="str">
        <f>IF($S23=FALSE,"",표준압력!F28)</f>
        <v/>
      </c>
      <c r="F59" s="255" t="str">
        <f>IF($S23=FALSE,"",Pressure_2_R1!F150/2)</f>
        <v/>
      </c>
      <c r="G59" s="258" t="str">
        <f t="shared" si="27"/>
        <v/>
      </c>
      <c r="H59" s="255" t="str">
        <f t="shared" si="28"/>
        <v/>
      </c>
      <c r="I59" s="255" t="str">
        <f t="shared" si="29"/>
        <v/>
      </c>
      <c r="J59" s="255" t="str">
        <f t="shared" si="30"/>
        <v/>
      </c>
      <c r="K59" s="255" t="str">
        <f t="shared" si="31"/>
        <v/>
      </c>
      <c r="L59" s="255" t="str">
        <f t="shared" si="32"/>
        <v/>
      </c>
      <c r="M59" s="255" t="str">
        <f t="shared" si="41"/>
        <v/>
      </c>
      <c r="N59" s="255" t="str">
        <f t="shared" si="33"/>
        <v/>
      </c>
      <c r="O59" s="255" t="str">
        <f t="shared" si="34"/>
        <v/>
      </c>
      <c r="P59" s="255" t="str">
        <f t="shared" si="35"/>
        <v/>
      </c>
      <c r="Q59" s="255" t="str">
        <f t="shared" si="36"/>
        <v/>
      </c>
      <c r="R59" s="255" t="str">
        <f t="shared" si="37"/>
        <v/>
      </c>
      <c r="S59" s="255" t="str">
        <f t="shared" si="38"/>
        <v/>
      </c>
      <c r="T59" s="331" t="str">
        <f>IF($S23=FALSE,"",Pressure_2_R1!L18*C59)</f>
        <v/>
      </c>
      <c r="U59" s="331" t="str">
        <f t="shared" si="42"/>
        <v/>
      </c>
      <c r="V59" s="331" t="str">
        <f t="shared" si="39"/>
        <v/>
      </c>
      <c r="W59" s="331" t="str">
        <f t="shared" si="43"/>
        <v/>
      </c>
      <c r="X59" s="332" t="str">
        <f t="shared" si="40"/>
        <v/>
      </c>
    </row>
    <row r="60" spans="2:25" ht="15" customHeight="1" thickBot="1">
      <c r="S60" s="243"/>
      <c r="U60" s="257"/>
      <c r="V60" s="257"/>
      <c r="W60" s="257"/>
      <c r="X60" s="263" t="str">
        <f>IF($S24=FALSE,"",IF(SUM(X45:X59)=0,"","초과"))</f>
        <v/>
      </c>
    </row>
    <row r="61" spans="2:25" ht="15" customHeight="1">
      <c r="B61" s="247" t="s">
        <v>567</v>
      </c>
      <c r="I61" s="247" t="s">
        <v>568</v>
      </c>
      <c r="U61" s="257"/>
      <c r="V61" s="257"/>
      <c r="W61" s="257"/>
    </row>
    <row r="62" spans="2:25" ht="15" customHeight="1">
      <c r="B62" s="877" t="s">
        <v>552</v>
      </c>
      <c r="C62" s="874" t="s">
        <v>64</v>
      </c>
      <c r="D62" s="882" t="s">
        <v>570</v>
      </c>
      <c r="E62" s="883"/>
      <c r="F62" s="884"/>
      <c r="G62" s="368"/>
      <c r="I62" s="914" t="s">
        <v>571</v>
      </c>
      <c r="J62" s="915"/>
      <c r="K62" s="916"/>
      <c r="L62" s="924" t="s">
        <v>572</v>
      </c>
      <c r="N62" s="261" t="s">
        <v>573</v>
      </c>
      <c r="O62" s="920" t="s">
        <v>574</v>
      </c>
      <c r="P62" s="921"/>
      <c r="Q62" s="921"/>
      <c r="R62" s="921"/>
      <c r="S62" s="921"/>
      <c r="U62" s="260" t="s">
        <v>575</v>
      </c>
      <c r="V62" s="260" t="s">
        <v>576</v>
      </c>
      <c r="W62" s="260" t="s">
        <v>300</v>
      </c>
      <c r="X62" s="260" t="s">
        <v>575</v>
      </c>
      <c r="Y62" s="260" t="s">
        <v>576</v>
      </c>
    </row>
    <row r="63" spans="2:25" ht="15" customHeight="1">
      <c r="B63" s="881"/>
      <c r="C63" s="876"/>
      <c r="D63" s="882" t="s">
        <v>578</v>
      </c>
      <c r="E63" s="884"/>
      <c r="F63" s="330" t="s">
        <v>121</v>
      </c>
      <c r="G63" s="330" t="s">
        <v>104</v>
      </c>
      <c r="I63" s="479" t="s">
        <v>367</v>
      </c>
      <c r="J63" s="479" t="s">
        <v>380</v>
      </c>
      <c r="K63" s="479" t="s">
        <v>579</v>
      </c>
      <c r="L63" s="925"/>
      <c r="N63" s="264" t="s">
        <v>580</v>
      </c>
      <c r="O63" s="333" t="s">
        <v>183</v>
      </c>
      <c r="P63" s="330" t="s">
        <v>368</v>
      </c>
      <c r="Q63" s="330" t="s">
        <v>578</v>
      </c>
      <c r="R63" s="330" t="s">
        <v>121</v>
      </c>
      <c r="S63" s="330" t="s">
        <v>381</v>
      </c>
      <c r="U63" s="262"/>
      <c r="V63" s="262" t="s">
        <v>113</v>
      </c>
      <c r="W63" s="260" t="s">
        <v>135</v>
      </c>
      <c r="X63" s="262"/>
      <c r="Y63" s="262" t="s">
        <v>113</v>
      </c>
    </row>
    <row r="64" spans="2:25" ht="15" customHeight="1">
      <c r="B64" s="878"/>
      <c r="C64" s="334">
        <f>D44</f>
        <v>0</v>
      </c>
      <c r="D64" s="334">
        <f>G44</f>
        <v>0</v>
      </c>
      <c r="E64" s="334">
        <f>H44</f>
        <v>0</v>
      </c>
      <c r="F64" s="334">
        <f>I44</f>
        <v>0</v>
      </c>
      <c r="G64" s="334">
        <f>W44</f>
        <v>0</v>
      </c>
      <c r="I64" s="479">
        <f>F8</f>
        <v>0</v>
      </c>
      <c r="J64" s="479">
        <f>I64</f>
        <v>0</v>
      </c>
      <c r="K64" s="479">
        <f>J64</f>
        <v>0</v>
      </c>
      <c r="L64" s="429" t="str">
        <f>IF(TYPE(MATCH("FAIL",L65:L79,0))=16,"PASS","FAIL")</f>
        <v>PASS</v>
      </c>
      <c r="N64" s="265">
        <f ca="1">MIN(N65:N79)</f>
        <v>0</v>
      </c>
      <c r="O64" s="266">
        <f ca="1">OFFSET(V63,MATCH(N64,W64:W73,0),0)</f>
        <v>0</v>
      </c>
      <c r="P64" s="266">
        <f ca="1">OFFSET(V63,MATCH(I3,W64:W73,0),0)</f>
        <v>0</v>
      </c>
      <c r="Q64" s="266">
        <f ca="1">O64</f>
        <v>0</v>
      </c>
      <c r="R64" s="266">
        <f ca="1">Q64</f>
        <v>0</v>
      </c>
      <c r="S64" s="266">
        <f ca="1">R64</f>
        <v>0</v>
      </c>
      <c r="U64" s="335">
        <v>9.9999999999999995E-8</v>
      </c>
      <c r="V64" s="335" t="s">
        <v>583</v>
      </c>
      <c r="W64" s="335">
        <v>7</v>
      </c>
      <c r="X64" s="335">
        <v>0</v>
      </c>
      <c r="Y64" s="335"/>
    </row>
    <row r="65" spans="2:25" ht="15" customHeight="1">
      <c r="B65" s="331">
        <f>B45</f>
        <v>1</v>
      </c>
      <c r="C65" s="336" t="str">
        <f t="shared" ref="C65:C79" si="45">IF($S9=FALSE,"",TEXT(ROUND(D45,$N$64),O65))</f>
        <v/>
      </c>
      <c r="D65" s="336" t="str">
        <f>IF($S9=FALSE,"-",TEXT(G45,P65))</f>
        <v>-</v>
      </c>
      <c r="E65" s="336" t="str">
        <f>IF($S9=FALSE,"-",TEXT(H45,Q65))</f>
        <v>-</v>
      </c>
      <c r="F65" s="336" t="str">
        <f>IF($S9=FALSE,"-",TEXT(ROUND(I45,$N$64),R65))</f>
        <v>-</v>
      </c>
      <c r="G65" s="336" t="str">
        <f>IF($S9=FALSE,"",TEXT(ROUND(W45,$N$64),S65))</f>
        <v/>
      </c>
      <c r="I65" s="267" t="str">
        <f>IF($S9=FALSE,"",ROUND(IF(D$3="mV/V",Pressure_2_R1!S4/G$3,Pressure_2_R1!S4),I$3))</f>
        <v/>
      </c>
      <c r="J65" s="267" t="str">
        <f>IF($S9=FALSE,"",ROUND(IF(D$3="mV/V",Pressure_2_R1!T4/G$3,Pressure_2_R1!T4),I$3))</f>
        <v/>
      </c>
      <c r="K65" s="267" t="str">
        <f t="shared" ref="K65:K79" si="46">IF($S9=FALSE,"","± "&amp;TEXT((J65-I65)/2,Q65))</f>
        <v/>
      </c>
      <c r="L65" s="268" t="str">
        <f>IF($S9=FALSE,"-",IF(AND(I65&lt;=G45,G45&lt;=J65),"PASS","FAIL"))</f>
        <v>-</v>
      </c>
      <c r="N65" s="258" t="str">
        <f ca="1">IF($S9=FALSE,"",OFFSET(W$63,COUNTIF(U$64:U$73,"&lt;="&amp;U45),0)+1)</f>
        <v/>
      </c>
      <c r="O65" s="258" t="str">
        <f t="shared" ref="O65:O79" ca="1" si="47">IF($S9=FALSE,"",SUBSTITUTE(OFFSET($Y$63,COUNTIF($X$64:$X$73,"&lt;="&amp;ABS(C45)),0),0,"")&amp;O$64)</f>
        <v/>
      </c>
      <c r="P65" s="258" t="str">
        <f t="shared" ref="P65:R79" ca="1" si="48">IF($S9=FALSE,"",SUBSTITUTE(OFFSET($Y$63,COUNTIF($X$64:$X$73,"&lt;="&amp;ABS(G45)),0),0,"")&amp;P$64)</f>
        <v/>
      </c>
      <c r="Q65" s="258" t="str">
        <f t="shared" ca="1" si="48"/>
        <v/>
      </c>
      <c r="R65" s="258" t="str">
        <f t="shared" ca="1" si="48"/>
        <v/>
      </c>
      <c r="S65" s="258" t="str">
        <f t="shared" ref="S65:S79" si="49">IF($S9=FALSE,"",S$64)</f>
        <v/>
      </c>
      <c r="U65" s="335">
        <v>9.9999999999999995E-7</v>
      </c>
      <c r="V65" s="335" t="s">
        <v>584</v>
      </c>
      <c r="W65" s="335">
        <v>6</v>
      </c>
      <c r="X65" s="335">
        <v>1</v>
      </c>
      <c r="Y65" s="335"/>
    </row>
    <row r="66" spans="2:25" ht="15" customHeight="1">
      <c r="B66" s="331">
        <f>B46</f>
        <v>2</v>
      </c>
      <c r="C66" s="336" t="str">
        <f t="shared" si="45"/>
        <v/>
      </c>
      <c r="D66" s="336" t="str">
        <f t="shared" ref="D66:D79" si="50">IF($S10=FALSE,"-",TEXT(G46,P66))</f>
        <v>-</v>
      </c>
      <c r="E66" s="336" t="str">
        <f t="shared" ref="E66:E79" si="51">IF($S10=FALSE,"-",TEXT(H46,Q66))</f>
        <v>-</v>
      </c>
      <c r="F66" s="336" t="str">
        <f t="shared" ref="F66:F79" si="52">IF($S10=FALSE,"-",TEXT(ROUND(I46,$N$64),R66))</f>
        <v>-</v>
      </c>
      <c r="G66" s="336" t="str">
        <f t="shared" ref="G66:G79" si="53">IF($S10=FALSE,"",TEXT(ROUND(W46,$N$64),S66))</f>
        <v/>
      </c>
      <c r="I66" s="267" t="str">
        <f>IF($S10=FALSE,"",ROUND(IF(D$3="mV/V",Pressure_2_R1!S5/G$3,Pressure_2_R1!S5),I$3))</f>
        <v/>
      </c>
      <c r="J66" s="267" t="str">
        <f>IF($S10=FALSE,"",ROUND(IF(D$3="mV/V",Pressure_2_R1!T5/G$3,Pressure_2_R1!T5),I$3))</f>
        <v/>
      </c>
      <c r="K66" s="267" t="str">
        <f t="shared" si="46"/>
        <v/>
      </c>
      <c r="L66" s="268" t="str">
        <f t="shared" ref="L66:L79" si="54">IF($S10=FALSE,"-",IF(AND(I66&lt;=G46,G46&lt;=J66),"PASS","FAIL"))</f>
        <v>-</v>
      </c>
      <c r="N66" s="258" t="str">
        <f t="shared" ref="N66:N79" ca="1" si="55">IF($S10=FALSE,"",OFFSET(W$63,COUNTIF(U$64:U$73,"&lt;="&amp;U46),0)+1)</f>
        <v/>
      </c>
      <c r="O66" s="258" t="str">
        <f t="shared" ca="1" si="47"/>
        <v/>
      </c>
      <c r="P66" s="258" t="str">
        <f t="shared" ca="1" si="48"/>
        <v/>
      </c>
      <c r="Q66" s="258" t="str">
        <f t="shared" ca="1" si="48"/>
        <v/>
      </c>
      <c r="R66" s="258" t="str">
        <f t="shared" ca="1" si="48"/>
        <v/>
      </c>
      <c r="S66" s="258" t="str">
        <f t="shared" si="49"/>
        <v/>
      </c>
      <c r="U66" s="335">
        <v>1.0000000000000001E-5</v>
      </c>
      <c r="V66" s="335" t="s">
        <v>382</v>
      </c>
      <c r="W66" s="335">
        <v>5</v>
      </c>
      <c r="X66" s="335">
        <v>10</v>
      </c>
      <c r="Y66" s="335" t="s">
        <v>114</v>
      </c>
    </row>
    <row r="67" spans="2:25" ht="15" customHeight="1">
      <c r="B67" s="331">
        <f t="shared" ref="B67:B79" si="56">B47</f>
        <v>3</v>
      </c>
      <c r="C67" s="336" t="str">
        <f t="shared" si="45"/>
        <v/>
      </c>
      <c r="D67" s="336" t="str">
        <f t="shared" si="50"/>
        <v>-</v>
      </c>
      <c r="E67" s="336" t="str">
        <f t="shared" si="51"/>
        <v>-</v>
      </c>
      <c r="F67" s="336" t="str">
        <f t="shared" si="52"/>
        <v>-</v>
      </c>
      <c r="G67" s="336" t="str">
        <f t="shared" si="53"/>
        <v/>
      </c>
      <c r="I67" s="267" t="str">
        <f>IF($S11=FALSE,"",ROUND(IF(D$3="mV/V",Pressure_2_R1!S6/G$3,Pressure_2_R1!S6),I$3))</f>
        <v/>
      </c>
      <c r="J67" s="267" t="str">
        <f>IF($S11=FALSE,"",ROUND(IF(D$3="mV/V",Pressure_2_R1!T6/G$3,Pressure_2_R1!T6),I$3))</f>
        <v/>
      </c>
      <c r="K67" s="267" t="str">
        <f t="shared" si="46"/>
        <v/>
      </c>
      <c r="L67" s="268" t="str">
        <f t="shared" si="54"/>
        <v>-</v>
      </c>
      <c r="N67" s="258" t="str">
        <f t="shared" ca="1" si="55"/>
        <v/>
      </c>
      <c r="O67" s="258" t="str">
        <f t="shared" ca="1" si="47"/>
        <v/>
      </c>
      <c r="P67" s="258" t="str">
        <f t="shared" ca="1" si="48"/>
        <v/>
      </c>
      <c r="Q67" s="258" t="str">
        <f t="shared" ca="1" si="48"/>
        <v/>
      </c>
      <c r="R67" s="258" t="str">
        <f t="shared" ca="1" si="48"/>
        <v/>
      </c>
      <c r="S67" s="258" t="str">
        <f t="shared" si="49"/>
        <v/>
      </c>
      <c r="U67" s="335">
        <v>1E-4</v>
      </c>
      <c r="V67" s="335" t="s">
        <v>383</v>
      </c>
      <c r="W67" s="335">
        <v>4</v>
      </c>
      <c r="X67" s="335">
        <v>100</v>
      </c>
      <c r="Y67" s="335" t="s">
        <v>115</v>
      </c>
    </row>
    <row r="68" spans="2:25" ht="15" customHeight="1">
      <c r="B68" s="331">
        <f t="shared" si="56"/>
        <v>4</v>
      </c>
      <c r="C68" s="336" t="str">
        <f t="shared" si="45"/>
        <v/>
      </c>
      <c r="D68" s="336" t="str">
        <f t="shared" si="50"/>
        <v>-</v>
      </c>
      <c r="E68" s="336" t="str">
        <f t="shared" si="51"/>
        <v>-</v>
      </c>
      <c r="F68" s="336" t="str">
        <f t="shared" si="52"/>
        <v>-</v>
      </c>
      <c r="G68" s="336" t="str">
        <f t="shared" si="53"/>
        <v/>
      </c>
      <c r="I68" s="267" t="str">
        <f>IF($S12=FALSE,"",ROUND(IF(D$3="mV/V",Pressure_2_R1!S7/G$3,Pressure_2_R1!S7),I$3))</f>
        <v/>
      </c>
      <c r="J68" s="267" t="str">
        <f>IF($S12=FALSE,"",ROUND(IF(D$3="mV/V",Pressure_2_R1!T7/G$3,Pressure_2_R1!T7),I$3))</f>
        <v/>
      </c>
      <c r="K68" s="267" t="str">
        <f t="shared" si="46"/>
        <v/>
      </c>
      <c r="L68" s="268" t="str">
        <f t="shared" si="54"/>
        <v>-</v>
      </c>
      <c r="N68" s="258" t="str">
        <f t="shared" ca="1" si="55"/>
        <v/>
      </c>
      <c r="O68" s="258" t="str">
        <f t="shared" ca="1" si="47"/>
        <v/>
      </c>
      <c r="P68" s="258" t="str">
        <f t="shared" ca="1" si="48"/>
        <v/>
      </c>
      <c r="Q68" s="258" t="str">
        <f t="shared" ca="1" si="48"/>
        <v/>
      </c>
      <c r="R68" s="258" t="str">
        <f t="shared" ca="1" si="48"/>
        <v/>
      </c>
      <c r="S68" s="258" t="str">
        <f t="shared" si="49"/>
        <v/>
      </c>
      <c r="U68" s="335">
        <v>1E-3</v>
      </c>
      <c r="V68" s="337" t="s">
        <v>384</v>
      </c>
      <c r="W68" s="335">
        <v>3</v>
      </c>
      <c r="X68" s="335">
        <v>1000</v>
      </c>
      <c r="Y68" s="335" t="s">
        <v>116</v>
      </c>
    </row>
    <row r="69" spans="2:25" ht="15" customHeight="1">
      <c r="B69" s="331">
        <f t="shared" si="56"/>
        <v>5</v>
      </c>
      <c r="C69" s="336" t="str">
        <f t="shared" si="45"/>
        <v/>
      </c>
      <c r="D69" s="336" t="str">
        <f t="shared" si="50"/>
        <v>-</v>
      </c>
      <c r="E69" s="336" t="str">
        <f t="shared" si="51"/>
        <v>-</v>
      </c>
      <c r="F69" s="336" t="str">
        <f t="shared" si="52"/>
        <v>-</v>
      </c>
      <c r="G69" s="336" t="str">
        <f t="shared" si="53"/>
        <v/>
      </c>
      <c r="I69" s="267" t="str">
        <f>IF($S13=FALSE,"",ROUND(IF(D$3="mV/V",Pressure_2_R1!S8/G$3,Pressure_2_R1!S8),I$3))</f>
        <v/>
      </c>
      <c r="J69" s="267" t="str">
        <f>IF($S13=FALSE,"",ROUND(IF(D$3="mV/V",Pressure_2_R1!T8/G$3,Pressure_2_R1!T8),I$3))</f>
        <v/>
      </c>
      <c r="K69" s="267" t="str">
        <f t="shared" si="46"/>
        <v/>
      </c>
      <c r="L69" s="268" t="str">
        <f t="shared" si="54"/>
        <v>-</v>
      </c>
      <c r="N69" s="258" t="str">
        <f t="shared" ca="1" si="55"/>
        <v/>
      </c>
      <c r="O69" s="258" t="str">
        <f t="shared" ca="1" si="47"/>
        <v/>
      </c>
      <c r="P69" s="258" t="str">
        <f t="shared" ca="1" si="48"/>
        <v/>
      </c>
      <c r="Q69" s="258" t="str">
        <f t="shared" ca="1" si="48"/>
        <v/>
      </c>
      <c r="R69" s="258" t="str">
        <f t="shared" ca="1" si="48"/>
        <v/>
      </c>
      <c r="S69" s="258" t="str">
        <f t="shared" si="49"/>
        <v/>
      </c>
      <c r="U69" s="335">
        <v>0.01</v>
      </c>
      <c r="V69" s="337" t="s">
        <v>585</v>
      </c>
      <c r="W69" s="335">
        <v>2</v>
      </c>
      <c r="X69" s="335">
        <v>10000</v>
      </c>
      <c r="Y69" s="335" t="s">
        <v>117</v>
      </c>
    </row>
    <row r="70" spans="2:25" ht="15" customHeight="1">
      <c r="B70" s="331">
        <f t="shared" si="56"/>
        <v>6</v>
      </c>
      <c r="C70" s="336" t="str">
        <f t="shared" si="45"/>
        <v/>
      </c>
      <c r="D70" s="336" t="str">
        <f t="shared" si="50"/>
        <v>-</v>
      </c>
      <c r="E70" s="336" t="str">
        <f t="shared" si="51"/>
        <v>-</v>
      </c>
      <c r="F70" s="336" t="str">
        <f t="shared" si="52"/>
        <v>-</v>
      </c>
      <c r="G70" s="336" t="str">
        <f t="shared" si="53"/>
        <v/>
      </c>
      <c r="I70" s="267" t="str">
        <f>IF($S14=FALSE,"",ROUND(IF(D$3="mV/V",Pressure_2_R1!S9/G$3,Pressure_2_R1!S9),I$3))</f>
        <v/>
      </c>
      <c r="J70" s="267" t="str">
        <f>IF($S14=FALSE,"",ROUND(IF(D$3="mV/V",Pressure_2_R1!T9/G$3,Pressure_2_R1!T9),I$3))</f>
        <v/>
      </c>
      <c r="K70" s="267" t="str">
        <f t="shared" si="46"/>
        <v/>
      </c>
      <c r="L70" s="268" t="str">
        <f t="shared" si="54"/>
        <v>-</v>
      </c>
      <c r="N70" s="258" t="str">
        <f t="shared" ca="1" si="55"/>
        <v/>
      </c>
      <c r="O70" s="258" t="str">
        <f t="shared" ca="1" si="47"/>
        <v/>
      </c>
      <c r="P70" s="258" t="str">
        <f t="shared" ca="1" si="48"/>
        <v/>
      </c>
      <c r="Q70" s="258" t="str">
        <f t="shared" ca="1" si="48"/>
        <v/>
      </c>
      <c r="R70" s="258" t="str">
        <f t="shared" ca="1" si="48"/>
        <v/>
      </c>
      <c r="S70" s="258" t="str">
        <f t="shared" si="49"/>
        <v/>
      </c>
      <c r="U70" s="335">
        <v>0.1</v>
      </c>
      <c r="V70" s="337" t="s">
        <v>385</v>
      </c>
      <c r="W70" s="335">
        <v>1</v>
      </c>
      <c r="X70" s="335">
        <v>100000</v>
      </c>
      <c r="Y70" s="335" t="s">
        <v>118</v>
      </c>
    </row>
    <row r="71" spans="2:25" ht="15" customHeight="1">
      <c r="B71" s="331">
        <f t="shared" si="56"/>
        <v>7</v>
      </c>
      <c r="C71" s="336" t="str">
        <f t="shared" si="45"/>
        <v/>
      </c>
      <c r="D71" s="336" t="str">
        <f t="shared" si="50"/>
        <v>-</v>
      </c>
      <c r="E71" s="336" t="str">
        <f t="shared" si="51"/>
        <v>-</v>
      </c>
      <c r="F71" s="336" t="str">
        <f t="shared" si="52"/>
        <v>-</v>
      </c>
      <c r="G71" s="336" t="str">
        <f t="shared" si="53"/>
        <v/>
      </c>
      <c r="I71" s="267" t="str">
        <f>IF($S15=FALSE,"",ROUND(IF(D$3="mV/V",Pressure_2_R1!S10/G$3,Pressure_2_R1!S10),I$3))</f>
        <v/>
      </c>
      <c r="J71" s="267" t="str">
        <f>IF($S15=FALSE,"",ROUND(IF(D$3="mV/V",Pressure_2_R1!T10/G$3,Pressure_2_R1!T10),I$3))</f>
        <v/>
      </c>
      <c r="K71" s="267" t="str">
        <f t="shared" si="46"/>
        <v/>
      </c>
      <c r="L71" s="268" t="str">
        <f t="shared" si="54"/>
        <v>-</v>
      </c>
      <c r="N71" s="258" t="str">
        <f t="shared" ca="1" si="55"/>
        <v/>
      </c>
      <c r="O71" s="258" t="str">
        <f t="shared" ca="1" si="47"/>
        <v/>
      </c>
      <c r="P71" s="258" t="str">
        <f t="shared" ca="1" si="48"/>
        <v/>
      </c>
      <c r="Q71" s="258" t="str">
        <f t="shared" ca="1" si="48"/>
        <v/>
      </c>
      <c r="R71" s="258" t="str">
        <f t="shared" ca="1" si="48"/>
        <v/>
      </c>
      <c r="S71" s="258" t="str">
        <f t="shared" si="49"/>
        <v/>
      </c>
      <c r="U71" s="335">
        <v>1</v>
      </c>
      <c r="V71" s="335">
        <v>0</v>
      </c>
      <c r="W71" s="335">
        <v>0</v>
      </c>
      <c r="X71" s="335">
        <v>1000000</v>
      </c>
      <c r="Y71" s="335" t="s">
        <v>119</v>
      </c>
    </row>
    <row r="72" spans="2:25" ht="15" customHeight="1">
      <c r="B72" s="331">
        <f t="shared" si="56"/>
        <v>8</v>
      </c>
      <c r="C72" s="336" t="str">
        <f t="shared" si="45"/>
        <v/>
      </c>
      <c r="D72" s="336" t="str">
        <f t="shared" si="50"/>
        <v>-</v>
      </c>
      <c r="E72" s="336" t="str">
        <f t="shared" si="51"/>
        <v>-</v>
      </c>
      <c r="F72" s="336" t="str">
        <f t="shared" si="52"/>
        <v>-</v>
      </c>
      <c r="G72" s="336" t="str">
        <f t="shared" si="53"/>
        <v/>
      </c>
      <c r="I72" s="267" t="str">
        <f>IF($S16=FALSE,"",ROUND(IF(D$3="mV/V",Pressure_2_R1!S11/G$3,Pressure_2_R1!S11),I$3))</f>
        <v/>
      </c>
      <c r="J72" s="267" t="str">
        <f>IF($S16=FALSE,"",ROUND(IF(D$3="mV/V",Pressure_2_R1!T11/G$3,Pressure_2_R1!T11),I$3))</f>
        <v/>
      </c>
      <c r="K72" s="267" t="str">
        <f t="shared" si="46"/>
        <v/>
      </c>
      <c r="L72" s="268" t="str">
        <f t="shared" si="54"/>
        <v>-</v>
      </c>
      <c r="N72" s="258" t="str">
        <f t="shared" ca="1" si="55"/>
        <v/>
      </c>
      <c r="O72" s="258" t="str">
        <f t="shared" ca="1" si="47"/>
        <v/>
      </c>
      <c r="P72" s="258" t="str">
        <f t="shared" ca="1" si="48"/>
        <v/>
      </c>
      <c r="Q72" s="258" t="str">
        <f t="shared" ca="1" si="48"/>
        <v/>
      </c>
      <c r="R72" s="258" t="str">
        <f t="shared" ca="1" si="48"/>
        <v/>
      </c>
      <c r="S72" s="258" t="str">
        <f t="shared" si="49"/>
        <v/>
      </c>
      <c r="U72" s="335">
        <v>10</v>
      </c>
      <c r="V72" s="335">
        <v>0</v>
      </c>
      <c r="W72" s="335">
        <v>-1</v>
      </c>
      <c r="X72" s="335">
        <v>10000000</v>
      </c>
      <c r="Y72" s="335" t="s">
        <v>120</v>
      </c>
    </row>
    <row r="73" spans="2:25" ht="15" customHeight="1">
      <c r="B73" s="331">
        <f t="shared" si="56"/>
        <v>9</v>
      </c>
      <c r="C73" s="336" t="str">
        <f t="shared" si="45"/>
        <v/>
      </c>
      <c r="D73" s="336" t="str">
        <f t="shared" si="50"/>
        <v>-</v>
      </c>
      <c r="E73" s="336" t="str">
        <f t="shared" si="51"/>
        <v>-</v>
      </c>
      <c r="F73" s="336" t="str">
        <f t="shared" si="52"/>
        <v>-</v>
      </c>
      <c r="G73" s="336" t="str">
        <f t="shared" si="53"/>
        <v/>
      </c>
      <c r="I73" s="267" t="str">
        <f>IF($S17=FALSE,"",ROUND(IF(D$3="mV/V",Pressure_2_R1!S12/G$3,Pressure_2_R1!S12),I$3))</f>
        <v/>
      </c>
      <c r="J73" s="267" t="str">
        <f>IF($S17=FALSE,"",ROUND(IF(D$3="mV/V",Pressure_2_R1!T12/G$3,Pressure_2_R1!T12),I$3))</f>
        <v/>
      </c>
      <c r="K73" s="267" t="str">
        <f t="shared" si="46"/>
        <v/>
      </c>
      <c r="L73" s="268" t="str">
        <f t="shared" si="54"/>
        <v>-</v>
      </c>
      <c r="N73" s="258" t="str">
        <f t="shared" ca="1" si="55"/>
        <v/>
      </c>
      <c r="O73" s="258" t="str">
        <f t="shared" ca="1" si="47"/>
        <v/>
      </c>
      <c r="P73" s="258" t="str">
        <f t="shared" ca="1" si="48"/>
        <v/>
      </c>
      <c r="Q73" s="258" t="str">
        <f t="shared" ca="1" si="48"/>
        <v/>
      </c>
      <c r="R73" s="258" t="str">
        <f t="shared" ca="1" si="48"/>
        <v/>
      </c>
      <c r="S73" s="258" t="str">
        <f t="shared" si="49"/>
        <v/>
      </c>
      <c r="U73" s="335">
        <v>100</v>
      </c>
      <c r="V73" s="335">
        <v>0</v>
      </c>
      <c r="W73" s="335">
        <v>-2</v>
      </c>
      <c r="X73" s="335"/>
      <c r="Y73" s="335"/>
    </row>
    <row r="74" spans="2:25" ht="15" customHeight="1">
      <c r="B74" s="331">
        <f t="shared" si="56"/>
        <v>10</v>
      </c>
      <c r="C74" s="336" t="str">
        <f t="shared" si="45"/>
        <v/>
      </c>
      <c r="D74" s="336" t="str">
        <f t="shared" si="50"/>
        <v>-</v>
      </c>
      <c r="E74" s="336" t="str">
        <f t="shared" si="51"/>
        <v>-</v>
      </c>
      <c r="F74" s="336" t="str">
        <f t="shared" si="52"/>
        <v>-</v>
      </c>
      <c r="G74" s="336" t="str">
        <f t="shared" si="53"/>
        <v/>
      </c>
      <c r="I74" s="267" t="str">
        <f>IF($S18=FALSE,"",ROUND(IF(D$3="mV/V",Pressure_2_R1!S13/G$3,Pressure_2_R1!S13),I$3))</f>
        <v/>
      </c>
      <c r="J74" s="267" t="str">
        <f>IF($S18=FALSE,"",ROUND(IF(D$3="mV/V",Pressure_2_R1!T13/G$3,Pressure_2_R1!T13),I$3))</f>
        <v/>
      </c>
      <c r="K74" s="267" t="str">
        <f t="shared" si="46"/>
        <v/>
      </c>
      <c r="L74" s="268" t="str">
        <f t="shared" si="54"/>
        <v>-</v>
      </c>
      <c r="N74" s="258" t="str">
        <f t="shared" ca="1" si="55"/>
        <v/>
      </c>
      <c r="O74" s="258" t="str">
        <f t="shared" ca="1" si="47"/>
        <v/>
      </c>
      <c r="P74" s="258" t="str">
        <f t="shared" ca="1" si="48"/>
        <v/>
      </c>
      <c r="Q74" s="258" t="str">
        <f t="shared" ca="1" si="48"/>
        <v/>
      </c>
      <c r="R74" s="258" t="str">
        <f t="shared" ca="1" si="48"/>
        <v/>
      </c>
      <c r="S74" s="258" t="str">
        <f t="shared" si="49"/>
        <v/>
      </c>
    </row>
    <row r="75" spans="2:25" ht="15" customHeight="1">
      <c r="B75" s="331">
        <f t="shared" si="56"/>
        <v>11</v>
      </c>
      <c r="C75" s="336" t="str">
        <f t="shared" si="45"/>
        <v/>
      </c>
      <c r="D75" s="336" t="str">
        <f t="shared" si="50"/>
        <v>-</v>
      </c>
      <c r="E75" s="336" t="str">
        <f t="shared" si="51"/>
        <v>-</v>
      </c>
      <c r="F75" s="336" t="str">
        <f t="shared" si="52"/>
        <v>-</v>
      </c>
      <c r="G75" s="336" t="str">
        <f t="shared" si="53"/>
        <v/>
      </c>
      <c r="I75" s="267" t="str">
        <f>IF($S19=FALSE,"",ROUND(IF(D$3="mV/V",Pressure_2_R1!S14/G$3,Pressure_2_R1!S14),I$3))</f>
        <v/>
      </c>
      <c r="J75" s="267" t="str">
        <f>IF($S19=FALSE,"",ROUND(IF(D$3="mV/V",Pressure_2_R1!T14/G$3,Pressure_2_R1!T14),I$3))</f>
        <v/>
      </c>
      <c r="K75" s="267" t="str">
        <f t="shared" si="46"/>
        <v/>
      </c>
      <c r="L75" s="268" t="str">
        <f t="shared" si="54"/>
        <v>-</v>
      </c>
      <c r="N75" s="258" t="str">
        <f t="shared" ca="1" si="55"/>
        <v/>
      </c>
      <c r="O75" s="258" t="str">
        <f t="shared" ca="1" si="47"/>
        <v/>
      </c>
      <c r="P75" s="258" t="str">
        <f t="shared" ca="1" si="48"/>
        <v/>
      </c>
      <c r="Q75" s="258" t="str">
        <f t="shared" ca="1" si="48"/>
        <v/>
      </c>
      <c r="R75" s="258" t="str">
        <f t="shared" ca="1" si="48"/>
        <v/>
      </c>
      <c r="S75" s="258" t="str">
        <f t="shared" si="49"/>
        <v/>
      </c>
      <c r="U75" s="247" t="s">
        <v>586</v>
      </c>
      <c r="V75" s="257"/>
    </row>
    <row r="76" spans="2:25" ht="15" customHeight="1">
      <c r="B76" s="331">
        <f t="shared" si="56"/>
        <v>12</v>
      </c>
      <c r="C76" s="336" t="str">
        <f t="shared" si="45"/>
        <v/>
      </c>
      <c r="D76" s="336" t="str">
        <f t="shared" si="50"/>
        <v>-</v>
      </c>
      <c r="E76" s="336" t="str">
        <f t="shared" si="51"/>
        <v>-</v>
      </c>
      <c r="F76" s="336" t="str">
        <f t="shared" si="52"/>
        <v>-</v>
      </c>
      <c r="G76" s="336" t="str">
        <f t="shared" si="53"/>
        <v/>
      </c>
      <c r="I76" s="267" t="str">
        <f>IF($S20=FALSE,"",ROUND(IF(D$3="mV/V",Pressure_2_R1!S15/G$3,Pressure_2_R1!S15),I$3))</f>
        <v/>
      </c>
      <c r="J76" s="267" t="str">
        <f>IF($S20=FALSE,"",ROUND(IF(D$3="mV/V",Pressure_2_R1!T15/G$3,Pressure_2_R1!T15),I$3))</f>
        <v/>
      </c>
      <c r="K76" s="267" t="str">
        <f t="shared" si="46"/>
        <v/>
      </c>
      <c r="L76" s="268" t="str">
        <f t="shared" si="54"/>
        <v>-</v>
      </c>
      <c r="N76" s="258" t="str">
        <f t="shared" ca="1" si="55"/>
        <v/>
      </c>
      <c r="O76" s="258" t="str">
        <f t="shared" ca="1" si="47"/>
        <v/>
      </c>
      <c r="P76" s="258" t="str">
        <f t="shared" ca="1" si="48"/>
        <v/>
      </c>
      <c r="Q76" s="258" t="str">
        <f t="shared" ca="1" si="48"/>
        <v/>
      </c>
      <c r="R76" s="258" t="str">
        <f t="shared" ca="1" si="48"/>
        <v/>
      </c>
      <c r="S76" s="258" t="str">
        <f t="shared" si="49"/>
        <v/>
      </c>
      <c r="U76" s="894" t="s">
        <v>587</v>
      </c>
      <c r="V76" s="895"/>
    </row>
    <row r="77" spans="2:25" ht="15" customHeight="1">
      <c r="B77" s="331">
        <f t="shared" si="56"/>
        <v>13</v>
      </c>
      <c r="C77" s="336" t="str">
        <f t="shared" si="45"/>
        <v/>
      </c>
      <c r="D77" s="336" t="str">
        <f t="shared" si="50"/>
        <v>-</v>
      </c>
      <c r="E77" s="336" t="str">
        <f t="shared" si="51"/>
        <v>-</v>
      </c>
      <c r="F77" s="336" t="str">
        <f t="shared" si="52"/>
        <v>-</v>
      </c>
      <c r="G77" s="336" t="str">
        <f t="shared" si="53"/>
        <v/>
      </c>
      <c r="I77" s="267" t="str">
        <f>IF($S21=FALSE,"",ROUND(IF(D$3="mV/V",Pressure_2_R1!S16/G$3,Pressure_2_R1!S16),I$3))</f>
        <v/>
      </c>
      <c r="J77" s="267" t="str">
        <f>IF($S21=FALSE,"",ROUND(IF(D$3="mV/V",Pressure_2_R1!T16/G$3,Pressure_2_R1!T16),I$3))</f>
        <v/>
      </c>
      <c r="K77" s="267" t="str">
        <f t="shared" si="46"/>
        <v/>
      </c>
      <c r="L77" s="268" t="str">
        <f t="shared" si="54"/>
        <v>-</v>
      </c>
      <c r="N77" s="258" t="str">
        <f t="shared" ca="1" si="55"/>
        <v/>
      </c>
      <c r="O77" s="258" t="str">
        <f t="shared" ca="1" si="47"/>
        <v/>
      </c>
      <c r="P77" s="258" t="str">
        <f t="shared" ca="1" si="48"/>
        <v/>
      </c>
      <c r="Q77" s="258" t="str">
        <f t="shared" ca="1" si="48"/>
        <v/>
      </c>
      <c r="R77" s="258" t="str">
        <f t="shared" ca="1" si="48"/>
        <v/>
      </c>
      <c r="S77" s="258" t="str">
        <f t="shared" si="49"/>
        <v/>
      </c>
      <c r="U77" s="338" t="s">
        <v>588</v>
      </c>
      <c r="V77" s="339" t="e">
        <f>SLOPE(D45:D59,H45:H59)</f>
        <v>#DIV/0!</v>
      </c>
    </row>
    <row r="78" spans="2:25" ht="15" customHeight="1">
      <c r="B78" s="331">
        <f t="shared" si="56"/>
        <v>14</v>
      </c>
      <c r="C78" s="336" t="str">
        <f t="shared" si="45"/>
        <v/>
      </c>
      <c r="D78" s="336" t="str">
        <f t="shared" si="50"/>
        <v>-</v>
      </c>
      <c r="E78" s="336" t="str">
        <f t="shared" si="51"/>
        <v>-</v>
      </c>
      <c r="F78" s="336" t="str">
        <f t="shared" si="52"/>
        <v>-</v>
      </c>
      <c r="G78" s="336" t="str">
        <f t="shared" si="53"/>
        <v/>
      </c>
      <c r="I78" s="267" t="str">
        <f>IF($S22=FALSE,"",ROUND(IF(D$3="mV/V",Pressure_2_R1!S17/G$3,Pressure_2_R1!S17),I$3))</f>
        <v/>
      </c>
      <c r="J78" s="267" t="str">
        <f>IF($S22=FALSE,"",ROUND(IF(D$3="mV/V",Pressure_2_R1!T17/G$3,Pressure_2_R1!T17),I$3))</f>
        <v/>
      </c>
      <c r="K78" s="267" t="str">
        <f t="shared" si="46"/>
        <v/>
      </c>
      <c r="L78" s="268" t="str">
        <f t="shared" si="54"/>
        <v>-</v>
      </c>
      <c r="N78" s="258" t="str">
        <f t="shared" ca="1" si="55"/>
        <v/>
      </c>
      <c r="O78" s="258" t="str">
        <f t="shared" ca="1" si="47"/>
        <v/>
      </c>
      <c r="P78" s="258" t="str">
        <f t="shared" ca="1" si="48"/>
        <v/>
      </c>
      <c r="Q78" s="258" t="str">
        <f t="shared" ca="1" si="48"/>
        <v/>
      </c>
      <c r="R78" s="258" t="str">
        <f t="shared" ca="1" si="48"/>
        <v/>
      </c>
      <c r="S78" s="258" t="str">
        <f t="shared" si="49"/>
        <v/>
      </c>
      <c r="U78" s="338" t="s">
        <v>589</v>
      </c>
      <c r="V78" s="339" t="e">
        <f>INTERCEPT(D45:D59,H45:H59)</f>
        <v>#DIV/0!</v>
      </c>
      <c r="W78" s="269"/>
    </row>
    <row r="79" spans="2:25" ht="15" customHeight="1">
      <c r="B79" s="331">
        <f t="shared" si="56"/>
        <v>15</v>
      </c>
      <c r="C79" s="336" t="str">
        <f t="shared" si="45"/>
        <v/>
      </c>
      <c r="D79" s="336" t="str">
        <f t="shared" si="50"/>
        <v>-</v>
      </c>
      <c r="E79" s="336" t="str">
        <f t="shared" si="51"/>
        <v>-</v>
      </c>
      <c r="F79" s="336" t="str">
        <f t="shared" si="52"/>
        <v>-</v>
      </c>
      <c r="G79" s="336" t="str">
        <f t="shared" si="53"/>
        <v/>
      </c>
      <c r="I79" s="267" t="str">
        <f>IF($S23=FALSE,"",ROUND(IF(D$3="mV/V",Pressure_2_R1!S18/G$3,Pressure_2_R1!S18),I$3))</f>
        <v/>
      </c>
      <c r="J79" s="267" t="str">
        <f>IF($S23=FALSE,"",ROUND(IF(D$3="mV/V",Pressure_2_R1!T18/G$3,Pressure_2_R1!T18),I$3))</f>
        <v/>
      </c>
      <c r="K79" s="267" t="str">
        <f t="shared" si="46"/>
        <v/>
      </c>
      <c r="L79" s="268" t="str">
        <f t="shared" si="54"/>
        <v>-</v>
      </c>
      <c r="N79" s="258" t="str">
        <f t="shared" ca="1" si="55"/>
        <v/>
      </c>
      <c r="O79" s="258" t="str">
        <f t="shared" ca="1" si="47"/>
        <v/>
      </c>
      <c r="P79" s="258" t="str">
        <f t="shared" ca="1" si="48"/>
        <v/>
      </c>
      <c r="Q79" s="258" t="str">
        <f t="shared" ca="1" si="48"/>
        <v/>
      </c>
      <c r="R79" s="258" t="str">
        <f t="shared" ca="1" si="48"/>
        <v/>
      </c>
      <c r="S79" s="258" t="str">
        <f t="shared" si="49"/>
        <v/>
      </c>
      <c r="T79" s="243"/>
      <c r="U79" s="257"/>
    </row>
    <row r="80" spans="2:25" ht="15" customHeight="1">
      <c r="B80" s="243"/>
      <c r="C80" s="243"/>
      <c r="D80" s="243"/>
      <c r="E80" s="243"/>
    </row>
    <row r="81" spans="2:20" ht="15" customHeight="1">
      <c r="B81" s="247" t="s">
        <v>656</v>
      </c>
      <c r="T81" s="243"/>
    </row>
    <row r="82" spans="2:20" ht="15" customHeight="1">
      <c r="B82" s="885" t="s">
        <v>552</v>
      </c>
      <c r="C82" s="926" t="s">
        <v>657</v>
      </c>
      <c r="D82" s="926" t="s">
        <v>659</v>
      </c>
      <c r="E82" s="926"/>
      <c r="F82" s="926"/>
      <c r="G82" s="926"/>
      <c r="H82" s="926"/>
      <c r="I82" s="926"/>
      <c r="J82" s="926"/>
      <c r="K82" s="926"/>
      <c r="L82" s="926"/>
      <c r="M82" s="922" t="s">
        <v>671</v>
      </c>
      <c r="N82" s="259"/>
    </row>
    <row r="83" spans="2:20" ht="15" customHeight="1">
      <c r="B83" s="927"/>
      <c r="C83" s="926"/>
      <c r="D83" s="928" t="s">
        <v>660</v>
      </c>
      <c r="E83" s="928" t="s">
        <v>661</v>
      </c>
      <c r="F83" s="928" t="s">
        <v>662</v>
      </c>
      <c r="G83" s="928" t="s">
        <v>663</v>
      </c>
      <c r="H83" s="928" t="s">
        <v>664</v>
      </c>
      <c r="I83" s="928" t="s">
        <v>665</v>
      </c>
      <c r="J83" s="928" t="s">
        <v>666</v>
      </c>
      <c r="K83" s="926" t="s">
        <v>667</v>
      </c>
      <c r="L83" s="926" t="s">
        <v>668</v>
      </c>
      <c r="M83" s="923"/>
      <c r="N83" s="259"/>
    </row>
    <row r="84" spans="2:20" ht="15" customHeight="1">
      <c r="B84" s="927"/>
      <c r="C84" s="334" t="s">
        <v>658</v>
      </c>
      <c r="D84" s="928"/>
      <c r="E84" s="928"/>
      <c r="F84" s="929"/>
      <c r="G84" s="928"/>
      <c r="H84" s="928"/>
      <c r="I84" s="928"/>
      <c r="J84" s="928"/>
      <c r="K84" s="926"/>
      <c r="L84" s="926"/>
      <c r="M84" s="426">
        <f>D3</f>
        <v>0</v>
      </c>
      <c r="N84" s="259"/>
    </row>
    <row r="85" spans="2:20" ht="15" customHeight="1">
      <c r="B85" s="331">
        <f t="shared" ref="B85:B99" si="57">B65</f>
        <v>1</v>
      </c>
      <c r="C85" s="339" t="e">
        <f>MAX(MAX(J45:J59),ABS(MIN(J45:J59)))/MAX(G45:G59)</f>
        <v>#DIV/0!</v>
      </c>
      <c r="D85" s="331" t="str">
        <f>D45</f>
        <v/>
      </c>
      <c r="E85" s="331" t="str">
        <f>G45</f>
        <v/>
      </c>
      <c r="F85" s="331" t="e">
        <f t="shared" ref="F85:F99" si="58">(G85-H85)/(I85-J85)*D85+H85</f>
        <v>#DIV/0!</v>
      </c>
      <c r="G85" s="331">
        <f>MAX(E85:E99)</f>
        <v>0</v>
      </c>
      <c r="H85" s="331">
        <f>MIN(E85:E99)</f>
        <v>0</v>
      </c>
      <c r="I85" s="331">
        <f>MAX(D85:D99)</f>
        <v>0</v>
      </c>
      <c r="J85" s="331">
        <f>MIN(D85:D99)</f>
        <v>0</v>
      </c>
      <c r="K85" s="331" t="str">
        <f>IF(D85="","",ABS((E85-F85)/(G85-H85)))</f>
        <v/>
      </c>
      <c r="L85" s="331">
        <f>MAX(K85:K99)</f>
        <v>0</v>
      </c>
      <c r="M85" s="412">
        <f>(G85-H85)</f>
        <v>0</v>
      </c>
      <c r="N85" s="259"/>
    </row>
    <row r="86" spans="2:20" ht="15" customHeight="1">
      <c r="B86" s="331">
        <f t="shared" si="57"/>
        <v>2</v>
      </c>
      <c r="C86" s="410"/>
      <c r="D86" s="331" t="str">
        <f t="shared" ref="D86:D99" si="59">D46</f>
        <v/>
      </c>
      <c r="E86" s="331" t="str">
        <f t="shared" ref="E86:E99" si="60">G46</f>
        <v/>
      </c>
      <c r="F86" s="331" t="e">
        <f t="shared" si="58"/>
        <v>#DIV/0!</v>
      </c>
      <c r="G86" s="411">
        <f>G85</f>
        <v>0</v>
      </c>
      <c r="H86" s="411">
        <f>H85</f>
        <v>0</v>
      </c>
      <c r="I86" s="411">
        <f>I85</f>
        <v>0</v>
      </c>
      <c r="J86" s="411">
        <f>J85</f>
        <v>0</v>
      </c>
      <c r="K86" s="331" t="str">
        <f t="shared" ref="K86:K99" si="61">IF(D86="","",ABS((E86-F86)/(G86-H86)))</f>
        <v/>
      </c>
      <c r="L86" s="413"/>
      <c r="M86" s="413"/>
      <c r="N86" s="259"/>
    </row>
    <row r="87" spans="2:20" ht="15" customHeight="1">
      <c r="B87" s="331">
        <f t="shared" si="57"/>
        <v>3</v>
      </c>
      <c r="C87" s="410"/>
      <c r="D87" s="331" t="str">
        <f t="shared" si="59"/>
        <v/>
      </c>
      <c r="E87" s="331" t="str">
        <f t="shared" si="60"/>
        <v/>
      </c>
      <c r="F87" s="331" t="e">
        <f t="shared" si="58"/>
        <v>#DIV/0!</v>
      </c>
      <c r="G87" s="411">
        <f t="shared" ref="G87:J99" si="62">G86</f>
        <v>0</v>
      </c>
      <c r="H87" s="411">
        <f t="shared" si="62"/>
        <v>0</v>
      </c>
      <c r="I87" s="411">
        <f t="shared" si="62"/>
        <v>0</v>
      </c>
      <c r="J87" s="411">
        <f t="shared" si="62"/>
        <v>0</v>
      </c>
      <c r="K87" s="331" t="str">
        <f t="shared" si="61"/>
        <v/>
      </c>
      <c r="L87" s="413"/>
      <c r="M87" s="413"/>
      <c r="N87" s="259"/>
    </row>
    <row r="88" spans="2:20" ht="15" customHeight="1">
      <c r="B88" s="331">
        <f t="shared" si="57"/>
        <v>4</v>
      </c>
      <c r="C88" s="410"/>
      <c r="D88" s="331" t="str">
        <f t="shared" si="59"/>
        <v/>
      </c>
      <c r="E88" s="331" t="str">
        <f t="shared" si="60"/>
        <v/>
      </c>
      <c r="F88" s="331" t="e">
        <f t="shared" si="58"/>
        <v>#DIV/0!</v>
      </c>
      <c r="G88" s="411">
        <f t="shared" si="62"/>
        <v>0</v>
      </c>
      <c r="H88" s="411">
        <f t="shared" si="62"/>
        <v>0</v>
      </c>
      <c r="I88" s="411">
        <f t="shared" si="62"/>
        <v>0</v>
      </c>
      <c r="J88" s="411">
        <f t="shared" si="62"/>
        <v>0</v>
      </c>
      <c r="K88" s="331" t="str">
        <f t="shared" si="61"/>
        <v/>
      </c>
      <c r="L88" s="413"/>
      <c r="M88" s="413"/>
      <c r="N88" s="259"/>
    </row>
    <row r="89" spans="2:20" ht="15" customHeight="1">
      <c r="B89" s="331">
        <f t="shared" si="57"/>
        <v>5</v>
      </c>
      <c r="C89" s="410"/>
      <c r="D89" s="331" t="str">
        <f t="shared" si="59"/>
        <v/>
      </c>
      <c r="E89" s="331" t="str">
        <f t="shared" si="60"/>
        <v/>
      </c>
      <c r="F89" s="331" t="e">
        <f t="shared" si="58"/>
        <v>#DIV/0!</v>
      </c>
      <c r="G89" s="411">
        <f t="shared" si="62"/>
        <v>0</v>
      </c>
      <c r="H89" s="411">
        <f t="shared" si="62"/>
        <v>0</v>
      </c>
      <c r="I89" s="411">
        <f t="shared" si="62"/>
        <v>0</v>
      </c>
      <c r="J89" s="411">
        <f t="shared" si="62"/>
        <v>0</v>
      </c>
      <c r="K89" s="331" t="str">
        <f t="shared" si="61"/>
        <v/>
      </c>
      <c r="L89" s="413"/>
      <c r="M89" s="413"/>
      <c r="N89" s="259"/>
    </row>
    <row r="90" spans="2:20" ht="15" customHeight="1">
      <c r="B90" s="331">
        <f t="shared" si="57"/>
        <v>6</v>
      </c>
      <c r="C90" s="410"/>
      <c r="D90" s="331" t="str">
        <f t="shared" si="59"/>
        <v/>
      </c>
      <c r="E90" s="331" t="str">
        <f t="shared" si="60"/>
        <v/>
      </c>
      <c r="F90" s="331" t="e">
        <f t="shared" si="58"/>
        <v>#DIV/0!</v>
      </c>
      <c r="G90" s="411">
        <f t="shared" si="62"/>
        <v>0</v>
      </c>
      <c r="H90" s="411">
        <f t="shared" si="62"/>
        <v>0</v>
      </c>
      <c r="I90" s="411">
        <f t="shared" si="62"/>
        <v>0</v>
      </c>
      <c r="J90" s="411">
        <f t="shared" si="62"/>
        <v>0</v>
      </c>
      <c r="K90" s="331" t="str">
        <f t="shared" si="61"/>
        <v/>
      </c>
      <c r="L90" s="413"/>
      <c r="M90" s="243"/>
      <c r="N90" s="243"/>
      <c r="O90" s="243"/>
      <c r="P90" s="243"/>
      <c r="Q90" s="243"/>
      <c r="R90" s="243"/>
      <c r="S90" s="243"/>
      <c r="T90" s="243"/>
    </row>
    <row r="91" spans="2:20" ht="15" customHeight="1">
      <c r="B91" s="331">
        <f t="shared" si="57"/>
        <v>7</v>
      </c>
      <c r="C91" s="410"/>
      <c r="D91" s="331" t="str">
        <f t="shared" si="59"/>
        <v/>
      </c>
      <c r="E91" s="331" t="str">
        <f t="shared" si="60"/>
        <v/>
      </c>
      <c r="F91" s="331" t="e">
        <f t="shared" si="58"/>
        <v>#DIV/0!</v>
      </c>
      <c r="G91" s="411">
        <f t="shared" si="62"/>
        <v>0</v>
      </c>
      <c r="H91" s="411">
        <f t="shared" si="62"/>
        <v>0</v>
      </c>
      <c r="I91" s="411">
        <f t="shared" si="62"/>
        <v>0</v>
      </c>
      <c r="J91" s="411">
        <f t="shared" si="62"/>
        <v>0</v>
      </c>
      <c r="K91" s="331" t="str">
        <f t="shared" si="61"/>
        <v/>
      </c>
      <c r="L91" s="413"/>
      <c r="M91" s="243"/>
      <c r="N91" s="243"/>
      <c r="O91" s="243"/>
      <c r="P91" s="243"/>
      <c r="Q91" s="243"/>
      <c r="R91" s="243"/>
      <c r="S91" s="243"/>
      <c r="T91" s="243"/>
    </row>
    <row r="92" spans="2:20" ht="15" customHeight="1">
      <c r="B92" s="331">
        <f t="shared" si="57"/>
        <v>8</v>
      </c>
      <c r="C92" s="410"/>
      <c r="D92" s="331" t="str">
        <f t="shared" si="59"/>
        <v/>
      </c>
      <c r="E92" s="331" t="str">
        <f t="shared" si="60"/>
        <v/>
      </c>
      <c r="F92" s="331" t="e">
        <f t="shared" si="58"/>
        <v>#DIV/0!</v>
      </c>
      <c r="G92" s="411">
        <f t="shared" si="62"/>
        <v>0</v>
      </c>
      <c r="H92" s="411">
        <f t="shared" si="62"/>
        <v>0</v>
      </c>
      <c r="I92" s="411">
        <f t="shared" si="62"/>
        <v>0</v>
      </c>
      <c r="J92" s="411">
        <f t="shared" si="62"/>
        <v>0</v>
      </c>
      <c r="K92" s="331" t="str">
        <f t="shared" si="61"/>
        <v/>
      </c>
      <c r="L92" s="413"/>
      <c r="M92" s="413"/>
      <c r="N92" s="259"/>
    </row>
    <row r="93" spans="2:20" ht="15" customHeight="1">
      <c r="B93" s="331">
        <f t="shared" si="57"/>
        <v>9</v>
      </c>
      <c r="C93" s="410"/>
      <c r="D93" s="331" t="str">
        <f t="shared" si="59"/>
        <v/>
      </c>
      <c r="E93" s="331" t="str">
        <f t="shared" si="60"/>
        <v/>
      </c>
      <c r="F93" s="331" t="e">
        <f t="shared" si="58"/>
        <v>#DIV/0!</v>
      </c>
      <c r="G93" s="411">
        <f t="shared" si="62"/>
        <v>0</v>
      </c>
      <c r="H93" s="411">
        <f t="shared" si="62"/>
        <v>0</v>
      </c>
      <c r="I93" s="411">
        <f t="shared" si="62"/>
        <v>0</v>
      </c>
      <c r="J93" s="411">
        <f t="shared" si="62"/>
        <v>0</v>
      </c>
      <c r="K93" s="331" t="str">
        <f t="shared" si="61"/>
        <v/>
      </c>
      <c r="L93" s="413"/>
      <c r="M93" s="413"/>
      <c r="N93" s="259"/>
    </row>
    <row r="94" spans="2:20" ht="15" customHeight="1">
      <c r="B94" s="331">
        <f t="shared" si="57"/>
        <v>10</v>
      </c>
      <c r="C94" s="410"/>
      <c r="D94" s="331" t="str">
        <f t="shared" si="59"/>
        <v/>
      </c>
      <c r="E94" s="331" t="str">
        <f t="shared" si="60"/>
        <v/>
      </c>
      <c r="F94" s="331" t="e">
        <f t="shared" si="58"/>
        <v>#DIV/0!</v>
      </c>
      <c r="G94" s="411">
        <f t="shared" si="62"/>
        <v>0</v>
      </c>
      <c r="H94" s="411">
        <f t="shared" si="62"/>
        <v>0</v>
      </c>
      <c r="I94" s="411">
        <f t="shared" si="62"/>
        <v>0</v>
      </c>
      <c r="J94" s="411">
        <f t="shared" si="62"/>
        <v>0</v>
      </c>
      <c r="K94" s="331" t="str">
        <f t="shared" si="61"/>
        <v/>
      </c>
      <c r="L94" s="413"/>
      <c r="M94" s="413"/>
      <c r="N94" s="259"/>
    </row>
    <row r="95" spans="2:20" ht="15" customHeight="1">
      <c r="B95" s="331">
        <f t="shared" si="57"/>
        <v>11</v>
      </c>
      <c r="C95" s="410"/>
      <c r="D95" s="331" t="str">
        <f t="shared" si="59"/>
        <v/>
      </c>
      <c r="E95" s="331" t="str">
        <f t="shared" si="60"/>
        <v/>
      </c>
      <c r="F95" s="331" t="e">
        <f t="shared" si="58"/>
        <v>#DIV/0!</v>
      </c>
      <c r="G95" s="411">
        <f t="shared" si="62"/>
        <v>0</v>
      </c>
      <c r="H95" s="411">
        <f t="shared" si="62"/>
        <v>0</v>
      </c>
      <c r="I95" s="411">
        <f t="shared" si="62"/>
        <v>0</v>
      </c>
      <c r="J95" s="411">
        <f t="shared" si="62"/>
        <v>0</v>
      </c>
      <c r="K95" s="331" t="str">
        <f t="shared" si="61"/>
        <v/>
      </c>
      <c r="L95" s="259"/>
      <c r="M95" s="259"/>
      <c r="N95" s="259"/>
    </row>
    <row r="96" spans="2:20" ht="15" customHeight="1">
      <c r="B96" s="331">
        <f t="shared" si="57"/>
        <v>12</v>
      </c>
      <c r="C96" s="410"/>
      <c r="D96" s="331" t="str">
        <f t="shared" si="59"/>
        <v/>
      </c>
      <c r="E96" s="331" t="str">
        <f t="shared" si="60"/>
        <v/>
      </c>
      <c r="F96" s="331" t="e">
        <f t="shared" si="58"/>
        <v>#DIV/0!</v>
      </c>
      <c r="G96" s="411">
        <f t="shared" si="62"/>
        <v>0</v>
      </c>
      <c r="H96" s="411">
        <f t="shared" si="62"/>
        <v>0</v>
      </c>
      <c r="I96" s="411">
        <f t="shared" si="62"/>
        <v>0</v>
      </c>
      <c r="J96" s="411">
        <f t="shared" si="62"/>
        <v>0</v>
      </c>
      <c r="K96" s="331" t="str">
        <f t="shared" si="61"/>
        <v/>
      </c>
      <c r="L96" s="259"/>
      <c r="M96" s="259"/>
      <c r="N96" s="259"/>
    </row>
    <row r="97" spans="2:14" ht="15" customHeight="1">
      <c r="B97" s="331">
        <f t="shared" si="57"/>
        <v>13</v>
      </c>
      <c r="C97" s="410"/>
      <c r="D97" s="331" t="str">
        <f t="shared" si="59"/>
        <v/>
      </c>
      <c r="E97" s="331" t="str">
        <f t="shared" si="60"/>
        <v/>
      </c>
      <c r="F97" s="331" t="e">
        <f t="shared" si="58"/>
        <v>#DIV/0!</v>
      </c>
      <c r="G97" s="411">
        <f t="shared" si="62"/>
        <v>0</v>
      </c>
      <c r="H97" s="411">
        <f t="shared" si="62"/>
        <v>0</v>
      </c>
      <c r="I97" s="411">
        <f t="shared" si="62"/>
        <v>0</v>
      </c>
      <c r="J97" s="411">
        <f t="shared" si="62"/>
        <v>0</v>
      </c>
      <c r="K97" s="331" t="str">
        <f t="shared" si="61"/>
        <v/>
      </c>
      <c r="L97" s="259"/>
      <c r="M97" s="259"/>
      <c r="N97" s="259"/>
    </row>
    <row r="98" spans="2:14" ht="15" customHeight="1">
      <c r="B98" s="331">
        <f t="shared" si="57"/>
        <v>14</v>
      </c>
      <c r="C98" s="410"/>
      <c r="D98" s="331" t="str">
        <f t="shared" si="59"/>
        <v/>
      </c>
      <c r="E98" s="331" t="str">
        <f t="shared" si="60"/>
        <v/>
      </c>
      <c r="F98" s="331" t="e">
        <f t="shared" si="58"/>
        <v>#DIV/0!</v>
      </c>
      <c r="G98" s="411">
        <f t="shared" si="62"/>
        <v>0</v>
      </c>
      <c r="H98" s="411">
        <f t="shared" si="62"/>
        <v>0</v>
      </c>
      <c r="I98" s="411">
        <f t="shared" si="62"/>
        <v>0</v>
      </c>
      <c r="J98" s="411">
        <f t="shared" si="62"/>
        <v>0</v>
      </c>
      <c r="K98" s="331" t="str">
        <f t="shared" si="61"/>
        <v/>
      </c>
      <c r="L98" s="259"/>
      <c r="M98" s="259"/>
      <c r="N98" s="259"/>
    </row>
    <row r="99" spans="2:14" ht="15" customHeight="1">
      <c r="B99" s="331">
        <f t="shared" si="57"/>
        <v>15</v>
      </c>
      <c r="C99" s="410"/>
      <c r="D99" s="331" t="str">
        <f t="shared" si="59"/>
        <v/>
      </c>
      <c r="E99" s="331" t="str">
        <f t="shared" si="60"/>
        <v/>
      </c>
      <c r="F99" s="331" t="e">
        <f t="shared" si="58"/>
        <v>#DIV/0!</v>
      </c>
      <c r="G99" s="411">
        <f t="shared" si="62"/>
        <v>0</v>
      </c>
      <c r="H99" s="411">
        <f t="shared" si="62"/>
        <v>0</v>
      </c>
      <c r="I99" s="411">
        <f t="shared" si="62"/>
        <v>0</v>
      </c>
      <c r="J99" s="411">
        <f t="shared" si="62"/>
        <v>0</v>
      </c>
      <c r="K99" s="331" t="str">
        <f t="shared" si="61"/>
        <v/>
      </c>
      <c r="L99" s="259"/>
      <c r="M99" s="259"/>
      <c r="N99" s="259"/>
    </row>
    <row r="100" spans="2:14" ht="15" customHeight="1">
      <c r="B100" s="243"/>
      <c r="C100" s="243"/>
      <c r="D100" s="243"/>
      <c r="E100" s="243"/>
      <c r="H100" s="259"/>
      <c r="I100" s="259"/>
      <c r="J100" s="259"/>
      <c r="K100" s="259"/>
      <c r="L100" s="259"/>
      <c r="M100" s="259"/>
      <c r="N100" s="259"/>
    </row>
  </sheetData>
  <mergeCells count="58">
    <mergeCell ref="I6:I8"/>
    <mergeCell ref="B6:B8"/>
    <mergeCell ref="C6:C8"/>
    <mergeCell ref="D6:D7"/>
    <mergeCell ref="E6:E7"/>
    <mergeCell ref="F6:H6"/>
    <mergeCell ref="V6:Z6"/>
    <mergeCell ref="AA6:AD6"/>
    <mergeCell ref="T9:T23"/>
    <mergeCell ref="T24:T38"/>
    <mergeCell ref="B41:B44"/>
    <mergeCell ref="C41:C43"/>
    <mergeCell ref="D41:D43"/>
    <mergeCell ref="E41:E43"/>
    <mergeCell ref="F41:F43"/>
    <mergeCell ref="G41:K41"/>
    <mergeCell ref="J6:J7"/>
    <mergeCell ref="K6:M6"/>
    <mergeCell ref="N6:Q6"/>
    <mergeCell ref="S6:S8"/>
    <mergeCell ref="T6:T8"/>
    <mergeCell ref="U6:U8"/>
    <mergeCell ref="L41:L43"/>
    <mergeCell ref="M41:Q41"/>
    <mergeCell ref="R41:R43"/>
    <mergeCell ref="S41:W41"/>
    <mergeCell ref="X41:X44"/>
    <mergeCell ref="M42:M43"/>
    <mergeCell ref="N42:N43"/>
    <mergeCell ref="O42:O43"/>
    <mergeCell ref="P42:P43"/>
    <mergeCell ref="Q42:Q43"/>
    <mergeCell ref="S42:S43"/>
    <mergeCell ref="T42:T43"/>
    <mergeCell ref="U42:U43"/>
    <mergeCell ref="V42:V43"/>
    <mergeCell ref="W42:W43"/>
    <mergeCell ref="L83:L84"/>
    <mergeCell ref="O62:S62"/>
    <mergeCell ref="D63:E63"/>
    <mergeCell ref="U76:V76"/>
    <mergeCell ref="B82:B84"/>
    <mergeCell ref="C82:C83"/>
    <mergeCell ref="D82:L82"/>
    <mergeCell ref="M82:M83"/>
    <mergeCell ref="D83:D84"/>
    <mergeCell ref="E83:E84"/>
    <mergeCell ref="F83:F84"/>
    <mergeCell ref="B62:B64"/>
    <mergeCell ref="C62:C63"/>
    <mergeCell ref="D62:F62"/>
    <mergeCell ref="I62:K62"/>
    <mergeCell ref="L62:L63"/>
    <mergeCell ref="G83:G84"/>
    <mergeCell ref="H83:H84"/>
    <mergeCell ref="I83:I84"/>
    <mergeCell ref="J83:J84"/>
    <mergeCell ref="K83:K84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/>
  </sheetViews>
  <sheetFormatPr defaultColWidth="8.88671875" defaultRowHeight="12"/>
  <cols>
    <col min="1" max="1" width="4" style="215" bestFit="1" customWidth="1"/>
    <col min="2" max="2" width="6.6640625" style="215" bestFit="1" customWidth="1"/>
    <col min="3" max="3" width="15.88671875" style="215" bestFit="1" customWidth="1"/>
    <col min="4" max="13" width="1.77734375" style="215" customWidth="1"/>
    <col min="14" max="14" width="5.77734375" style="215" bestFit="1" customWidth="1"/>
    <col min="15" max="16" width="7.5546875" style="215" bestFit="1" customWidth="1"/>
    <col min="17" max="17" width="4" style="215" bestFit="1" customWidth="1"/>
    <col min="18" max="18" width="6.5546875" style="215" bestFit="1" customWidth="1"/>
    <col min="19" max="19" width="4" style="215" bestFit="1" customWidth="1"/>
    <col min="20" max="20" width="6.5546875" style="215" bestFit="1" customWidth="1"/>
    <col min="21" max="21" width="1.77734375" style="215" customWidth="1"/>
    <col min="22" max="22" width="9.33203125" style="215" bestFit="1" customWidth="1"/>
    <col min="23" max="23" width="6.6640625" style="215" bestFit="1" customWidth="1"/>
    <col min="24" max="24" width="1.77734375" style="215" customWidth="1"/>
    <col min="25" max="26" width="6.6640625" style="215" bestFit="1" customWidth="1"/>
    <col min="27" max="27" width="9.88671875" style="215" bestFit="1" customWidth="1"/>
    <col min="28" max="28" width="8.109375" style="215" bestFit="1" customWidth="1"/>
    <col min="29" max="34" width="1.77734375" style="215" customWidth="1"/>
    <col min="35" max="35" width="7.5546875" style="215" bestFit="1" customWidth="1"/>
    <col min="36" max="16384" width="8.88671875" style="215"/>
  </cols>
  <sheetData>
    <row r="1" spans="1:36">
      <c r="A1" s="430" t="s">
        <v>58</v>
      </c>
      <c r="B1" s="430" t="s">
        <v>59</v>
      </c>
      <c r="C1" s="430" t="s">
        <v>75</v>
      </c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 t="s">
        <v>76</v>
      </c>
      <c r="O1" s="430" t="s">
        <v>77</v>
      </c>
      <c r="P1" s="430" t="s">
        <v>78</v>
      </c>
      <c r="Q1" s="430" t="s">
        <v>60</v>
      </c>
      <c r="R1" s="430" t="s">
        <v>79</v>
      </c>
      <c r="S1" s="430" t="s">
        <v>60</v>
      </c>
      <c r="T1" s="430" t="s">
        <v>80</v>
      </c>
      <c r="U1" s="430"/>
      <c r="V1" s="430" t="s">
        <v>81</v>
      </c>
      <c r="W1" s="430" t="s">
        <v>82</v>
      </c>
      <c r="X1" s="430"/>
      <c r="Y1" s="430" t="s">
        <v>83</v>
      </c>
      <c r="Z1" s="430" t="s">
        <v>84</v>
      </c>
      <c r="AA1" s="430" t="s">
        <v>85</v>
      </c>
      <c r="AB1" s="430" t="s">
        <v>86</v>
      </c>
      <c r="AC1" s="430"/>
      <c r="AD1" s="430"/>
      <c r="AE1" s="430"/>
      <c r="AF1" s="430"/>
      <c r="AG1" s="430"/>
      <c r="AH1" s="430"/>
      <c r="AI1" s="430" t="s">
        <v>87</v>
      </c>
      <c r="AJ1" s="431" t="s">
        <v>678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5"/>
  <sheetViews>
    <sheetView zoomScaleNormal="100" workbookViewId="0"/>
  </sheetViews>
  <sheetFormatPr defaultColWidth="9" defaultRowHeight="17.100000000000001" customHeight="1"/>
  <cols>
    <col min="1" max="36" width="10.44140625" style="47" customWidth="1"/>
    <col min="37" max="16384" width="9" style="47"/>
  </cols>
  <sheetData>
    <row r="1" spans="1:28" s="22" customFormat="1" ht="33" customHeight="1">
      <c r="A1" s="26" t="s">
        <v>55</v>
      </c>
    </row>
    <row r="2" spans="1:28" s="22" customFormat="1" ht="17.100000000000001" customHeight="1">
      <c r="A2" s="28" t="s">
        <v>45</v>
      </c>
      <c r="B2" s="28"/>
      <c r="C2" s="28"/>
      <c r="L2" s="216" t="s">
        <v>51</v>
      </c>
      <c r="O2" s="216" t="s">
        <v>88</v>
      </c>
      <c r="S2" s="28" t="s">
        <v>90</v>
      </c>
      <c r="V2" s="28" t="s">
        <v>46</v>
      </c>
      <c r="Z2" s="28" t="s">
        <v>728</v>
      </c>
    </row>
    <row r="3" spans="1:28" s="22" customFormat="1" ht="27">
      <c r="A3" s="23" t="s">
        <v>47</v>
      </c>
      <c r="B3" s="25" t="s">
        <v>183</v>
      </c>
      <c r="C3" s="23" t="s">
        <v>713</v>
      </c>
      <c r="D3" s="25" t="s">
        <v>48</v>
      </c>
      <c r="E3" s="25" t="s">
        <v>49</v>
      </c>
      <c r="F3" s="23" t="s">
        <v>50</v>
      </c>
      <c r="G3" s="25" t="s">
        <v>333</v>
      </c>
      <c r="H3" s="25" t="s">
        <v>334</v>
      </c>
      <c r="I3" s="25" t="s">
        <v>327</v>
      </c>
      <c r="J3" s="25" t="s">
        <v>328</v>
      </c>
      <c r="K3" s="25" t="s">
        <v>329</v>
      </c>
      <c r="L3" s="25" t="s">
        <v>51</v>
      </c>
      <c r="M3" s="25"/>
      <c r="N3" s="25"/>
      <c r="O3" s="23" t="s">
        <v>89</v>
      </c>
      <c r="P3" s="25" t="s">
        <v>370</v>
      </c>
      <c r="Q3" s="25" t="s">
        <v>371</v>
      </c>
      <c r="R3" s="25" t="s">
        <v>372</v>
      </c>
      <c r="S3" s="25" t="s">
        <v>91</v>
      </c>
      <c r="T3" s="217" t="s">
        <v>92</v>
      </c>
      <c r="U3" s="217" t="s">
        <v>93</v>
      </c>
      <c r="V3" s="25" t="s">
        <v>65</v>
      </c>
      <c r="W3" s="25" t="s">
        <v>66</v>
      </c>
      <c r="X3" s="25" t="s">
        <v>94</v>
      </c>
      <c r="Z3" s="25" t="s">
        <v>65</v>
      </c>
      <c r="AA3" s="25" t="s">
        <v>66</v>
      </c>
      <c r="AB3" s="25" t="s">
        <v>94</v>
      </c>
    </row>
    <row r="4" spans="1:28" s="22" customFormat="1" ht="17.100000000000001" customHeight="1">
      <c r="A4" s="48"/>
      <c r="B4" s="438"/>
      <c r="C4" s="438"/>
      <c r="D4" s="36"/>
      <c r="E4" s="36"/>
      <c r="F4" s="36"/>
      <c r="G4" s="36"/>
      <c r="H4" s="201"/>
      <c r="I4" s="201"/>
      <c r="J4" s="201"/>
      <c r="K4" s="36"/>
      <c r="L4" s="36"/>
      <c r="M4" s="201"/>
      <c r="N4" s="201"/>
      <c r="O4" s="36"/>
      <c r="P4" s="36"/>
      <c r="Q4" s="201"/>
      <c r="R4" s="201"/>
      <c r="S4" s="36"/>
      <c r="T4" s="36"/>
      <c r="U4" s="36"/>
      <c r="V4" s="37"/>
      <c r="W4" s="37"/>
      <c r="X4" s="37"/>
      <c r="Z4" s="37"/>
      <c r="AA4" s="37"/>
      <c r="AB4" s="37"/>
    </row>
    <row r="5" spans="1:28" s="22" customFormat="1" ht="17.100000000000001" customHeight="1">
      <c r="A5" s="48"/>
      <c r="B5" s="438"/>
      <c r="C5" s="438"/>
      <c r="D5" s="36"/>
      <c r="E5" s="36"/>
      <c r="F5" s="36"/>
      <c r="G5" s="36"/>
      <c r="H5" s="201"/>
      <c r="I5" s="201"/>
      <c r="J5" s="201"/>
      <c r="K5" s="36"/>
      <c r="L5" s="36"/>
      <c r="M5" s="201"/>
      <c r="N5" s="201"/>
      <c r="O5" s="36"/>
      <c r="P5" s="36"/>
      <c r="Q5" s="201"/>
      <c r="R5" s="201"/>
      <c r="S5" s="36"/>
      <c r="T5" s="36"/>
      <c r="U5" s="37"/>
      <c r="V5" s="37"/>
      <c r="W5" s="37"/>
      <c r="X5" s="37"/>
      <c r="Z5" s="37"/>
      <c r="AA5" s="37"/>
      <c r="AB5" s="37"/>
    </row>
    <row r="6" spans="1:28" s="22" customFormat="1" ht="17.100000000000001" customHeight="1">
      <c r="A6" s="48"/>
      <c r="B6" s="438"/>
      <c r="C6" s="438"/>
      <c r="D6" s="36"/>
      <c r="E6" s="36"/>
      <c r="F6" s="36"/>
      <c r="G6" s="36"/>
      <c r="H6" s="201"/>
      <c r="I6" s="201"/>
      <c r="J6" s="201"/>
      <c r="K6" s="36"/>
      <c r="L6" s="36"/>
      <c r="M6" s="201"/>
      <c r="N6" s="201"/>
      <c r="O6" s="36"/>
      <c r="P6" s="36"/>
      <c r="Q6" s="201"/>
      <c r="R6" s="201"/>
      <c r="S6" s="36"/>
      <c r="T6" s="36"/>
      <c r="U6" s="37"/>
      <c r="V6" s="37"/>
      <c r="W6" s="37"/>
      <c r="X6" s="37"/>
      <c r="Z6" s="37"/>
      <c r="AA6" s="37"/>
      <c r="AB6" s="37"/>
    </row>
    <row r="7" spans="1:28" s="22" customFormat="1" ht="17.100000000000001" customHeight="1">
      <c r="A7" s="48"/>
      <c r="B7" s="438"/>
      <c r="C7" s="438"/>
      <c r="D7" s="36"/>
      <c r="E7" s="36"/>
      <c r="F7" s="36"/>
      <c r="G7" s="36"/>
      <c r="H7" s="201"/>
      <c r="I7" s="201"/>
      <c r="J7" s="201"/>
      <c r="K7" s="36"/>
      <c r="L7" s="36"/>
      <c r="M7" s="201"/>
      <c r="N7" s="201"/>
      <c r="O7" s="36"/>
      <c r="P7" s="36"/>
      <c r="Q7" s="201"/>
      <c r="R7" s="201"/>
      <c r="S7" s="36"/>
      <c r="T7" s="36"/>
      <c r="U7" s="37"/>
      <c r="V7" s="37"/>
      <c r="W7" s="37"/>
      <c r="X7" s="37"/>
      <c r="Z7" s="37"/>
      <c r="AA7" s="37"/>
      <c r="AB7" s="37"/>
    </row>
    <row r="8" spans="1:28" s="22" customFormat="1" ht="17.100000000000001" customHeight="1">
      <c r="A8" s="48"/>
      <c r="B8" s="438"/>
      <c r="C8" s="438"/>
      <c r="D8" s="36"/>
      <c r="E8" s="36"/>
      <c r="F8" s="36"/>
      <c r="G8" s="36"/>
      <c r="H8" s="201"/>
      <c r="I8" s="201"/>
      <c r="J8" s="201"/>
      <c r="K8" s="36"/>
      <c r="L8" s="36"/>
      <c r="M8" s="201"/>
      <c r="N8" s="201"/>
      <c r="O8" s="36"/>
      <c r="P8" s="36"/>
      <c r="Q8" s="201"/>
      <c r="R8" s="201"/>
      <c r="S8" s="36"/>
      <c r="T8" s="36"/>
      <c r="U8" s="37"/>
      <c r="V8" s="37"/>
      <c r="W8" s="37"/>
      <c r="X8" s="37"/>
      <c r="Z8" s="37"/>
      <c r="AA8" s="37"/>
      <c r="AB8" s="37"/>
    </row>
    <row r="9" spans="1:28" s="22" customFormat="1" ht="17.100000000000001" customHeight="1">
      <c r="A9" s="48"/>
      <c r="B9" s="438"/>
      <c r="C9" s="438"/>
      <c r="D9" s="36"/>
      <c r="E9" s="36"/>
      <c r="F9" s="36"/>
      <c r="G9" s="36"/>
      <c r="H9" s="201"/>
      <c r="I9" s="201"/>
      <c r="J9" s="201"/>
      <c r="K9" s="36"/>
      <c r="L9" s="36"/>
      <c r="M9" s="201"/>
      <c r="N9" s="201"/>
      <c r="O9" s="36"/>
      <c r="P9" s="36"/>
      <c r="Q9" s="201"/>
      <c r="R9" s="201"/>
      <c r="S9" s="36"/>
      <c r="T9" s="36"/>
      <c r="U9" s="37"/>
      <c r="V9" s="37"/>
      <c r="W9" s="37"/>
      <c r="X9" s="37"/>
      <c r="Z9" s="37"/>
      <c r="AA9" s="37"/>
      <c r="AB9" s="37"/>
    </row>
    <row r="10" spans="1:28" s="22" customFormat="1" ht="17.100000000000001" customHeight="1">
      <c r="A10" s="48"/>
      <c r="B10" s="438"/>
      <c r="C10" s="438"/>
      <c r="D10" s="36"/>
      <c r="E10" s="36"/>
      <c r="F10" s="36"/>
      <c r="G10" s="36"/>
      <c r="H10" s="201"/>
      <c r="I10" s="201"/>
      <c r="J10" s="201"/>
      <c r="K10" s="36"/>
      <c r="L10" s="36"/>
      <c r="M10" s="201"/>
      <c r="N10" s="201"/>
      <c r="O10" s="36"/>
      <c r="P10" s="36"/>
      <c r="Q10" s="201"/>
      <c r="R10" s="201"/>
      <c r="S10" s="36"/>
      <c r="T10" s="36"/>
      <c r="U10" s="37"/>
      <c r="V10" s="37"/>
      <c r="W10" s="37"/>
      <c r="X10" s="37"/>
      <c r="Z10" s="37"/>
      <c r="AA10" s="37"/>
      <c r="AB10" s="37"/>
    </row>
    <row r="11" spans="1:28" s="22" customFormat="1" ht="17.100000000000001" customHeight="1">
      <c r="A11" s="48"/>
      <c r="B11" s="438"/>
      <c r="C11" s="438"/>
      <c r="D11" s="36"/>
      <c r="E11" s="36"/>
      <c r="F11" s="36"/>
      <c r="G11" s="36"/>
      <c r="H11" s="201"/>
      <c r="I11" s="201"/>
      <c r="J11" s="201"/>
      <c r="K11" s="36"/>
      <c r="L11" s="36"/>
      <c r="M11" s="201"/>
      <c r="N11" s="201"/>
      <c r="O11" s="36"/>
      <c r="P11" s="36"/>
      <c r="Q11" s="201"/>
      <c r="R11" s="201"/>
      <c r="S11" s="36"/>
      <c r="T11" s="36"/>
      <c r="U11" s="37"/>
      <c r="V11" s="37"/>
      <c r="W11" s="37"/>
      <c r="X11" s="37"/>
      <c r="Z11" s="37"/>
      <c r="AA11" s="37"/>
      <c r="AB11" s="37"/>
    </row>
    <row r="12" spans="1:28" s="22" customFormat="1" ht="17.100000000000001" customHeight="1">
      <c r="A12" s="48"/>
      <c r="B12" s="438"/>
      <c r="C12" s="438"/>
      <c r="D12" s="36"/>
      <c r="E12" s="36"/>
      <c r="F12" s="36"/>
      <c r="G12" s="36"/>
      <c r="H12" s="201"/>
      <c r="I12" s="201"/>
      <c r="J12" s="201"/>
      <c r="K12" s="36"/>
      <c r="L12" s="36"/>
      <c r="M12" s="201"/>
      <c r="N12" s="201"/>
      <c r="O12" s="36"/>
      <c r="P12" s="36"/>
      <c r="Q12" s="201"/>
      <c r="R12" s="201"/>
      <c r="S12" s="36"/>
      <c r="T12" s="36"/>
      <c r="U12" s="37"/>
      <c r="V12" s="37"/>
      <c r="W12" s="37"/>
      <c r="X12" s="37"/>
      <c r="Z12" s="37"/>
      <c r="AA12" s="37"/>
      <c r="AB12" s="37"/>
    </row>
    <row r="13" spans="1:28" s="22" customFormat="1" ht="17.100000000000001" customHeight="1">
      <c r="A13" s="48"/>
      <c r="B13" s="438"/>
      <c r="C13" s="438"/>
      <c r="D13" s="36"/>
      <c r="E13" s="36"/>
      <c r="F13" s="36"/>
      <c r="G13" s="36"/>
      <c r="H13" s="201"/>
      <c r="I13" s="201"/>
      <c r="J13" s="201"/>
      <c r="K13" s="36"/>
      <c r="L13" s="36"/>
      <c r="M13" s="201"/>
      <c r="N13" s="201"/>
      <c r="O13" s="36"/>
      <c r="P13" s="36"/>
      <c r="Q13" s="201"/>
      <c r="R13" s="201"/>
      <c r="S13" s="36"/>
      <c r="T13" s="36"/>
      <c r="U13" s="37"/>
      <c r="V13" s="37"/>
      <c r="W13" s="37"/>
      <c r="X13" s="37"/>
      <c r="Z13" s="37"/>
      <c r="AA13" s="37"/>
      <c r="AB13" s="37"/>
    </row>
    <row r="14" spans="1:28" s="22" customFormat="1" ht="17.100000000000001" customHeight="1">
      <c r="A14" s="48"/>
      <c r="B14" s="438"/>
      <c r="C14" s="438"/>
      <c r="D14" s="36"/>
      <c r="E14" s="36"/>
      <c r="F14" s="36"/>
      <c r="G14" s="36"/>
      <c r="H14" s="201"/>
      <c r="I14" s="201"/>
      <c r="J14" s="201"/>
      <c r="K14" s="36"/>
      <c r="L14" s="36"/>
      <c r="M14" s="201"/>
      <c r="N14" s="201"/>
      <c r="O14" s="36"/>
      <c r="P14" s="36"/>
      <c r="Q14" s="201"/>
      <c r="R14" s="201"/>
      <c r="S14" s="36"/>
      <c r="T14" s="36"/>
      <c r="U14" s="37"/>
      <c r="V14" s="37"/>
      <c r="W14" s="37"/>
      <c r="X14" s="37"/>
      <c r="Z14" s="37"/>
      <c r="AA14" s="37"/>
      <c r="AB14" s="37"/>
    </row>
    <row r="15" spans="1:28" s="22" customFormat="1" ht="17.100000000000001" customHeight="1">
      <c r="A15" s="48"/>
      <c r="B15" s="438"/>
      <c r="C15" s="438"/>
      <c r="D15" s="36"/>
      <c r="E15" s="36"/>
      <c r="F15" s="36"/>
      <c r="G15" s="36"/>
      <c r="H15" s="201"/>
      <c r="I15" s="201"/>
      <c r="J15" s="201"/>
      <c r="K15" s="36"/>
      <c r="L15" s="36"/>
      <c r="M15" s="201"/>
      <c r="N15" s="201"/>
      <c r="O15" s="36"/>
      <c r="P15" s="36"/>
      <c r="Q15" s="105"/>
      <c r="R15" s="105"/>
      <c r="S15" s="37"/>
      <c r="T15" s="37"/>
      <c r="U15" s="37"/>
      <c r="V15" s="37"/>
      <c r="W15" s="37"/>
      <c r="X15" s="37"/>
      <c r="Z15" s="37"/>
      <c r="AA15" s="37"/>
      <c r="AB15" s="37"/>
    </row>
    <row r="16" spans="1:28" s="22" customFormat="1" ht="17.100000000000001" customHeight="1">
      <c r="A16" s="48"/>
      <c r="B16" s="438"/>
      <c r="C16" s="438"/>
      <c r="D16" s="36"/>
      <c r="E16" s="36"/>
      <c r="F16" s="36"/>
      <c r="G16" s="36"/>
      <c r="H16" s="201"/>
      <c r="I16" s="201"/>
      <c r="J16" s="201"/>
      <c r="K16" s="36"/>
      <c r="L16" s="36"/>
      <c r="M16" s="201"/>
      <c r="N16" s="201"/>
      <c r="O16" s="36"/>
      <c r="P16" s="36"/>
      <c r="Q16" s="105"/>
      <c r="R16" s="105"/>
      <c r="S16" s="37"/>
      <c r="T16" s="37"/>
      <c r="U16" s="37"/>
      <c r="V16" s="37"/>
      <c r="W16" s="37"/>
      <c r="X16" s="37"/>
      <c r="Z16" s="37"/>
      <c r="AA16" s="37"/>
      <c r="AB16" s="37"/>
    </row>
    <row r="17" spans="1:28" s="22" customFormat="1" ht="17.100000000000001" customHeight="1">
      <c r="A17" s="48"/>
      <c r="B17" s="438"/>
      <c r="C17" s="438"/>
      <c r="D17" s="36"/>
      <c r="E17" s="36"/>
      <c r="F17" s="36"/>
      <c r="G17" s="36"/>
      <c r="H17" s="201"/>
      <c r="I17" s="201"/>
      <c r="J17" s="201"/>
      <c r="K17" s="36"/>
      <c r="L17" s="36"/>
      <c r="M17" s="201"/>
      <c r="N17" s="201"/>
      <c r="O17" s="36"/>
      <c r="P17" s="36"/>
      <c r="Q17" s="105"/>
      <c r="R17" s="105"/>
      <c r="S17" s="37"/>
      <c r="T17" s="37"/>
      <c r="U17" s="37"/>
      <c r="V17" s="37"/>
      <c r="W17" s="37"/>
      <c r="X17" s="37"/>
      <c r="Z17" s="37"/>
      <c r="AA17" s="37"/>
      <c r="AB17" s="37"/>
    </row>
    <row r="18" spans="1:28" s="22" customFormat="1" ht="17.100000000000001" customHeight="1">
      <c r="A18" s="48"/>
      <c r="B18" s="438"/>
      <c r="C18" s="438"/>
      <c r="D18" s="36"/>
      <c r="E18" s="36"/>
      <c r="F18" s="36"/>
      <c r="G18" s="36"/>
      <c r="H18" s="201"/>
      <c r="I18" s="201"/>
      <c r="J18" s="201"/>
      <c r="K18" s="36"/>
      <c r="L18" s="36"/>
      <c r="M18" s="201"/>
      <c r="N18" s="201"/>
      <c r="O18" s="36"/>
      <c r="P18" s="36"/>
      <c r="Q18" s="105"/>
      <c r="R18" s="105"/>
      <c r="S18" s="37"/>
      <c r="T18" s="37"/>
      <c r="U18" s="37"/>
      <c r="V18" s="37"/>
      <c r="W18" s="37"/>
      <c r="X18" s="37"/>
      <c r="Z18" s="37"/>
      <c r="AA18" s="37"/>
      <c r="AB18" s="37"/>
    </row>
    <row r="19" spans="1:28" s="22" customFormat="1" ht="17.100000000000001" customHeight="1">
      <c r="A19" s="48"/>
      <c r="B19" s="438"/>
      <c r="C19" s="438"/>
      <c r="D19" s="36"/>
      <c r="E19" s="36"/>
      <c r="F19" s="36"/>
      <c r="G19" s="36"/>
      <c r="H19" s="201"/>
      <c r="I19" s="201"/>
      <c r="J19" s="201"/>
      <c r="K19" s="36"/>
      <c r="L19" s="36"/>
      <c r="M19" s="201"/>
      <c r="N19" s="201"/>
      <c r="O19" s="36"/>
      <c r="P19" s="36"/>
      <c r="Q19" s="105"/>
      <c r="R19" s="105"/>
      <c r="S19" s="37"/>
      <c r="T19" s="37"/>
      <c r="U19" s="37"/>
      <c r="V19" s="37"/>
      <c r="W19" s="37"/>
      <c r="X19" s="37"/>
      <c r="Z19" s="37"/>
      <c r="AA19" s="37"/>
      <c r="AB19" s="37"/>
    </row>
    <row r="20" spans="1:28" s="22" customFormat="1" ht="17.100000000000001" customHeight="1">
      <c r="A20" s="48"/>
      <c r="B20" s="438"/>
      <c r="C20" s="438"/>
      <c r="D20" s="36"/>
      <c r="E20" s="36"/>
      <c r="F20" s="36"/>
      <c r="G20" s="36"/>
      <c r="H20" s="201"/>
      <c r="I20" s="201"/>
      <c r="J20" s="201"/>
      <c r="K20" s="36"/>
      <c r="L20" s="36"/>
      <c r="M20" s="201"/>
      <c r="N20" s="201"/>
      <c r="O20" s="36"/>
      <c r="P20" s="36"/>
      <c r="Q20" s="105"/>
      <c r="R20" s="105"/>
      <c r="S20" s="37"/>
      <c r="T20" s="37"/>
      <c r="U20" s="37"/>
      <c r="V20" s="37"/>
      <c r="W20" s="37"/>
      <c r="X20" s="37"/>
      <c r="Z20" s="37"/>
      <c r="AA20" s="37"/>
      <c r="AB20" s="37"/>
    </row>
    <row r="21" spans="1:28" s="22" customFormat="1" ht="17.100000000000001" customHeight="1">
      <c r="A21" s="48"/>
      <c r="B21" s="438"/>
      <c r="C21" s="438"/>
      <c r="D21" s="36"/>
      <c r="E21" s="36"/>
      <c r="F21" s="36"/>
      <c r="G21" s="36"/>
      <c r="H21" s="201"/>
      <c r="I21" s="201"/>
      <c r="J21" s="201"/>
      <c r="K21" s="36"/>
      <c r="L21" s="36"/>
      <c r="M21" s="201"/>
      <c r="N21" s="201"/>
      <c r="O21" s="36"/>
      <c r="P21" s="36"/>
      <c r="Q21" s="105"/>
      <c r="R21" s="105"/>
      <c r="S21" s="37"/>
      <c r="T21" s="37"/>
      <c r="U21" s="37"/>
      <c r="V21" s="37"/>
      <c r="W21" s="37"/>
      <c r="X21" s="37"/>
      <c r="Z21" s="37"/>
      <c r="AA21" s="37"/>
      <c r="AB21" s="37"/>
    </row>
    <row r="22" spans="1:28" s="22" customFormat="1" ht="17.100000000000001" customHeight="1">
      <c r="A22" s="49"/>
      <c r="B22" s="438"/>
      <c r="C22" s="438"/>
      <c r="D22" s="24"/>
      <c r="E22" s="24"/>
      <c r="F22" s="24"/>
      <c r="G22" s="24"/>
      <c r="H22" s="201"/>
      <c r="I22" s="201"/>
      <c r="J22" s="201"/>
      <c r="K22" s="24"/>
      <c r="L22" s="24"/>
      <c r="M22" s="201"/>
      <c r="N22" s="201"/>
      <c r="O22" s="24"/>
      <c r="P22" s="24"/>
      <c r="Q22" s="105"/>
      <c r="R22" s="105"/>
      <c r="S22" s="37"/>
      <c r="T22" s="37"/>
      <c r="U22" s="37"/>
      <c r="V22" s="37"/>
      <c r="W22" s="37"/>
      <c r="X22" s="37"/>
      <c r="Z22" s="37"/>
      <c r="AA22" s="37"/>
      <c r="AB22" s="37"/>
    </row>
    <row r="23" spans="1:28" s="22" customFormat="1" ht="17.100000000000001" customHeight="1">
      <c r="A23" s="60"/>
      <c r="B23" s="438"/>
      <c r="C23" s="438"/>
      <c r="D23" s="61"/>
      <c r="E23" s="61"/>
      <c r="F23" s="61"/>
      <c r="G23" s="61"/>
      <c r="H23" s="201"/>
      <c r="I23" s="201"/>
      <c r="J23" s="201"/>
      <c r="K23" s="61"/>
      <c r="L23" s="61"/>
      <c r="M23" s="201"/>
      <c r="N23" s="201"/>
      <c r="O23" s="61"/>
      <c r="P23" s="61"/>
      <c r="Q23" s="105"/>
      <c r="R23" s="105"/>
      <c r="S23" s="62"/>
      <c r="T23" s="62"/>
      <c r="U23" s="62"/>
      <c r="V23" s="62"/>
      <c r="W23" s="62"/>
      <c r="X23" s="62"/>
      <c r="Z23" s="62"/>
      <c r="AA23" s="62"/>
      <c r="AB23" s="62"/>
    </row>
    <row r="24" spans="1:28" s="22" customFormat="1" ht="17.100000000000001" customHeight="1">
      <c r="A24" s="60"/>
      <c r="B24" s="438"/>
      <c r="C24" s="438"/>
      <c r="D24" s="61"/>
      <c r="E24" s="61"/>
      <c r="F24" s="61"/>
      <c r="G24" s="61"/>
      <c r="H24" s="201"/>
      <c r="I24" s="201"/>
      <c r="J24" s="201"/>
      <c r="K24" s="61"/>
      <c r="L24" s="61"/>
      <c r="M24" s="201"/>
      <c r="N24" s="201"/>
      <c r="O24" s="61"/>
      <c r="P24" s="61"/>
      <c r="Q24" s="105"/>
      <c r="R24" s="105"/>
      <c r="S24" s="62"/>
      <c r="T24" s="62"/>
      <c r="U24" s="62"/>
      <c r="V24" s="62"/>
      <c r="W24" s="62"/>
      <c r="X24" s="62"/>
      <c r="Z24" s="62"/>
      <c r="AA24" s="62"/>
      <c r="AB24" s="62"/>
    </row>
    <row r="25" spans="1:28" s="22" customFormat="1" ht="17.100000000000001" customHeight="1">
      <c r="A25" s="218"/>
      <c r="B25" s="438"/>
      <c r="C25" s="438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105"/>
      <c r="R25" s="105"/>
      <c r="S25" s="105"/>
      <c r="T25" s="105"/>
      <c r="U25" s="105"/>
      <c r="V25" s="105"/>
      <c r="W25" s="105"/>
      <c r="X25" s="105"/>
      <c r="Z25" s="462"/>
      <c r="AA25" s="462"/>
      <c r="AB25" s="462"/>
    </row>
    <row r="26" spans="1:28" s="22" customFormat="1" ht="17.100000000000001" customHeight="1">
      <c r="A26" s="218"/>
      <c r="B26" s="438"/>
      <c r="C26" s="438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105"/>
      <c r="R26" s="105"/>
      <c r="S26" s="105"/>
      <c r="T26" s="105"/>
      <c r="U26" s="105"/>
      <c r="V26" s="105"/>
      <c r="W26" s="105"/>
      <c r="X26" s="105"/>
      <c r="Z26" s="462"/>
      <c r="AA26" s="462"/>
      <c r="AB26" s="462"/>
    </row>
    <row r="27" spans="1:28" s="22" customFormat="1" ht="17.100000000000001" customHeight="1">
      <c r="A27" s="218"/>
      <c r="B27" s="438"/>
      <c r="C27" s="438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105"/>
      <c r="R27" s="105"/>
      <c r="S27" s="105"/>
      <c r="T27" s="105"/>
      <c r="U27" s="105"/>
      <c r="V27" s="105"/>
      <c r="W27" s="105"/>
      <c r="X27" s="105"/>
      <c r="Z27" s="462"/>
      <c r="AA27" s="462"/>
      <c r="AB27" s="462"/>
    </row>
    <row r="28" spans="1:28" s="22" customFormat="1" ht="17.100000000000001" customHeight="1">
      <c r="A28" s="218"/>
      <c r="B28" s="438"/>
      <c r="C28" s="438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105"/>
      <c r="R28" s="105"/>
      <c r="S28" s="105"/>
      <c r="T28" s="105"/>
      <c r="U28" s="105"/>
      <c r="V28" s="105"/>
      <c r="W28" s="105"/>
      <c r="X28" s="105"/>
      <c r="Z28" s="462"/>
      <c r="AA28" s="462"/>
      <c r="AB28" s="462"/>
    </row>
    <row r="29" spans="1:28" s="22" customFormat="1" ht="17.100000000000001" customHeight="1">
      <c r="A29" s="218"/>
      <c r="B29" s="438"/>
      <c r="C29" s="438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105"/>
      <c r="R29" s="105"/>
      <c r="S29" s="105"/>
      <c r="T29" s="105"/>
      <c r="U29" s="105"/>
      <c r="V29" s="105"/>
      <c r="W29" s="105"/>
      <c r="X29" s="105"/>
      <c r="Z29" s="462"/>
      <c r="AA29" s="462"/>
      <c r="AB29" s="462"/>
    </row>
    <row r="30" spans="1:28" s="22" customFormat="1" ht="17.100000000000001" customHeight="1">
      <c r="A30" s="218"/>
      <c r="B30" s="438"/>
      <c r="C30" s="438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105"/>
      <c r="R30" s="105"/>
      <c r="S30" s="105"/>
      <c r="T30" s="105"/>
      <c r="U30" s="105"/>
      <c r="V30" s="105"/>
      <c r="W30" s="105"/>
      <c r="X30" s="105"/>
      <c r="Z30" s="462"/>
      <c r="AA30" s="462"/>
      <c r="AB30" s="462"/>
    </row>
    <row r="31" spans="1:28" s="22" customFormat="1" ht="17.100000000000001" customHeight="1">
      <c r="A31" s="218"/>
      <c r="B31" s="438"/>
      <c r="C31" s="438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105"/>
      <c r="R31" s="105"/>
      <c r="S31" s="105"/>
      <c r="T31" s="105"/>
      <c r="U31" s="105"/>
      <c r="V31" s="105"/>
      <c r="W31" s="105"/>
      <c r="X31" s="105"/>
      <c r="Z31" s="462"/>
      <c r="AA31" s="462"/>
      <c r="AB31" s="462"/>
    </row>
    <row r="32" spans="1:28" s="22" customFormat="1" ht="17.100000000000001" customHeight="1">
      <c r="A32" s="218"/>
      <c r="B32" s="438"/>
      <c r="C32" s="438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105"/>
      <c r="R32" s="105"/>
      <c r="S32" s="105"/>
      <c r="T32" s="105"/>
      <c r="U32" s="105"/>
      <c r="V32" s="105"/>
      <c r="W32" s="105"/>
      <c r="X32" s="105"/>
      <c r="Z32" s="462"/>
      <c r="AA32" s="462"/>
      <c r="AB32" s="462"/>
    </row>
    <row r="33" spans="1:36" s="22" customFormat="1" ht="17.100000000000001" customHeight="1">
      <c r="A33" s="49"/>
      <c r="B33" s="438"/>
      <c r="C33" s="438"/>
      <c r="D33" s="24"/>
      <c r="E33" s="24"/>
      <c r="F33" s="24"/>
      <c r="G33" s="24"/>
      <c r="H33" s="201"/>
      <c r="I33" s="201"/>
      <c r="J33" s="201"/>
      <c r="K33" s="24"/>
      <c r="L33" s="24"/>
      <c r="M33" s="201"/>
      <c r="N33" s="201"/>
      <c r="O33" s="24"/>
      <c r="P33" s="24"/>
      <c r="Q33" s="105"/>
      <c r="R33" s="105"/>
      <c r="S33" s="37"/>
      <c r="T33" s="37"/>
      <c r="U33" s="37"/>
      <c r="V33" s="37"/>
      <c r="W33" s="37"/>
      <c r="X33" s="37"/>
      <c r="Z33" s="37"/>
      <c r="AA33" s="37"/>
      <c r="AB33" s="37"/>
    </row>
    <row r="34" spans="1:36" s="22" customFormat="1" ht="17.100000000000001" customHeight="1"/>
    <row r="35" spans="1:36" s="22" customFormat="1" ht="17.100000000000001" customHeight="1">
      <c r="A35" s="28" t="s">
        <v>182</v>
      </c>
    </row>
    <row r="36" spans="1:36" s="30" customFormat="1" ht="18" customHeight="1">
      <c r="A36" s="101" t="s">
        <v>58</v>
      </c>
      <c r="B36" s="101" t="s">
        <v>59</v>
      </c>
      <c r="C36" s="102" t="s">
        <v>95</v>
      </c>
      <c r="D36" s="102"/>
      <c r="E36" s="103"/>
      <c r="F36" s="102"/>
      <c r="G36" s="102"/>
      <c r="H36" s="102"/>
      <c r="I36" s="102"/>
      <c r="J36" s="102"/>
      <c r="K36" s="102"/>
      <c r="L36" s="102" t="s">
        <v>96</v>
      </c>
      <c r="M36" s="102" t="s">
        <v>97</v>
      </c>
      <c r="N36" s="102" t="s">
        <v>98</v>
      </c>
      <c r="O36" s="102" t="s">
        <v>99</v>
      </c>
      <c r="P36" s="102" t="s">
        <v>100</v>
      </c>
      <c r="Q36" s="102" t="s">
        <v>101</v>
      </c>
      <c r="R36" s="102" t="s">
        <v>102</v>
      </c>
      <c r="S36" s="102" t="s">
        <v>101</v>
      </c>
      <c r="T36" s="102" t="s">
        <v>61</v>
      </c>
      <c r="U36" s="102"/>
      <c r="V36" s="102" t="s">
        <v>101</v>
      </c>
      <c r="W36" s="102" t="s">
        <v>62</v>
      </c>
      <c r="X36" s="102"/>
      <c r="Y36" s="102" t="s">
        <v>305</v>
      </c>
      <c r="Z36" s="102" t="s">
        <v>306</v>
      </c>
      <c r="AA36" s="102" t="s">
        <v>307</v>
      </c>
      <c r="AB36" s="102" t="s">
        <v>308</v>
      </c>
      <c r="AC36" s="102"/>
      <c r="AD36" s="102"/>
      <c r="AE36" s="102"/>
      <c r="AF36" s="102"/>
      <c r="AG36" s="102"/>
      <c r="AH36" s="102"/>
      <c r="AI36" s="102" t="s">
        <v>63</v>
      </c>
      <c r="AJ36" s="22"/>
    </row>
    <row r="68" spans="1:17" s="22" customFormat="1" ht="17.100000000000001" customHeight="1">
      <c r="A68" s="28" t="s">
        <v>173</v>
      </c>
    </row>
    <row r="69" spans="1:17" s="30" customFormat="1" ht="18" customHeight="1">
      <c r="A69" s="239">
        <v>1</v>
      </c>
      <c r="B69" s="239">
        <v>2</v>
      </c>
      <c r="C69" s="102">
        <v>3</v>
      </c>
      <c r="D69" s="102">
        <v>4</v>
      </c>
      <c r="E69" s="103">
        <v>5</v>
      </c>
      <c r="F69" s="102">
        <v>6</v>
      </c>
      <c r="G69" s="102">
        <v>7</v>
      </c>
      <c r="H69" s="102">
        <v>8</v>
      </c>
      <c r="I69" s="102">
        <v>9</v>
      </c>
      <c r="J69" s="102">
        <v>10</v>
      </c>
      <c r="K69" s="102">
        <v>11</v>
      </c>
      <c r="L69" s="102">
        <v>12</v>
      </c>
      <c r="M69" s="102">
        <v>13</v>
      </c>
      <c r="N69" s="102">
        <v>14</v>
      </c>
      <c r="O69" s="102">
        <v>15</v>
      </c>
      <c r="P69" s="102">
        <v>16</v>
      </c>
      <c r="Q69" s="22"/>
    </row>
    <row r="101" spans="1:3" s="22" customFormat="1" ht="17.100000000000001" customHeight="1">
      <c r="A101" s="28" t="s">
        <v>174</v>
      </c>
    </row>
    <row r="102" spans="1:3" s="30" customFormat="1" ht="18" customHeight="1">
      <c r="A102" s="239" t="s">
        <v>58</v>
      </c>
      <c r="B102" s="239" t="s">
        <v>175</v>
      </c>
      <c r="C102" s="239" t="s">
        <v>176</v>
      </c>
    </row>
    <row r="134" spans="1:12" s="22" customFormat="1" ht="17.100000000000001" customHeight="1">
      <c r="A134" s="28" t="s">
        <v>326</v>
      </c>
    </row>
    <row r="135" spans="1:12" s="30" customFormat="1" ht="18" customHeight="1">
      <c r="A135" s="239" t="s">
        <v>336</v>
      </c>
      <c r="B135" s="239" t="s">
        <v>337</v>
      </c>
      <c r="C135" s="102" t="s">
        <v>335</v>
      </c>
      <c r="D135" s="102" t="s">
        <v>121</v>
      </c>
      <c r="E135" s="102" t="s">
        <v>338</v>
      </c>
      <c r="F135" s="102" t="s">
        <v>339</v>
      </c>
      <c r="G135" s="102" t="s">
        <v>338</v>
      </c>
      <c r="H135" s="102" t="s">
        <v>340</v>
      </c>
      <c r="I135" s="102" t="s">
        <v>338</v>
      </c>
      <c r="J135" s="102" t="s">
        <v>341</v>
      </c>
      <c r="K135" s="102" t="s">
        <v>71</v>
      </c>
      <c r="L135" s="102" t="s">
        <v>669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8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4" customWidth="1"/>
    <col min="4" max="4" width="5.77734375" style="54" customWidth="1"/>
    <col min="5" max="5" width="9.77734375" style="54" customWidth="1"/>
    <col min="6" max="6" width="11.77734375" style="55" customWidth="1"/>
    <col min="7" max="7" width="11.77734375" style="54" customWidth="1"/>
    <col min="8" max="9" width="9.77734375" style="54" customWidth="1"/>
    <col min="10" max="11" width="4.77734375" style="54" customWidth="1"/>
    <col min="12" max="16384" width="10.77734375" style="54"/>
  </cols>
  <sheetData>
    <row r="1" spans="1:11" s="2" customFormat="1" ht="33" customHeight="1">
      <c r="A1" s="528" t="s">
        <v>35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</row>
    <row r="2" spans="1:11" s="2" customFormat="1" ht="33" customHeight="1">
      <c r="A2" s="528"/>
      <c r="B2" s="528"/>
      <c r="C2" s="528"/>
      <c r="D2" s="528"/>
      <c r="E2" s="528"/>
      <c r="F2" s="528"/>
      <c r="G2" s="528"/>
      <c r="H2" s="528"/>
      <c r="I2" s="528"/>
      <c r="J2" s="528"/>
      <c r="K2" s="528"/>
    </row>
    <row r="3" spans="1:11" s="2" customFormat="1" ht="12.75" customHeight="1">
      <c r="A3" s="17" t="s">
        <v>37</v>
      </c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74" t="str">
        <f>IF(Calcu!B9=TRUE,"","삭제")</f>
        <v>삭제</v>
      </c>
      <c r="D6" s="104" t="str">
        <f>"○ 품명 : "&amp;기본정보!C$5</f>
        <v xml:space="preserve">○ 품명 : </v>
      </c>
      <c r="F6" s="54"/>
      <c r="G6" s="55"/>
    </row>
    <row r="7" spans="1:11" ht="15" customHeight="1">
      <c r="A7" s="214" t="str">
        <f>A6</f>
        <v>삭제</v>
      </c>
      <c r="D7" s="104" t="str">
        <f>"○ 제작회사 : "&amp;기본정보!C$6</f>
        <v xml:space="preserve">○ 제작회사 : </v>
      </c>
      <c r="F7" s="54"/>
      <c r="G7" s="55"/>
    </row>
    <row r="8" spans="1:11" ht="15" customHeight="1">
      <c r="A8" s="214" t="str">
        <f>A6</f>
        <v>삭제</v>
      </c>
      <c r="D8" s="104" t="str">
        <f>"○ 형식 : "&amp;기본정보!C$7</f>
        <v xml:space="preserve">○ 형식 : </v>
      </c>
      <c r="F8" s="54"/>
      <c r="G8" s="55"/>
    </row>
    <row r="9" spans="1:11" ht="15" customHeight="1">
      <c r="A9" s="214" t="str">
        <f>A6</f>
        <v>삭제</v>
      </c>
      <c r="D9" s="104" t="str">
        <f>"○ 기기번호 : "&amp;기본정보!C$8</f>
        <v xml:space="preserve">○ 기기번호 : </v>
      </c>
      <c r="F9" s="54"/>
      <c r="G9" s="55"/>
    </row>
    <row r="10" spans="1:11" ht="15" customHeight="1">
      <c r="A10" s="214" t="str">
        <f>A6</f>
        <v>삭제</v>
      </c>
      <c r="D10" s="104"/>
      <c r="F10" s="54"/>
      <c r="G10" s="55"/>
    </row>
    <row r="11" spans="1:11" ht="15" customHeight="1">
      <c r="A11" s="214" t="str">
        <f>A6</f>
        <v>삭제</v>
      </c>
      <c r="D11" s="57" t="s">
        <v>122</v>
      </c>
      <c r="F11" s="54"/>
      <c r="G11" s="55"/>
    </row>
    <row r="12" spans="1:11" ht="15" customHeight="1">
      <c r="A12" s="214" t="str">
        <f>A6</f>
        <v>삭제</v>
      </c>
      <c r="D12" s="529" t="s">
        <v>635</v>
      </c>
      <c r="E12" s="532" t="s">
        <v>636</v>
      </c>
      <c r="F12" s="544" t="e">
        <f>Calcu!J103</f>
        <v>#N/A</v>
      </c>
      <c r="G12" s="545"/>
      <c r="H12" s="545"/>
      <c r="I12" s="546"/>
    </row>
    <row r="13" spans="1:11" ht="15" customHeight="1">
      <c r="A13" s="214" t="str">
        <f>A6</f>
        <v>삭제</v>
      </c>
      <c r="D13" s="530"/>
      <c r="E13" s="533"/>
      <c r="F13" s="536" t="s">
        <v>637</v>
      </c>
      <c r="G13" s="537"/>
      <c r="H13" s="534" t="s">
        <v>79</v>
      </c>
      <c r="I13" s="535" t="s">
        <v>639</v>
      </c>
    </row>
    <row r="14" spans="1:11" ht="15" customHeight="1">
      <c r="A14" s="214" t="str">
        <f>A6</f>
        <v>삭제</v>
      </c>
      <c r="D14" s="530"/>
      <c r="E14" s="533"/>
      <c r="F14" s="538" t="s">
        <v>638</v>
      </c>
      <c r="G14" s="539"/>
      <c r="H14" s="534"/>
      <c r="I14" s="535"/>
    </row>
    <row r="15" spans="1:11" ht="15" customHeight="1">
      <c r="A15" s="214" t="str">
        <f t="shared" ref="A15:A20" si="0">A6</f>
        <v>삭제</v>
      </c>
      <c r="B15" s="55"/>
      <c r="C15" s="55"/>
      <c r="D15" s="530"/>
      <c r="E15" s="533"/>
      <c r="F15" s="436"/>
      <c r="G15" s="437"/>
      <c r="H15" s="534"/>
      <c r="I15" s="535"/>
    </row>
    <row r="16" spans="1:11" ht="15" customHeight="1">
      <c r="A16" s="403" t="str">
        <f t="shared" si="0"/>
        <v>삭제</v>
      </c>
      <c r="B16" s="55"/>
      <c r="C16" s="55"/>
      <c r="D16" s="530"/>
      <c r="E16" s="533"/>
      <c r="F16" s="436"/>
      <c r="G16" s="437"/>
      <c r="H16" s="534"/>
      <c r="I16" s="535"/>
    </row>
    <row r="17" spans="1:9" ht="15" customHeight="1">
      <c r="A17" s="403" t="str">
        <f t="shared" si="0"/>
        <v>삭제</v>
      </c>
      <c r="B17" s="55"/>
      <c r="C17" s="55"/>
      <c r="D17" s="530"/>
      <c r="E17" s="533"/>
      <c r="F17" s="540" t="e">
        <f>측정불확도추정보고서!N339</f>
        <v>#DIV/0!</v>
      </c>
      <c r="G17" s="541"/>
      <c r="H17" s="534"/>
      <c r="I17" s="535"/>
    </row>
    <row r="18" spans="1:9" ht="15" customHeight="1">
      <c r="A18" s="403" t="str">
        <f t="shared" si="0"/>
        <v>삭제</v>
      </c>
      <c r="B18" s="55"/>
      <c r="C18" s="55"/>
      <c r="D18" s="530"/>
      <c r="E18" s="533"/>
      <c r="F18" s="542"/>
      <c r="G18" s="543"/>
      <c r="H18" s="534"/>
      <c r="I18" s="535"/>
    </row>
    <row r="19" spans="1:9" ht="15" customHeight="1">
      <c r="A19" s="403" t="str">
        <f t="shared" si="0"/>
        <v>삭제</v>
      </c>
      <c r="B19" s="55"/>
      <c r="C19" s="55"/>
      <c r="D19" s="530"/>
      <c r="E19" s="533"/>
      <c r="F19" s="404"/>
      <c r="G19" s="405"/>
      <c r="H19" s="534"/>
      <c r="I19" s="535"/>
    </row>
    <row r="20" spans="1:9" ht="15" customHeight="1">
      <c r="A20" s="403" t="str">
        <f t="shared" si="0"/>
        <v>삭제</v>
      </c>
      <c r="B20" s="55"/>
      <c r="C20" s="55"/>
      <c r="D20" s="531"/>
      <c r="E20" s="398">
        <f>Calcu!C64</f>
        <v>0</v>
      </c>
      <c r="F20" s="376">
        <f>Calcu!D64</f>
        <v>0</v>
      </c>
      <c r="G20" s="396">
        <f>Calcu!E64</f>
        <v>0</v>
      </c>
      <c r="H20" s="389">
        <f>Calcu!F64</f>
        <v>0</v>
      </c>
      <c r="I20" s="390">
        <f>Calcu!G64</f>
        <v>0</v>
      </c>
    </row>
    <row r="21" spans="1:9" ht="15" customHeight="1">
      <c r="A21" s="274" t="str">
        <f>IF(Calcu!S9=TRUE,"","삭제")</f>
        <v>삭제</v>
      </c>
      <c r="B21" s="55"/>
      <c r="C21" s="55"/>
      <c r="D21" s="393">
        <v>1</v>
      </c>
      <c r="E21" s="399" t="str">
        <f>Calcu!C65</f>
        <v/>
      </c>
      <c r="F21" s="377" t="str">
        <f>Calcu!D65</f>
        <v/>
      </c>
      <c r="G21" s="397" t="str">
        <f>Calcu!E65</f>
        <v/>
      </c>
      <c r="H21" s="391" t="str">
        <f>Calcu!F65</f>
        <v/>
      </c>
      <c r="I21" s="392" t="str">
        <f>Calcu!G65</f>
        <v/>
      </c>
    </row>
    <row r="22" spans="1:9" ht="15" customHeight="1">
      <c r="A22" s="274" t="str">
        <f>IF(Calcu!S10=TRUE,"","삭제")</f>
        <v>삭제</v>
      </c>
      <c r="B22" s="55"/>
      <c r="C22" s="55"/>
      <c r="D22" s="394">
        <v>2</v>
      </c>
      <c r="E22" s="400" t="str">
        <f>Calcu!C66</f>
        <v/>
      </c>
      <c r="F22" s="378" t="str">
        <f>Calcu!D66</f>
        <v/>
      </c>
      <c r="G22" s="401" t="str">
        <f>Calcu!E66</f>
        <v/>
      </c>
      <c r="H22" s="402" t="str">
        <f>Calcu!F66</f>
        <v/>
      </c>
      <c r="I22" s="388" t="str">
        <f>Calcu!G66</f>
        <v/>
      </c>
    </row>
    <row r="23" spans="1:9" ht="15" customHeight="1">
      <c r="A23" s="274" t="str">
        <f>IF(Calcu!S11=TRUE,"","삭제")</f>
        <v>삭제</v>
      </c>
      <c r="B23" s="55"/>
      <c r="C23" s="55"/>
      <c r="D23" s="394">
        <v>3</v>
      </c>
      <c r="E23" s="400" t="str">
        <f>Calcu!C67</f>
        <v/>
      </c>
      <c r="F23" s="378" t="str">
        <f>Calcu!D67</f>
        <v/>
      </c>
      <c r="G23" s="401" t="str">
        <f>Calcu!E67</f>
        <v/>
      </c>
      <c r="H23" s="402" t="str">
        <f>Calcu!F67</f>
        <v/>
      </c>
      <c r="I23" s="388" t="str">
        <f>Calcu!G67</f>
        <v/>
      </c>
    </row>
    <row r="24" spans="1:9" ht="15" customHeight="1">
      <c r="A24" s="274" t="str">
        <f>IF(Calcu!S12=TRUE,"","삭제")</f>
        <v>삭제</v>
      </c>
      <c r="B24" s="55"/>
      <c r="C24" s="55"/>
      <c r="D24" s="394">
        <v>4</v>
      </c>
      <c r="E24" s="400" t="str">
        <f>Calcu!C68</f>
        <v/>
      </c>
      <c r="F24" s="378" t="str">
        <f>Calcu!D68</f>
        <v/>
      </c>
      <c r="G24" s="401" t="str">
        <f>Calcu!E68</f>
        <v/>
      </c>
      <c r="H24" s="402" t="str">
        <f>Calcu!F68</f>
        <v/>
      </c>
      <c r="I24" s="388" t="str">
        <f>Calcu!G68</f>
        <v/>
      </c>
    </row>
    <row r="25" spans="1:9" ht="15" customHeight="1">
      <c r="A25" s="274" t="str">
        <f>IF(Calcu!S13=TRUE,"","삭제")</f>
        <v>삭제</v>
      </c>
      <c r="D25" s="394">
        <v>5</v>
      </c>
      <c r="E25" s="400" t="str">
        <f>Calcu!C69</f>
        <v/>
      </c>
      <c r="F25" s="378" t="str">
        <f>Calcu!D69</f>
        <v/>
      </c>
      <c r="G25" s="401" t="str">
        <f>Calcu!E69</f>
        <v/>
      </c>
      <c r="H25" s="402" t="str">
        <f>Calcu!F69</f>
        <v/>
      </c>
      <c r="I25" s="388" t="str">
        <f>Calcu!G69</f>
        <v/>
      </c>
    </row>
    <row r="26" spans="1:9" ht="15" customHeight="1">
      <c r="A26" s="274" t="str">
        <f>IF(Calcu!S14=TRUE,"","삭제")</f>
        <v>삭제</v>
      </c>
      <c r="D26" s="394">
        <v>6</v>
      </c>
      <c r="E26" s="400" t="str">
        <f>Calcu!C70</f>
        <v/>
      </c>
      <c r="F26" s="378" t="str">
        <f>Calcu!D70</f>
        <v/>
      </c>
      <c r="G26" s="401" t="str">
        <f>Calcu!E70</f>
        <v/>
      </c>
      <c r="H26" s="402" t="str">
        <f>Calcu!F70</f>
        <v/>
      </c>
      <c r="I26" s="388" t="str">
        <f>Calcu!G70</f>
        <v/>
      </c>
    </row>
    <row r="27" spans="1:9" ht="15" customHeight="1">
      <c r="A27" s="274" t="str">
        <f>IF(Calcu!S15=TRUE,"","삭제")</f>
        <v>삭제</v>
      </c>
      <c r="D27" s="394">
        <v>7</v>
      </c>
      <c r="E27" s="400" t="str">
        <f>Calcu!C71</f>
        <v/>
      </c>
      <c r="F27" s="378" t="str">
        <f>Calcu!D71</f>
        <v/>
      </c>
      <c r="G27" s="401" t="str">
        <f>Calcu!E71</f>
        <v/>
      </c>
      <c r="H27" s="402" t="str">
        <f>Calcu!F71</f>
        <v/>
      </c>
      <c r="I27" s="388" t="str">
        <f>Calcu!G71</f>
        <v/>
      </c>
    </row>
    <row r="28" spans="1:9" ht="15" customHeight="1">
      <c r="A28" s="274" t="str">
        <f>IF(Calcu!S16=TRUE,"","삭제")</f>
        <v>삭제</v>
      </c>
      <c r="D28" s="394">
        <v>8</v>
      </c>
      <c r="E28" s="400" t="str">
        <f>Calcu!C72</f>
        <v/>
      </c>
      <c r="F28" s="378" t="str">
        <f>Calcu!D72</f>
        <v/>
      </c>
      <c r="G28" s="401" t="str">
        <f>Calcu!E72</f>
        <v/>
      </c>
      <c r="H28" s="402" t="str">
        <f>Calcu!F72</f>
        <v/>
      </c>
      <c r="I28" s="388" t="str">
        <f>Calcu!G72</f>
        <v/>
      </c>
    </row>
    <row r="29" spans="1:9" ht="15" customHeight="1">
      <c r="A29" s="274" t="str">
        <f>IF(Calcu!S17=TRUE,"","삭제")</f>
        <v>삭제</v>
      </c>
      <c r="D29" s="394">
        <v>9</v>
      </c>
      <c r="E29" s="400" t="str">
        <f>Calcu!C73</f>
        <v/>
      </c>
      <c r="F29" s="378" t="str">
        <f>Calcu!D73</f>
        <v/>
      </c>
      <c r="G29" s="401" t="str">
        <f>Calcu!E73</f>
        <v/>
      </c>
      <c r="H29" s="402" t="str">
        <f>Calcu!F73</f>
        <v/>
      </c>
      <c r="I29" s="388" t="str">
        <f>Calcu!G73</f>
        <v/>
      </c>
    </row>
    <row r="30" spans="1:9" ht="15" customHeight="1">
      <c r="A30" s="274" t="str">
        <f>IF(Calcu!S18=TRUE,"","삭제")</f>
        <v>삭제</v>
      </c>
      <c r="D30" s="394">
        <v>10</v>
      </c>
      <c r="E30" s="400" t="str">
        <f>Calcu!C74</f>
        <v/>
      </c>
      <c r="F30" s="378" t="str">
        <f>Calcu!D74</f>
        <v/>
      </c>
      <c r="G30" s="401" t="str">
        <f>Calcu!E74</f>
        <v/>
      </c>
      <c r="H30" s="402" t="str">
        <f>Calcu!F74</f>
        <v/>
      </c>
      <c r="I30" s="388" t="str">
        <f>Calcu!G74</f>
        <v/>
      </c>
    </row>
    <row r="31" spans="1:9" s="386" customFormat="1" ht="15" customHeight="1">
      <c r="A31" s="274" t="str">
        <f>IF(Calcu!S19=TRUE,"","삭제")</f>
        <v>삭제</v>
      </c>
      <c r="D31" s="394">
        <v>11</v>
      </c>
      <c r="E31" s="383" t="str">
        <f>Calcu!C75</f>
        <v/>
      </c>
      <c r="F31" s="379" t="str">
        <f>Calcu!D75</f>
        <v/>
      </c>
      <c r="G31" s="382" t="str">
        <f>Calcu!E75</f>
        <v/>
      </c>
      <c r="H31" s="381" t="str">
        <f>Calcu!F75</f>
        <v/>
      </c>
      <c r="I31" s="380" t="str">
        <f>Calcu!G75</f>
        <v/>
      </c>
    </row>
    <row r="32" spans="1:9" s="386" customFormat="1" ht="15" customHeight="1">
      <c r="A32" s="274" t="str">
        <f>IF(Calcu!S20=TRUE,"","삭제")</f>
        <v>삭제</v>
      </c>
      <c r="D32" s="394">
        <v>12</v>
      </c>
      <c r="E32" s="383" t="str">
        <f>Calcu!C76</f>
        <v/>
      </c>
      <c r="F32" s="379" t="str">
        <f>Calcu!D76</f>
        <v/>
      </c>
      <c r="G32" s="382" t="str">
        <f>Calcu!E76</f>
        <v/>
      </c>
      <c r="H32" s="381" t="str">
        <f>Calcu!F76</f>
        <v/>
      </c>
      <c r="I32" s="380" t="str">
        <f>Calcu!G76</f>
        <v/>
      </c>
    </row>
    <row r="33" spans="1:10" s="386" customFormat="1" ht="15" customHeight="1">
      <c r="A33" s="274" t="str">
        <f>IF(Calcu!S21=TRUE,"","삭제")</f>
        <v>삭제</v>
      </c>
      <c r="D33" s="394">
        <v>13</v>
      </c>
      <c r="E33" s="383" t="str">
        <f>Calcu!C77</f>
        <v/>
      </c>
      <c r="F33" s="379" t="str">
        <f>Calcu!D77</f>
        <v/>
      </c>
      <c r="G33" s="382" t="str">
        <f>Calcu!E77</f>
        <v/>
      </c>
      <c r="H33" s="381" t="str">
        <f>Calcu!F77</f>
        <v/>
      </c>
      <c r="I33" s="380" t="str">
        <f>Calcu!G77</f>
        <v/>
      </c>
    </row>
    <row r="34" spans="1:10" s="386" customFormat="1" ht="15" customHeight="1">
      <c r="A34" s="274" t="str">
        <f>IF(Calcu!S22=TRUE,"","삭제")</f>
        <v>삭제</v>
      </c>
      <c r="D34" s="394">
        <v>14</v>
      </c>
      <c r="E34" s="383" t="str">
        <f>Calcu!C78</f>
        <v/>
      </c>
      <c r="F34" s="379" t="str">
        <f>Calcu!D78</f>
        <v/>
      </c>
      <c r="G34" s="382" t="str">
        <f>Calcu!E78</f>
        <v/>
      </c>
      <c r="H34" s="381" t="str">
        <f>Calcu!F78</f>
        <v/>
      </c>
      <c r="I34" s="380" t="str">
        <f>Calcu!G78</f>
        <v/>
      </c>
    </row>
    <row r="35" spans="1:10" ht="15" customHeight="1">
      <c r="A35" s="274" t="str">
        <f>IF(Calcu!S23=TRUE,"","삭제")</f>
        <v>삭제</v>
      </c>
      <c r="B35" s="213"/>
      <c r="C35" s="213"/>
      <c r="D35" s="395">
        <v>15</v>
      </c>
      <c r="E35" s="398" t="str">
        <f>Calcu!C79</f>
        <v/>
      </c>
      <c r="F35" s="376" t="str">
        <f>Calcu!D79</f>
        <v/>
      </c>
      <c r="G35" s="396" t="str">
        <f>Calcu!E79</f>
        <v/>
      </c>
      <c r="H35" s="389" t="str">
        <f>Calcu!F79</f>
        <v/>
      </c>
      <c r="I35" s="390" t="str">
        <f>Calcu!G79</f>
        <v/>
      </c>
    </row>
    <row r="36" spans="1:10" ht="15" customHeight="1">
      <c r="A36" s="214"/>
      <c r="B36" s="213"/>
      <c r="C36" s="213"/>
      <c r="D36" s="374"/>
      <c r="E36" s="375"/>
      <c r="F36" s="374"/>
      <c r="G36" s="374"/>
      <c r="H36" s="374"/>
      <c r="I36" s="374"/>
    </row>
    <row r="37" spans="1:10" s="386" customFormat="1" ht="15" customHeight="1">
      <c r="A37" s="403"/>
      <c r="B37" s="213"/>
      <c r="C37" s="213"/>
      <c r="D37" s="384" t="s">
        <v>646</v>
      </c>
      <c r="E37" s="385"/>
      <c r="F37" s="213"/>
      <c r="G37" s="213"/>
      <c r="H37" s="213"/>
      <c r="I37" s="213"/>
    </row>
    <row r="38" spans="1:10" ht="15" customHeight="1">
      <c r="A38" s="274"/>
      <c r="D38" s="202"/>
      <c r="E38" s="203"/>
      <c r="F38" s="203"/>
      <c r="G38" s="202"/>
      <c r="H38" s="202"/>
      <c r="I38" s="406"/>
      <c r="J38" s="202"/>
    </row>
  </sheetData>
  <mergeCells count="9">
    <mergeCell ref="A1:K2"/>
    <mergeCell ref="D12:D20"/>
    <mergeCell ref="E12:E19"/>
    <mergeCell ref="H13:H19"/>
    <mergeCell ref="I13:I19"/>
    <mergeCell ref="F13:G13"/>
    <mergeCell ref="F14:G14"/>
    <mergeCell ref="F17:G18"/>
    <mergeCell ref="F12:I1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4" customWidth="1"/>
    <col min="4" max="4" width="5.77734375" style="54" customWidth="1"/>
    <col min="5" max="5" width="9.77734375" style="54" customWidth="1"/>
    <col min="6" max="6" width="11.77734375" style="55" customWidth="1"/>
    <col min="7" max="7" width="11.77734375" style="54" customWidth="1"/>
    <col min="8" max="9" width="9.77734375" style="54" customWidth="1"/>
    <col min="10" max="11" width="4.77734375" style="54" customWidth="1"/>
    <col min="12" max="16384" width="10.77734375" style="54"/>
  </cols>
  <sheetData>
    <row r="1" spans="1:11" s="2" customFormat="1" ht="33" customHeight="1">
      <c r="A1" s="547" t="s">
        <v>302</v>
      </c>
      <c r="B1" s="547"/>
      <c r="C1" s="547"/>
      <c r="D1" s="547"/>
      <c r="E1" s="547"/>
      <c r="F1" s="547"/>
      <c r="G1" s="547"/>
      <c r="H1" s="547"/>
      <c r="I1" s="547"/>
      <c r="J1" s="547"/>
      <c r="K1" s="547"/>
    </row>
    <row r="2" spans="1:11" s="2" customFormat="1" ht="33" customHeight="1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547"/>
    </row>
    <row r="3" spans="1:11" s="2" customFormat="1" ht="12.75" customHeight="1">
      <c r="A3" s="17" t="s">
        <v>37</v>
      </c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74" t="str">
        <f>IF(Calcu!B9=TRUE,"","삭제")</f>
        <v>삭제</v>
      </c>
      <c r="D6" s="104" t="str">
        <f>"○ Description : "&amp;기본정보!C$5</f>
        <v xml:space="preserve">○ Description : </v>
      </c>
      <c r="F6" s="54"/>
      <c r="G6" s="55"/>
    </row>
    <row r="7" spans="1:11" ht="15" customHeight="1">
      <c r="A7" s="214" t="str">
        <f>A6</f>
        <v>삭제</v>
      </c>
      <c r="D7" s="104" t="str">
        <f>"○ Manufacturer : "&amp;기본정보!C$6</f>
        <v xml:space="preserve">○ Manufacturer : </v>
      </c>
      <c r="F7" s="54"/>
      <c r="G7" s="55"/>
    </row>
    <row r="8" spans="1:11" ht="15" customHeight="1">
      <c r="A8" s="214" t="str">
        <f>A6</f>
        <v>삭제</v>
      </c>
      <c r="D8" s="104" t="str">
        <f>"○ Model Name : "&amp;기본정보!C$7</f>
        <v xml:space="preserve">○ Model Name : </v>
      </c>
      <c r="F8" s="54"/>
      <c r="G8" s="55"/>
    </row>
    <row r="9" spans="1:11" ht="15" customHeight="1">
      <c r="A9" s="214" t="str">
        <f>A6</f>
        <v>삭제</v>
      </c>
      <c r="D9" s="104" t="str">
        <f>"○ Serial Number : "&amp;기본정보!C$8</f>
        <v xml:space="preserve">○ Serial Number : </v>
      </c>
      <c r="F9" s="54"/>
      <c r="G9" s="55"/>
    </row>
    <row r="10" spans="1:11" ht="15" customHeight="1">
      <c r="A10" s="214" t="str">
        <f>A6</f>
        <v>삭제</v>
      </c>
      <c r="D10" s="104"/>
      <c r="F10" s="54"/>
      <c r="G10" s="55"/>
    </row>
    <row r="11" spans="1:11" ht="15" customHeight="1">
      <c r="A11" s="214" t="str">
        <f>A6</f>
        <v>삭제</v>
      </c>
      <c r="D11" s="57" t="s">
        <v>103</v>
      </c>
      <c r="F11" s="54"/>
      <c r="G11" s="55"/>
    </row>
    <row r="12" spans="1:11" s="386" customFormat="1" ht="15" customHeight="1">
      <c r="A12" s="403" t="str">
        <f>A6</f>
        <v>삭제</v>
      </c>
      <c r="D12" s="529" t="s">
        <v>640</v>
      </c>
      <c r="E12" s="532" t="s">
        <v>641</v>
      </c>
      <c r="F12" s="544" t="e">
        <f>Calcu!K103</f>
        <v>#N/A</v>
      </c>
      <c r="G12" s="545"/>
      <c r="H12" s="545"/>
      <c r="I12" s="546"/>
    </row>
    <row r="13" spans="1:11" s="386" customFormat="1" ht="15" customHeight="1">
      <c r="A13" s="403" t="str">
        <f>A6</f>
        <v>삭제</v>
      </c>
      <c r="D13" s="530"/>
      <c r="E13" s="533"/>
      <c r="F13" s="536" t="s">
        <v>642</v>
      </c>
      <c r="G13" s="537"/>
      <c r="H13" s="548" t="s">
        <v>643</v>
      </c>
      <c r="I13" s="535" t="s">
        <v>644</v>
      </c>
    </row>
    <row r="14" spans="1:11" s="386" customFormat="1" ht="15" customHeight="1">
      <c r="A14" s="403" t="str">
        <f>A6</f>
        <v>삭제</v>
      </c>
      <c r="D14" s="530"/>
      <c r="E14" s="533"/>
      <c r="F14" s="538"/>
      <c r="G14" s="539"/>
      <c r="H14" s="534"/>
      <c r="I14" s="535"/>
    </row>
    <row r="15" spans="1:11" s="386" customFormat="1" ht="15" customHeight="1">
      <c r="A15" s="403" t="str">
        <f t="shared" ref="A15:A20" si="0">A6</f>
        <v>삭제</v>
      </c>
      <c r="B15" s="387"/>
      <c r="C15" s="387"/>
      <c r="D15" s="530"/>
      <c r="E15" s="533"/>
      <c r="F15" s="436"/>
      <c r="G15" s="437"/>
      <c r="H15" s="534"/>
      <c r="I15" s="535"/>
    </row>
    <row r="16" spans="1:11" s="386" customFormat="1" ht="15" customHeight="1">
      <c r="A16" s="403" t="str">
        <f t="shared" si="0"/>
        <v>삭제</v>
      </c>
      <c r="B16" s="387"/>
      <c r="C16" s="387"/>
      <c r="D16" s="530"/>
      <c r="E16" s="533"/>
      <c r="F16" s="436"/>
      <c r="G16" s="437"/>
      <c r="H16" s="534"/>
      <c r="I16" s="535"/>
    </row>
    <row r="17" spans="1:9" s="386" customFormat="1" ht="15" customHeight="1">
      <c r="A17" s="403" t="str">
        <f t="shared" si="0"/>
        <v>삭제</v>
      </c>
      <c r="B17" s="387"/>
      <c r="C17" s="387"/>
      <c r="D17" s="530"/>
      <c r="E17" s="533"/>
      <c r="F17" s="540" t="e">
        <f>측정불확도추정보고서!N339</f>
        <v>#DIV/0!</v>
      </c>
      <c r="G17" s="541"/>
      <c r="H17" s="534"/>
      <c r="I17" s="535"/>
    </row>
    <row r="18" spans="1:9" s="386" customFormat="1" ht="15" customHeight="1">
      <c r="A18" s="403" t="str">
        <f t="shared" si="0"/>
        <v>삭제</v>
      </c>
      <c r="B18" s="387"/>
      <c r="C18" s="387"/>
      <c r="D18" s="530"/>
      <c r="E18" s="533"/>
      <c r="F18" s="542"/>
      <c r="G18" s="543"/>
      <c r="H18" s="534"/>
      <c r="I18" s="535"/>
    </row>
    <row r="19" spans="1:9" s="386" customFormat="1" ht="15" customHeight="1">
      <c r="A19" s="403" t="str">
        <f t="shared" si="0"/>
        <v>삭제</v>
      </c>
      <c r="B19" s="387"/>
      <c r="C19" s="387"/>
      <c r="D19" s="530"/>
      <c r="E19" s="533"/>
      <c r="F19" s="404"/>
      <c r="G19" s="405"/>
      <c r="H19" s="534"/>
      <c r="I19" s="535"/>
    </row>
    <row r="20" spans="1:9" s="386" customFormat="1" ht="15" customHeight="1">
      <c r="A20" s="403" t="str">
        <f t="shared" si="0"/>
        <v>삭제</v>
      </c>
      <c r="B20" s="387"/>
      <c r="C20" s="387"/>
      <c r="D20" s="531"/>
      <c r="E20" s="398">
        <f>Calcu!C64</f>
        <v>0</v>
      </c>
      <c r="F20" s="376">
        <f>Calcu!D64</f>
        <v>0</v>
      </c>
      <c r="G20" s="396">
        <f>Calcu!E64</f>
        <v>0</v>
      </c>
      <c r="H20" s="389">
        <f>Calcu!F64</f>
        <v>0</v>
      </c>
      <c r="I20" s="390">
        <f>Calcu!G64</f>
        <v>0</v>
      </c>
    </row>
    <row r="21" spans="1:9" s="386" customFormat="1" ht="15" customHeight="1">
      <c r="A21" s="274" t="str">
        <f>IF(Calcu!S9=TRUE,"","삭제")</f>
        <v>삭제</v>
      </c>
      <c r="B21" s="387"/>
      <c r="C21" s="387"/>
      <c r="D21" s="393">
        <v>1</v>
      </c>
      <c r="E21" s="399" t="str">
        <f>Calcu!C65</f>
        <v/>
      </c>
      <c r="F21" s="377" t="str">
        <f>Calcu!D65</f>
        <v/>
      </c>
      <c r="G21" s="397" t="str">
        <f>Calcu!E65</f>
        <v/>
      </c>
      <c r="H21" s="391" t="str">
        <f>Calcu!F65</f>
        <v/>
      </c>
      <c r="I21" s="392" t="str">
        <f>Calcu!G65</f>
        <v/>
      </c>
    </row>
    <row r="22" spans="1:9" s="386" customFormat="1" ht="15" customHeight="1">
      <c r="A22" s="274" t="str">
        <f>IF(Calcu!S10=TRUE,"","삭제")</f>
        <v>삭제</v>
      </c>
      <c r="B22" s="387"/>
      <c r="C22" s="387"/>
      <c r="D22" s="394">
        <v>2</v>
      </c>
      <c r="E22" s="400" t="str">
        <f>Calcu!C66</f>
        <v/>
      </c>
      <c r="F22" s="378" t="str">
        <f>Calcu!D66</f>
        <v/>
      </c>
      <c r="G22" s="401" t="str">
        <f>Calcu!E66</f>
        <v/>
      </c>
      <c r="H22" s="402" t="str">
        <f>Calcu!F66</f>
        <v/>
      </c>
      <c r="I22" s="388" t="str">
        <f>Calcu!G66</f>
        <v/>
      </c>
    </row>
    <row r="23" spans="1:9" s="386" customFormat="1" ht="15" customHeight="1">
      <c r="A23" s="274" t="str">
        <f>IF(Calcu!S11=TRUE,"","삭제")</f>
        <v>삭제</v>
      </c>
      <c r="B23" s="387"/>
      <c r="C23" s="387"/>
      <c r="D23" s="394">
        <v>3</v>
      </c>
      <c r="E23" s="400" t="str">
        <f>Calcu!C67</f>
        <v/>
      </c>
      <c r="F23" s="378" t="str">
        <f>Calcu!D67</f>
        <v/>
      </c>
      <c r="G23" s="401" t="str">
        <f>Calcu!E67</f>
        <v/>
      </c>
      <c r="H23" s="402" t="str">
        <f>Calcu!F67</f>
        <v/>
      </c>
      <c r="I23" s="388" t="str">
        <f>Calcu!G67</f>
        <v/>
      </c>
    </row>
    <row r="24" spans="1:9" s="386" customFormat="1" ht="15" customHeight="1">
      <c r="A24" s="274" t="str">
        <f>IF(Calcu!S12=TRUE,"","삭제")</f>
        <v>삭제</v>
      </c>
      <c r="B24" s="387"/>
      <c r="C24" s="387"/>
      <c r="D24" s="394">
        <v>4</v>
      </c>
      <c r="E24" s="400" t="str">
        <f>Calcu!C68</f>
        <v/>
      </c>
      <c r="F24" s="378" t="str">
        <f>Calcu!D68</f>
        <v/>
      </c>
      <c r="G24" s="401" t="str">
        <f>Calcu!E68</f>
        <v/>
      </c>
      <c r="H24" s="402" t="str">
        <f>Calcu!F68</f>
        <v/>
      </c>
      <c r="I24" s="388" t="str">
        <f>Calcu!G68</f>
        <v/>
      </c>
    </row>
    <row r="25" spans="1:9" s="386" customFormat="1" ht="15" customHeight="1">
      <c r="A25" s="274" t="str">
        <f>IF(Calcu!S13=TRUE,"","삭제")</f>
        <v>삭제</v>
      </c>
      <c r="D25" s="394">
        <v>5</v>
      </c>
      <c r="E25" s="400" t="str">
        <f>Calcu!C69</f>
        <v/>
      </c>
      <c r="F25" s="378" t="str">
        <f>Calcu!D69</f>
        <v/>
      </c>
      <c r="G25" s="401" t="str">
        <f>Calcu!E69</f>
        <v/>
      </c>
      <c r="H25" s="402" t="str">
        <f>Calcu!F69</f>
        <v/>
      </c>
      <c r="I25" s="388" t="str">
        <f>Calcu!G69</f>
        <v/>
      </c>
    </row>
    <row r="26" spans="1:9" s="386" customFormat="1" ht="15" customHeight="1">
      <c r="A26" s="274" t="str">
        <f>IF(Calcu!S14=TRUE,"","삭제")</f>
        <v>삭제</v>
      </c>
      <c r="D26" s="394">
        <v>6</v>
      </c>
      <c r="E26" s="400" t="str">
        <f>Calcu!C70</f>
        <v/>
      </c>
      <c r="F26" s="378" t="str">
        <f>Calcu!D70</f>
        <v/>
      </c>
      <c r="G26" s="401" t="str">
        <f>Calcu!E70</f>
        <v/>
      </c>
      <c r="H26" s="402" t="str">
        <f>Calcu!F70</f>
        <v/>
      </c>
      <c r="I26" s="388" t="str">
        <f>Calcu!G70</f>
        <v/>
      </c>
    </row>
    <row r="27" spans="1:9" s="386" customFormat="1" ht="15" customHeight="1">
      <c r="A27" s="274" t="str">
        <f>IF(Calcu!S15=TRUE,"","삭제")</f>
        <v>삭제</v>
      </c>
      <c r="D27" s="394">
        <v>7</v>
      </c>
      <c r="E27" s="400" t="str">
        <f>Calcu!C71</f>
        <v/>
      </c>
      <c r="F27" s="378" t="str">
        <f>Calcu!D71</f>
        <v/>
      </c>
      <c r="G27" s="401" t="str">
        <f>Calcu!E71</f>
        <v/>
      </c>
      <c r="H27" s="402" t="str">
        <f>Calcu!F71</f>
        <v/>
      </c>
      <c r="I27" s="388" t="str">
        <f>Calcu!G71</f>
        <v/>
      </c>
    </row>
    <row r="28" spans="1:9" s="386" customFormat="1" ht="15" customHeight="1">
      <c r="A28" s="274" t="str">
        <f>IF(Calcu!S16=TRUE,"","삭제")</f>
        <v>삭제</v>
      </c>
      <c r="D28" s="394">
        <v>8</v>
      </c>
      <c r="E28" s="400" t="str">
        <f>Calcu!C72</f>
        <v/>
      </c>
      <c r="F28" s="378" t="str">
        <f>Calcu!D72</f>
        <v/>
      </c>
      <c r="G28" s="401" t="str">
        <f>Calcu!E72</f>
        <v/>
      </c>
      <c r="H28" s="402" t="str">
        <f>Calcu!F72</f>
        <v/>
      </c>
      <c r="I28" s="388" t="str">
        <f>Calcu!G72</f>
        <v/>
      </c>
    </row>
    <row r="29" spans="1:9" s="386" customFormat="1" ht="15" customHeight="1">
      <c r="A29" s="274" t="str">
        <f>IF(Calcu!S17=TRUE,"","삭제")</f>
        <v>삭제</v>
      </c>
      <c r="D29" s="394">
        <v>9</v>
      </c>
      <c r="E29" s="400" t="str">
        <f>Calcu!C73</f>
        <v/>
      </c>
      <c r="F29" s="378" t="str">
        <f>Calcu!D73</f>
        <v/>
      </c>
      <c r="G29" s="401" t="str">
        <f>Calcu!E73</f>
        <v/>
      </c>
      <c r="H29" s="402" t="str">
        <f>Calcu!F73</f>
        <v/>
      </c>
      <c r="I29" s="388" t="str">
        <f>Calcu!G73</f>
        <v/>
      </c>
    </row>
    <row r="30" spans="1:9" s="386" customFormat="1" ht="15" customHeight="1">
      <c r="A30" s="274" t="str">
        <f>IF(Calcu!S18=TRUE,"","삭제")</f>
        <v>삭제</v>
      </c>
      <c r="D30" s="394">
        <v>10</v>
      </c>
      <c r="E30" s="400" t="str">
        <f>Calcu!C74</f>
        <v/>
      </c>
      <c r="F30" s="378" t="str">
        <f>Calcu!D74</f>
        <v/>
      </c>
      <c r="G30" s="401" t="str">
        <f>Calcu!E74</f>
        <v/>
      </c>
      <c r="H30" s="402" t="str">
        <f>Calcu!F74</f>
        <v/>
      </c>
      <c r="I30" s="388" t="str">
        <f>Calcu!G74</f>
        <v/>
      </c>
    </row>
    <row r="31" spans="1:9" s="386" customFormat="1" ht="15" customHeight="1">
      <c r="A31" s="274" t="str">
        <f>IF(Calcu!S19=TRUE,"","삭제")</f>
        <v>삭제</v>
      </c>
      <c r="D31" s="394">
        <v>11</v>
      </c>
      <c r="E31" s="383" t="str">
        <f>Calcu!C75</f>
        <v/>
      </c>
      <c r="F31" s="379" t="str">
        <f>Calcu!D75</f>
        <v/>
      </c>
      <c r="G31" s="382" t="str">
        <f>Calcu!E75</f>
        <v/>
      </c>
      <c r="H31" s="381" t="str">
        <f>Calcu!F75</f>
        <v/>
      </c>
      <c r="I31" s="380" t="str">
        <f>Calcu!G75</f>
        <v/>
      </c>
    </row>
    <row r="32" spans="1:9" s="386" customFormat="1" ht="15" customHeight="1">
      <c r="A32" s="274" t="str">
        <f>IF(Calcu!S20=TRUE,"","삭제")</f>
        <v>삭제</v>
      </c>
      <c r="D32" s="394">
        <v>12</v>
      </c>
      <c r="E32" s="383" t="str">
        <f>Calcu!C76</f>
        <v/>
      </c>
      <c r="F32" s="379" t="str">
        <f>Calcu!D76</f>
        <v/>
      </c>
      <c r="G32" s="382" t="str">
        <f>Calcu!E76</f>
        <v/>
      </c>
      <c r="H32" s="381" t="str">
        <f>Calcu!F76</f>
        <v/>
      </c>
      <c r="I32" s="380" t="str">
        <f>Calcu!G76</f>
        <v/>
      </c>
    </row>
    <row r="33" spans="1:11" s="386" customFormat="1" ht="15" customHeight="1">
      <c r="A33" s="274" t="str">
        <f>IF(Calcu!S21=TRUE,"","삭제")</f>
        <v>삭제</v>
      </c>
      <c r="D33" s="394">
        <v>13</v>
      </c>
      <c r="E33" s="383" t="str">
        <f>Calcu!C77</f>
        <v/>
      </c>
      <c r="F33" s="379" t="str">
        <f>Calcu!D77</f>
        <v/>
      </c>
      <c r="G33" s="382" t="str">
        <f>Calcu!E77</f>
        <v/>
      </c>
      <c r="H33" s="381" t="str">
        <f>Calcu!F77</f>
        <v/>
      </c>
      <c r="I33" s="380" t="str">
        <f>Calcu!G77</f>
        <v/>
      </c>
    </row>
    <row r="34" spans="1:11" s="386" customFormat="1" ht="15" customHeight="1">
      <c r="A34" s="274" t="str">
        <f>IF(Calcu!S22=TRUE,"","삭제")</f>
        <v>삭제</v>
      </c>
      <c r="D34" s="394">
        <v>14</v>
      </c>
      <c r="E34" s="383" t="str">
        <f>Calcu!C78</f>
        <v/>
      </c>
      <c r="F34" s="379" t="str">
        <f>Calcu!D78</f>
        <v/>
      </c>
      <c r="G34" s="382" t="str">
        <f>Calcu!E78</f>
        <v/>
      </c>
      <c r="H34" s="381" t="str">
        <f>Calcu!F78</f>
        <v/>
      </c>
      <c r="I34" s="380" t="str">
        <f>Calcu!G78</f>
        <v/>
      </c>
    </row>
    <row r="35" spans="1:11" s="386" customFormat="1" ht="15" customHeight="1">
      <c r="A35" s="274" t="str">
        <f>IF(Calcu!S23=TRUE,"","삭제")</f>
        <v>삭제</v>
      </c>
      <c r="B35" s="213"/>
      <c r="C35" s="213"/>
      <c r="D35" s="395">
        <v>15</v>
      </c>
      <c r="E35" s="398" t="str">
        <f>Calcu!C79</f>
        <v/>
      </c>
      <c r="F35" s="376" t="str">
        <f>Calcu!D79</f>
        <v/>
      </c>
      <c r="G35" s="396" t="str">
        <f>Calcu!E79</f>
        <v/>
      </c>
      <c r="H35" s="389" t="str">
        <f>Calcu!F79</f>
        <v/>
      </c>
      <c r="I35" s="390" t="str">
        <f>Calcu!G79</f>
        <v/>
      </c>
    </row>
    <row r="36" spans="1:11" s="386" customFormat="1" ht="15" customHeight="1">
      <c r="A36" s="403"/>
      <c r="B36" s="213"/>
      <c r="C36" s="213"/>
      <c r="D36" s="409"/>
      <c r="E36" s="375"/>
      <c r="F36" s="374"/>
      <c r="G36" s="374"/>
      <c r="H36" s="374"/>
      <c r="I36" s="374"/>
    </row>
    <row r="37" spans="1:11" s="386" customFormat="1" ht="15" customHeight="1">
      <c r="A37" s="403"/>
      <c r="B37" s="213"/>
      <c r="C37" s="213"/>
      <c r="D37" s="385" t="s">
        <v>645</v>
      </c>
      <c r="E37" s="385"/>
      <c r="F37" s="213"/>
      <c r="G37" s="213"/>
      <c r="H37" s="213"/>
      <c r="I37" s="213"/>
    </row>
    <row r="38" spans="1:11" s="386" customFormat="1" ht="15" customHeight="1">
      <c r="A38" s="274"/>
      <c r="D38" s="406"/>
      <c r="E38" s="407"/>
      <c r="F38" s="406"/>
      <c r="G38" s="406"/>
      <c r="H38" s="406"/>
      <c r="I38" s="406"/>
      <c r="J38" s="408"/>
      <c r="K38" s="54"/>
    </row>
    <row r="39" spans="1:11" s="386" customFormat="1" ht="15" customHeight="1">
      <c r="A39" s="403"/>
      <c r="F39" s="387"/>
      <c r="J39" s="54"/>
      <c r="K39" s="54"/>
    </row>
    <row r="40" spans="1:11" ht="15" customHeight="1">
      <c r="A40" s="214"/>
    </row>
    <row r="41" spans="1:11" ht="15" customHeight="1">
      <c r="A41" s="214"/>
    </row>
    <row r="42" spans="1:11" ht="15" customHeight="1">
      <c r="A42" s="214"/>
    </row>
    <row r="43" spans="1:11" ht="15" customHeight="1">
      <c r="A43" s="214"/>
    </row>
  </sheetData>
  <mergeCells count="8">
    <mergeCell ref="F13:G14"/>
    <mergeCell ref="A1:K2"/>
    <mergeCell ref="D12:D20"/>
    <mergeCell ref="E12:E19"/>
    <mergeCell ref="F12:I12"/>
    <mergeCell ref="H13:H19"/>
    <mergeCell ref="I13:I19"/>
    <mergeCell ref="F17:G18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87" customWidth="1"/>
    <col min="2" max="5" width="1.77734375" style="387" hidden="1" customWidth="1"/>
    <col min="6" max="6" width="9.21875" style="387" customWidth="1"/>
    <col min="7" max="7" width="4.44140625" style="387" bestFit="1" customWidth="1"/>
    <col min="8" max="8" width="8.77734375" style="387"/>
    <col min="9" max="9" width="1.77734375" style="387" customWidth="1"/>
    <col min="10" max="10" width="7.5546875" style="387" bestFit="1" customWidth="1"/>
    <col min="11" max="11" width="9.109375" style="387" bestFit="1" customWidth="1"/>
    <col min="12" max="12" width="5.21875" style="387" bestFit="1" customWidth="1"/>
    <col min="13" max="13" width="7.5546875" style="387" bestFit="1" customWidth="1"/>
    <col min="14" max="14" width="9.109375" style="387" bestFit="1" customWidth="1"/>
    <col min="15" max="15" width="5.21875" style="387" bestFit="1" customWidth="1"/>
    <col min="16" max="16" width="1.77734375" style="387" customWidth="1"/>
    <col min="17" max="17" width="10.33203125" style="387" customWidth="1"/>
    <col min="18" max="16384" width="8.77734375" style="387"/>
  </cols>
  <sheetData>
    <row r="1" spans="1:17" s="441" customFormat="1" ht="33" customHeight="1">
      <c r="A1" s="554" t="s">
        <v>715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</row>
    <row r="2" spans="1:17" s="441" customFormat="1" ht="33" customHeight="1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  <c r="O2" s="554"/>
      <c r="P2" s="554"/>
      <c r="Q2" s="554"/>
    </row>
    <row r="3" spans="1:17" s="441" customFormat="1" ht="12.75" customHeight="1">
      <c r="A3" s="442" t="s">
        <v>716</v>
      </c>
      <c r="B3" s="442"/>
      <c r="C3" s="442"/>
      <c r="D3" s="442"/>
      <c r="E3" s="442"/>
      <c r="F3" s="34"/>
      <c r="G3" s="34"/>
      <c r="H3" s="34"/>
      <c r="I3" s="34"/>
      <c r="J3" s="34"/>
      <c r="K3" s="34"/>
      <c r="L3" s="34"/>
      <c r="M3" s="34"/>
    </row>
    <row r="4" spans="1:17" s="445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33"/>
      <c r="E4" s="33"/>
      <c r="F4" s="35"/>
      <c r="G4" s="35"/>
      <c r="H4" s="35"/>
      <c r="I4" s="35"/>
      <c r="J4" s="35"/>
      <c r="K4" s="443"/>
      <c r="L4" s="20"/>
      <c r="M4" s="444"/>
      <c r="N4" s="444"/>
      <c r="O4" s="444"/>
      <c r="P4" s="444"/>
      <c r="Q4" s="444"/>
    </row>
    <row r="5" spans="1:17" s="385" customFormat="1" ht="15" customHeight="1"/>
    <row r="6" spans="1:17" ht="15" customHeight="1">
      <c r="F6" s="104" t="str">
        <f>"○ 품명 : "&amp;기본정보!C$5</f>
        <v xml:space="preserve">○ 품명 : </v>
      </c>
      <c r="G6" s="446"/>
    </row>
    <row r="7" spans="1:17" ht="15" customHeight="1">
      <c r="F7" s="104" t="str">
        <f>"○ 제작회사 : "&amp;기본정보!C$6</f>
        <v xml:space="preserve">○ 제작회사 : </v>
      </c>
      <c r="G7" s="446"/>
    </row>
    <row r="8" spans="1:17" ht="15" customHeight="1">
      <c r="F8" s="104" t="str">
        <f>"○ 형식 : "&amp;기본정보!C$7</f>
        <v xml:space="preserve">○ 형식 : </v>
      </c>
      <c r="G8" s="446"/>
    </row>
    <row r="9" spans="1:17" ht="15" customHeight="1">
      <c r="F9" s="104" t="str">
        <f>"○ 기기번호 : "&amp;기본정보!C$8</f>
        <v xml:space="preserve">○ 기기번호 : </v>
      </c>
      <c r="G9" s="446"/>
    </row>
    <row r="11" spans="1:17" ht="15" customHeight="1">
      <c r="F11" s="57" t="s">
        <v>122</v>
      </c>
      <c r="G11" s="57"/>
    </row>
    <row r="12" spans="1:17" ht="15" customHeight="1">
      <c r="A12" s="447"/>
      <c r="B12" s="447"/>
      <c r="C12" s="447"/>
      <c r="D12" s="447"/>
      <c r="E12" s="447"/>
    </row>
    <row r="13" spans="1:17" s="448" customFormat="1" ht="15" customHeight="1">
      <c r="B13" s="555"/>
      <c r="C13" s="557"/>
      <c r="D13" s="557"/>
      <c r="E13" s="559"/>
      <c r="F13" s="561" t="s">
        <v>717</v>
      </c>
      <c r="G13" s="563" t="s">
        <v>101</v>
      </c>
      <c r="H13" s="565" t="s">
        <v>718</v>
      </c>
      <c r="I13" s="567"/>
      <c r="J13" s="568" t="s">
        <v>719</v>
      </c>
      <c r="K13" s="568"/>
      <c r="L13" s="568"/>
      <c r="M13" s="549" t="s">
        <v>720</v>
      </c>
      <c r="N13" s="549"/>
      <c r="O13" s="549"/>
      <c r="P13" s="550"/>
      <c r="Q13" s="552" t="s">
        <v>721</v>
      </c>
    </row>
    <row r="14" spans="1:17" s="449" customFormat="1" ht="22.5">
      <c r="B14" s="556"/>
      <c r="C14" s="558"/>
      <c r="D14" s="558"/>
      <c r="E14" s="560"/>
      <c r="F14" s="562"/>
      <c r="G14" s="564"/>
      <c r="H14" s="566"/>
      <c r="I14" s="558"/>
      <c r="J14" s="456" t="s">
        <v>722</v>
      </c>
      <c r="K14" s="480" t="s">
        <v>724</v>
      </c>
      <c r="L14" s="480" t="s">
        <v>725</v>
      </c>
      <c r="M14" s="456" t="s">
        <v>726</v>
      </c>
      <c r="N14" s="480" t="s">
        <v>723</v>
      </c>
      <c r="O14" s="480" t="s">
        <v>727</v>
      </c>
      <c r="P14" s="551"/>
      <c r="Q14" s="553"/>
    </row>
    <row r="15" spans="1:17" ht="15" customHeight="1">
      <c r="A15" s="447" t="str">
        <f>IF(Calcu!S9=TRUE,"","삭제")</f>
        <v>삭제</v>
      </c>
      <c r="B15" s="450"/>
      <c r="C15" s="450"/>
      <c r="D15" s="450"/>
      <c r="F15" s="451" t="str">
        <f>IF(Calcu_ADJ!S9=FALSE,Calcu!C65,Calcu_ADJ!C65)</f>
        <v/>
      </c>
      <c r="G15" s="451">
        <f>Calcu!C$64</f>
        <v>0</v>
      </c>
      <c r="H15" s="451" t="str">
        <f>IF(Calcu_ADJ!S9=FALSE,Calcu!K65,Calcu_ADJ!K65)</f>
        <v/>
      </c>
      <c r="J15" s="387" t="str">
        <f>Calcu!E65</f>
        <v/>
      </c>
      <c r="K15" s="387" t="str">
        <f>Calcu!F65</f>
        <v/>
      </c>
      <c r="L15" s="387" t="str">
        <f>LEFT(Calcu!L65)</f>
        <v/>
      </c>
      <c r="M15" s="387" t="str">
        <f>Calcu_ADJ!E65</f>
        <v>-</v>
      </c>
      <c r="N15" s="387" t="str">
        <f>Calcu_ADJ!F65</f>
        <v>-</v>
      </c>
      <c r="O15" s="387" t="str">
        <f>LEFT(Calcu_ADJ!L65)</f>
        <v>-</v>
      </c>
      <c r="Q15" s="387" t="str">
        <f>IF(Calcu_ADJ!S9=FALSE,Calcu!G65,Calcu_ADJ!G65)</f>
        <v/>
      </c>
    </row>
    <row r="16" spans="1:17" ht="15" customHeight="1">
      <c r="A16" s="447" t="str">
        <f>IF(Calcu!S10=TRUE,"","삭제")</f>
        <v>삭제</v>
      </c>
      <c r="B16" s="450"/>
      <c r="C16" s="450"/>
      <c r="D16" s="450"/>
      <c r="F16" s="451" t="str">
        <f>IF(Calcu_ADJ!S10=FALSE,Calcu!C66,Calcu_ADJ!C66)</f>
        <v/>
      </c>
      <c r="G16" s="451">
        <f>Calcu!C$64</f>
        <v>0</v>
      </c>
      <c r="H16" s="451" t="str">
        <f>IF(Calcu_ADJ!S10=FALSE,Calcu!K66,Calcu_ADJ!K66)</f>
        <v/>
      </c>
      <c r="J16" s="387" t="str">
        <f>Calcu!E66</f>
        <v/>
      </c>
      <c r="K16" s="387" t="str">
        <f>Calcu!F66</f>
        <v/>
      </c>
      <c r="L16" s="387" t="str">
        <f>LEFT(Calcu!L66)</f>
        <v/>
      </c>
      <c r="M16" s="387" t="str">
        <f>Calcu_ADJ!E66</f>
        <v>-</v>
      </c>
      <c r="N16" s="387" t="str">
        <f>Calcu_ADJ!F66</f>
        <v>-</v>
      </c>
      <c r="O16" s="387" t="str">
        <f>LEFT(Calcu_ADJ!L66)</f>
        <v>-</v>
      </c>
      <c r="Q16" s="387" t="str">
        <f>IF(Calcu_ADJ!S10=FALSE,Calcu!G66,Calcu_ADJ!G66)</f>
        <v/>
      </c>
    </row>
    <row r="17" spans="1:17" ht="15" customHeight="1">
      <c r="A17" s="447" t="str">
        <f>IF(Calcu!S11=TRUE,"","삭제")</f>
        <v>삭제</v>
      </c>
      <c r="B17" s="450"/>
      <c r="C17" s="450"/>
      <c r="D17" s="450"/>
      <c r="F17" s="451" t="str">
        <f>IF(Calcu_ADJ!S11=FALSE,Calcu!C67,Calcu_ADJ!C67)</f>
        <v/>
      </c>
      <c r="G17" s="451">
        <f>Calcu!C$64</f>
        <v>0</v>
      </c>
      <c r="H17" s="451" t="str">
        <f>IF(Calcu_ADJ!S11=FALSE,Calcu!K67,Calcu_ADJ!K67)</f>
        <v/>
      </c>
      <c r="J17" s="387" t="str">
        <f>Calcu!E67</f>
        <v/>
      </c>
      <c r="K17" s="387" t="str">
        <f>Calcu!F67</f>
        <v/>
      </c>
      <c r="L17" s="387" t="str">
        <f>LEFT(Calcu!L67)</f>
        <v/>
      </c>
      <c r="M17" s="387" t="str">
        <f>Calcu_ADJ!E67</f>
        <v>-</v>
      </c>
      <c r="N17" s="387" t="str">
        <f>Calcu_ADJ!F67</f>
        <v>-</v>
      </c>
      <c r="O17" s="387" t="str">
        <f>LEFT(Calcu_ADJ!L67)</f>
        <v>-</v>
      </c>
      <c r="Q17" s="387" t="str">
        <f>IF(Calcu_ADJ!S11=FALSE,Calcu!G67,Calcu_ADJ!G67)</f>
        <v/>
      </c>
    </row>
    <row r="18" spans="1:17" ht="15" customHeight="1">
      <c r="A18" s="447" t="str">
        <f>IF(Calcu!S12=TRUE,"","삭제")</f>
        <v>삭제</v>
      </c>
      <c r="B18" s="450"/>
      <c r="C18" s="450"/>
      <c r="D18" s="450"/>
      <c r="F18" s="451" t="str">
        <f>IF(Calcu_ADJ!S12=FALSE,Calcu!C68,Calcu_ADJ!C68)</f>
        <v/>
      </c>
      <c r="G18" s="451">
        <f>Calcu!C$64</f>
        <v>0</v>
      </c>
      <c r="H18" s="451" t="str">
        <f>IF(Calcu_ADJ!S12=FALSE,Calcu!K68,Calcu_ADJ!K68)</f>
        <v/>
      </c>
      <c r="J18" s="387" t="str">
        <f>Calcu!E68</f>
        <v/>
      </c>
      <c r="K18" s="387" t="str">
        <f>Calcu!F68</f>
        <v/>
      </c>
      <c r="L18" s="387" t="str">
        <f>LEFT(Calcu!L68)</f>
        <v/>
      </c>
      <c r="M18" s="387" t="str">
        <f>Calcu_ADJ!E68</f>
        <v>-</v>
      </c>
      <c r="N18" s="387" t="str">
        <f>Calcu_ADJ!F68</f>
        <v>-</v>
      </c>
      <c r="O18" s="387" t="str">
        <f>LEFT(Calcu_ADJ!L68)</f>
        <v>-</v>
      </c>
      <c r="Q18" s="387" t="str">
        <f>IF(Calcu_ADJ!S12=FALSE,Calcu!G68,Calcu_ADJ!G68)</f>
        <v/>
      </c>
    </row>
    <row r="19" spans="1:17" ht="15" customHeight="1">
      <c r="A19" s="447" t="str">
        <f>IF(Calcu!S13=TRUE,"","삭제")</f>
        <v>삭제</v>
      </c>
      <c r="B19" s="450"/>
      <c r="C19" s="450"/>
      <c r="D19" s="450"/>
      <c r="F19" s="451" t="str">
        <f>IF(Calcu_ADJ!S13=FALSE,Calcu!C69,Calcu_ADJ!C69)</f>
        <v/>
      </c>
      <c r="G19" s="451">
        <f>Calcu!C$64</f>
        <v>0</v>
      </c>
      <c r="H19" s="451" t="str">
        <f>IF(Calcu_ADJ!S13=FALSE,Calcu!K69,Calcu_ADJ!K69)</f>
        <v/>
      </c>
      <c r="J19" s="387" t="str">
        <f>Calcu!E69</f>
        <v/>
      </c>
      <c r="K19" s="387" t="str">
        <f>Calcu!F69</f>
        <v/>
      </c>
      <c r="L19" s="387" t="str">
        <f>LEFT(Calcu!L69)</f>
        <v/>
      </c>
      <c r="M19" s="387" t="str">
        <f>Calcu_ADJ!E69</f>
        <v>-</v>
      </c>
      <c r="N19" s="387" t="str">
        <f>Calcu_ADJ!F69</f>
        <v>-</v>
      </c>
      <c r="O19" s="387" t="str">
        <f>LEFT(Calcu_ADJ!L69)</f>
        <v>-</v>
      </c>
      <c r="Q19" s="387" t="str">
        <f>IF(Calcu_ADJ!S13=FALSE,Calcu!G69,Calcu_ADJ!G69)</f>
        <v/>
      </c>
    </row>
    <row r="20" spans="1:17" ht="15" customHeight="1">
      <c r="A20" s="447" t="str">
        <f>IF(Calcu!S14=TRUE,"","삭제")</f>
        <v>삭제</v>
      </c>
      <c r="B20" s="450"/>
      <c r="C20" s="450"/>
      <c r="D20" s="450"/>
      <c r="F20" s="451" t="str">
        <f>IF(Calcu_ADJ!S14=FALSE,Calcu!C70,Calcu_ADJ!C70)</f>
        <v/>
      </c>
      <c r="G20" s="451">
        <f>Calcu!C$64</f>
        <v>0</v>
      </c>
      <c r="H20" s="451" t="str">
        <f>IF(Calcu_ADJ!S14=FALSE,Calcu!K70,Calcu_ADJ!K70)</f>
        <v/>
      </c>
      <c r="J20" s="387" t="str">
        <f>Calcu!E70</f>
        <v/>
      </c>
      <c r="K20" s="387" t="str">
        <f>Calcu!F70</f>
        <v/>
      </c>
      <c r="L20" s="387" t="str">
        <f>LEFT(Calcu!L70)</f>
        <v/>
      </c>
      <c r="M20" s="387" t="str">
        <f>Calcu_ADJ!E70</f>
        <v>-</v>
      </c>
      <c r="N20" s="387" t="str">
        <f>Calcu_ADJ!F70</f>
        <v>-</v>
      </c>
      <c r="O20" s="387" t="str">
        <f>LEFT(Calcu_ADJ!L70)</f>
        <v>-</v>
      </c>
      <c r="Q20" s="387" t="str">
        <f>IF(Calcu_ADJ!S14=FALSE,Calcu!G70,Calcu_ADJ!G70)</f>
        <v/>
      </c>
    </row>
    <row r="21" spans="1:17" ht="15" customHeight="1">
      <c r="A21" s="447" t="str">
        <f>IF(Calcu!S15=TRUE,"","삭제")</f>
        <v>삭제</v>
      </c>
      <c r="B21" s="450"/>
      <c r="C21" s="450"/>
      <c r="D21" s="450"/>
      <c r="F21" s="451" t="str">
        <f>IF(Calcu_ADJ!S15=FALSE,Calcu!C71,Calcu_ADJ!C71)</f>
        <v/>
      </c>
      <c r="G21" s="451">
        <f>Calcu!C$64</f>
        <v>0</v>
      </c>
      <c r="H21" s="451" t="str">
        <f>IF(Calcu_ADJ!S15=FALSE,Calcu!K71,Calcu_ADJ!K71)</f>
        <v/>
      </c>
      <c r="J21" s="387" t="str">
        <f>Calcu!E71</f>
        <v/>
      </c>
      <c r="K21" s="387" t="str">
        <f>Calcu!F71</f>
        <v/>
      </c>
      <c r="L21" s="387" t="str">
        <f>LEFT(Calcu!L71)</f>
        <v/>
      </c>
      <c r="M21" s="387" t="str">
        <f>Calcu_ADJ!E71</f>
        <v>-</v>
      </c>
      <c r="N21" s="387" t="str">
        <f>Calcu_ADJ!F71</f>
        <v>-</v>
      </c>
      <c r="O21" s="387" t="str">
        <f>LEFT(Calcu_ADJ!L71)</f>
        <v>-</v>
      </c>
      <c r="Q21" s="387" t="str">
        <f>IF(Calcu_ADJ!S15=FALSE,Calcu!G71,Calcu_ADJ!G71)</f>
        <v/>
      </c>
    </row>
    <row r="22" spans="1:17" ht="15" customHeight="1">
      <c r="A22" s="447" t="str">
        <f>IF(Calcu!S16=TRUE,"","삭제")</f>
        <v>삭제</v>
      </c>
      <c r="B22" s="450"/>
      <c r="C22" s="450"/>
      <c r="D22" s="450"/>
      <c r="F22" s="451" t="str">
        <f>IF(Calcu_ADJ!S16=FALSE,Calcu!C72,Calcu_ADJ!C72)</f>
        <v/>
      </c>
      <c r="G22" s="451">
        <f>Calcu!C$64</f>
        <v>0</v>
      </c>
      <c r="H22" s="451" t="str">
        <f>IF(Calcu_ADJ!S16=FALSE,Calcu!K72,Calcu_ADJ!K72)</f>
        <v/>
      </c>
      <c r="J22" s="387" t="str">
        <f>Calcu!E72</f>
        <v/>
      </c>
      <c r="K22" s="387" t="str">
        <f>Calcu!F72</f>
        <v/>
      </c>
      <c r="L22" s="387" t="str">
        <f>LEFT(Calcu!L72)</f>
        <v/>
      </c>
      <c r="M22" s="387" t="str">
        <f>Calcu_ADJ!E72</f>
        <v>-</v>
      </c>
      <c r="N22" s="387" t="str">
        <f>Calcu_ADJ!F72</f>
        <v>-</v>
      </c>
      <c r="O22" s="387" t="str">
        <f>LEFT(Calcu_ADJ!L72)</f>
        <v>-</v>
      </c>
      <c r="Q22" s="387" t="str">
        <f>IF(Calcu_ADJ!S16=FALSE,Calcu!G72,Calcu_ADJ!G72)</f>
        <v/>
      </c>
    </row>
    <row r="23" spans="1:17" ht="15" customHeight="1">
      <c r="A23" s="447" t="str">
        <f>IF(Calcu!S17=TRUE,"","삭제")</f>
        <v>삭제</v>
      </c>
      <c r="B23" s="450"/>
      <c r="C23" s="450"/>
      <c r="D23" s="450"/>
      <c r="F23" s="451" t="str">
        <f>IF(Calcu_ADJ!S17=FALSE,Calcu!C73,Calcu_ADJ!C73)</f>
        <v/>
      </c>
      <c r="G23" s="451">
        <f>Calcu!C$64</f>
        <v>0</v>
      </c>
      <c r="H23" s="451" t="str">
        <f>IF(Calcu_ADJ!S17=FALSE,Calcu!K73,Calcu_ADJ!K73)</f>
        <v/>
      </c>
      <c r="J23" s="387" t="str">
        <f>Calcu!E73</f>
        <v/>
      </c>
      <c r="K23" s="387" t="str">
        <f>Calcu!F73</f>
        <v/>
      </c>
      <c r="L23" s="387" t="str">
        <f>LEFT(Calcu!L73)</f>
        <v/>
      </c>
      <c r="M23" s="387" t="str">
        <f>Calcu_ADJ!E73</f>
        <v>-</v>
      </c>
      <c r="N23" s="387" t="str">
        <f>Calcu_ADJ!F73</f>
        <v>-</v>
      </c>
      <c r="O23" s="387" t="str">
        <f>LEFT(Calcu_ADJ!L73)</f>
        <v>-</v>
      </c>
      <c r="Q23" s="387" t="str">
        <f>IF(Calcu_ADJ!S17=FALSE,Calcu!G73,Calcu_ADJ!G73)</f>
        <v/>
      </c>
    </row>
    <row r="24" spans="1:17" ht="15" customHeight="1">
      <c r="A24" s="447" t="str">
        <f>IF(Calcu!S18=TRUE,"","삭제")</f>
        <v>삭제</v>
      </c>
      <c r="B24" s="450"/>
      <c r="C24" s="450"/>
      <c r="D24" s="450"/>
      <c r="F24" s="451" t="str">
        <f>IF(Calcu_ADJ!S18=FALSE,Calcu!C74,Calcu_ADJ!C74)</f>
        <v/>
      </c>
      <c r="G24" s="451">
        <f>Calcu!C$64</f>
        <v>0</v>
      </c>
      <c r="H24" s="451" t="str">
        <f>IF(Calcu_ADJ!S18=FALSE,Calcu!K74,Calcu_ADJ!K74)</f>
        <v/>
      </c>
      <c r="J24" s="387" t="str">
        <f>Calcu!E74</f>
        <v/>
      </c>
      <c r="K24" s="387" t="str">
        <f>Calcu!F74</f>
        <v/>
      </c>
      <c r="L24" s="387" t="str">
        <f>LEFT(Calcu!L74)</f>
        <v/>
      </c>
      <c r="M24" s="387" t="str">
        <f>Calcu_ADJ!E74</f>
        <v>-</v>
      </c>
      <c r="N24" s="387" t="str">
        <f>Calcu_ADJ!F74</f>
        <v>-</v>
      </c>
      <c r="O24" s="387" t="str">
        <f>LEFT(Calcu_ADJ!L74)</f>
        <v>-</v>
      </c>
      <c r="Q24" s="387" t="str">
        <f>IF(Calcu_ADJ!S18=FALSE,Calcu!G74,Calcu_ADJ!G74)</f>
        <v/>
      </c>
    </row>
    <row r="25" spans="1:17" ht="15" customHeight="1">
      <c r="A25" s="447" t="str">
        <f>IF(Calcu!S19=TRUE,"","삭제")</f>
        <v>삭제</v>
      </c>
      <c r="B25" s="450"/>
      <c r="C25" s="450"/>
      <c r="D25" s="450"/>
      <c r="F25" s="451" t="str">
        <f>IF(Calcu_ADJ!S19=FALSE,Calcu!C75,Calcu_ADJ!C75)</f>
        <v/>
      </c>
      <c r="G25" s="451">
        <f>Calcu!C$64</f>
        <v>0</v>
      </c>
      <c r="H25" s="451" t="str">
        <f>IF(Calcu_ADJ!S19=FALSE,Calcu!K75,Calcu_ADJ!K75)</f>
        <v/>
      </c>
      <c r="J25" s="387" t="str">
        <f>Calcu!E75</f>
        <v/>
      </c>
      <c r="K25" s="387" t="str">
        <f>Calcu!F75</f>
        <v/>
      </c>
      <c r="L25" s="387" t="str">
        <f>LEFT(Calcu!L75)</f>
        <v/>
      </c>
      <c r="M25" s="387" t="str">
        <f>Calcu_ADJ!E75</f>
        <v>-</v>
      </c>
      <c r="N25" s="387" t="str">
        <f>Calcu_ADJ!F75</f>
        <v>-</v>
      </c>
      <c r="O25" s="387" t="str">
        <f>LEFT(Calcu_ADJ!L75)</f>
        <v>-</v>
      </c>
      <c r="Q25" s="387" t="str">
        <f>IF(Calcu_ADJ!S19=FALSE,Calcu!G75,Calcu_ADJ!G75)</f>
        <v/>
      </c>
    </row>
    <row r="26" spans="1:17" ht="15" customHeight="1">
      <c r="A26" s="447" t="str">
        <f>IF(Calcu!S20=TRUE,"","삭제")</f>
        <v>삭제</v>
      </c>
      <c r="B26" s="450"/>
      <c r="C26" s="450"/>
      <c r="D26" s="450"/>
      <c r="F26" s="451" t="str">
        <f>IF(Calcu_ADJ!S20=FALSE,Calcu!C76,Calcu_ADJ!C76)</f>
        <v/>
      </c>
      <c r="G26" s="451">
        <f>Calcu!C$64</f>
        <v>0</v>
      </c>
      <c r="H26" s="451" t="str">
        <f>IF(Calcu_ADJ!S20=FALSE,Calcu!K76,Calcu_ADJ!K76)</f>
        <v/>
      </c>
      <c r="J26" s="387" t="str">
        <f>Calcu!E76</f>
        <v/>
      </c>
      <c r="K26" s="387" t="str">
        <f>Calcu!F76</f>
        <v/>
      </c>
      <c r="L26" s="387" t="str">
        <f>LEFT(Calcu!L76)</f>
        <v/>
      </c>
      <c r="M26" s="387" t="str">
        <f>Calcu_ADJ!E76</f>
        <v>-</v>
      </c>
      <c r="N26" s="387" t="str">
        <f>Calcu_ADJ!F76</f>
        <v>-</v>
      </c>
      <c r="O26" s="387" t="str">
        <f>LEFT(Calcu_ADJ!L76)</f>
        <v>-</v>
      </c>
      <c r="Q26" s="387" t="str">
        <f>IF(Calcu_ADJ!S20=FALSE,Calcu!G76,Calcu_ADJ!G76)</f>
        <v/>
      </c>
    </row>
    <row r="27" spans="1:17" ht="15" customHeight="1">
      <c r="A27" s="447" t="str">
        <f>IF(Calcu!S21=TRUE,"","삭제")</f>
        <v>삭제</v>
      </c>
      <c r="B27" s="450"/>
      <c r="C27" s="450"/>
      <c r="D27" s="450"/>
      <c r="F27" s="451" t="str">
        <f>IF(Calcu_ADJ!S21=FALSE,Calcu!C77,Calcu_ADJ!C77)</f>
        <v/>
      </c>
      <c r="G27" s="451">
        <f>Calcu!C$64</f>
        <v>0</v>
      </c>
      <c r="H27" s="451" t="str">
        <f>IF(Calcu_ADJ!S21=FALSE,Calcu!K77,Calcu_ADJ!K77)</f>
        <v/>
      </c>
      <c r="J27" s="387" t="str">
        <f>Calcu!E77</f>
        <v/>
      </c>
      <c r="K27" s="387" t="str">
        <f>Calcu!F77</f>
        <v/>
      </c>
      <c r="L27" s="387" t="str">
        <f>LEFT(Calcu!L77)</f>
        <v/>
      </c>
      <c r="M27" s="387" t="str">
        <f>Calcu_ADJ!E77</f>
        <v>-</v>
      </c>
      <c r="N27" s="387" t="str">
        <f>Calcu_ADJ!F77</f>
        <v>-</v>
      </c>
      <c r="O27" s="387" t="str">
        <f>LEFT(Calcu_ADJ!L77)</f>
        <v>-</v>
      </c>
      <c r="Q27" s="387" t="str">
        <f>IF(Calcu_ADJ!S21=FALSE,Calcu!G77,Calcu_ADJ!G77)</f>
        <v/>
      </c>
    </row>
    <row r="28" spans="1:17" ht="15" customHeight="1">
      <c r="A28" s="447" t="str">
        <f>IF(Calcu!S22=TRUE,"","삭제")</f>
        <v>삭제</v>
      </c>
      <c r="B28" s="450"/>
      <c r="C28" s="450"/>
      <c r="D28" s="450"/>
      <c r="F28" s="451" t="str">
        <f>IF(Calcu_ADJ!S22=FALSE,Calcu!C78,Calcu_ADJ!C78)</f>
        <v/>
      </c>
      <c r="G28" s="451">
        <f>Calcu!C$64</f>
        <v>0</v>
      </c>
      <c r="H28" s="451" t="str">
        <f>IF(Calcu_ADJ!S22=FALSE,Calcu!K78,Calcu_ADJ!K78)</f>
        <v/>
      </c>
      <c r="J28" s="387" t="str">
        <f>Calcu!E78</f>
        <v/>
      </c>
      <c r="K28" s="387" t="str">
        <f>Calcu!F78</f>
        <v/>
      </c>
      <c r="L28" s="387" t="str">
        <f>LEFT(Calcu!L78)</f>
        <v/>
      </c>
      <c r="M28" s="387" t="str">
        <f>Calcu_ADJ!E78</f>
        <v>-</v>
      </c>
      <c r="N28" s="387" t="str">
        <f>Calcu_ADJ!F78</f>
        <v>-</v>
      </c>
      <c r="O28" s="387" t="str">
        <f>LEFT(Calcu_ADJ!L78)</f>
        <v>-</v>
      </c>
      <c r="Q28" s="387" t="str">
        <f>IF(Calcu_ADJ!S22=FALSE,Calcu!G78,Calcu_ADJ!G78)</f>
        <v/>
      </c>
    </row>
    <row r="29" spans="1:17" ht="15" customHeight="1">
      <c r="A29" s="447" t="str">
        <f>IF(Calcu!S23=TRUE,"","삭제")</f>
        <v>삭제</v>
      </c>
      <c r="B29" s="450"/>
      <c r="C29" s="450"/>
      <c r="D29" s="450"/>
      <c r="F29" s="451" t="str">
        <f>IF(Calcu_ADJ!S23=FALSE,Calcu!C79,Calcu_ADJ!C79)</f>
        <v/>
      </c>
      <c r="G29" s="451">
        <f>Calcu!C$64</f>
        <v>0</v>
      </c>
      <c r="H29" s="451" t="str">
        <f>IF(Calcu_ADJ!S23=FALSE,Calcu!K79,Calcu_ADJ!K79)</f>
        <v/>
      </c>
      <c r="J29" s="387" t="str">
        <f>Calcu!E79</f>
        <v/>
      </c>
      <c r="K29" s="387" t="str">
        <f>Calcu!F79</f>
        <v/>
      </c>
      <c r="L29" s="387" t="str">
        <f>LEFT(Calcu!L79)</f>
        <v/>
      </c>
      <c r="M29" s="387" t="str">
        <f>Calcu_ADJ!E79</f>
        <v>-</v>
      </c>
      <c r="N29" s="387" t="str">
        <f>Calcu_ADJ!F79</f>
        <v>-</v>
      </c>
      <c r="O29" s="387" t="str">
        <f>LEFT(Calcu_ADJ!L79)</f>
        <v>-</v>
      </c>
      <c r="Q29" s="387" t="str">
        <f>IF(Calcu_ADJ!S23=FALSE,Calcu!G79,Calcu_ADJ!G79)</f>
        <v/>
      </c>
    </row>
    <row r="30" spans="1:17" ht="15" customHeight="1">
      <c r="A30" s="447"/>
      <c r="F30" s="451"/>
      <c r="G30" s="451"/>
      <c r="H30" s="451"/>
    </row>
    <row r="31" spans="1:17" ht="15" customHeight="1">
      <c r="A31" s="447"/>
      <c r="G31" s="452" t="s">
        <v>729</v>
      </c>
      <c r="H31" s="453">
        <v>2</v>
      </c>
      <c r="K31" s="454"/>
      <c r="Q31" s="452"/>
    </row>
    <row r="32" spans="1:17" ht="15" customHeight="1">
      <c r="B32" s="407"/>
      <c r="C32" s="407"/>
      <c r="D32" s="407"/>
      <c r="E32" s="407"/>
      <c r="F32" s="407"/>
      <c r="G32" s="407"/>
      <c r="H32" s="407"/>
      <c r="I32" s="407"/>
      <c r="J32" s="407"/>
      <c r="K32" s="407"/>
      <c r="L32" s="407"/>
      <c r="M32" s="407"/>
      <c r="N32" s="407"/>
      <c r="O32" s="407"/>
      <c r="P32" s="407"/>
      <c r="Q32" s="455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5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4" customWidth="1"/>
    <col min="4" max="4" width="6.77734375" style="54" customWidth="1"/>
    <col min="5" max="5" width="12.77734375" style="54" customWidth="1"/>
    <col min="6" max="6" width="12.77734375" style="55" customWidth="1"/>
    <col min="7" max="7" width="11.77734375" style="54" customWidth="1"/>
    <col min="8" max="8" width="14.77734375" style="54" customWidth="1"/>
    <col min="9" max="11" width="3.33203125" style="54" customWidth="1"/>
    <col min="12" max="16384" width="10.77734375" style="54"/>
  </cols>
  <sheetData>
    <row r="1" spans="1:11" s="2" customFormat="1" ht="33" customHeight="1">
      <c r="A1" s="528" t="s">
        <v>105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</row>
    <row r="2" spans="1:11" s="2" customFormat="1" ht="33" customHeight="1">
      <c r="A2" s="528"/>
      <c r="B2" s="528"/>
      <c r="C2" s="528"/>
      <c r="D2" s="528"/>
      <c r="E2" s="528"/>
      <c r="F2" s="528"/>
      <c r="G2" s="528"/>
      <c r="H2" s="528"/>
      <c r="I2" s="528"/>
      <c r="J2" s="528"/>
      <c r="K2" s="528"/>
    </row>
    <row r="3" spans="1:11" s="2" customFormat="1" ht="12.75" customHeight="1">
      <c r="A3" s="17"/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/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74" t="str">
        <f>IF(Calcu!B9=TRUE,"","삭제")</f>
        <v>삭제</v>
      </c>
      <c r="D6" s="104" t="str">
        <f>"○ 품명 : "&amp;기본정보!C$5</f>
        <v xml:space="preserve">○ 품명 : </v>
      </c>
      <c r="F6" s="54"/>
      <c r="G6" s="55"/>
    </row>
    <row r="7" spans="1:11" ht="15" customHeight="1">
      <c r="A7" s="214" t="str">
        <f>A6</f>
        <v>삭제</v>
      </c>
      <c r="D7" s="104" t="str">
        <f>"○ 제작회사 : "&amp;기본정보!C$6</f>
        <v xml:space="preserve">○ 제작회사 : </v>
      </c>
      <c r="F7" s="54"/>
      <c r="G7" s="55"/>
    </row>
    <row r="8" spans="1:11" ht="15" customHeight="1">
      <c r="A8" s="214" t="str">
        <f>A6</f>
        <v>삭제</v>
      </c>
      <c r="D8" s="104" t="str">
        <f>"○ 형식 : "&amp;기본정보!C$7</f>
        <v xml:space="preserve">○ 형식 : </v>
      </c>
      <c r="F8" s="54"/>
      <c r="G8" s="55"/>
    </row>
    <row r="9" spans="1:11" ht="15" customHeight="1">
      <c r="A9" s="214" t="str">
        <f>A6</f>
        <v>삭제</v>
      </c>
      <c r="D9" s="104" t="str">
        <f>"○ 기기번호 : "&amp;기본정보!C$8</f>
        <v xml:space="preserve">○ 기기번호 : </v>
      </c>
      <c r="F9" s="54"/>
      <c r="G9" s="55"/>
    </row>
    <row r="10" spans="1:11" ht="15" customHeight="1">
      <c r="A10" s="214" t="str">
        <f>A6</f>
        <v>삭제</v>
      </c>
      <c r="D10" s="104"/>
      <c r="F10" s="54"/>
      <c r="G10" s="55"/>
    </row>
    <row r="11" spans="1:11" s="55" customFormat="1" ht="15" customHeight="1">
      <c r="A11" s="214" t="str">
        <f>A6</f>
        <v>삭제</v>
      </c>
      <c r="B11" s="54"/>
      <c r="C11" s="54"/>
      <c r="D11" s="57" t="s">
        <v>74</v>
      </c>
      <c r="E11" s="54"/>
      <c r="F11" s="54"/>
      <c r="H11" s="54"/>
      <c r="I11" s="54"/>
      <c r="J11" s="54"/>
      <c r="K11" s="54"/>
    </row>
    <row r="12" spans="1:11" s="204" customFormat="1" ht="15" customHeight="1">
      <c r="A12" s="214" t="str">
        <f>A6</f>
        <v>삭제</v>
      </c>
      <c r="B12" s="54"/>
      <c r="C12" s="54"/>
      <c r="D12" s="529" t="s">
        <v>57</v>
      </c>
      <c r="E12" s="219" t="s">
        <v>69</v>
      </c>
      <c r="F12" s="544" t="e">
        <f>Calcu!$J$103</f>
        <v>#N/A</v>
      </c>
      <c r="G12" s="545"/>
      <c r="H12" s="546"/>
      <c r="I12" s="54"/>
      <c r="J12" s="54"/>
      <c r="K12" s="54"/>
    </row>
    <row r="13" spans="1:11" s="204" customFormat="1" ht="15" customHeight="1">
      <c r="A13" s="214" t="str">
        <f>A6</f>
        <v>삭제</v>
      </c>
      <c r="B13" s="54"/>
      <c r="C13" s="54"/>
      <c r="D13" s="530"/>
      <c r="E13" s="569" t="s">
        <v>64</v>
      </c>
      <c r="F13" s="571" t="s">
        <v>54</v>
      </c>
      <c r="G13" s="534" t="s">
        <v>73</v>
      </c>
      <c r="H13" s="573" t="s">
        <v>674</v>
      </c>
      <c r="I13" s="54"/>
      <c r="J13" s="54"/>
      <c r="K13" s="54"/>
    </row>
    <row r="14" spans="1:11" s="204" customFormat="1" ht="15" customHeight="1">
      <c r="A14" s="214" t="str">
        <f>A6</f>
        <v>삭제</v>
      </c>
      <c r="B14" s="54"/>
      <c r="C14" s="54"/>
      <c r="D14" s="530"/>
      <c r="E14" s="570"/>
      <c r="F14" s="572"/>
      <c r="G14" s="534"/>
      <c r="H14" s="574"/>
      <c r="I14" s="54"/>
      <c r="J14" s="54"/>
      <c r="K14" s="54"/>
    </row>
    <row r="15" spans="1:11" s="204" customFormat="1" ht="15" customHeight="1">
      <c r="A15" s="214" t="str">
        <f>A6</f>
        <v>삭제</v>
      </c>
      <c r="B15" s="55"/>
      <c r="C15" s="55"/>
      <c r="D15" s="531"/>
      <c r="E15" s="100">
        <f>Calcu!C64</f>
        <v>0</v>
      </c>
      <c r="F15" s="99">
        <f>Calcu!E64</f>
        <v>0</v>
      </c>
      <c r="G15" s="97">
        <f>Calcu!K64</f>
        <v>0</v>
      </c>
      <c r="H15" s="98"/>
      <c r="I15" s="54"/>
      <c r="J15" s="54"/>
      <c r="K15" s="54"/>
    </row>
    <row r="16" spans="1:11" s="204" customFormat="1" ht="15" customHeight="1">
      <c r="A16" s="274" t="str">
        <f>IF(Calcu!S9=TRUE,"","삭제")</f>
        <v>삭제</v>
      </c>
      <c r="B16" s="55"/>
      <c r="C16" s="55"/>
      <c r="D16" s="221">
        <f>Calcu!B65</f>
        <v>1</v>
      </c>
      <c r="E16" s="223" t="str">
        <f>Calcu!C65</f>
        <v/>
      </c>
      <c r="F16" s="224" t="str">
        <f>Calcu!E65</f>
        <v/>
      </c>
      <c r="G16" s="225" t="str">
        <f>Calcu!K65</f>
        <v/>
      </c>
      <c r="H16" s="226" t="str">
        <f>Calcu!L65</f>
        <v/>
      </c>
      <c r="I16" s="54"/>
      <c r="J16" s="54"/>
      <c r="K16" s="54"/>
    </row>
    <row r="17" spans="1:11" s="204" customFormat="1" ht="15" customHeight="1">
      <c r="A17" s="274" t="str">
        <f>IF(Calcu!S10=TRUE,"","삭제")</f>
        <v>삭제</v>
      </c>
      <c r="B17" s="55"/>
      <c r="C17" s="55"/>
      <c r="D17" s="220">
        <f>Calcu!B66</f>
        <v>2</v>
      </c>
      <c r="E17" s="227" t="str">
        <f>Calcu!C66</f>
        <v/>
      </c>
      <c r="F17" s="228" t="str">
        <f>Calcu!E66</f>
        <v/>
      </c>
      <c r="G17" s="229" t="str">
        <f>Calcu!K66</f>
        <v/>
      </c>
      <c r="H17" s="230" t="str">
        <f>Calcu!L66</f>
        <v/>
      </c>
      <c r="I17" s="54"/>
      <c r="J17" s="54"/>
      <c r="K17" s="54"/>
    </row>
    <row r="18" spans="1:11" s="204" customFormat="1" ht="15" customHeight="1">
      <c r="A18" s="274" t="str">
        <f>IF(Calcu!S11=TRUE,"","삭제")</f>
        <v>삭제</v>
      </c>
      <c r="B18" s="55"/>
      <c r="C18" s="55"/>
      <c r="D18" s="220">
        <f>Calcu!B67</f>
        <v>3</v>
      </c>
      <c r="E18" s="227" t="str">
        <f>Calcu!C67</f>
        <v/>
      </c>
      <c r="F18" s="228" t="str">
        <f>Calcu!E67</f>
        <v/>
      </c>
      <c r="G18" s="229" t="str">
        <f>Calcu!K67</f>
        <v/>
      </c>
      <c r="H18" s="230" t="str">
        <f>Calcu!L67</f>
        <v/>
      </c>
      <c r="I18" s="54"/>
      <c r="J18" s="54"/>
      <c r="K18" s="54"/>
    </row>
    <row r="19" spans="1:11" s="204" customFormat="1" ht="15" customHeight="1">
      <c r="A19" s="274" t="str">
        <f>IF(Calcu!S12=TRUE,"","삭제")</f>
        <v>삭제</v>
      </c>
      <c r="B19" s="55"/>
      <c r="C19" s="55"/>
      <c r="D19" s="220">
        <f>Calcu!B68</f>
        <v>4</v>
      </c>
      <c r="E19" s="227" t="str">
        <f>Calcu!C68</f>
        <v/>
      </c>
      <c r="F19" s="228" t="str">
        <f>Calcu!E68</f>
        <v/>
      </c>
      <c r="G19" s="229" t="str">
        <f>Calcu!K68</f>
        <v/>
      </c>
      <c r="H19" s="230" t="str">
        <f>Calcu!L68</f>
        <v/>
      </c>
      <c r="I19" s="54"/>
      <c r="J19" s="54"/>
      <c r="K19" s="54"/>
    </row>
    <row r="20" spans="1:11" s="204" customFormat="1" ht="15" customHeight="1">
      <c r="A20" s="274" t="str">
        <f>IF(Calcu!S13=TRUE,"","삭제")</f>
        <v>삭제</v>
      </c>
      <c r="B20" s="55"/>
      <c r="C20" s="55"/>
      <c r="D20" s="220">
        <f>Calcu!B69</f>
        <v>5</v>
      </c>
      <c r="E20" s="227" t="str">
        <f>Calcu!C69</f>
        <v/>
      </c>
      <c r="F20" s="228" t="str">
        <f>Calcu!E69</f>
        <v/>
      </c>
      <c r="G20" s="229" t="str">
        <f>Calcu!K69</f>
        <v/>
      </c>
      <c r="H20" s="230" t="str">
        <f>Calcu!L69</f>
        <v/>
      </c>
      <c r="I20" s="54"/>
      <c r="J20" s="54"/>
      <c r="K20" s="54"/>
    </row>
    <row r="21" spans="1:11" s="204" customFormat="1" ht="15" customHeight="1">
      <c r="A21" s="274" t="str">
        <f>IF(Calcu!S14=TRUE,"","삭제")</f>
        <v>삭제</v>
      </c>
      <c r="B21" s="55"/>
      <c r="C21" s="55"/>
      <c r="D21" s="220">
        <f>Calcu!B70</f>
        <v>6</v>
      </c>
      <c r="E21" s="227" t="str">
        <f>Calcu!C70</f>
        <v/>
      </c>
      <c r="F21" s="228" t="str">
        <f>Calcu!E70</f>
        <v/>
      </c>
      <c r="G21" s="229" t="str">
        <f>Calcu!K70</f>
        <v/>
      </c>
      <c r="H21" s="230" t="str">
        <f>Calcu!L70</f>
        <v/>
      </c>
      <c r="I21" s="54"/>
      <c r="J21" s="54"/>
      <c r="K21" s="54"/>
    </row>
    <row r="22" spans="1:11" s="204" customFormat="1" ht="15" customHeight="1">
      <c r="A22" s="274" t="str">
        <f>IF(Calcu!S15=TRUE,"","삭제")</f>
        <v>삭제</v>
      </c>
      <c r="B22" s="55"/>
      <c r="C22" s="55"/>
      <c r="D22" s="220">
        <f>Calcu!B71</f>
        <v>7</v>
      </c>
      <c r="E22" s="227" t="str">
        <f>Calcu!C71</f>
        <v/>
      </c>
      <c r="F22" s="228" t="str">
        <f>Calcu!E71</f>
        <v/>
      </c>
      <c r="G22" s="229" t="str">
        <f>Calcu!K71</f>
        <v/>
      </c>
      <c r="H22" s="230" t="str">
        <f>Calcu!L71</f>
        <v/>
      </c>
      <c r="I22" s="54"/>
      <c r="J22" s="54"/>
      <c r="K22" s="54"/>
    </row>
    <row r="23" spans="1:11" s="204" customFormat="1" ht="15" customHeight="1">
      <c r="A23" s="274" t="str">
        <f>IF(Calcu!S16=TRUE,"","삭제")</f>
        <v>삭제</v>
      </c>
      <c r="B23" s="55"/>
      <c r="C23" s="55"/>
      <c r="D23" s="220">
        <f>Calcu!B72</f>
        <v>8</v>
      </c>
      <c r="E23" s="227" t="str">
        <f>Calcu!C72</f>
        <v/>
      </c>
      <c r="F23" s="228" t="str">
        <f>Calcu!E72</f>
        <v/>
      </c>
      <c r="G23" s="229" t="str">
        <f>Calcu!K72</f>
        <v/>
      </c>
      <c r="H23" s="230" t="str">
        <f>Calcu!L72</f>
        <v/>
      </c>
      <c r="I23" s="54"/>
      <c r="J23" s="54"/>
      <c r="K23" s="54"/>
    </row>
    <row r="24" spans="1:11" s="204" customFormat="1" ht="15" customHeight="1">
      <c r="A24" s="274" t="str">
        <f>IF(Calcu!S17=TRUE,"","삭제")</f>
        <v>삭제</v>
      </c>
      <c r="B24" s="55"/>
      <c r="C24" s="55"/>
      <c r="D24" s="220">
        <f>Calcu!B73</f>
        <v>9</v>
      </c>
      <c r="E24" s="227" t="str">
        <f>Calcu!C73</f>
        <v/>
      </c>
      <c r="F24" s="228" t="str">
        <f>Calcu!E73</f>
        <v/>
      </c>
      <c r="G24" s="229" t="str">
        <f>Calcu!K73</f>
        <v/>
      </c>
      <c r="H24" s="230" t="str">
        <f>Calcu!L73</f>
        <v/>
      </c>
      <c r="I24" s="54"/>
      <c r="J24" s="54"/>
      <c r="K24" s="54"/>
    </row>
    <row r="25" spans="1:11" s="204" customFormat="1" ht="15" customHeight="1">
      <c r="A25" s="274" t="str">
        <f>IF(Calcu!S18=TRUE,"","삭제")</f>
        <v>삭제</v>
      </c>
      <c r="B25" s="54"/>
      <c r="C25" s="54"/>
      <c r="D25" s="220">
        <f>Calcu!B74</f>
        <v>10</v>
      </c>
      <c r="E25" s="227" t="str">
        <f>Calcu!C74</f>
        <v/>
      </c>
      <c r="F25" s="228" t="str">
        <f>Calcu!E74</f>
        <v/>
      </c>
      <c r="G25" s="229" t="str">
        <f>Calcu!K74</f>
        <v/>
      </c>
      <c r="H25" s="230" t="str">
        <f>Calcu!L74</f>
        <v/>
      </c>
      <c r="I25" s="54"/>
      <c r="J25" s="54"/>
      <c r="K25" s="54"/>
    </row>
    <row r="26" spans="1:11" s="204" customFormat="1" ht="15" customHeight="1">
      <c r="A26" s="274" t="str">
        <f>IF(Calcu!S19=TRUE,"","삭제")</f>
        <v>삭제</v>
      </c>
      <c r="B26" s="54"/>
      <c r="C26" s="54"/>
      <c r="D26" s="220">
        <f>Calcu!B75</f>
        <v>11</v>
      </c>
      <c r="E26" s="227" t="str">
        <f>Calcu!C75</f>
        <v/>
      </c>
      <c r="F26" s="228" t="str">
        <f>Calcu!E75</f>
        <v/>
      </c>
      <c r="G26" s="229" t="str">
        <f>Calcu!K75</f>
        <v/>
      </c>
      <c r="H26" s="230" t="str">
        <f>Calcu!L75</f>
        <v/>
      </c>
      <c r="I26" s="54"/>
      <c r="J26" s="54"/>
      <c r="K26" s="54"/>
    </row>
    <row r="27" spans="1:11" s="204" customFormat="1" ht="15" customHeight="1">
      <c r="A27" s="274" t="str">
        <f>IF(Calcu!S20=TRUE,"","삭제")</f>
        <v>삭제</v>
      </c>
      <c r="B27" s="54"/>
      <c r="C27" s="54"/>
      <c r="D27" s="220">
        <f>Calcu!B76</f>
        <v>12</v>
      </c>
      <c r="E27" s="227" t="str">
        <f>Calcu!C76</f>
        <v/>
      </c>
      <c r="F27" s="228" t="str">
        <f>Calcu!E76</f>
        <v/>
      </c>
      <c r="G27" s="229" t="str">
        <f>Calcu!K76</f>
        <v/>
      </c>
      <c r="H27" s="230" t="str">
        <f>Calcu!L76</f>
        <v/>
      </c>
      <c r="I27" s="54"/>
      <c r="J27" s="54"/>
      <c r="K27" s="54"/>
    </row>
    <row r="28" spans="1:11" s="204" customFormat="1" ht="15" customHeight="1">
      <c r="A28" s="274" t="str">
        <f>IF(Calcu!S21=TRUE,"","삭제")</f>
        <v>삭제</v>
      </c>
      <c r="B28" s="54"/>
      <c r="C28" s="54"/>
      <c r="D28" s="220">
        <f>Calcu!B77</f>
        <v>13</v>
      </c>
      <c r="E28" s="227" t="str">
        <f>Calcu!C77</f>
        <v/>
      </c>
      <c r="F28" s="228" t="str">
        <f>Calcu!E77</f>
        <v/>
      </c>
      <c r="G28" s="229" t="str">
        <f>Calcu!K77</f>
        <v/>
      </c>
      <c r="H28" s="230" t="str">
        <f>Calcu!L77</f>
        <v/>
      </c>
      <c r="I28" s="54"/>
      <c r="J28" s="54"/>
      <c r="K28" s="54"/>
    </row>
    <row r="29" spans="1:11" s="204" customFormat="1" ht="15" customHeight="1">
      <c r="A29" s="274" t="str">
        <f>IF(Calcu!S22=TRUE,"","삭제")</f>
        <v>삭제</v>
      </c>
      <c r="B29" s="54"/>
      <c r="C29" s="54"/>
      <c r="D29" s="220">
        <f>Calcu!B78</f>
        <v>14</v>
      </c>
      <c r="E29" s="227" t="str">
        <f>Calcu!C78</f>
        <v/>
      </c>
      <c r="F29" s="228" t="str">
        <f>Calcu!E78</f>
        <v/>
      </c>
      <c r="G29" s="229" t="str">
        <f>Calcu!K78</f>
        <v/>
      </c>
      <c r="H29" s="230" t="str">
        <f>Calcu!L78</f>
        <v/>
      </c>
      <c r="I29" s="54"/>
      <c r="J29" s="54"/>
      <c r="K29" s="54"/>
    </row>
    <row r="30" spans="1:11" s="204" customFormat="1" ht="15" customHeight="1">
      <c r="A30" s="274" t="str">
        <f>IF(Calcu!S23=TRUE,"","삭제")</f>
        <v>삭제</v>
      </c>
      <c r="B30" s="54"/>
      <c r="C30" s="54"/>
      <c r="D30" s="222">
        <f>Calcu!B79</f>
        <v>15</v>
      </c>
      <c r="E30" s="231" t="str">
        <f>Calcu!C79</f>
        <v/>
      </c>
      <c r="F30" s="232" t="str">
        <f>Calcu!E79</f>
        <v/>
      </c>
      <c r="G30" s="233" t="str">
        <f>Calcu!K79</f>
        <v/>
      </c>
      <c r="H30" s="234" t="str">
        <f>Calcu!L79</f>
        <v/>
      </c>
      <c r="I30" s="54"/>
      <c r="J30" s="54"/>
      <c r="K30" s="54"/>
    </row>
    <row r="31" spans="1:11" ht="15" customHeight="1">
      <c r="A31" s="214"/>
      <c r="D31" s="272"/>
      <c r="E31" s="272"/>
      <c r="F31" s="272"/>
      <c r="G31" s="272"/>
      <c r="H31" s="273"/>
      <c r="I31" s="235"/>
      <c r="J31" s="55"/>
      <c r="K31" s="55"/>
    </row>
  </sheetData>
  <mergeCells count="7">
    <mergeCell ref="A1:K2"/>
    <mergeCell ref="D12:D15"/>
    <mergeCell ref="F12:H12"/>
    <mergeCell ref="E13:E14"/>
    <mergeCell ref="F13:F14"/>
    <mergeCell ref="G13:G14"/>
    <mergeCell ref="H13:H14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showWhiteSpace="0" zoomScaleSheetLayoutView="100" workbookViewId="0">
      <selection sqref="A1:J2"/>
    </sheetView>
  </sheetViews>
  <sheetFormatPr defaultColWidth="10.77734375" defaultRowHeight="15" customHeight="1"/>
  <cols>
    <col min="1" max="2" width="3.77734375" style="204" customWidth="1"/>
    <col min="3" max="3" width="11.109375" style="204" customWidth="1"/>
    <col min="4" max="4" width="11.109375" style="205" customWidth="1"/>
    <col min="5" max="8" width="11.109375" style="204" customWidth="1"/>
    <col min="9" max="10" width="3.77734375" style="204" customWidth="1"/>
    <col min="11" max="16384" width="10.77734375" style="204"/>
  </cols>
  <sheetData>
    <row r="1" spans="1:10" s="2" customFormat="1" ht="33" customHeight="1">
      <c r="A1" s="528" t="s">
        <v>72</v>
      </c>
      <c r="B1" s="528"/>
      <c r="C1" s="528"/>
      <c r="D1" s="528"/>
      <c r="E1" s="528"/>
      <c r="F1" s="528"/>
      <c r="G1" s="528"/>
      <c r="H1" s="528"/>
      <c r="I1" s="528"/>
      <c r="J1" s="528"/>
    </row>
    <row r="2" spans="1:10" s="2" customFormat="1" ht="33" customHeight="1">
      <c r="A2" s="528"/>
      <c r="B2" s="528"/>
      <c r="C2" s="528"/>
      <c r="D2" s="528"/>
      <c r="E2" s="528"/>
      <c r="F2" s="528"/>
      <c r="G2" s="528"/>
      <c r="H2" s="528"/>
      <c r="I2" s="528"/>
      <c r="J2" s="528"/>
    </row>
    <row r="3" spans="1:10" s="2" customFormat="1" ht="12.75" customHeight="1">
      <c r="A3" s="17"/>
      <c r="B3" s="17"/>
      <c r="C3" s="16"/>
      <c r="D3" s="34"/>
      <c r="E3" s="16"/>
      <c r="F3" s="16"/>
      <c r="G3" s="16"/>
      <c r="H3" s="16"/>
      <c r="I3" s="16"/>
      <c r="J3" s="16"/>
    </row>
    <row r="4" spans="1:10" s="1" customFormat="1" ht="13.5" customHeight="1">
      <c r="A4" s="33"/>
      <c r="B4" s="33"/>
      <c r="C4" s="18"/>
      <c r="D4" s="35"/>
      <c r="E4" s="19"/>
      <c r="F4" s="18"/>
      <c r="G4" s="18"/>
      <c r="H4" s="212"/>
      <c r="I4" s="20"/>
      <c r="J4" s="19"/>
    </row>
    <row r="5" spans="1:10" s="211" customFormat="1" ht="15" customHeight="1">
      <c r="A5" s="52"/>
      <c r="B5" s="52"/>
      <c r="C5" s="52"/>
      <c r="D5" s="53"/>
      <c r="E5" s="52"/>
      <c r="F5" s="52"/>
      <c r="G5" s="52"/>
      <c r="H5" s="52"/>
      <c r="I5" s="52"/>
      <c r="J5" s="52"/>
    </row>
    <row r="6" spans="1:10" s="211" customFormat="1" ht="15" customHeight="1">
      <c r="A6" s="384"/>
      <c r="B6" s="414" t="str">
        <f>"■ "&amp;기본정보!C4</f>
        <v xml:space="preserve">■ </v>
      </c>
      <c r="C6" s="415"/>
      <c r="D6" s="415"/>
      <c r="E6" s="415"/>
      <c r="F6" s="416"/>
      <c r="G6" s="417"/>
      <c r="H6" s="418"/>
      <c r="I6" s="419"/>
      <c r="J6" s="384"/>
    </row>
    <row r="7" spans="1:10" s="211" customFormat="1" ht="15" customHeight="1">
      <c r="A7" s="384"/>
      <c r="B7" s="414"/>
      <c r="C7" s="415"/>
      <c r="D7" s="415"/>
      <c r="E7" s="415"/>
      <c r="F7" s="416"/>
      <c r="G7" s="417"/>
      <c r="H7" s="418"/>
      <c r="I7" s="419"/>
      <c r="J7" s="384"/>
    </row>
    <row r="8" spans="1:10" s="211" customFormat="1" ht="15" customHeight="1">
      <c r="A8" s="384"/>
      <c r="B8" s="420"/>
      <c r="C8" s="575" t="s">
        <v>653</v>
      </c>
      <c r="D8" s="576"/>
      <c r="E8" s="596">
        <f>기본정보!C7</f>
        <v>0</v>
      </c>
      <c r="F8" s="596"/>
      <c r="G8" s="596">
        <f>기본정보!C8</f>
        <v>0</v>
      </c>
      <c r="H8" s="596"/>
      <c r="I8" s="418"/>
      <c r="J8" s="384"/>
    </row>
    <row r="9" spans="1:10" s="211" customFormat="1" ht="15" customHeight="1">
      <c r="A9" s="384"/>
      <c r="B9" s="420"/>
      <c r="C9" s="577"/>
      <c r="D9" s="578"/>
      <c r="E9" s="596"/>
      <c r="F9" s="596"/>
      <c r="G9" s="596"/>
      <c r="H9" s="596"/>
      <c r="I9" s="418"/>
      <c r="J9" s="384"/>
    </row>
    <row r="10" spans="1:10" s="211" customFormat="1" ht="15" customHeight="1">
      <c r="A10" s="384"/>
      <c r="B10" s="420"/>
      <c r="C10" s="579"/>
      <c r="D10" s="580"/>
      <c r="E10" s="596"/>
      <c r="F10" s="596"/>
      <c r="G10" s="596"/>
      <c r="H10" s="596"/>
      <c r="I10" s="418"/>
      <c r="J10" s="384"/>
    </row>
    <row r="11" spans="1:10" s="211" customFormat="1" ht="15" customHeight="1">
      <c r="A11" s="384"/>
      <c r="B11" s="420"/>
      <c r="C11" s="581" t="s">
        <v>654</v>
      </c>
      <c r="D11" s="582"/>
      <c r="E11" s="598" t="e">
        <f>Calcu!C85</f>
        <v>#DIV/0!</v>
      </c>
      <c r="F11" s="599"/>
      <c r="G11" s="599"/>
      <c r="H11" s="600"/>
      <c r="I11" s="418"/>
      <c r="J11" s="384"/>
    </row>
    <row r="12" spans="1:10" s="211" customFormat="1" ht="15" customHeight="1">
      <c r="A12" s="384"/>
      <c r="B12" s="420"/>
      <c r="C12" s="597"/>
      <c r="D12" s="584"/>
      <c r="E12" s="601"/>
      <c r="F12" s="602"/>
      <c r="G12" s="602"/>
      <c r="H12" s="603"/>
      <c r="I12" s="418"/>
      <c r="J12" s="384"/>
    </row>
    <row r="13" spans="1:10" s="211" customFormat="1" ht="15" customHeight="1">
      <c r="A13" s="384"/>
      <c r="B13" s="420"/>
      <c r="C13" s="597"/>
      <c r="D13" s="584"/>
      <c r="E13" s="601"/>
      <c r="F13" s="602"/>
      <c r="G13" s="602"/>
      <c r="H13" s="603"/>
      <c r="I13" s="418"/>
      <c r="J13" s="384"/>
    </row>
    <row r="14" spans="1:10" s="211" customFormat="1" ht="15" customHeight="1">
      <c r="A14" s="384"/>
      <c r="B14" s="420"/>
      <c r="C14" s="597"/>
      <c r="D14" s="584"/>
      <c r="E14" s="601"/>
      <c r="F14" s="602"/>
      <c r="G14" s="602"/>
      <c r="H14" s="603"/>
      <c r="I14" s="418"/>
      <c r="J14" s="384"/>
    </row>
    <row r="15" spans="1:10" s="211" customFormat="1" ht="15" customHeight="1">
      <c r="A15" s="384"/>
      <c r="B15" s="420"/>
      <c r="C15" s="597"/>
      <c r="D15" s="584"/>
      <c r="E15" s="601"/>
      <c r="F15" s="602"/>
      <c r="G15" s="602"/>
      <c r="H15" s="603"/>
      <c r="I15" s="418"/>
      <c r="J15" s="384"/>
    </row>
    <row r="16" spans="1:10" s="211" customFormat="1" ht="15" customHeight="1">
      <c r="A16" s="384"/>
      <c r="B16" s="420"/>
      <c r="C16" s="597"/>
      <c r="D16" s="584"/>
      <c r="E16" s="601"/>
      <c r="F16" s="602"/>
      <c r="G16" s="602"/>
      <c r="H16" s="603"/>
      <c r="I16" s="418"/>
      <c r="J16" s="384"/>
    </row>
    <row r="17" spans="1:10" s="211" customFormat="1" ht="15" customHeight="1">
      <c r="A17" s="384"/>
      <c r="B17" s="420"/>
      <c r="C17" s="585"/>
      <c r="D17" s="586"/>
      <c r="E17" s="604"/>
      <c r="F17" s="605"/>
      <c r="G17" s="605"/>
      <c r="H17" s="606"/>
      <c r="I17" s="418"/>
      <c r="J17" s="384"/>
    </row>
    <row r="18" spans="1:10" s="211" customFormat="1" ht="15" customHeight="1">
      <c r="A18" s="384"/>
      <c r="B18" s="420"/>
      <c r="C18" s="581" t="s">
        <v>655</v>
      </c>
      <c r="D18" s="582"/>
      <c r="E18" s="607">
        <f>Calcu!L85</f>
        <v>0</v>
      </c>
      <c r="F18" s="608"/>
      <c r="G18" s="608"/>
      <c r="H18" s="609"/>
      <c r="I18" s="418"/>
      <c r="J18" s="384"/>
    </row>
    <row r="19" spans="1:10" s="211" customFormat="1" ht="15" customHeight="1">
      <c r="A19" s="384"/>
      <c r="B19" s="420"/>
      <c r="C19" s="597"/>
      <c r="D19" s="584"/>
      <c r="E19" s="610"/>
      <c r="F19" s="611"/>
      <c r="G19" s="611"/>
      <c r="H19" s="612"/>
      <c r="I19" s="418"/>
      <c r="J19" s="384"/>
    </row>
    <row r="20" spans="1:10" s="211" customFormat="1" ht="15" customHeight="1">
      <c r="A20" s="384"/>
      <c r="B20" s="420"/>
      <c r="C20" s="597"/>
      <c r="D20" s="584"/>
      <c r="E20" s="610"/>
      <c r="F20" s="611"/>
      <c r="G20" s="611"/>
      <c r="H20" s="612"/>
      <c r="I20" s="418"/>
      <c r="J20" s="384"/>
    </row>
    <row r="21" spans="1:10" s="211" customFormat="1" ht="15" customHeight="1">
      <c r="A21" s="384"/>
      <c r="B21" s="420"/>
      <c r="C21" s="597"/>
      <c r="D21" s="584"/>
      <c r="E21" s="610"/>
      <c r="F21" s="611"/>
      <c r="G21" s="611"/>
      <c r="H21" s="612"/>
      <c r="I21" s="418"/>
      <c r="J21" s="384"/>
    </row>
    <row r="22" spans="1:10" s="211" customFormat="1" ht="15" customHeight="1">
      <c r="A22" s="384"/>
      <c r="B22" s="420"/>
      <c r="C22" s="597"/>
      <c r="D22" s="584"/>
      <c r="E22" s="610"/>
      <c r="F22" s="611"/>
      <c r="G22" s="611"/>
      <c r="H22" s="612"/>
      <c r="I22" s="418"/>
      <c r="J22" s="384"/>
    </row>
    <row r="23" spans="1:10" s="211" customFormat="1" ht="15" customHeight="1">
      <c r="A23" s="384"/>
      <c r="B23" s="420"/>
      <c r="C23" s="597"/>
      <c r="D23" s="584"/>
      <c r="E23" s="610"/>
      <c r="F23" s="611"/>
      <c r="G23" s="611"/>
      <c r="H23" s="612"/>
      <c r="I23" s="418"/>
      <c r="J23" s="384"/>
    </row>
    <row r="24" spans="1:10" s="211" customFormat="1" ht="15" customHeight="1">
      <c r="A24" s="384"/>
      <c r="B24" s="420"/>
      <c r="C24" s="585"/>
      <c r="D24" s="586"/>
      <c r="E24" s="613"/>
      <c r="F24" s="614"/>
      <c r="G24" s="614"/>
      <c r="H24" s="615"/>
      <c r="I24" s="418"/>
      <c r="J24" s="384"/>
    </row>
    <row r="25" spans="1:10" s="211" customFormat="1" ht="15" customHeight="1">
      <c r="A25" s="384"/>
      <c r="B25" s="420"/>
      <c r="C25" s="581" t="str">
        <f>IF(Calcu!D3="mV/V","3) Sensitivity","3) Rated Output")</f>
        <v>3) Rated Output</v>
      </c>
      <c r="D25" s="582"/>
      <c r="E25" s="587" t="str">
        <f>Calcu!M85&amp;" "&amp;Calcu!M84</f>
        <v>0 0</v>
      </c>
      <c r="F25" s="588"/>
      <c r="G25" s="588"/>
      <c r="H25" s="589"/>
      <c r="I25" s="418"/>
      <c r="J25" s="384"/>
    </row>
    <row r="26" spans="1:10" s="211" customFormat="1" ht="15" customHeight="1">
      <c r="A26" s="384"/>
      <c r="B26" s="420"/>
      <c r="C26" s="583"/>
      <c r="D26" s="584"/>
      <c r="E26" s="590"/>
      <c r="F26" s="591"/>
      <c r="G26" s="591"/>
      <c r="H26" s="592"/>
      <c r="I26" s="418"/>
      <c r="J26" s="384"/>
    </row>
    <row r="27" spans="1:10" s="211" customFormat="1" ht="15" customHeight="1">
      <c r="A27" s="384"/>
      <c r="B27" s="420"/>
      <c r="C27" s="583"/>
      <c r="D27" s="584"/>
      <c r="E27" s="590"/>
      <c r="F27" s="591"/>
      <c r="G27" s="591"/>
      <c r="H27" s="592"/>
      <c r="I27" s="418"/>
      <c r="J27" s="384"/>
    </row>
    <row r="28" spans="1:10" s="211" customFormat="1" ht="15" customHeight="1">
      <c r="A28" s="384"/>
      <c r="B28" s="420"/>
      <c r="C28" s="583"/>
      <c r="D28" s="584"/>
      <c r="E28" s="590"/>
      <c r="F28" s="591"/>
      <c r="G28" s="591"/>
      <c r="H28" s="592"/>
      <c r="I28" s="418"/>
      <c r="J28" s="384"/>
    </row>
    <row r="29" spans="1:10" s="211" customFormat="1" ht="15" customHeight="1">
      <c r="A29" s="384"/>
      <c r="B29" s="420"/>
      <c r="C29" s="583"/>
      <c r="D29" s="584"/>
      <c r="E29" s="590"/>
      <c r="F29" s="591"/>
      <c r="G29" s="591"/>
      <c r="H29" s="592"/>
      <c r="I29" s="418"/>
      <c r="J29" s="384"/>
    </row>
    <row r="30" spans="1:10" s="211" customFormat="1" ht="15" customHeight="1">
      <c r="A30" s="384"/>
      <c r="B30" s="420"/>
      <c r="C30" s="583"/>
      <c r="D30" s="584"/>
      <c r="E30" s="590"/>
      <c r="F30" s="591"/>
      <c r="G30" s="591"/>
      <c r="H30" s="592"/>
      <c r="I30" s="418"/>
      <c r="J30" s="384"/>
    </row>
    <row r="31" spans="1:10" s="211" customFormat="1" ht="15" customHeight="1">
      <c r="A31" s="384"/>
      <c r="B31" s="420"/>
      <c r="C31" s="585"/>
      <c r="D31" s="586"/>
      <c r="E31" s="593"/>
      <c r="F31" s="594"/>
      <c r="G31" s="594"/>
      <c r="H31" s="595"/>
      <c r="I31" s="418"/>
      <c r="J31" s="384"/>
    </row>
    <row r="32" spans="1:10" s="211" customFormat="1" ht="15" customHeight="1">
      <c r="A32" s="384"/>
      <c r="B32" s="420"/>
      <c r="C32" s="421"/>
      <c r="D32" s="421"/>
      <c r="E32" s="422"/>
      <c r="F32" s="422"/>
      <c r="G32" s="422"/>
      <c r="H32" s="422"/>
      <c r="I32" s="418"/>
      <c r="J32" s="384"/>
    </row>
    <row r="33" spans="1:11" s="211" customFormat="1" ht="15" customHeight="1">
      <c r="A33" s="384"/>
      <c r="B33" s="420"/>
      <c r="C33" s="423" t="s">
        <v>647</v>
      </c>
      <c r="D33" s="421"/>
      <c r="E33" s="422"/>
      <c r="F33" s="422"/>
      <c r="G33" s="422"/>
      <c r="H33" s="422"/>
      <c r="I33" s="418"/>
      <c r="J33" s="384"/>
    </row>
    <row r="34" spans="1:11" s="211" customFormat="1" ht="15" customHeight="1">
      <c r="A34" s="384"/>
      <c r="B34" s="420"/>
      <c r="C34" s="423" t="s">
        <v>648</v>
      </c>
      <c r="D34" s="421"/>
      <c r="E34" s="422"/>
      <c r="F34" s="422"/>
      <c r="G34" s="422"/>
      <c r="H34" s="422"/>
      <c r="I34" s="418"/>
      <c r="J34" s="384"/>
    </row>
    <row r="35" spans="1:11" s="211" customFormat="1" ht="15" customHeight="1">
      <c r="A35" s="384"/>
      <c r="B35" s="420"/>
      <c r="C35" s="423"/>
      <c r="D35" s="421"/>
      <c r="E35" s="422"/>
      <c r="F35" s="422"/>
      <c r="G35" s="422"/>
      <c r="H35" s="422"/>
      <c r="I35" s="418"/>
      <c r="J35" s="384"/>
    </row>
    <row r="36" spans="1:11" s="211" customFormat="1" ht="15" customHeight="1">
      <c r="A36" s="384"/>
      <c r="B36" s="420"/>
      <c r="C36" s="423" t="s">
        <v>649</v>
      </c>
      <c r="D36" s="421"/>
      <c r="E36" s="422"/>
      <c r="F36" s="422"/>
      <c r="G36" s="422"/>
      <c r="H36" s="422"/>
      <c r="I36" s="418"/>
      <c r="J36" s="384"/>
    </row>
    <row r="37" spans="1:11" s="211" customFormat="1" ht="15" customHeight="1">
      <c r="A37" s="384"/>
      <c r="B37" s="420"/>
      <c r="C37" s="423" t="s">
        <v>650</v>
      </c>
      <c r="D37" s="421"/>
      <c r="E37" s="422"/>
      <c r="F37" s="422"/>
      <c r="G37" s="422"/>
      <c r="H37" s="422"/>
      <c r="I37" s="418"/>
      <c r="J37" s="384"/>
    </row>
    <row r="38" spans="1:11" s="211" customFormat="1" ht="15" customHeight="1">
      <c r="A38" s="384"/>
      <c r="B38" s="420"/>
      <c r="C38" s="423" t="s">
        <v>651</v>
      </c>
      <c r="D38" s="421"/>
      <c r="E38" s="422"/>
      <c r="F38" s="422"/>
      <c r="G38" s="422"/>
      <c r="H38" s="422"/>
      <c r="I38" s="418"/>
      <c r="J38" s="384"/>
    </row>
    <row r="39" spans="1:11" s="211" customFormat="1" ht="15" customHeight="1">
      <c r="A39" s="384"/>
      <c r="B39" s="420"/>
      <c r="C39" s="423" t="s">
        <v>652</v>
      </c>
      <c r="D39" s="421"/>
      <c r="E39" s="422"/>
      <c r="F39" s="422"/>
      <c r="G39" s="422"/>
      <c r="H39" s="422"/>
      <c r="I39" s="418"/>
      <c r="J39" s="384"/>
    </row>
    <row r="40" spans="1:11" ht="15" customHeight="1">
      <c r="B40" s="209"/>
      <c r="C40" s="210"/>
      <c r="D40" s="209"/>
      <c r="E40" s="209"/>
      <c r="F40" s="209"/>
      <c r="G40" s="209"/>
      <c r="H40" s="209"/>
      <c r="I40" s="208"/>
      <c r="K40" s="207"/>
    </row>
    <row r="41" spans="1:11" ht="15" customHeight="1">
      <c r="A41" s="206"/>
    </row>
  </sheetData>
  <mergeCells count="10">
    <mergeCell ref="A1:J2"/>
    <mergeCell ref="C8:D10"/>
    <mergeCell ref="C25:D31"/>
    <mergeCell ref="E25:H31"/>
    <mergeCell ref="E8:F10"/>
    <mergeCell ref="G8:H10"/>
    <mergeCell ref="C11:D17"/>
    <mergeCell ref="E11:H17"/>
    <mergeCell ref="C18:D24"/>
    <mergeCell ref="E18:H24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4"/>
  <sheetViews>
    <sheetView showGridLines="0" zoomScaleNormal="100" workbookViewId="0"/>
  </sheetViews>
  <sheetFormatPr defaultColWidth="8.88671875" defaultRowHeight="13.5" customHeight="1"/>
  <cols>
    <col min="1" max="1" width="3.77734375" style="44" customWidth="1"/>
    <col min="2" max="2" width="9.109375" style="45" customWidth="1"/>
    <col min="3" max="3" width="9.77734375" style="45" customWidth="1"/>
    <col min="4" max="4" width="8.77734375" style="40" customWidth="1"/>
    <col min="5" max="7" width="8.77734375" style="41" customWidth="1"/>
    <col min="8" max="8" width="8.88671875" style="89"/>
    <col min="9" max="9" width="3.77734375" style="89" customWidth="1"/>
    <col min="10" max="13" width="8.88671875" style="89"/>
    <col min="14" max="16384" width="8.88671875" style="43"/>
  </cols>
  <sheetData>
    <row r="1" spans="1:22" s="200" customFormat="1" ht="25.5">
      <c r="A1" s="197" t="s">
        <v>123</v>
      </c>
      <c r="B1" s="45"/>
      <c r="C1" s="45"/>
      <c r="D1" s="45"/>
      <c r="E1" s="198"/>
      <c r="F1" s="41"/>
      <c r="G1" s="41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</row>
    <row r="2" spans="1:22" s="42" customFormat="1" ht="15" customHeight="1">
      <c r="A2" s="38"/>
      <c r="B2" s="38"/>
      <c r="C2" s="38"/>
      <c r="D2" s="38"/>
      <c r="E2" s="38"/>
      <c r="F2" s="38"/>
      <c r="G2" s="38"/>
    </row>
    <row r="3" spans="1:22" s="42" customFormat="1" ht="15" customHeight="1">
      <c r="A3" s="236"/>
      <c r="B3" s="237" t="s">
        <v>3</v>
      </c>
      <c r="C3" s="91">
        <f>기본정보!C3</f>
        <v>0</v>
      </c>
      <c r="D3" s="237" t="s">
        <v>106</v>
      </c>
      <c r="E3" s="621">
        <f>기본정보!H3</f>
        <v>0</v>
      </c>
      <c r="F3" s="622"/>
      <c r="G3" s="237" t="s">
        <v>124</v>
      </c>
      <c r="H3" s="271">
        <f>기본정보!H8</f>
        <v>0</v>
      </c>
    </row>
    <row r="4" spans="1:22" s="42" customFormat="1" ht="15" customHeight="1">
      <c r="A4" s="236"/>
      <c r="B4" s="237" t="s">
        <v>125</v>
      </c>
      <c r="C4" s="270">
        <f>기본정보!C8</f>
        <v>0</v>
      </c>
      <c r="D4" s="237" t="s">
        <v>126</v>
      </c>
      <c r="E4" s="619">
        <f>기본정보!H4</f>
        <v>0</v>
      </c>
      <c r="F4" s="620"/>
      <c r="G4" s="237" t="s">
        <v>127</v>
      </c>
      <c r="H4" s="271">
        <f>기본정보!H9</f>
        <v>0</v>
      </c>
    </row>
    <row r="5" spans="1:22" s="42" customFormat="1" ht="15" customHeight="1">
      <c r="A5" s="236"/>
      <c r="D5" s="38"/>
      <c r="E5" s="38"/>
      <c r="F5" s="38"/>
      <c r="G5" s="38"/>
    </row>
    <row r="6" spans="1:22" s="42" customFormat="1" ht="15" customHeight="1">
      <c r="A6" s="39" t="s">
        <v>128</v>
      </c>
      <c r="D6" s="38"/>
      <c r="E6" s="38"/>
      <c r="F6" s="38"/>
      <c r="G6" s="38"/>
      <c r="I6" s="39" t="s">
        <v>730</v>
      </c>
      <c r="L6" s="38"/>
      <c r="M6" s="38"/>
      <c r="N6" s="38"/>
      <c r="O6" s="38"/>
    </row>
    <row r="7" spans="1:22" ht="13.5" customHeight="1">
      <c r="B7" s="237" t="s">
        <v>396</v>
      </c>
      <c r="C7" s="369" t="str">
        <f>Pressure_2_R1!K4&amp;" V"</f>
        <v xml:space="preserve"> V</v>
      </c>
      <c r="D7" s="88"/>
      <c r="E7" s="40"/>
      <c r="I7" s="44"/>
      <c r="J7" s="459" t="s">
        <v>396</v>
      </c>
      <c r="K7" s="369" t="str">
        <f>Pressure_2_R1!K4&amp;" V"</f>
        <v xml:space="preserve"> V</v>
      </c>
      <c r="L7" s="88"/>
      <c r="M7" s="40"/>
      <c r="N7" s="41"/>
      <c r="O7" s="41"/>
    </row>
    <row r="8" spans="1:22" s="413" customFormat="1" ht="13.5" customHeight="1">
      <c r="A8" s="44"/>
      <c r="B8" s="481"/>
      <c r="C8" s="481"/>
      <c r="D8" s="88"/>
      <c r="E8" s="40"/>
      <c r="F8" s="41"/>
      <c r="G8" s="41"/>
      <c r="H8" s="89"/>
      <c r="I8" s="44"/>
      <c r="J8" s="481"/>
      <c r="K8" s="481"/>
      <c r="L8" s="88"/>
      <c r="M8" s="40"/>
      <c r="N8" s="41"/>
      <c r="O8" s="41"/>
    </row>
    <row r="9" spans="1:22" ht="13.5" customHeight="1">
      <c r="A9" s="39" t="s">
        <v>129</v>
      </c>
      <c r="B9" s="40"/>
      <c r="C9" s="40"/>
      <c r="E9" s="88"/>
      <c r="F9" s="40"/>
      <c r="H9" s="41"/>
      <c r="I9" s="39" t="s">
        <v>129</v>
      </c>
      <c r="J9" s="40"/>
      <c r="K9" s="40"/>
      <c r="L9" s="40"/>
      <c r="M9" s="88"/>
      <c r="N9" s="40"/>
      <c r="O9" s="41"/>
    </row>
    <row r="10" spans="1:22" ht="13.5" customHeight="1">
      <c r="A10" s="42"/>
      <c r="B10" s="618" t="s">
        <v>130</v>
      </c>
      <c r="C10" s="623" t="s">
        <v>714</v>
      </c>
      <c r="D10" s="616" t="s">
        <v>131</v>
      </c>
      <c r="E10" s="618" t="e">
        <f>Calcu!$J$103&amp;" 지시값"</f>
        <v>#N/A</v>
      </c>
      <c r="F10" s="618"/>
      <c r="G10" s="618"/>
      <c r="H10" s="41"/>
      <c r="I10" s="42"/>
      <c r="J10" s="618" t="s">
        <v>130</v>
      </c>
      <c r="K10" s="623" t="s">
        <v>714</v>
      </c>
      <c r="L10" s="616" t="s">
        <v>131</v>
      </c>
      <c r="M10" s="618" t="e">
        <f>Calcu_ADJ!#REF!&amp;" 지시값"</f>
        <v>#REF!</v>
      </c>
      <c r="N10" s="618"/>
      <c r="O10" s="618"/>
    </row>
    <row r="11" spans="1:22" ht="13.5" customHeight="1">
      <c r="A11" s="42"/>
      <c r="B11" s="618"/>
      <c r="C11" s="624"/>
      <c r="D11" s="617"/>
      <c r="E11" s="276" t="s">
        <v>53</v>
      </c>
      <c r="F11" s="276" t="s">
        <v>132</v>
      </c>
      <c r="G11" s="276" t="s">
        <v>0</v>
      </c>
      <c r="H11" s="41"/>
      <c r="I11" s="42"/>
      <c r="J11" s="618"/>
      <c r="K11" s="624"/>
      <c r="L11" s="617"/>
      <c r="M11" s="457" t="s">
        <v>53</v>
      </c>
      <c r="N11" s="457" t="s">
        <v>132</v>
      </c>
      <c r="O11" s="457" t="s">
        <v>0</v>
      </c>
    </row>
    <row r="12" spans="1:22" ht="13.5" customHeight="1">
      <c r="A12" s="42"/>
      <c r="B12" s="618"/>
      <c r="C12" s="440">
        <f>Pressure_2_R1!C4</f>
        <v>0</v>
      </c>
      <c r="D12" s="277">
        <f>Calcu!E8</f>
        <v>0</v>
      </c>
      <c r="E12" s="277">
        <f>Calcu!F8</f>
        <v>0</v>
      </c>
      <c r="F12" s="277">
        <f>Calcu!G8</f>
        <v>0</v>
      </c>
      <c r="G12" s="277">
        <f>Calcu!H8</f>
        <v>0</v>
      </c>
      <c r="H12" s="41"/>
      <c r="I12" s="42"/>
      <c r="J12" s="618"/>
      <c r="K12" s="440">
        <f>Pressure_2_R1!C4</f>
        <v>0</v>
      </c>
      <c r="L12" s="458">
        <f>Calcu_ADJ!E8</f>
        <v>0</v>
      </c>
      <c r="M12" s="458">
        <f>Calcu_ADJ!F8</f>
        <v>0</v>
      </c>
      <c r="N12" s="458">
        <f>Calcu_ADJ!G8</f>
        <v>0</v>
      </c>
      <c r="O12" s="458">
        <f>Calcu_ADJ!H8</f>
        <v>0</v>
      </c>
    </row>
    <row r="13" spans="1:22" ht="13.5" customHeight="1">
      <c r="A13" s="42"/>
      <c r="B13" s="91">
        <v>1</v>
      </c>
      <c r="C13" s="439" t="str">
        <f>IF(Calcu!B9=FALSE,"",Pressure_2_R1!B4)</f>
        <v/>
      </c>
      <c r="D13" s="90" t="str">
        <f>Calcu!E9</f>
        <v/>
      </c>
      <c r="E13" s="90" t="str">
        <f ca="1">TEXT(Calcu!F9,Calcu!$J$3)</f>
        <v/>
      </c>
      <c r="F13" s="90" t="str">
        <f ca="1">TEXT(Calcu!G9,Calcu!$J$3)</f>
        <v/>
      </c>
      <c r="G13" s="90" t="str">
        <f ca="1">TEXT(Calcu!H9,Calcu!$J$3)</f>
        <v/>
      </c>
      <c r="H13" s="41"/>
      <c r="I13" s="42"/>
      <c r="J13" s="91">
        <v>1</v>
      </c>
      <c r="K13" s="439" t="str">
        <f>IF(Calcu_ADJ!B9=FALSE,"",Pressure_2_R1!B4)</f>
        <v/>
      </c>
      <c r="L13" s="90" t="str">
        <f>Calcu_ADJ!E9</f>
        <v/>
      </c>
      <c r="M13" s="90" t="str">
        <f ca="1">TEXT(Calcu_ADJ!F9,Calcu_ADJ!$J$3)</f>
        <v/>
      </c>
      <c r="N13" s="90" t="str">
        <f ca="1">TEXT(Calcu_ADJ!G9,Calcu_ADJ!$J$3)</f>
        <v/>
      </c>
      <c r="O13" s="90" t="str">
        <f ca="1">TEXT(Calcu_ADJ!H9,Calcu_ADJ!$J$3)</f>
        <v/>
      </c>
    </row>
    <row r="14" spans="1:22" ht="13.5" customHeight="1">
      <c r="A14" s="42"/>
      <c r="B14" s="91">
        <v>2</v>
      </c>
      <c r="C14" s="439" t="str">
        <f>IF(Calcu!B10=FALSE,"",Pressure_2_R1!B5)</f>
        <v/>
      </c>
      <c r="D14" s="90" t="str">
        <f>Calcu!E10</f>
        <v/>
      </c>
      <c r="E14" s="90" t="str">
        <f ca="1">TEXT(Calcu!F10,Calcu!$J$3)</f>
        <v/>
      </c>
      <c r="F14" s="90" t="str">
        <f ca="1">TEXT(Calcu!G10,Calcu!$J$3)</f>
        <v/>
      </c>
      <c r="G14" s="90" t="str">
        <f ca="1">TEXT(Calcu!H10,Calcu!$J$3)</f>
        <v/>
      </c>
      <c r="H14" s="41"/>
      <c r="I14" s="42"/>
      <c r="J14" s="91">
        <v>2</v>
      </c>
      <c r="K14" s="439" t="str">
        <f>IF(Calcu_ADJ!B10=FALSE,"",Pressure_2_R1!B5)</f>
        <v/>
      </c>
      <c r="L14" s="90" t="str">
        <f>Calcu_ADJ!E10</f>
        <v/>
      </c>
      <c r="M14" s="90" t="str">
        <f ca="1">TEXT(Calcu_ADJ!F10,Calcu_ADJ!$J$3)</f>
        <v/>
      </c>
      <c r="N14" s="90" t="str">
        <f ca="1">TEXT(Calcu_ADJ!G10,Calcu_ADJ!$J$3)</f>
        <v/>
      </c>
      <c r="O14" s="90" t="str">
        <f ca="1">TEXT(Calcu_ADJ!H10,Calcu_ADJ!$J$3)</f>
        <v/>
      </c>
    </row>
    <row r="15" spans="1:22" ht="13.5" customHeight="1">
      <c r="A15" s="42"/>
      <c r="B15" s="91">
        <v>3</v>
      </c>
      <c r="C15" s="439" t="str">
        <f>IF(Calcu!B11=FALSE,"",Pressure_2_R1!B6)</f>
        <v/>
      </c>
      <c r="D15" s="90" t="str">
        <f>Calcu!E11</f>
        <v/>
      </c>
      <c r="E15" s="90" t="str">
        <f ca="1">TEXT(Calcu!F11,Calcu!$J$3)</f>
        <v/>
      </c>
      <c r="F15" s="90" t="str">
        <f ca="1">TEXT(Calcu!G11,Calcu!$J$3)</f>
        <v/>
      </c>
      <c r="G15" s="90" t="str">
        <f ca="1">TEXT(Calcu!H11,Calcu!$J$3)</f>
        <v/>
      </c>
      <c r="H15" s="41"/>
      <c r="I15" s="42"/>
      <c r="J15" s="91">
        <v>3</v>
      </c>
      <c r="K15" s="439" t="str">
        <f>IF(Calcu_ADJ!B11=FALSE,"",Pressure_2_R1!B6)</f>
        <v/>
      </c>
      <c r="L15" s="90" t="str">
        <f>Calcu_ADJ!E11</f>
        <v/>
      </c>
      <c r="M15" s="90" t="str">
        <f ca="1">TEXT(Calcu_ADJ!F11,Calcu_ADJ!$J$3)</f>
        <v/>
      </c>
      <c r="N15" s="90" t="str">
        <f ca="1">TEXT(Calcu_ADJ!G11,Calcu_ADJ!$J$3)</f>
        <v/>
      </c>
      <c r="O15" s="90" t="str">
        <f ca="1">TEXT(Calcu_ADJ!H11,Calcu_ADJ!$J$3)</f>
        <v/>
      </c>
    </row>
    <row r="16" spans="1:22" ht="13.5" customHeight="1">
      <c r="A16" s="42"/>
      <c r="B16" s="91">
        <v>4</v>
      </c>
      <c r="C16" s="439" t="str">
        <f>IF(Calcu!B12=FALSE,"",Pressure_2_R1!B7)</f>
        <v/>
      </c>
      <c r="D16" s="90" t="str">
        <f>Calcu!E12</f>
        <v/>
      </c>
      <c r="E16" s="90" t="str">
        <f ca="1">TEXT(Calcu!F12,Calcu!$J$3)</f>
        <v/>
      </c>
      <c r="F16" s="90" t="str">
        <f ca="1">TEXT(Calcu!G12,Calcu!$J$3)</f>
        <v/>
      </c>
      <c r="G16" s="90" t="str">
        <f ca="1">TEXT(Calcu!H12,Calcu!$J$3)</f>
        <v/>
      </c>
      <c r="H16" s="41"/>
      <c r="I16" s="42"/>
      <c r="J16" s="91">
        <v>4</v>
      </c>
      <c r="K16" s="439" t="str">
        <f>IF(Calcu_ADJ!B12=FALSE,"",Pressure_2_R1!B7)</f>
        <v/>
      </c>
      <c r="L16" s="90" t="str">
        <f>Calcu_ADJ!E12</f>
        <v/>
      </c>
      <c r="M16" s="90" t="str">
        <f ca="1">TEXT(Calcu_ADJ!F12,Calcu_ADJ!$J$3)</f>
        <v/>
      </c>
      <c r="N16" s="90" t="str">
        <f ca="1">TEXT(Calcu_ADJ!G12,Calcu_ADJ!$J$3)</f>
        <v/>
      </c>
      <c r="O16" s="90" t="str">
        <f ca="1">TEXT(Calcu_ADJ!H12,Calcu_ADJ!$J$3)</f>
        <v/>
      </c>
    </row>
    <row r="17" spans="1:15" ht="13.5" customHeight="1">
      <c r="A17" s="42"/>
      <c r="B17" s="91">
        <v>5</v>
      </c>
      <c r="C17" s="439" t="str">
        <f>IF(Calcu!B13=FALSE,"",Pressure_2_R1!B8)</f>
        <v/>
      </c>
      <c r="D17" s="90" t="str">
        <f>Calcu!E13</f>
        <v/>
      </c>
      <c r="E17" s="90" t="str">
        <f ca="1">TEXT(Calcu!F13,Calcu!$J$3)</f>
        <v/>
      </c>
      <c r="F17" s="90" t="str">
        <f ca="1">TEXT(Calcu!G13,Calcu!$J$3)</f>
        <v/>
      </c>
      <c r="G17" s="90" t="str">
        <f ca="1">TEXT(Calcu!H13,Calcu!$J$3)</f>
        <v/>
      </c>
      <c r="H17" s="41"/>
      <c r="I17" s="42"/>
      <c r="J17" s="91">
        <v>5</v>
      </c>
      <c r="K17" s="439" t="str">
        <f>IF(Calcu_ADJ!B13=FALSE,"",Pressure_2_R1!B8)</f>
        <v/>
      </c>
      <c r="L17" s="90" t="str">
        <f>Calcu_ADJ!E13</f>
        <v/>
      </c>
      <c r="M17" s="90" t="str">
        <f ca="1">TEXT(Calcu_ADJ!F13,Calcu_ADJ!$J$3)</f>
        <v/>
      </c>
      <c r="N17" s="90" t="str">
        <f ca="1">TEXT(Calcu_ADJ!G13,Calcu_ADJ!$J$3)</f>
        <v/>
      </c>
      <c r="O17" s="90" t="str">
        <f ca="1">TEXT(Calcu_ADJ!H13,Calcu_ADJ!$J$3)</f>
        <v/>
      </c>
    </row>
    <row r="18" spans="1:15" ht="13.5" customHeight="1">
      <c r="A18" s="42"/>
      <c r="B18" s="91">
        <v>6</v>
      </c>
      <c r="C18" s="439" t="str">
        <f>IF(Calcu!B14=FALSE,"",Pressure_2_R1!B9)</f>
        <v/>
      </c>
      <c r="D18" s="90" t="str">
        <f>Calcu!E14</f>
        <v/>
      </c>
      <c r="E18" s="90" t="str">
        <f ca="1">TEXT(Calcu!F14,Calcu!$J$3)</f>
        <v/>
      </c>
      <c r="F18" s="90" t="str">
        <f ca="1">TEXT(Calcu!G14,Calcu!$J$3)</f>
        <v/>
      </c>
      <c r="G18" s="90" t="str">
        <f ca="1">TEXT(Calcu!H14,Calcu!$J$3)</f>
        <v/>
      </c>
      <c r="H18" s="41"/>
      <c r="I18" s="42"/>
      <c r="J18" s="91">
        <v>6</v>
      </c>
      <c r="K18" s="439" t="str">
        <f>IF(Calcu_ADJ!B14=FALSE,"",Pressure_2_R1!B9)</f>
        <v/>
      </c>
      <c r="L18" s="90" t="str">
        <f>Calcu_ADJ!E14</f>
        <v/>
      </c>
      <c r="M18" s="90" t="str">
        <f ca="1">TEXT(Calcu_ADJ!F14,Calcu_ADJ!$J$3)</f>
        <v/>
      </c>
      <c r="N18" s="90" t="str">
        <f ca="1">TEXT(Calcu_ADJ!G14,Calcu_ADJ!$J$3)</f>
        <v/>
      </c>
      <c r="O18" s="90" t="str">
        <f ca="1">TEXT(Calcu_ADJ!H14,Calcu_ADJ!$J$3)</f>
        <v/>
      </c>
    </row>
    <row r="19" spans="1:15" ht="13.5" customHeight="1">
      <c r="A19" s="42"/>
      <c r="B19" s="91">
        <v>7</v>
      </c>
      <c r="C19" s="439" t="str">
        <f>IF(Calcu!B15=FALSE,"",Pressure_2_R1!B10)</f>
        <v/>
      </c>
      <c r="D19" s="90" t="str">
        <f>Calcu!E15</f>
        <v/>
      </c>
      <c r="E19" s="90" t="str">
        <f ca="1">TEXT(Calcu!F15,Calcu!$J$3)</f>
        <v/>
      </c>
      <c r="F19" s="90" t="str">
        <f ca="1">TEXT(Calcu!G15,Calcu!$J$3)</f>
        <v/>
      </c>
      <c r="G19" s="90" t="str">
        <f ca="1">TEXT(Calcu!H15,Calcu!$J$3)</f>
        <v/>
      </c>
      <c r="H19" s="41"/>
      <c r="I19" s="42"/>
      <c r="J19" s="91">
        <v>7</v>
      </c>
      <c r="K19" s="439" t="str">
        <f>IF(Calcu_ADJ!B15=FALSE,"",Pressure_2_R1!B10)</f>
        <v/>
      </c>
      <c r="L19" s="90" t="str">
        <f>Calcu_ADJ!E15</f>
        <v/>
      </c>
      <c r="M19" s="90" t="str">
        <f ca="1">TEXT(Calcu_ADJ!F15,Calcu_ADJ!$J$3)</f>
        <v/>
      </c>
      <c r="N19" s="90" t="str">
        <f ca="1">TEXT(Calcu_ADJ!G15,Calcu_ADJ!$J$3)</f>
        <v/>
      </c>
      <c r="O19" s="90" t="str">
        <f ca="1">TEXT(Calcu_ADJ!H15,Calcu_ADJ!$J$3)</f>
        <v/>
      </c>
    </row>
    <row r="20" spans="1:15" ht="13.5" customHeight="1">
      <c r="A20" s="42"/>
      <c r="B20" s="91">
        <v>8</v>
      </c>
      <c r="C20" s="439" t="str">
        <f>IF(Calcu!B16=FALSE,"",Pressure_2_R1!B11)</f>
        <v/>
      </c>
      <c r="D20" s="90" t="str">
        <f>Calcu!E16</f>
        <v/>
      </c>
      <c r="E20" s="90" t="str">
        <f ca="1">TEXT(Calcu!F16,Calcu!$J$3)</f>
        <v/>
      </c>
      <c r="F20" s="90" t="str">
        <f ca="1">TEXT(Calcu!G16,Calcu!$J$3)</f>
        <v/>
      </c>
      <c r="G20" s="90" t="str">
        <f ca="1">TEXT(Calcu!H16,Calcu!$J$3)</f>
        <v/>
      </c>
      <c r="H20" s="41"/>
      <c r="I20" s="42"/>
      <c r="J20" s="91">
        <v>8</v>
      </c>
      <c r="K20" s="439" t="str">
        <f>IF(Calcu_ADJ!B16=FALSE,"",Pressure_2_R1!B11)</f>
        <v/>
      </c>
      <c r="L20" s="90" t="str">
        <f>Calcu_ADJ!E16</f>
        <v/>
      </c>
      <c r="M20" s="90" t="str">
        <f ca="1">TEXT(Calcu_ADJ!F16,Calcu_ADJ!$J$3)</f>
        <v/>
      </c>
      <c r="N20" s="90" t="str">
        <f ca="1">TEXT(Calcu_ADJ!G16,Calcu_ADJ!$J$3)</f>
        <v/>
      </c>
      <c r="O20" s="90" t="str">
        <f ca="1">TEXT(Calcu_ADJ!H16,Calcu_ADJ!$J$3)</f>
        <v/>
      </c>
    </row>
    <row r="21" spans="1:15" ht="13.5" customHeight="1">
      <c r="A21" s="42"/>
      <c r="B21" s="91">
        <v>9</v>
      </c>
      <c r="C21" s="439" t="str">
        <f>IF(Calcu!B17=FALSE,"",Pressure_2_R1!B12)</f>
        <v/>
      </c>
      <c r="D21" s="90" t="str">
        <f>Calcu!E17</f>
        <v/>
      </c>
      <c r="E21" s="90" t="str">
        <f ca="1">TEXT(Calcu!F17,Calcu!$J$3)</f>
        <v/>
      </c>
      <c r="F21" s="90" t="str">
        <f ca="1">TEXT(Calcu!G17,Calcu!$J$3)</f>
        <v/>
      </c>
      <c r="G21" s="90" t="str">
        <f ca="1">TEXT(Calcu!H17,Calcu!$J$3)</f>
        <v/>
      </c>
      <c r="H21" s="41"/>
      <c r="I21" s="42"/>
      <c r="J21" s="91">
        <v>9</v>
      </c>
      <c r="K21" s="439" t="str">
        <f>IF(Calcu_ADJ!B17=FALSE,"",Pressure_2_R1!B12)</f>
        <v/>
      </c>
      <c r="L21" s="90" t="str">
        <f>Calcu_ADJ!E17</f>
        <v/>
      </c>
      <c r="M21" s="90" t="str">
        <f ca="1">TEXT(Calcu_ADJ!F17,Calcu_ADJ!$J$3)</f>
        <v/>
      </c>
      <c r="N21" s="90" t="str">
        <f ca="1">TEXT(Calcu_ADJ!G17,Calcu_ADJ!$J$3)</f>
        <v/>
      </c>
      <c r="O21" s="90" t="str">
        <f ca="1">TEXT(Calcu_ADJ!H17,Calcu_ADJ!$J$3)</f>
        <v/>
      </c>
    </row>
    <row r="22" spans="1:15" ht="13.5" customHeight="1">
      <c r="A22" s="42"/>
      <c r="B22" s="91">
        <v>10</v>
      </c>
      <c r="C22" s="439" t="str">
        <f>IF(Calcu!B18=FALSE,"",Pressure_2_R1!B13)</f>
        <v/>
      </c>
      <c r="D22" s="90" t="str">
        <f>Calcu!E18</f>
        <v/>
      </c>
      <c r="E22" s="90" t="str">
        <f ca="1">TEXT(Calcu!F18,Calcu!$J$3)</f>
        <v/>
      </c>
      <c r="F22" s="90" t="str">
        <f ca="1">TEXT(Calcu!G18,Calcu!$J$3)</f>
        <v/>
      </c>
      <c r="G22" s="90" t="str">
        <f ca="1">TEXT(Calcu!H18,Calcu!$J$3)</f>
        <v/>
      </c>
      <c r="H22" s="41"/>
      <c r="I22" s="42"/>
      <c r="J22" s="91">
        <v>10</v>
      </c>
      <c r="K22" s="439" t="str">
        <f>IF(Calcu_ADJ!B18=FALSE,"",Pressure_2_R1!B13)</f>
        <v/>
      </c>
      <c r="L22" s="90" t="str">
        <f>Calcu_ADJ!E18</f>
        <v/>
      </c>
      <c r="M22" s="90" t="str">
        <f ca="1">TEXT(Calcu_ADJ!F18,Calcu_ADJ!$J$3)</f>
        <v/>
      </c>
      <c r="N22" s="90" t="str">
        <f ca="1">TEXT(Calcu_ADJ!G18,Calcu_ADJ!$J$3)</f>
        <v/>
      </c>
      <c r="O22" s="90" t="str">
        <f ca="1">TEXT(Calcu_ADJ!H18,Calcu_ADJ!$J$3)</f>
        <v/>
      </c>
    </row>
    <row r="23" spans="1:15" ht="13.5" customHeight="1">
      <c r="A23" s="42"/>
      <c r="B23" s="91">
        <v>11</v>
      </c>
      <c r="C23" s="439" t="str">
        <f>IF(Calcu!B19=FALSE,"",Pressure_2_R1!B14)</f>
        <v/>
      </c>
      <c r="D23" s="90" t="str">
        <f>Calcu!E19</f>
        <v/>
      </c>
      <c r="E23" s="90" t="str">
        <f ca="1">TEXT(Calcu!F19,Calcu!$J$3)</f>
        <v/>
      </c>
      <c r="F23" s="90" t="str">
        <f ca="1">TEXT(Calcu!G19,Calcu!$J$3)</f>
        <v/>
      </c>
      <c r="G23" s="90" t="str">
        <f ca="1">TEXT(Calcu!H19,Calcu!$J$3)</f>
        <v/>
      </c>
      <c r="H23" s="41"/>
      <c r="I23" s="42"/>
      <c r="J23" s="91">
        <v>11</v>
      </c>
      <c r="K23" s="439" t="str">
        <f>IF(Calcu_ADJ!B19=FALSE,"",Pressure_2_R1!B14)</f>
        <v/>
      </c>
      <c r="L23" s="90" t="str">
        <f>Calcu_ADJ!E19</f>
        <v/>
      </c>
      <c r="M23" s="90" t="str">
        <f ca="1">TEXT(Calcu_ADJ!F19,Calcu_ADJ!$J$3)</f>
        <v/>
      </c>
      <c r="N23" s="90" t="str">
        <f ca="1">TEXT(Calcu_ADJ!G19,Calcu_ADJ!$J$3)</f>
        <v/>
      </c>
      <c r="O23" s="90" t="str">
        <f ca="1">TEXT(Calcu_ADJ!H19,Calcu_ADJ!$J$3)</f>
        <v/>
      </c>
    </row>
    <row r="24" spans="1:15" ht="13.5" customHeight="1">
      <c r="A24" s="42"/>
      <c r="B24" s="91">
        <v>12</v>
      </c>
      <c r="C24" s="439" t="str">
        <f>IF(Calcu!B20=FALSE,"",Pressure_2_R1!B15)</f>
        <v/>
      </c>
      <c r="D24" s="90" t="str">
        <f>Calcu!E20</f>
        <v/>
      </c>
      <c r="E24" s="90" t="str">
        <f ca="1">TEXT(Calcu!F20,Calcu!$J$3)</f>
        <v/>
      </c>
      <c r="F24" s="90" t="str">
        <f ca="1">TEXT(Calcu!G20,Calcu!$J$3)</f>
        <v/>
      </c>
      <c r="G24" s="90" t="str">
        <f ca="1">TEXT(Calcu!H20,Calcu!$J$3)</f>
        <v/>
      </c>
      <c r="H24" s="41"/>
      <c r="I24" s="42"/>
      <c r="J24" s="91">
        <v>12</v>
      </c>
      <c r="K24" s="439" t="str">
        <f>IF(Calcu_ADJ!B20=FALSE,"",Pressure_2_R1!B15)</f>
        <v/>
      </c>
      <c r="L24" s="90" t="str">
        <f>Calcu_ADJ!E20</f>
        <v/>
      </c>
      <c r="M24" s="90" t="str">
        <f ca="1">TEXT(Calcu_ADJ!F20,Calcu_ADJ!$J$3)</f>
        <v/>
      </c>
      <c r="N24" s="90" t="str">
        <f ca="1">TEXT(Calcu_ADJ!G20,Calcu_ADJ!$J$3)</f>
        <v/>
      </c>
      <c r="O24" s="90" t="str">
        <f ca="1">TEXT(Calcu_ADJ!H20,Calcu_ADJ!$J$3)</f>
        <v/>
      </c>
    </row>
    <row r="25" spans="1:15" ht="13.5" customHeight="1">
      <c r="A25" s="42"/>
      <c r="B25" s="91">
        <v>13</v>
      </c>
      <c r="C25" s="439" t="str">
        <f>IF(Calcu!B21=FALSE,"",Pressure_2_R1!B16)</f>
        <v/>
      </c>
      <c r="D25" s="90" t="str">
        <f>Calcu!E21</f>
        <v/>
      </c>
      <c r="E25" s="90" t="str">
        <f ca="1">TEXT(Calcu!F21,Calcu!$J$3)</f>
        <v/>
      </c>
      <c r="F25" s="90" t="str">
        <f ca="1">TEXT(Calcu!G21,Calcu!$J$3)</f>
        <v/>
      </c>
      <c r="G25" s="90" t="str">
        <f ca="1">TEXT(Calcu!H21,Calcu!$J$3)</f>
        <v/>
      </c>
      <c r="H25" s="41"/>
      <c r="I25" s="42"/>
      <c r="J25" s="91">
        <v>13</v>
      </c>
      <c r="K25" s="439" t="str">
        <f>IF(Calcu_ADJ!B21=FALSE,"",Pressure_2_R1!B16)</f>
        <v/>
      </c>
      <c r="L25" s="90" t="str">
        <f>Calcu_ADJ!E21</f>
        <v/>
      </c>
      <c r="M25" s="90" t="str">
        <f ca="1">TEXT(Calcu_ADJ!F21,Calcu_ADJ!$J$3)</f>
        <v/>
      </c>
      <c r="N25" s="90" t="str">
        <f ca="1">TEXT(Calcu_ADJ!G21,Calcu_ADJ!$J$3)</f>
        <v/>
      </c>
      <c r="O25" s="90" t="str">
        <f ca="1">TEXT(Calcu_ADJ!H21,Calcu_ADJ!$J$3)</f>
        <v/>
      </c>
    </row>
    <row r="26" spans="1:15" ht="13.5" customHeight="1">
      <c r="A26" s="42"/>
      <c r="B26" s="91">
        <v>14</v>
      </c>
      <c r="C26" s="439" t="str">
        <f>IF(Calcu!B22=FALSE,"",Pressure_2_R1!B17)</f>
        <v/>
      </c>
      <c r="D26" s="90" t="str">
        <f>Calcu!E22</f>
        <v/>
      </c>
      <c r="E26" s="90" t="str">
        <f ca="1">TEXT(Calcu!F22,Calcu!$J$3)</f>
        <v/>
      </c>
      <c r="F26" s="90" t="str">
        <f ca="1">TEXT(Calcu!G22,Calcu!$J$3)</f>
        <v/>
      </c>
      <c r="G26" s="90" t="str">
        <f ca="1">TEXT(Calcu!H22,Calcu!$J$3)</f>
        <v/>
      </c>
      <c r="H26" s="41"/>
      <c r="I26" s="42"/>
      <c r="J26" s="91">
        <v>14</v>
      </c>
      <c r="K26" s="439" t="str">
        <f>IF(Calcu_ADJ!B22=FALSE,"",Pressure_2_R1!B17)</f>
        <v/>
      </c>
      <c r="L26" s="90" t="str">
        <f>Calcu_ADJ!E22</f>
        <v/>
      </c>
      <c r="M26" s="90" t="str">
        <f ca="1">TEXT(Calcu_ADJ!F22,Calcu_ADJ!$J$3)</f>
        <v/>
      </c>
      <c r="N26" s="90" t="str">
        <f ca="1">TEXT(Calcu_ADJ!G22,Calcu_ADJ!$J$3)</f>
        <v/>
      </c>
      <c r="O26" s="90" t="str">
        <f ca="1">TEXT(Calcu_ADJ!H22,Calcu_ADJ!$J$3)</f>
        <v/>
      </c>
    </row>
    <row r="27" spans="1:15" ht="13.5" customHeight="1">
      <c r="A27" s="42"/>
      <c r="B27" s="91">
        <v>15</v>
      </c>
      <c r="C27" s="439" t="str">
        <f>IF(Calcu!B23=FALSE,"",Pressure_2_R1!B18)</f>
        <v/>
      </c>
      <c r="D27" s="90" t="str">
        <f>Calcu!E23</f>
        <v/>
      </c>
      <c r="E27" s="90" t="str">
        <f ca="1">TEXT(Calcu!F23,Calcu!$J$3)</f>
        <v/>
      </c>
      <c r="F27" s="90" t="str">
        <f ca="1">TEXT(Calcu!G23,Calcu!$J$3)</f>
        <v/>
      </c>
      <c r="G27" s="90" t="str">
        <f ca="1">TEXT(Calcu!H23,Calcu!$J$3)</f>
        <v/>
      </c>
      <c r="H27" s="41"/>
      <c r="I27" s="42"/>
      <c r="J27" s="91">
        <v>15</v>
      </c>
      <c r="K27" s="439" t="str">
        <f>IF(Calcu_ADJ!B23=FALSE,"",Pressure_2_R1!B18)</f>
        <v/>
      </c>
      <c r="L27" s="90" t="str">
        <f>Calcu_ADJ!E23</f>
        <v/>
      </c>
      <c r="M27" s="90" t="str">
        <f ca="1">TEXT(Calcu_ADJ!F23,Calcu_ADJ!$J$3)</f>
        <v/>
      </c>
      <c r="N27" s="90" t="str">
        <f ca="1">TEXT(Calcu_ADJ!G23,Calcu_ADJ!$J$3)</f>
        <v/>
      </c>
      <c r="O27" s="90" t="str">
        <f ca="1">TEXT(Calcu_ADJ!H23,Calcu_ADJ!$J$3)</f>
        <v/>
      </c>
    </row>
    <row r="28" spans="1:15" ht="13.5" customHeight="1">
      <c r="A28" s="42"/>
      <c r="B28" s="91">
        <v>16</v>
      </c>
      <c r="C28" s="439" t="str">
        <f>IF(Calcu!B24=FALSE,"",Pressure_2_R1!B19)</f>
        <v/>
      </c>
      <c r="D28" s="90" t="str">
        <f>Calcu!E24</f>
        <v/>
      </c>
      <c r="E28" s="90" t="str">
        <f ca="1">TEXT(Calcu!F24,Calcu!$J$3)</f>
        <v/>
      </c>
      <c r="F28" s="90" t="str">
        <f ca="1">TEXT(Calcu!G24,Calcu!$J$3)</f>
        <v/>
      </c>
      <c r="G28" s="90" t="str">
        <f ca="1">TEXT(Calcu!H24,Calcu!$J$3)</f>
        <v/>
      </c>
      <c r="H28" s="41"/>
      <c r="I28" s="42"/>
      <c r="J28" s="91">
        <v>16</v>
      </c>
      <c r="K28" s="439" t="str">
        <f>IF(Calcu_ADJ!B24=FALSE,"",Pressure_2_R1!B19)</f>
        <v/>
      </c>
      <c r="L28" s="90" t="str">
        <f>Calcu_ADJ!E24</f>
        <v/>
      </c>
      <c r="M28" s="90" t="str">
        <f ca="1">TEXT(Calcu_ADJ!F24,Calcu_ADJ!$J$3)</f>
        <v/>
      </c>
      <c r="N28" s="90" t="str">
        <f ca="1">TEXT(Calcu_ADJ!G24,Calcu_ADJ!$J$3)</f>
        <v/>
      </c>
      <c r="O28" s="90" t="str">
        <f ca="1">TEXT(Calcu_ADJ!H24,Calcu_ADJ!$J$3)</f>
        <v/>
      </c>
    </row>
    <row r="29" spans="1:15" ht="13.5" customHeight="1">
      <c r="A29" s="42"/>
      <c r="B29" s="91">
        <v>17</v>
      </c>
      <c r="C29" s="439" t="str">
        <f>IF(Calcu!B25=FALSE,"",Pressure_2_R1!B20)</f>
        <v/>
      </c>
      <c r="D29" s="90" t="str">
        <f>Calcu!E25</f>
        <v/>
      </c>
      <c r="E29" s="90" t="str">
        <f ca="1">TEXT(Calcu!F25,Calcu!$J$3)</f>
        <v/>
      </c>
      <c r="F29" s="90" t="str">
        <f ca="1">TEXT(Calcu!G25,Calcu!$J$3)</f>
        <v/>
      </c>
      <c r="G29" s="90" t="str">
        <f ca="1">TEXT(Calcu!H25,Calcu!$J$3)</f>
        <v/>
      </c>
      <c r="H29" s="41"/>
      <c r="I29" s="42"/>
      <c r="J29" s="91">
        <v>17</v>
      </c>
      <c r="K29" s="439" t="str">
        <f>IF(Calcu_ADJ!B25=FALSE,"",Pressure_2_R1!B20)</f>
        <v/>
      </c>
      <c r="L29" s="90" t="str">
        <f>Calcu_ADJ!E25</f>
        <v/>
      </c>
      <c r="M29" s="90" t="str">
        <f ca="1">TEXT(Calcu_ADJ!F25,Calcu_ADJ!$J$3)</f>
        <v/>
      </c>
      <c r="N29" s="90" t="str">
        <f ca="1">TEXT(Calcu_ADJ!G25,Calcu_ADJ!$J$3)</f>
        <v/>
      </c>
      <c r="O29" s="90" t="str">
        <f ca="1">TEXT(Calcu_ADJ!H25,Calcu_ADJ!$J$3)</f>
        <v/>
      </c>
    </row>
    <row r="30" spans="1:15" ht="13.5" customHeight="1">
      <c r="A30" s="42"/>
      <c r="B30" s="91">
        <v>18</v>
      </c>
      <c r="C30" s="439" t="str">
        <f>IF(Calcu!B26=FALSE,"",Pressure_2_R1!B21)</f>
        <v/>
      </c>
      <c r="D30" s="90" t="str">
        <f>Calcu!E26</f>
        <v/>
      </c>
      <c r="E30" s="90" t="str">
        <f ca="1">TEXT(Calcu!F26,Calcu!$J$3)</f>
        <v/>
      </c>
      <c r="F30" s="90" t="str">
        <f ca="1">TEXT(Calcu!G26,Calcu!$J$3)</f>
        <v/>
      </c>
      <c r="G30" s="90" t="str">
        <f ca="1">TEXT(Calcu!H26,Calcu!$J$3)</f>
        <v/>
      </c>
      <c r="H30" s="41"/>
      <c r="I30" s="42"/>
      <c r="J30" s="91">
        <v>18</v>
      </c>
      <c r="K30" s="439" t="str">
        <f>IF(Calcu_ADJ!B26=FALSE,"",Pressure_2_R1!B21)</f>
        <v/>
      </c>
      <c r="L30" s="90" t="str">
        <f>Calcu_ADJ!E26</f>
        <v/>
      </c>
      <c r="M30" s="90" t="str">
        <f ca="1">TEXT(Calcu_ADJ!F26,Calcu_ADJ!$J$3)</f>
        <v/>
      </c>
      <c r="N30" s="90" t="str">
        <f ca="1">TEXT(Calcu_ADJ!G26,Calcu_ADJ!$J$3)</f>
        <v/>
      </c>
      <c r="O30" s="90" t="str">
        <f ca="1">TEXT(Calcu_ADJ!H26,Calcu_ADJ!$J$3)</f>
        <v/>
      </c>
    </row>
    <row r="31" spans="1:15" ht="13.5" customHeight="1">
      <c r="A31" s="42"/>
      <c r="B31" s="91">
        <v>19</v>
      </c>
      <c r="C31" s="439" t="str">
        <f>IF(Calcu!B27=FALSE,"",Pressure_2_R1!B22)</f>
        <v/>
      </c>
      <c r="D31" s="90" t="str">
        <f>Calcu!E27</f>
        <v/>
      </c>
      <c r="E31" s="90" t="str">
        <f ca="1">TEXT(Calcu!F27,Calcu!$J$3)</f>
        <v/>
      </c>
      <c r="F31" s="90" t="str">
        <f ca="1">TEXT(Calcu!G27,Calcu!$J$3)</f>
        <v/>
      </c>
      <c r="G31" s="90" t="str">
        <f ca="1">TEXT(Calcu!H27,Calcu!$J$3)</f>
        <v/>
      </c>
      <c r="H31" s="41"/>
      <c r="I31" s="42"/>
      <c r="J31" s="91">
        <v>19</v>
      </c>
      <c r="K31" s="439" t="str">
        <f>IF(Calcu_ADJ!B27=FALSE,"",Pressure_2_R1!B22)</f>
        <v/>
      </c>
      <c r="L31" s="90" t="str">
        <f>Calcu_ADJ!E27</f>
        <v/>
      </c>
      <c r="M31" s="90" t="str">
        <f ca="1">TEXT(Calcu_ADJ!F27,Calcu_ADJ!$J$3)</f>
        <v/>
      </c>
      <c r="N31" s="90" t="str">
        <f ca="1">TEXT(Calcu_ADJ!G27,Calcu_ADJ!$J$3)</f>
        <v/>
      </c>
      <c r="O31" s="90" t="str">
        <f ca="1">TEXT(Calcu_ADJ!H27,Calcu_ADJ!$J$3)</f>
        <v/>
      </c>
    </row>
    <row r="32" spans="1:15" ht="13.5" customHeight="1">
      <c r="A32" s="42"/>
      <c r="B32" s="91">
        <v>20</v>
      </c>
      <c r="C32" s="439" t="str">
        <f>IF(Calcu!B28=FALSE,"",Pressure_2_R1!B23)</f>
        <v/>
      </c>
      <c r="D32" s="90" t="str">
        <f>Calcu!E28</f>
        <v/>
      </c>
      <c r="E32" s="90" t="str">
        <f ca="1">TEXT(Calcu!F28,Calcu!$J$3)</f>
        <v/>
      </c>
      <c r="F32" s="90" t="str">
        <f ca="1">TEXT(Calcu!G28,Calcu!$J$3)</f>
        <v/>
      </c>
      <c r="G32" s="90" t="str">
        <f ca="1">TEXT(Calcu!H28,Calcu!$J$3)</f>
        <v/>
      </c>
      <c r="H32" s="41"/>
      <c r="I32" s="42"/>
      <c r="J32" s="91">
        <v>20</v>
      </c>
      <c r="K32" s="439" t="str">
        <f>IF(Calcu_ADJ!B28=FALSE,"",Pressure_2_R1!B23)</f>
        <v/>
      </c>
      <c r="L32" s="90" t="str">
        <f>Calcu_ADJ!E28</f>
        <v/>
      </c>
      <c r="M32" s="90" t="str">
        <f ca="1">TEXT(Calcu_ADJ!F28,Calcu_ADJ!$J$3)</f>
        <v/>
      </c>
      <c r="N32" s="90" t="str">
        <f ca="1">TEXT(Calcu_ADJ!G28,Calcu_ADJ!$J$3)</f>
        <v/>
      </c>
      <c r="O32" s="90" t="str">
        <f ca="1">TEXT(Calcu_ADJ!H28,Calcu_ADJ!$J$3)</f>
        <v/>
      </c>
    </row>
    <row r="33" spans="1:15" ht="13.5" customHeight="1">
      <c r="A33" s="42"/>
      <c r="B33" s="91">
        <v>21</v>
      </c>
      <c r="C33" s="439" t="str">
        <f>IF(Calcu!B29=FALSE,"",Pressure_2_R1!B24)</f>
        <v/>
      </c>
      <c r="D33" s="90" t="str">
        <f>Calcu!E29</f>
        <v/>
      </c>
      <c r="E33" s="90" t="str">
        <f ca="1">TEXT(Calcu!F29,Calcu!$J$3)</f>
        <v/>
      </c>
      <c r="F33" s="90" t="str">
        <f ca="1">TEXT(Calcu!G29,Calcu!$J$3)</f>
        <v/>
      </c>
      <c r="G33" s="90" t="str">
        <f ca="1">TEXT(Calcu!H29,Calcu!$J$3)</f>
        <v/>
      </c>
      <c r="H33" s="41"/>
      <c r="I33" s="42"/>
      <c r="J33" s="91">
        <v>21</v>
      </c>
      <c r="K33" s="439" t="str">
        <f>IF(Calcu_ADJ!B29=FALSE,"",Pressure_2_R1!B24)</f>
        <v/>
      </c>
      <c r="L33" s="90" t="str">
        <f>Calcu_ADJ!E29</f>
        <v/>
      </c>
      <c r="M33" s="90" t="str">
        <f ca="1">TEXT(Calcu_ADJ!F29,Calcu_ADJ!$J$3)</f>
        <v/>
      </c>
      <c r="N33" s="90" t="str">
        <f ca="1">TEXT(Calcu_ADJ!G29,Calcu_ADJ!$J$3)</f>
        <v/>
      </c>
      <c r="O33" s="90" t="str">
        <f ca="1">TEXT(Calcu_ADJ!H29,Calcu_ADJ!$J$3)</f>
        <v/>
      </c>
    </row>
    <row r="34" spans="1:15" ht="13.5" customHeight="1">
      <c r="A34" s="42"/>
      <c r="B34" s="91">
        <v>22</v>
      </c>
      <c r="C34" s="439" t="str">
        <f>IF(Calcu!B30=FALSE,"",Pressure_2_R1!B25)</f>
        <v/>
      </c>
      <c r="D34" s="90" t="str">
        <f>Calcu!E30</f>
        <v/>
      </c>
      <c r="E34" s="90" t="str">
        <f ca="1">TEXT(Calcu!F30,Calcu!$J$3)</f>
        <v/>
      </c>
      <c r="F34" s="90" t="str">
        <f ca="1">TEXT(Calcu!G30,Calcu!$J$3)</f>
        <v/>
      </c>
      <c r="G34" s="90" t="str">
        <f ca="1">TEXT(Calcu!H30,Calcu!$J$3)</f>
        <v/>
      </c>
      <c r="H34" s="41"/>
      <c r="I34" s="42"/>
      <c r="J34" s="91">
        <v>22</v>
      </c>
      <c r="K34" s="439" t="str">
        <f>IF(Calcu_ADJ!B30=FALSE,"",Pressure_2_R1!B25)</f>
        <v/>
      </c>
      <c r="L34" s="90" t="str">
        <f>Calcu_ADJ!E30</f>
        <v/>
      </c>
      <c r="M34" s="90" t="str">
        <f ca="1">TEXT(Calcu_ADJ!F30,Calcu_ADJ!$J$3)</f>
        <v/>
      </c>
      <c r="N34" s="90" t="str">
        <f ca="1">TEXT(Calcu_ADJ!G30,Calcu_ADJ!$J$3)</f>
        <v/>
      </c>
      <c r="O34" s="90" t="str">
        <f ca="1">TEXT(Calcu_ADJ!H30,Calcu_ADJ!$J$3)</f>
        <v/>
      </c>
    </row>
    <row r="35" spans="1:15" ht="13.5" customHeight="1">
      <c r="A35" s="42"/>
      <c r="B35" s="91">
        <v>23</v>
      </c>
      <c r="C35" s="439" t="str">
        <f>IF(Calcu!B31=FALSE,"",Pressure_2_R1!B26)</f>
        <v/>
      </c>
      <c r="D35" s="90" t="str">
        <f>Calcu!E31</f>
        <v/>
      </c>
      <c r="E35" s="90" t="str">
        <f ca="1">TEXT(Calcu!F31,Calcu!$J$3)</f>
        <v/>
      </c>
      <c r="F35" s="90" t="str">
        <f ca="1">TEXT(Calcu!G31,Calcu!$J$3)</f>
        <v/>
      </c>
      <c r="G35" s="90" t="str">
        <f ca="1">TEXT(Calcu!H31,Calcu!$J$3)</f>
        <v/>
      </c>
      <c r="H35" s="41"/>
      <c r="I35" s="42"/>
      <c r="J35" s="91">
        <v>23</v>
      </c>
      <c r="K35" s="439" t="str">
        <f>IF(Calcu_ADJ!B31=FALSE,"",Pressure_2_R1!B26)</f>
        <v/>
      </c>
      <c r="L35" s="90" t="str">
        <f>Calcu_ADJ!E31</f>
        <v/>
      </c>
      <c r="M35" s="90" t="str">
        <f ca="1">TEXT(Calcu_ADJ!F31,Calcu_ADJ!$J$3)</f>
        <v/>
      </c>
      <c r="N35" s="90" t="str">
        <f ca="1">TEXT(Calcu_ADJ!G31,Calcu_ADJ!$J$3)</f>
        <v/>
      </c>
      <c r="O35" s="90" t="str">
        <f ca="1">TEXT(Calcu_ADJ!H31,Calcu_ADJ!$J$3)</f>
        <v/>
      </c>
    </row>
    <row r="36" spans="1:15" ht="13.5" customHeight="1">
      <c r="A36" s="42"/>
      <c r="B36" s="91">
        <v>24</v>
      </c>
      <c r="C36" s="439" t="str">
        <f>IF(Calcu!B32=FALSE,"",Pressure_2_R1!B27)</f>
        <v/>
      </c>
      <c r="D36" s="90" t="str">
        <f>Calcu!E32</f>
        <v/>
      </c>
      <c r="E36" s="90" t="str">
        <f ca="1">TEXT(Calcu!F32,Calcu!$J$3)</f>
        <v/>
      </c>
      <c r="F36" s="90" t="str">
        <f ca="1">TEXT(Calcu!G32,Calcu!$J$3)</f>
        <v/>
      </c>
      <c r="G36" s="90" t="str">
        <f ca="1">TEXT(Calcu!H32,Calcu!$J$3)</f>
        <v/>
      </c>
      <c r="H36" s="41"/>
      <c r="I36" s="42"/>
      <c r="J36" s="91">
        <v>24</v>
      </c>
      <c r="K36" s="439" t="str">
        <f>IF(Calcu_ADJ!B32=FALSE,"",Pressure_2_R1!B27)</f>
        <v/>
      </c>
      <c r="L36" s="90" t="str">
        <f>Calcu_ADJ!E32</f>
        <v/>
      </c>
      <c r="M36" s="90" t="str">
        <f ca="1">TEXT(Calcu_ADJ!F32,Calcu_ADJ!$J$3)</f>
        <v/>
      </c>
      <c r="N36" s="90" t="str">
        <f ca="1">TEXT(Calcu_ADJ!G32,Calcu_ADJ!$J$3)</f>
        <v/>
      </c>
      <c r="O36" s="90" t="str">
        <f ca="1">TEXT(Calcu_ADJ!H32,Calcu_ADJ!$J$3)</f>
        <v/>
      </c>
    </row>
    <row r="37" spans="1:15" ht="13.5" customHeight="1">
      <c r="A37" s="42"/>
      <c r="B37" s="91">
        <v>25</v>
      </c>
      <c r="C37" s="439" t="str">
        <f>IF(Calcu!B33=FALSE,"",Pressure_2_R1!B28)</f>
        <v/>
      </c>
      <c r="D37" s="90" t="str">
        <f>Calcu!E33</f>
        <v/>
      </c>
      <c r="E37" s="90" t="str">
        <f ca="1">TEXT(Calcu!F33,Calcu!$J$3)</f>
        <v/>
      </c>
      <c r="F37" s="90" t="str">
        <f ca="1">TEXT(Calcu!G33,Calcu!$J$3)</f>
        <v/>
      </c>
      <c r="G37" s="90" t="str">
        <f ca="1">TEXT(Calcu!H33,Calcu!$J$3)</f>
        <v/>
      </c>
      <c r="H37" s="41"/>
      <c r="I37" s="42"/>
      <c r="J37" s="91">
        <v>25</v>
      </c>
      <c r="K37" s="439" t="str">
        <f>IF(Calcu_ADJ!B33=FALSE,"",Pressure_2_R1!B28)</f>
        <v/>
      </c>
      <c r="L37" s="90" t="str">
        <f>Calcu_ADJ!E33</f>
        <v/>
      </c>
      <c r="M37" s="90" t="str">
        <f ca="1">TEXT(Calcu_ADJ!F33,Calcu_ADJ!$J$3)</f>
        <v/>
      </c>
      <c r="N37" s="90" t="str">
        <f ca="1">TEXT(Calcu_ADJ!G33,Calcu_ADJ!$J$3)</f>
        <v/>
      </c>
      <c r="O37" s="90" t="str">
        <f ca="1">TEXT(Calcu_ADJ!H33,Calcu_ADJ!$J$3)</f>
        <v/>
      </c>
    </row>
    <row r="38" spans="1:15" ht="13.5" customHeight="1">
      <c r="A38" s="42"/>
      <c r="B38" s="91">
        <v>26</v>
      </c>
      <c r="C38" s="439" t="str">
        <f>IF(Calcu!B34=FALSE,"",Pressure_2_R1!B29)</f>
        <v/>
      </c>
      <c r="D38" s="90" t="str">
        <f>Calcu!E34</f>
        <v/>
      </c>
      <c r="E38" s="90" t="str">
        <f ca="1">TEXT(Calcu!F34,Calcu!$J$3)</f>
        <v/>
      </c>
      <c r="F38" s="90" t="str">
        <f ca="1">TEXT(Calcu!G34,Calcu!$J$3)</f>
        <v/>
      </c>
      <c r="G38" s="90" t="str">
        <f ca="1">TEXT(Calcu!H34,Calcu!$J$3)</f>
        <v/>
      </c>
      <c r="H38" s="41"/>
      <c r="I38" s="42"/>
      <c r="J38" s="91">
        <v>26</v>
      </c>
      <c r="K38" s="439" t="str">
        <f>IF(Calcu_ADJ!B34=FALSE,"",Pressure_2_R1!B29)</f>
        <v/>
      </c>
      <c r="L38" s="90" t="str">
        <f>Calcu_ADJ!E34</f>
        <v/>
      </c>
      <c r="M38" s="90" t="str">
        <f ca="1">TEXT(Calcu_ADJ!F34,Calcu_ADJ!$J$3)</f>
        <v/>
      </c>
      <c r="N38" s="90" t="str">
        <f ca="1">TEXT(Calcu_ADJ!G34,Calcu_ADJ!$J$3)</f>
        <v/>
      </c>
      <c r="O38" s="90" t="str">
        <f ca="1">TEXT(Calcu_ADJ!H34,Calcu_ADJ!$J$3)</f>
        <v/>
      </c>
    </row>
    <row r="39" spans="1:15" ht="13.5" customHeight="1">
      <c r="A39" s="42"/>
      <c r="B39" s="91">
        <v>27</v>
      </c>
      <c r="C39" s="439" t="str">
        <f>IF(Calcu!B35=FALSE,"",Pressure_2_R1!B30)</f>
        <v/>
      </c>
      <c r="D39" s="90" t="str">
        <f>Calcu!E35</f>
        <v/>
      </c>
      <c r="E39" s="90" t="str">
        <f ca="1">TEXT(Calcu!F35,Calcu!$J$3)</f>
        <v/>
      </c>
      <c r="F39" s="90" t="str">
        <f ca="1">TEXT(Calcu!G35,Calcu!$J$3)</f>
        <v/>
      </c>
      <c r="G39" s="90" t="str">
        <f ca="1">TEXT(Calcu!H35,Calcu!$J$3)</f>
        <v/>
      </c>
      <c r="H39" s="41"/>
      <c r="I39" s="42"/>
      <c r="J39" s="91">
        <v>27</v>
      </c>
      <c r="K39" s="439" t="str">
        <f>IF(Calcu_ADJ!B35=FALSE,"",Pressure_2_R1!B30)</f>
        <v/>
      </c>
      <c r="L39" s="90" t="str">
        <f>Calcu_ADJ!E35</f>
        <v/>
      </c>
      <c r="M39" s="90" t="str">
        <f ca="1">TEXT(Calcu_ADJ!F35,Calcu_ADJ!$J$3)</f>
        <v/>
      </c>
      <c r="N39" s="90" t="str">
        <f ca="1">TEXT(Calcu_ADJ!G35,Calcu_ADJ!$J$3)</f>
        <v/>
      </c>
      <c r="O39" s="90" t="str">
        <f ca="1">TEXT(Calcu_ADJ!H35,Calcu_ADJ!$J$3)</f>
        <v/>
      </c>
    </row>
    <row r="40" spans="1:15" ht="13.5" customHeight="1">
      <c r="A40" s="42"/>
      <c r="B40" s="91">
        <v>28</v>
      </c>
      <c r="C40" s="439" t="str">
        <f>IF(Calcu!B36=FALSE,"",Pressure_2_R1!B31)</f>
        <v/>
      </c>
      <c r="D40" s="90" t="str">
        <f>Calcu!E36</f>
        <v/>
      </c>
      <c r="E40" s="90" t="str">
        <f ca="1">TEXT(Calcu!F36,Calcu!$J$3)</f>
        <v/>
      </c>
      <c r="F40" s="90" t="str">
        <f ca="1">TEXT(Calcu!G36,Calcu!$J$3)</f>
        <v/>
      </c>
      <c r="G40" s="90" t="str">
        <f ca="1">TEXT(Calcu!H36,Calcu!$J$3)</f>
        <v/>
      </c>
      <c r="H40" s="41"/>
      <c r="I40" s="42"/>
      <c r="J40" s="91">
        <v>28</v>
      </c>
      <c r="K40" s="439" t="str">
        <f>IF(Calcu_ADJ!B36=FALSE,"",Pressure_2_R1!B31)</f>
        <v/>
      </c>
      <c r="L40" s="90" t="str">
        <f>Calcu_ADJ!E36</f>
        <v/>
      </c>
      <c r="M40" s="90" t="str">
        <f ca="1">TEXT(Calcu_ADJ!F36,Calcu_ADJ!$J$3)</f>
        <v/>
      </c>
      <c r="N40" s="90" t="str">
        <f ca="1">TEXT(Calcu_ADJ!G36,Calcu_ADJ!$J$3)</f>
        <v/>
      </c>
      <c r="O40" s="90" t="str">
        <f ca="1">TEXT(Calcu_ADJ!H36,Calcu_ADJ!$J$3)</f>
        <v/>
      </c>
    </row>
    <row r="41" spans="1:15" ht="13.5" customHeight="1">
      <c r="A41" s="42"/>
      <c r="B41" s="91">
        <v>29</v>
      </c>
      <c r="C41" s="439" t="str">
        <f>IF(Calcu!B37=FALSE,"",Pressure_2_R1!B32)</f>
        <v/>
      </c>
      <c r="D41" s="90" t="str">
        <f>Calcu!E37</f>
        <v/>
      </c>
      <c r="E41" s="90" t="str">
        <f ca="1">TEXT(Calcu!F37,Calcu!$J$3)</f>
        <v/>
      </c>
      <c r="F41" s="90" t="str">
        <f ca="1">TEXT(Calcu!G37,Calcu!$J$3)</f>
        <v/>
      </c>
      <c r="G41" s="90" t="str">
        <f ca="1">TEXT(Calcu!H37,Calcu!$J$3)</f>
        <v/>
      </c>
      <c r="H41" s="41"/>
      <c r="I41" s="42"/>
      <c r="J41" s="91">
        <v>29</v>
      </c>
      <c r="K41" s="439" t="str">
        <f>IF(Calcu_ADJ!B37=FALSE,"",Pressure_2_R1!B32)</f>
        <v/>
      </c>
      <c r="L41" s="90" t="str">
        <f>Calcu_ADJ!E37</f>
        <v/>
      </c>
      <c r="M41" s="90" t="str">
        <f ca="1">TEXT(Calcu_ADJ!F37,Calcu_ADJ!$J$3)</f>
        <v/>
      </c>
      <c r="N41" s="90" t="str">
        <f ca="1">TEXT(Calcu_ADJ!G37,Calcu_ADJ!$J$3)</f>
        <v/>
      </c>
      <c r="O41" s="90" t="str">
        <f ca="1">TEXT(Calcu_ADJ!H37,Calcu_ADJ!$J$3)</f>
        <v/>
      </c>
    </row>
    <row r="42" spans="1:15" ht="13.5" customHeight="1">
      <c r="A42" s="42"/>
      <c r="B42" s="91">
        <v>30</v>
      </c>
      <c r="C42" s="439" t="str">
        <f>IF(Calcu!B38=FALSE,"",Pressure_2_R1!B33)</f>
        <v/>
      </c>
      <c r="D42" s="90" t="str">
        <f>Calcu!E38</f>
        <v/>
      </c>
      <c r="E42" s="90" t="str">
        <f ca="1">TEXT(Calcu!F38,Calcu!$J$3)</f>
        <v/>
      </c>
      <c r="F42" s="90" t="str">
        <f ca="1">TEXT(Calcu!G38,Calcu!$J$3)</f>
        <v/>
      </c>
      <c r="G42" s="90" t="str">
        <f ca="1">TEXT(Calcu!H38,Calcu!$J$3)</f>
        <v/>
      </c>
      <c r="H42" s="41"/>
      <c r="I42" s="42"/>
      <c r="J42" s="91">
        <v>30</v>
      </c>
      <c r="K42" s="439" t="str">
        <f>IF(Calcu_ADJ!B38=FALSE,"",Pressure_2_R1!B33)</f>
        <v/>
      </c>
      <c r="L42" s="90" t="str">
        <f>Calcu_ADJ!E38</f>
        <v/>
      </c>
      <c r="M42" s="90" t="str">
        <f ca="1">TEXT(Calcu_ADJ!F38,Calcu_ADJ!$J$3)</f>
        <v/>
      </c>
      <c r="N42" s="90" t="str">
        <f ca="1">TEXT(Calcu_ADJ!G38,Calcu_ADJ!$J$3)</f>
        <v/>
      </c>
      <c r="O42" s="90" t="str">
        <f ca="1">TEXT(Calcu_ADJ!H38,Calcu_ADJ!$J$3)</f>
        <v/>
      </c>
    </row>
    <row r="44" spans="1:15" ht="13.5" customHeight="1">
      <c r="A44" s="39"/>
      <c r="B44" s="40"/>
      <c r="C44" s="40"/>
      <c r="D44" s="88"/>
      <c r="E44" s="40"/>
    </row>
  </sheetData>
  <sortState ref="N5:O14">
    <sortCondition descending="1" ref="N5"/>
  </sortState>
  <mergeCells count="10">
    <mergeCell ref="E4:F4"/>
    <mergeCell ref="E3:F3"/>
    <mergeCell ref="C10:C11"/>
    <mergeCell ref="J10:J12"/>
    <mergeCell ref="K10:K11"/>
    <mergeCell ref="L10:L11"/>
    <mergeCell ref="M10:O10"/>
    <mergeCell ref="B10:B12"/>
    <mergeCell ref="D10:D11"/>
    <mergeCell ref="E10:G10"/>
  </mergeCells>
  <phoneticPr fontId="5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719"/>
  <sheetViews>
    <sheetView showGridLines="0" zoomScaleNormal="100" zoomScaleSheetLayoutView="100" workbookViewId="0"/>
  </sheetViews>
  <sheetFormatPr defaultColWidth="1.77734375" defaultRowHeight="18" customHeight="1"/>
  <cols>
    <col min="1" max="8" width="1.77734375" style="153"/>
    <col min="9" max="10" width="1.77734375" style="153" customWidth="1"/>
    <col min="11" max="29" width="1.77734375" style="153"/>
    <col min="30" max="30" width="1.77734375" style="153" customWidth="1"/>
    <col min="31" max="16384" width="1.77734375" style="153"/>
  </cols>
  <sheetData>
    <row r="1" spans="1:61" ht="31.5">
      <c r="A1" s="196" t="s">
        <v>397</v>
      </c>
    </row>
    <row r="2" spans="1:61" s="157" customFormat="1" ht="18.75" customHeight="1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</row>
    <row r="3" spans="1:61" s="157" customFormat="1" ht="18.75" customHeight="1">
      <c r="A3" s="281" t="s">
        <v>136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61" ht="18.75" customHeight="1">
      <c r="A4" s="194" t="s">
        <v>398</v>
      </c>
    </row>
    <row r="5" spans="1:61" ht="18.75" customHeight="1">
      <c r="B5" s="654" t="s">
        <v>399</v>
      </c>
      <c r="C5" s="654"/>
      <c r="D5" s="654"/>
      <c r="E5" s="654"/>
      <c r="F5" s="654"/>
      <c r="G5" s="654"/>
      <c r="H5" s="648" t="s">
        <v>71</v>
      </c>
      <c r="I5" s="648"/>
      <c r="J5" s="648"/>
      <c r="K5" s="648"/>
      <c r="L5" s="648"/>
      <c r="M5" s="648"/>
      <c r="N5" s="654" t="s">
        <v>400</v>
      </c>
      <c r="O5" s="654"/>
      <c r="P5" s="654"/>
      <c r="Q5" s="654"/>
      <c r="R5" s="654"/>
      <c r="S5" s="654"/>
      <c r="T5" s="648" t="s">
        <v>401</v>
      </c>
      <c r="U5" s="648"/>
      <c r="V5" s="648"/>
      <c r="W5" s="648"/>
      <c r="X5" s="648"/>
      <c r="Y5" s="648"/>
      <c r="Z5" s="648" t="s">
        <v>70</v>
      </c>
      <c r="AA5" s="648"/>
      <c r="AB5" s="648"/>
      <c r="AC5" s="648"/>
      <c r="AD5" s="648"/>
      <c r="AE5" s="648"/>
      <c r="AF5" s="655" t="s">
        <v>676</v>
      </c>
      <c r="AG5" s="656"/>
      <c r="AH5" s="656"/>
      <c r="AI5" s="656"/>
      <c r="AJ5" s="656"/>
      <c r="AK5" s="656"/>
      <c r="AL5" s="656"/>
      <c r="AM5" s="656"/>
      <c r="AN5" s="656"/>
      <c r="AO5" s="656"/>
      <c r="AP5" s="656"/>
      <c r="AQ5" s="657"/>
      <c r="AR5" s="647" t="s">
        <v>402</v>
      </c>
      <c r="AS5" s="647"/>
      <c r="AT5" s="647"/>
      <c r="AU5" s="647"/>
      <c r="AV5" s="647"/>
      <c r="AW5" s="647"/>
      <c r="AX5" s="648" t="s">
        <v>47</v>
      </c>
      <c r="AY5" s="648"/>
      <c r="AZ5" s="648"/>
      <c r="BA5" s="648"/>
      <c r="BB5" s="648"/>
      <c r="BC5" s="648"/>
      <c r="BD5" s="648" t="s">
        <v>369</v>
      </c>
      <c r="BE5" s="648"/>
      <c r="BF5" s="648"/>
      <c r="BG5" s="648"/>
      <c r="BH5" s="648"/>
      <c r="BI5" s="648"/>
    </row>
    <row r="6" spans="1:61" ht="18.75" customHeight="1">
      <c r="B6" s="649" t="e">
        <f ca="1">OFFSET(Calcu!D8,AX6,0)</f>
        <v>#N/A</v>
      </c>
      <c r="C6" s="649"/>
      <c r="D6" s="649"/>
      <c r="E6" s="649"/>
      <c r="F6" s="649"/>
      <c r="G6" s="649"/>
      <c r="H6" s="634">
        <f>Calcu!D8</f>
        <v>0</v>
      </c>
      <c r="I6" s="634"/>
      <c r="J6" s="634"/>
      <c r="K6" s="634"/>
      <c r="L6" s="634"/>
      <c r="M6" s="634"/>
      <c r="N6" s="650" t="e">
        <f ca="1">OFFSET(Pressure_2_R1!F135,AX6,0)</f>
        <v>#N/A</v>
      </c>
      <c r="O6" s="651"/>
      <c r="P6" s="651"/>
      <c r="Q6" s="651"/>
      <c r="R6" s="651" t="e">
        <f ca="1">OFFSET(Pressure_2_R1!G135,AX6,0)</f>
        <v>#N/A</v>
      </c>
      <c r="S6" s="652"/>
      <c r="T6" s="653" t="e">
        <f ca="1">MAX(ABS(Calcu!V$24-Calcu!V$9),ABS(Calcu!W$24-Calcu!W$9),ABS(Calcu!X$24-Calcu!X$9))*AJ57</f>
        <v>#VALUE!</v>
      </c>
      <c r="U6" s="634"/>
      <c r="V6" s="634"/>
      <c r="W6" s="634"/>
      <c r="X6" s="634"/>
      <c r="Y6" s="634"/>
      <c r="Z6" s="634" t="e">
        <f ca="1">((M176-M175)+(R176-R175)+(W176-W175))/3*AJ57</f>
        <v>#N/A</v>
      </c>
      <c r="AA6" s="634"/>
      <c r="AB6" s="634"/>
      <c r="AC6" s="634"/>
      <c r="AD6" s="634"/>
      <c r="AE6" s="634"/>
      <c r="AF6" s="633" t="e">
        <f ca="1">OFFSET(표준압력!F13,AX6,0)</f>
        <v>#N/A</v>
      </c>
      <c r="AG6" s="633"/>
      <c r="AH6" s="633"/>
      <c r="AI6" s="633"/>
      <c r="AJ6" s="633"/>
      <c r="AK6" s="633"/>
      <c r="AL6" s="633">
        <f>표준압력!F13</f>
        <v>0</v>
      </c>
      <c r="AM6" s="633"/>
      <c r="AN6" s="633"/>
      <c r="AO6" s="633"/>
      <c r="AP6" s="633"/>
      <c r="AQ6" s="633"/>
      <c r="AR6" s="634">
        <v>2</v>
      </c>
      <c r="AS6" s="634"/>
      <c r="AT6" s="634"/>
      <c r="AU6" s="634"/>
      <c r="AV6" s="634"/>
      <c r="AW6" s="634"/>
      <c r="AX6" s="634" t="e">
        <f>MATCH(TRUE,Calcu!I9:I38,0)</f>
        <v>#N/A</v>
      </c>
      <c r="AY6" s="634"/>
      <c r="AZ6" s="634"/>
      <c r="BA6" s="634"/>
      <c r="BB6" s="634"/>
      <c r="BC6" s="634"/>
      <c r="BD6" s="634">
        <f>COUNT(I12:O41)/2</f>
        <v>0</v>
      </c>
      <c r="BE6" s="634"/>
      <c r="BF6" s="634"/>
      <c r="BG6" s="634"/>
      <c r="BH6" s="634"/>
      <c r="BI6" s="634"/>
    </row>
    <row r="7" spans="1:61" ht="18" customHeight="1">
      <c r="A7" s="343"/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3"/>
      <c r="O7" s="343"/>
      <c r="P7" s="343"/>
      <c r="Q7" s="343"/>
      <c r="R7" s="343"/>
      <c r="S7" s="343"/>
      <c r="T7" s="343"/>
      <c r="U7" s="343"/>
      <c r="V7" s="343"/>
      <c r="W7" s="343"/>
      <c r="X7" s="343"/>
      <c r="Y7" s="343"/>
      <c r="Z7" s="343"/>
      <c r="AA7" s="343"/>
      <c r="AB7" s="343"/>
      <c r="AC7" s="343"/>
      <c r="AD7" s="343"/>
      <c r="AE7" s="343"/>
      <c r="AF7" s="343"/>
      <c r="AG7" s="343"/>
      <c r="AH7" s="343"/>
      <c r="AI7" s="343"/>
      <c r="AJ7" s="343"/>
      <c r="AK7" s="343"/>
      <c r="AL7" s="343"/>
      <c r="AM7" s="343"/>
      <c r="AN7" s="343"/>
      <c r="AO7" s="343"/>
      <c r="AP7" s="343"/>
      <c r="AQ7" s="343"/>
      <c r="AR7" s="343"/>
      <c r="AS7" s="343"/>
      <c r="AT7" s="343"/>
    </row>
    <row r="8" spans="1:61" ht="18" customHeight="1">
      <c r="A8" s="194" t="s">
        <v>403</v>
      </c>
      <c r="B8" s="343"/>
      <c r="C8" s="343"/>
      <c r="D8" s="343"/>
      <c r="E8" s="343"/>
      <c r="F8" s="343"/>
      <c r="G8" s="343"/>
      <c r="H8" s="343"/>
      <c r="I8" s="343"/>
      <c r="J8" s="343"/>
      <c r="K8" s="343"/>
      <c r="L8" s="343"/>
      <c r="M8" s="343"/>
      <c r="N8" s="343"/>
      <c r="O8" s="343"/>
      <c r="P8" s="343"/>
      <c r="Q8" s="343"/>
      <c r="R8" s="343"/>
      <c r="S8" s="343"/>
      <c r="T8" s="343"/>
      <c r="U8" s="343"/>
      <c r="V8" s="343"/>
      <c r="W8" s="343"/>
      <c r="X8" s="343"/>
      <c r="Y8" s="343"/>
      <c r="Z8" s="343"/>
      <c r="AA8" s="343"/>
      <c r="AB8" s="343"/>
      <c r="AC8" s="343"/>
      <c r="AD8" s="343"/>
      <c r="AE8" s="343"/>
      <c r="AF8" s="343"/>
      <c r="AG8" s="343"/>
      <c r="AH8" s="343"/>
      <c r="AI8" s="343"/>
      <c r="AJ8" s="343"/>
      <c r="AK8" s="343"/>
      <c r="AL8" s="343"/>
      <c r="AM8" s="343"/>
      <c r="AN8" s="343"/>
      <c r="AO8" s="343"/>
      <c r="AP8" s="343"/>
      <c r="AQ8" s="343"/>
      <c r="AR8" s="343"/>
      <c r="AS8" s="343"/>
      <c r="AT8" s="343"/>
    </row>
    <row r="9" spans="1:61" ht="18" customHeight="1">
      <c r="A9" s="343"/>
      <c r="B9" s="635" t="s">
        <v>137</v>
      </c>
      <c r="C9" s="636"/>
      <c r="D9" s="636"/>
      <c r="E9" s="636"/>
      <c r="F9" s="636"/>
      <c r="G9" s="636"/>
      <c r="H9" s="637"/>
      <c r="I9" s="635" t="s">
        <v>404</v>
      </c>
      <c r="J9" s="636"/>
      <c r="K9" s="636"/>
      <c r="L9" s="636"/>
      <c r="M9" s="636"/>
      <c r="N9" s="636"/>
      <c r="O9" s="637"/>
      <c r="P9" s="644" t="s">
        <v>405</v>
      </c>
      <c r="Q9" s="645"/>
      <c r="R9" s="645"/>
      <c r="S9" s="645"/>
      <c r="T9" s="645"/>
      <c r="U9" s="645"/>
      <c r="V9" s="645"/>
      <c r="W9" s="645"/>
      <c r="X9" s="645"/>
      <c r="Y9" s="645"/>
      <c r="Z9" s="645"/>
      <c r="AA9" s="645"/>
      <c r="AB9" s="645"/>
      <c r="AC9" s="645"/>
      <c r="AD9" s="645"/>
      <c r="AE9" s="645"/>
      <c r="AF9" s="645"/>
      <c r="AG9" s="645"/>
      <c r="AH9" s="645"/>
      <c r="AI9" s="645"/>
      <c r="AJ9" s="645"/>
      <c r="AK9" s="645"/>
      <c r="AL9" s="645"/>
      <c r="AM9" s="645"/>
      <c r="AN9" s="645"/>
      <c r="AO9" s="645"/>
      <c r="AP9" s="645"/>
      <c r="AQ9" s="646"/>
      <c r="AR9" s="154"/>
      <c r="AS9" s="154"/>
      <c r="AT9" s="343"/>
    </row>
    <row r="10" spans="1:61" ht="18" customHeight="1">
      <c r="A10" s="343"/>
      <c r="B10" s="638"/>
      <c r="C10" s="639"/>
      <c r="D10" s="639"/>
      <c r="E10" s="639"/>
      <c r="F10" s="639"/>
      <c r="G10" s="639"/>
      <c r="H10" s="640"/>
      <c r="I10" s="641"/>
      <c r="J10" s="642"/>
      <c r="K10" s="642"/>
      <c r="L10" s="642"/>
      <c r="M10" s="642"/>
      <c r="N10" s="642"/>
      <c r="O10" s="643"/>
      <c r="P10" s="625" t="s">
        <v>406</v>
      </c>
      <c r="Q10" s="626"/>
      <c r="R10" s="626"/>
      <c r="S10" s="626"/>
      <c r="T10" s="626"/>
      <c r="U10" s="626"/>
      <c r="V10" s="627"/>
      <c r="W10" s="625" t="s">
        <v>407</v>
      </c>
      <c r="X10" s="626"/>
      <c r="Y10" s="626"/>
      <c r="Z10" s="626"/>
      <c r="AA10" s="626"/>
      <c r="AB10" s="626"/>
      <c r="AC10" s="627"/>
      <c r="AD10" s="625" t="s">
        <v>408</v>
      </c>
      <c r="AE10" s="626"/>
      <c r="AF10" s="626"/>
      <c r="AG10" s="626"/>
      <c r="AH10" s="626"/>
      <c r="AI10" s="626"/>
      <c r="AJ10" s="627"/>
      <c r="AK10" s="625" t="s">
        <v>410</v>
      </c>
      <c r="AL10" s="626"/>
      <c r="AM10" s="626"/>
      <c r="AN10" s="626"/>
      <c r="AO10" s="626"/>
      <c r="AP10" s="626"/>
      <c r="AQ10" s="627"/>
      <c r="AR10" s="154"/>
      <c r="AS10" s="154"/>
      <c r="AT10" s="343"/>
    </row>
    <row r="11" spans="1:61" ht="18" customHeight="1">
      <c r="A11" s="343"/>
      <c r="B11" s="641"/>
      <c r="C11" s="642"/>
      <c r="D11" s="642"/>
      <c r="E11" s="642"/>
      <c r="F11" s="642"/>
      <c r="G11" s="642"/>
      <c r="H11" s="643"/>
      <c r="I11" s="628">
        <f>Calcu!E8</f>
        <v>0</v>
      </c>
      <c r="J11" s="629"/>
      <c r="K11" s="629"/>
      <c r="L11" s="629"/>
      <c r="M11" s="629"/>
      <c r="N11" s="629"/>
      <c r="O11" s="630"/>
      <c r="P11" s="628">
        <f>Calcu!K8</f>
        <v>0</v>
      </c>
      <c r="Q11" s="631"/>
      <c r="R11" s="631"/>
      <c r="S11" s="631"/>
      <c r="T11" s="631"/>
      <c r="U11" s="631"/>
      <c r="V11" s="632"/>
      <c r="W11" s="628">
        <f>Calcu!L8</f>
        <v>0</v>
      </c>
      <c r="X11" s="631"/>
      <c r="Y11" s="631"/>
      <c r="Z11" s="631"/>
      <c r="AA11" s="631"/>
      <c r="AB11" s="631"/>
      <c r="AC11" s="632"/>
      <c r="AD11" s="628">
        <f>Calcu!M8</f>
        <v>0</v>
      </c>
      <c r="AE11" s="631"/>
      <c r="AF11" s="631"/>
      <c r="AG11" s="631"/>
      <c r="AH11" s="631"/>
      <c r="AI11" s="631"/>
      <c r="AJ11" s="632"/>
      <c r="AK11" s="628">
        <f>Calcu!Y8</f>
        <v>0</v>
      </c>
      <c r="AL11" s="631"/>
      <c r="AM11" s="631"/>
      <c r="AN11" s="631"/>
      <c r="AO11" s="631"/>
      <c r="AP11" s="631"/>
      <c r="AQ11" s="632"/>
      <c r="AR11" s="154"/>
      <c r="AS11" s="154"/>
      <c r="AT11" s="343"/>
    </row>
    <row r="12" spans="1:61" ht="18" customHeight="1">
      <c r="A12" s="343"/>
      <c r="B12" s="664">
        <v>1</v>
      </c>
      <c r="C12" s="665"/>
      <c r="D12" s="665"/>
      <c r="E12" s="665"/>
      <c r="F12" s="665"/>
      <c r="G12" s="665"/>
      <c r="H12" s="666"/>
      <c r="I12" s="667" t="str">
        <f>Calcu!E9</f>
        <v/>
      </c>
      <c r="J12" s="668"/>
      <c r="K12" s="668"/>
      <c r="L12" s="668"/>
      <c r="M12" s="668"/>
      <c r="N12" s="668"/>
      <c r="O12" s="669"/>
      <c r="P12" s="667" t="str">
        <f>Calcu!K9</f>
        <v/>
      </c>
      <c r="Q12" s="670"/>
      <c r="R12" s="670"/>
      <c r="S12" s="670"/>
      <c r="T12" s="670"/>
      <c r="U12" s="670"/>
      <c r="V12" s="671"/>
      <c r="W12" s="667" t="str">
        <f>Calcu!L9</f>
        <v/>
      </c>
      <c r="X12" s="670"/>
      <c r="Y12" s="670"/>
      <c r="Z12" s="670"/>
      <c r="AA12" s="670"/>
      <c r="AB12" s="670"/>
      <c r="AC12" s="671"/>
      <c r="AD12" s="667" t="str">
        <f>Calcu!M9</f>
        <v/>
      </c>
      <c r="AE12" s="670"/>
      <c r="AF12" s="670"/>
      <c r="AG12" s="670"/>
      <c r="AH12" s="670"/>
      <c r="AI12" s="670"/>
      <c r="AJ12" s="671"/>
      <c r="AK12" s="667" t="str">
        <f>IF(I12="","",AVERAGE(P12:AJ12))</f>
        <v/>
      </c>
      <c r="AL12" s="670"/>
      <c r="AM12" s="670"/>
      <c r="AN12" s="670"/>
      <c r="AO12" s="670"/>
      <c r="AP12" s="670"/>
      <c r="AQ12" s="671"/>
      <c r="AR12" s="154"/>
      <c r="AS12" s="154"/>
      <c r="AT12" s="343"/>
    </row>
    <row r="13" spans="1:61" ht="18" customHeight="1">
      <c r="A13" s="343"/>
      <c r="B13" s="658">
        <v>2</v>
      </c>
      <c r="C13" s="639"/>
      <c r="D13" s="639"/>
      <c r="E13" s="639"/>
      <c r="F13" s="639"/>
      <c r="G13" s="639"/>
      <c r="H13" s="640"/>
      <c r="I13" s="659" t="str">
        <f>Calcu!E10</f>
        <v/>
      </c>
      <c r="J13" s="660"/>
      <c r="K13" s="660"/>
      <c r="L13" s="660"/>
      <c r="M13" s="660"/>
      <c r="N13" s="660"/>
      <c r="O13" s="661"/>
      <c r="P13" s="659" t="str">
        <f>Calcu!K10</f>
        <v/>
      </c>
      <c r="Q13" s="662"/>
      <c r="R13" s="662"/>
      <c r="S13" s="662"/>
      <c r="T13" s="662"/>
      <c r="U13" s="662"/>
      <c r="V13" s="663"/>
      <c r="W13" s="659" t="str">
        <f>Calcu!L10</f>
        <v/>
      </c>
      <c r="X13" s="662"/>
      <c r="Y13" s="662"/>
      <c r="Z13" s="662"/>
      <c r="AA13" s="662"/>
      <c r="AB13" s="662"/>
      <c r="AC13" s="663"/>
      <c r="AD13" s="659" t="str">
        <f>Calcu!M10</f>
        <v/>
      </c>
      <c r="AE13" s="662"/>
      <c r="AF13" s="662"/>
      <c r="AG13" s="662"/>
      <c r="AH13" s="662"/>
      <c r="AI13" s="662"/>
      <c r="AJ13" s="663"/>
      <c r="AK13" s="659" t="str">
        <f t="shared" ref="AK13:AK41" si="0">IF(I13="","",AVERAGE(P13:AJ13))</f>
        <v/>
      </c>
      <c r="AL13" s="662"/>
      <c r="AM13" s="662"/>
      <c r="AN13" s="662"/>
      <c r="AO13" s="662"/>
      <c r="AP13" s="662"/>
      <c r="AQ13" s="663"/>
      <c r="AR13" s="154"/>
      <c r="AS13" s="154"/>
      <c r="AT13" s="343"/>
    </row>
    <row r="14" spans="1:61" ht="18" customHeight="1">
      <c r="A14" s="343"/>
      <c r="B14" s="658">
        <v>3</v>
      </c>
      <c r="C14" s="639"/>
      <c r="D14" s="639"/>
      <c r="E14" s="639"/>
      <c r="F14" s="639"/>
      <c r="G14" s="639"/>
      <c r="H14" s="640"/>
      <c r="I14" s="659" t="str">
        <f>Calcu!E11</f>
        <v/>
      </c>
      <c r="J14" s="660"/>
      <c r="K14" s="660"/>
      <c r="L14" s="660"/>
      <c r="M14" s="660"/>
      <c r="N14" s="660"/>
      <c r="O14" s="661"/>
      <c r="P14" s="659" t="str">
        <f>Calcu!K11</f>
        <v/>
      </c>
      <c r="Q14" s="662"/>
      <c r="R14" s="662"/>
      <c r="S14" s="662"/>
      <c r="T14" s="662"/>
      <c r="U14" s="662"/>
      <c r="V14" s="663"/>
      <c r="W14" s="659" t="str">
        <f>Calcu!L11</f>
        <v/>
      </c>
      <c r="X14" s="662"/>
      <c r="Y14" s="662"/>
      <c r="Z14" s="662"/>
      <c r="AA14" s="662"/>
      <c r="AB14" s="662"/>
      <c r="AC14" s="663"/>
      <c r="AD14" s="659" t="str">
        <f>Calcu!M11</f>
        <v/>
      </c>
      <c r="AE14" s="662"/>
      <c r="AF14" s="662"/>
      <c r="AG14" s="662"/>
      <c r="AH14" s="662"/>
      <c r="AI14" s="662"/>
      <c r="AJ14" s="663"/>
      <c r="AK14" s="659" t="str">
        <f t="shared" si="0"/>
        <v/>
      </c>
      <c r="AL14" s="662"/>
      <c r="AM14" s="662"/>
      <c r="AN14" s="662"/>
      <c r="AO14" s="662"/>
      <c r="AP14" s="662"/>
      <c r="AQ14" s="663"/>
      <c r="AR14" s="154"/>
      <c r="AS14" s="154"/>
      <c r="AT14" s="343"/>
    </row>
    <row r="15" spans="1:61" ht="18" customHeight="1">
      <c r="A15" s="343"/>
      <c r="B15" s="658">
        <v>4</v>
      </c>
      <c r="C15" s="639"/>
      <c r="D15" s="639"/>
      <c r="E15" s="639"/>
      <c r="F15" s="639"/>
      <c r="G15" s="639"/>
      <c r="H15" s="640"/>
      <c r="I15" s="659" t="str">
        <f>Calcu!E12</f>
        <v/>
      </c>
      <c r="J15" s="660"/>
      <c r="K15" s="660"/>
      <c r="L15" s="660"/>
      <c r="M15" s="660"/>
      <c r="N15" s="660"/>
      <c r="O15" s="661"/>
      <c r="P15" s="659" t="str">
        <f>Calcu!K12</f>
        <v/>
      </c>
      <c r="Q15" s="662"/>
      <c r="R15" s="662"/>
      <c r="S15" s="662"/>
      <c r="T15" s="662"/>
      <c r="U15" s="662"/>
      <c r="V15" s="663"/>
      <c r="W15" s="659" t="str">
        <f>Calcu!L12</f>
        <v/>
      </c>
      <c r="X15" s="662"/>
      <c r="Y15" s="662"/>
      <c r="Z15" s="662"/>
      <c r="AA15" s="662"/>
      <c r="AB15" s="662"/>
      <c r="AC15" s="663"/>
      <c r="AD15" s="659" t="str">
        <f>Calcu!M12</f>
        <v/>
      </c>
      <c r="AE15" s="662"/>
      <c r="AF15" s="662"/>
      <c r="AG15" s="662"/>
      <c r="AH15" s="662"/>
      <c r="AI15" s="662"/>
      <c r="AJ15" s="663"/>
      <c r="AK15" s="659" t="str">
        <f t="shared" si="0"/>
        <v/>
      </c>
      <c r="AL15" s="662"/>
      <c r="AM15" s="662"/>
      <c r="AN15" s="662"/>
      <c r="AO15" s="662"/>
      <c r="AP15" s="662"/>
      <c r="AQ15" s="663"/>
      <c r="AR15" s="154"/>
      <c r="AS15" s="154"/>
      <c r="AT15" s="343"/>
    </row>
    <row r="16" spans="1:61" ht="18" customHeight="1">
      <c r="A16" s="343"/>
      <c r="B16" s="658">
        <v>5</v>
      </c>
      <c r="C16" s="639"/>
      <c r="D16" s="639"/>
      <c r="E16" s="639"/>
      <c r="F16" s="639"/>
      <c r="G16" s="639"/>
      <c r="H16" s="640"/>
      <c r="I16" s="659" t="str">
        <f>Calcu!E13</f>
        <v/>
      </c>
      <c r="J16" s="660"/>
      <c r="K16" s="660"/>
      <c r="L16" s="660"/>
      <c r="M16" s="660"/>
      <c r="N16" s="660"/>
      <c r="O16" s="661"/>
      <c r="P16" s="659" t="str">
        <f>Calcu!K13</f>
        <v/>
      </c>
      <c r="Q16" s="662"/>
      <c r="R16" s="662"/>
      <c r="S16" s="662"/>
      <c r="T16" s="662"/>
      <c r="U16" s="662"/>
      <c r="V16" s="663"/>
      <c r="W16" s="659" t="str">
        <f>Calcu!L13</f>
        <v/>
      </c>
      <c r="X16" s="662"/>
      <c r="Y16" s="662"/>
      <c r="Z16" s="662"/>
      <c r="AA16" s="662"/>
      <c r="AB16" s="662"/>
      <c r="AC16" s="663"/>
      <c r="AD16" s="659" t="str">
        <f>Calcu!M13</f>
        <v/>
      </c>
      <c r="AE16" s="662"/>
      <c r="AF16" s="662"/>
      <c r="AG16" s="662"/>
      <c r="AH16" s="662"/>
      <c r="AI16" s="662"/>
      <c r="AJ16" s="663"/>
      <c r="AK16" s="659" t="str">
        <f t="shared" si="0"/>
        <v/>
      </c>
      <c r="AL16" s="662"/>
      <c r="AM16" s="662"/>
      <c r="AN16" s="662"/>
      <c r="AO16" s="662"/>
      <c r="AP16" s="662"/>
      <c r="AQ16" s="663"/>
      <c r="AR16" s="154"/>
      <c r="AS16" s="154"/>
      <c r="AT16" s="343"/>
    </row>
    <row r="17" spans="1:46" ht="18" customHeight="1">
      <c r="A17" s="343"/>
      <c r="B17" s="658">
        <v>6</v>
      </c>
      <c r="C17" s="639"/>
      <c r="D17" s="639"/>
      <c r="E17" s="639"/>
      <c r="F17" s="639"/>
      <c r="G17" s="639"/>
      <c r="H17" s="640"/>
      <c r="I17" s="659" t="str">
        <f>Calcu!E14</f>
        <v/>
      </c>
      <c r="J17" s="660"/>
      <c r="K17" s="660"/>
      <c r="L17" s="660"/>
      <c r="M17" s="660"/>
      <c r="N17" s="660"/>
      <c r="O17" s="661"/>
      <c r="P17" s="659" t="str">
        <f>Calcu!K14</f>
        <v/>
      </c>
      <c r="Q17" s="662"/>
      <c r="R17" s="662"/>
      <c r="S17" s="662"/>
      <c r="T17" s="662"/>
      <c r="U17" s="662"/>
      <c r="V17" s="663"/>
      <c r="W17" s="659" t="str">
        <f>Calcu!L14</f>
        <v/>
      </c>
      <c r="X17" s="662"/>
      <c r="Y17" s="662"/>
      <c r="Z17" s="662"/>
      <c r="AA17" s="662"/>
      <c r="AB17" s="662"/>
      <c r="AC17" s="663"/>
      <c r="AD17" s="659" t="str">
        <f>Calcu!M14</f>
        <v/>
      </c>
      <c r="AE17" s="662"/>
      <c r="AF17" s="662"/>
      <c r="AG17" s="662"/>
      <c r="AH17" s="662"/>
      <c r="AI17" s="662"/>
      <c r="AJ17" s="663"/>
      <c r="AK17" s="659" t="str">
        <f t="shared" si="0"/>
        <v/>
      </c>
      <c r="AL17" s="662"/>
      <c r="AM17" s="662"/>
      <c r="AN17" s="662"/>
      <c r="AO17" s="662"/>
      <c r="AP17" s="662"/>
      <c r="AQ17" s="663"/>
      <c r="AR17" s="154"/>
      <c r="AS17" s="154"/>
      <c r="AT17" s="343"/>
    </row>
    <row r="18" spans="1:46" ht="18" customHeight="1">
      <c r="A18" s="343"/>
      <c r="B18" s="658">
        <v>7</v>
      </c>
      <c r="C18" s="639"/>
      <c r="D18" s="639"/>
      <c r="E18" s="639"/>
      <c r="F18" s="639"/>
      <c r="G18" s="639"/>
      <c r="H18" s="640"/>
      <c r="I18" s="659" t="str">
        <f>Calcu!E15</f>
        <v/>
      </c>
      <c r="J18" s="660"/>
      <c r="K18" s="660"/>
      <c r="L18" s="660"/>
      <c r="M18" s="660"/>
      <c r="N18" s="660"/>
      <c r="O18" s="661"/>
      <c r="P18" s="659" t="str">
        <f>Calcu!K15</f>
        <v/>
      </c>
      <c r="Q18" s="662"/>
      <c r="R18" s="662"/>
      <c r="S18" s="662"/>
      <c r="T18" s="662"/>
      <c r="U18" s="662"/>
      <c r="V18" s="663"/>
      <c r="W18" s="659" t="str">
        <f>Calcu!L15</f>
        <v/>
      </c>
      <c r="X18" s="662"/>
      <c r="Y18" s="662"/>
      <c r="Z18" s="662"/>
      <c r="AA18" s="662"/>
      <c r="AB18" s="662"/>
      <c r="AC18" s="663"/>
      <c r="AD18" s="659" t="str">
        <f>Calcu!M15</f>
        <v/>
      </c>
      <c r="AE18" s="662"/>
      <c r="AF18" s="662"/>
      <c r="AG18" s="662"/>
      <c r="AH18" s="662"/>
      <c r="AI18" s="662"/>
      <c r="AJ18" s="663"/>
      <c r="AK18" s="659" t="str">
        <f t="shared" si="0"/>
        <v/>
      </c>
      <c r="AL18" s="662"/>
      <c r="AM18" s="662"/>
      <c r="AN18" s="662"/>
      <c r="AO18" s="662"/>
      <c r="AP18" s="662"/>
      <c r="AQ18" s="663"/>
      <c r="AR18" s="154"/>
      <c r="AS18" s="154"/>
      <c r="AT18" s="343"/>
    </row>
    <row r="19" spans="1:46" ht="18" customHeight="1">
      <c r="A19" s="343"/>
      <c r="B19" s="658">
        <v>8</v>
      </c>
      <c r="C19" s="639"/>
      <c r="D19" s="639"/>
      <c r="E19" s="639"/>
      <c r="F19" s="639"/>
      <c r="G19" s="639"/>
      <c r="H19" s="640"/>
      <c r="I19" s="659" t="str">
        <f>Calcu!E16</f>
        <v/>
      </c>
      <c r="J19" s="660"/>
      <c r="K19" s="660"/>
      <c r="L19" s="660"/>
      <c r="M19" s="660"/>
      <c r="N19" s="660"/>
      <c r="O19" s="661"/>
      <c r="P19" s="659" t="str">
        <f>Calcu!K16</f>
        <v/>
      </c>
      <c r="Q19" s="662"/>
      <c r="R19" s="662"/>
      <c r="S19" s="662"/>
      <c r="T19" s="662"/>
      <c r="U19" s="662"/>
      <c r="V19" s="663"/>
      <c r="W19" s="659" t="str">
        <f>Calcu!L16</f>
        <v/>
      </c>
      <c r="X19" s="662"/>
      <c r="Y19" s="662"/>
      <c r="Z19" s="662"/>
      <c r="AA19" s="662"/>
      <c r="AB19" s="662"/>
      <c r="AC19" s="663"/>
      <c r="AD19" s="659" t="str">
        <f>Calcu!M16</f>
        <v/>
      </c>
      <c r="AE19" s="662"/>
      <c r="AF19" s="662"/>
      <c r="AG19" s="662"/>
      <c r="AH19" s="662"/>
      <c r="AI19" s="662"/>
      <c r="AJ19" s="663"/>
      <c r="AK19" s="659" t="str">
        <f t="shared" si="0"/>
        <v/>
      </c>
      <c r="AL19" s="662"/>
      <c r="AM19" s="662"/>
      <c r="AN19" s="662"/>
      <c r="AO19" s="662"/>
      <c r="AP19" s="662"/>
      <c r="AQ19" s="663"/>
      <c r="AR19" s="154"/>
      <c r="AS19" s="154"/>
      <c r="AT19" s="343"/>
    </row>
    <row r="20" spans="1:46" ht="18" customHeight="1">
      <c r="A20" s="343"/>
      <c r="B20" s="658">
        <v>9</v>
      </c>
      <c r="C20" s="639"/>
      <c r="D20" s="639"/>
      <c r="E20" s="639"/>
      <c r="F20" s="639"/>
      <c r="G20" s="639"/>
      <c r="H20" s="640"/>
      <c r="I20" s="659" t="str">
        <f>Calcu!E17</f>
        <v/>
      </c>
      <c r="J20" s="660"/>
      <c r="K20" s="660"/>
      <c r="L20" s="660"/>
      <c r="M20" s="660"/>
      <c r="N20" s="660"/>
      <c r="O20" s="661"/>
      <c r="P20" s="659" t="str">
        <f>Calcu!K17</f>
        <v/>
      </c>
      <c r="Q20" s="662"/>
      <c r="R20" s="662"/>
      <c r="S20" s="662"/>
      <c r="T20" s="662"/>
      <c r="U20" s="662"/>
      <c r="V20" s="663"/>
      <c r="W20" s="659" t="str">
        <f>Calcu!L17</f>
        <v/>
      </c>
      <c r="X20" s="662"/>
      <c r="Y20" s="662"/>
      <c r="Z20" s="662"/>
      <c r="AA20" s="662"/>
      <c r="AB20" s="662"/>
      <c r="AC20" s="663"/>
      <c r="AD20" s="659" t="str">
        <f>Calcu!M17</f>
        <v/>
      </c>
      <c r="AE20" s="662"/>
      <c r="AF20" s="662"/>
      <c r="AG20" s="662"/>
      <c r="AH20" s="662"/>
      <c r="AI20" s="662"/>
      <c r="AJ20" s="663"/>
      <c r="AK20" s="659" t="str">
        <f t="shared" si="0"/>
        <v/>
      </c>
      <c r="AL20" s="662"/>
      <c r="AM20" s="662"/>
      <c r="AN20" s="662"/>
      <c r="AO20" s="662"/>
      <c r="AP20" s="662"/>
      <c r="AQ20" s="663"/>
      <c r="AR20" s="154"/>
      <c r="AS20" s="154"/>
      <c r="AT20" s="343"/>
    </row>
    <row r="21" spans="1:46" ht="18" customHeight="1">
      <c r="A21" s="343"/>
      <c r="B21" s="658">
        <v>10</v>
      </c>
      <c r="C21" s="639"/>
      <c r="D21" s="639"/>
      <c r="E21" s="639"/>
      <c r="F21" s="639"/>
      <c r="G21" s="639"/>
      <c r="H21" s="640"/>
      <c r="I21" s="659" t="str">
        <f>Calcu!E18</f>
        <v/>
      </c>
      <c r="J21" s="660"/>
      <c r="K21" s="660"/>
      <c r="L21" s="660"/>
      <c r="M21" s="660"/>
      <c r="N21" s="660"/>
      <c r="O21" s="661"/>
      <c r="P21" s="659" t="str">
        <f>Calcu!K18</f>
        <v/>
      </c>
      <c r="Q21" s="662"/>
      <c r="R21" s="662"/>
      <c r="S21" s="662"/>
      <c r="T21" s="662"/>
      <c r="U21" s="662"/>
      <c r="V21" s="663"/>
      <c r="W21" s="659" t="str">
        <f>Calcu!L18</f>
        <v/>
      </c>
      <c r="X21" s="662"/>
      <c r="Y21" s="662"/>
      <c r="Z21" s="662"/>
      <c r="AA21" s="662"/>
      <c r="AB21" s="662"/>
      <c r="AC21" s="663"/>
      <c r="AD21" s="659" t="str">
        <f>Calcu!M18</f>
        <v/>
      </c>
      <c r="AE21" s="662"/>
      <c r="AF21" s="662"/>
      <c r="AG21" s="662"/>
      <c r="AH21" s="662"/>
      <c r="AI21" s="662"/>
      <c r="AJ21" s="663"/>
      <c r="AK21" s="659" t="str">
        <f t="shared" si="0"/>
        <v/>
      </c>
      <c r="AL21" s="662"/>
      <c r="AM21" s="662"/>
      <c r="AN21" s="662"/>
      <c r="AO21" s="662"/>
      <c r="AP21" s="662"/>
      <c r="AQ21" s="663"/>
      <c r="AR21" s="154"/>
      <c r="AS21" s="154"/>
      <c r="AT21" s="343"/>
    </row>
    <row r="22" spans="1:46" ht="18" customHeight="1">
      <c r="A22" s="343"/>
      <c r="B22" s="658">
        <v>11</v>
      </c>
      <c r="C22" s="639"/>
      <c r="D22" s="639"/>
      <c r="E22" s="639"/>
      <c r="F22" s="639"/>
      <c r="G22" s="639"/>
      <c r="H22" s="640"/>
      <c r="I22" s="659" t="str">
        <f>Calcu!E19</f>
        <v/>
      </c>
      <c r="J22" s="660"/>
      <c r="K22" s="660"/>
      <c r="L22" s="660"/>
      <c r="M22" s="660"/>
      <c r="N22" s="660"/>
      <c r="O22" s="661"/>
      <c r="P22" s="659" t="str">
        <f>Calcu!K19</f>
        <v/>
      </c>
      <c r="Q22" s="662"/>
      <c r="R22" s="662"/>
      <c r="S22" s="662"/>
      <c r="T22" s="662"/>
      <c r="U22" s="662"/>
      <c r="V22" s="663"/>
      <c r="W22" s="659" t="str">
        <f>Calcu!L19</f>
        <v/>
      </c>
      <c r="X22" s="662"/>
      <c r="Y22" s="662"/>
      <c r="Z22" s="662"/>
      <c r="AA22" s="662"/>
      <c r="AB22" s="662"/>
      <c r="AC22" s="663"/>
      <c r="AD22" s="659" t="str">
        <f>Calcu!M19</f>
        <v/>
      </c>
      <c r="AE22" s="662"/>
      <c r="AF22" s="662"/>
      <c r="AG22" s="662"/>
      <c r="AH22" s="662"/>
      <c r="AI22" s="662"/>
      <c r="AJ22" s="663"/>
      <c r="AK22" s="659" t="str">
        <f t="shared" si="0"/>
        <v/>
      </c>
      <c r="AL22" s="662"/>
      <c r="AM22" s="662"/>
      <c r="AN22" s="662"/>
      <c r="AO22" s="662"/>
      <c r="AP22" s="662"/>
      <c r="AQ22" s="663"/>
      <c r="AR22" s="154"/>
      <c r="AS22" s="154"/>
      <c r="AT22" s="343"/>
    </row>
    <row r="23" spans="1:46" ht="18" customHeight="1">
      <c r="A23" s="343"/>
      <c r="B23" s="658">
        <v>12</v>
      </c>
      <c r="C23" s="639"/>
      <c r="D23" s="639"/>
      <c r="E23" s="639"/>
      <c r="F23" s="639"/>
      <c r="G23" s="639"/>
      <c r="H23" s="640"/>
      <c r="I23" s="659" t="str">
        <f>Calcu!E20</f>
        <v/>
      </c>
      <c r="J23" s="660"/>
      <c r="K23" s="660"/>
      <c r="L23" s="660"/>
      <c r="M23" s="660"/>
      <c r="N23" s="660"/>
      <c r="O23" s="661"/>
      <c r="P23" s="659" t="str">
        <f>Calcu!K20</f>
        <v/>
      </c>
      <c r="Q23" s="662"/>
      <c r="R23" s="662"/>
      <c r="S23" s="662"/>
      <c r="T23" s="662"/>
      <c r="U23" s="662"/>
      <c r="V23" s="663"/>
      <c r="W23" s="659" t="str">
        <f>Calcu!L20</f>
        <v/>
      </c>
      <c r="X23" s="662"/>
      <c r="Y23" s="662"/>
      <c r="Z23" s="662"/>
      <c r="AA23" s="662"/>
      <c r="AB23" s="662"/>
      <c r="AC23" s="663"/>
      <c r="AD23" s="659" t="str">
        <f>Calcu!M20</f>
        <v/>
      </c>
      <c r="AE23" s="662"/>
      <c r="AF23" s="662"/>
      <c r="AG23" s="662"/>
      <c r="AH23" s="662"/>
      <c r="AI23" s="662"/>
      <c r="AJ23" s="663"/>
      <c r="AK23" s="659" t="str">
        <f t="shared" si="0"/>
        <v/>
      </c>
      <c r="AL23" s="662"/>
      <c r="AM23" s="662"/>
      <c r="AN23" s="662"/>
      <c r="AO23" s="662"/>
      <c r="AP23" s="662"/>
      <c r="AQ23" s="663"/>
      <c r="AR23" s="154"/>
      <c r="AS23" s="154"/>
      <c r="AT23" s="343"/>
    </row>
    <row r="24" spans="1:46" ht="18" customHeight="1">
      <c r="A24" s="343"/>
      <c r="B24" s="658">
        <v>13</v>
      </c>
      <c r="C24" s="639"/>
      <c r="D24" s="639"/>
      <c r="E24" s="639"/>
      <c r="F24" s="639"/>
      <c r="G24" s="639"/>
      <c r="H24" s="640"/>
      <c r="I24" s="659" t="str">
        <f>Calcu!E21</f>
        <v/>
      </c>
      <c r="J24" s="660"/>
      <c r="K24" s="660"/>
      <c r="L24" s="660"/>
      <c r="M24" s="660"/>
      <c r="N24" s="660"/>
      <c r="O24" s="661"/>
      <c r="P24" s="659" t="str">
        <f>Calcu!K21</f>
        <v/>
      </c>
      <c r="Q24" s="662"/>
      <c r="R24" s="662"/>
      <c r="S24" s="662"/>
      <c r="T24" s="662"/>
      <c r="U24" s="662"/>
      <c r="V24" s="663"/>
      <c r="W24" s="659" t="str">
        <f>Calcu!L21</f>
        <v/>
      </c>
      <c r="X24" s="662"/>
      <c r="Y24" s="662"/>
      <c r="Z24" s="662"/>
      <c r="AA24" s="662"/>
      <c r="AB24" s="662"/>
      <c r="AC24" s="663"/>
      <c r="AD24" s="659" t="str">
        <f>Calcu!M21</f>
        <v/>
      </c>
      <c r="AE24" s="662"/>
      <c r="AF24" s="662"/>
      <c r="AG24" s="662"/>
      <c r="AH24" s="662"/>
      <c r="AI24" s="662"/>
      <c r="AJ24" s="663"/>
      <c r="AK24" s="659" t="str">
        <f t="shared" si="0"/>
        <v/>
      </c>
      <c r="AL24" s="662"/>
      <c r="AM24" s="662"/>
      <c r="AN24" s="662"/>
      <c r="AO24" s="662"/>
      <c r="AP24" s="662"/>
      <c r="AQ24" s="663"/>
      <c r="AR24" s="154"/>
      <c r="AS24" s="154"/>
      <c r="AT24" s="343"/>
    </row>
    <row r="25" spans="1:46" ht="18" customHeight="1">
      <c r="A25" s="343"/>
      <c r="B25" s="658">
        <v>14</v>
      </c>
      <c r="C25" s="639"/>
      <c r="D25" s="639"/>
      <c r="E25" s="639"/>
      <c r="F25" s="639"/>
      <c r="G25" s="639"/>
      <c r="H25" s="640"/>
      <c r="I25" s="659" t="str">
        <f>Calcu!E22</f>
        <v/>
      </c>
      <c r="J25" s="660"/>
      <c r="K25" s="660"/>
      <c r="L25" s="660"/>
      <c r="M25" s="660"/>
      <c r="N25" s="660"/>
      <c r="O25" s="661"/>
      <c r="P25" s="659" t="str">
        <f>Calcu!K22</f>
        <v/>
      </c>
      <c r="Q25" s="662"/>
      <c r="R25" s="662"/>
      <c r="S25" s="662"/>
      <c r="T25" s="662"/>
      <c r="U25" s="662"/>
      <c r="V25" s="663"/>
      <c r="W25" s="659" t="str">
        <f>Calcu!L22</f>
        <v/>
      </c>
      <c r="X25" s="662"/>
      <c r="Y25" s="662"/>
      <c r="Z25" s="662"/>
      <c r="AA25" s="662"/>
      <c r="AB25" s="662"/>
      <c r="AC25" s="663"/>
      <c r="AD25" s="659" t="str">
        <f>Calcu!M22</f>
        <v/>
      </c>
      <c r="AE25" s="662"/>
      <c r="AF25" s="662"/>
      <c r="AG25" s="662"/>
      <c r="AH25" s="662"/>
      <c r="AI25" s="662"/>
      <c r="AJ25" s="663"/>
      <c r="AK25" s="659" t="str">
        <f t="shared" si="0"/>
        <v/>
      </c>
      <c r="AL25" s="662"/>
      <c r="AM25" s="662"/>
      <c r="AN25" s="662"/>
      <c r="AO25" s="662"/>
      <c r="AP25" s="662"/>
      <c r="AQ25" s="663"/>
      <c r="AR25" s="154"/>
      <c r="AS25" s="154"/>
      <c r="AT25" s="343"/>
    </row>
    <row r="26" spans="1:46" ht="18" customHeight="1">
      <c r="A26" s="343"/>
      <c r="B26" s="658">
        <v>15</v>
      </c>
      <c r="C26" s="639"/>
      <c r="D26" s="639"/>
      <c r="E26" s="639"/>
      <c r="F26" s="639"/>
      <c r="G26" s="639"/>
      <c r="H26" s="640"/>
      <c r="I26" s="659" t="str">
        <f>Calcu!E23</f>
        <v/>
      </c>
      <c r="J26" s="660"/>
      <c r="K26" s="660"/>
      <c r="L26" s="660"/>
      <c r="M26" s="660"/>
      <c r="N26" s="660"/>
      <c r="O26" s="661"/>
      <c r="P26" s="659" t="str">
        <f>Calcu!K23</f>
        <v/>
      </c>
      <c r="Q26" s="662"/>
      <c r="R26" s="662"/>
      <c r="S26" s="662"/>
      <c r="T26" s="662"/>
      <c r="U26" s="662"/>
      <c r="V26" s="663"/>
      <c r="W26" s="659" t="str">
        <f>Calcu!L23</f>
        <v/>
      </c>
      <c r="X26" s="662"/>
      <c r="Y26" s="662"/>
      <c r="Z26" s="662"/>
      <c r="AA26" s="662"/>
      <c r="AB26" s="662"/>
      <c r="AC26" s="663"/>
      <c r="AD26" s="659" t="str">
        <f>Calcu!M23</f>
        <v/>
      </c>
      <c r="AE26" s="662"/>
      <c r="AF26" s="662"/>
      <c r="AG26" s="662"/>
      <c r="AH26" s="662"/>
      <c r="AI26" s="662"/>
      <c r="AJ26" s="663"/>
      <c r="AK26" s="659" t="str">
        <f t="shared" si="0"/>
        <v/>
      </c>
      <c r="AL26" s="662"/>
      <c r="AM26" s="662"/>
      <c r="AN26" s="662"/>
      <c r="AO26" s="662"/>
      <c r="AP26" s="662"/>
      <c r="AQ26" s="663"/>
      <c r="AR26" s="154"/>
      <c r="AS26" s="154"/>
      <c r="AT26" s="343"/>
    </row>
    <row r="27" spans="1:46" ht="18" customHeight="1">
      <c r="A27" s="343"/>
      <c r="B27" s="658">
        <v>16</v>
      </c>
      <c r="C27" s="639"/>
      <c r="D27" s="639"/>
      <c r="E27" s="639"/>
      <c r="F27" s="639"/>
      <c r="G27" s="639"/>
      <c r="H27" s="640"/>
      <c r="I27" s="659" t="str">
        <f>Calcu!E24</f>
        <v/>
      </c>
      <c r="J27" s="660"/>
      <c r="K27" s="660"/>
      <c r="L27" s="660"/>
      <c r="M27" s="660"/>
      <c r="N27" s="660"/>
      <c r="O27" s="661"/>
      <c r="P27" s="659" t="str">
        <f>Calcu!K24</f>
        <v/>
      </c>
      <c r="Q27" s="662"/>
      <c r="R27" s="662"/>
      <c r="S27" s="662"/>
      <c r="T27" s="662"/>
      <c r="U27" s="662"/>
      <c r="V27" s="663"/>
      <c r="W27" s="659" t="str">
        <f>Calcu!L24</f>
        <v/>
      </c>
      <c r="X27" s="662"/>
      <c r="Y27" s="662"/>
      <c r="Z27" s="662"/>
      <c r="AA27" s="662"/>
      <c r="AB27" s="662"/>
      <c r="AC27" s="663"/>
      <c r="AD27" s="659" t="str">
        <f>Calcu!M24</f>
        <v/>
      </c>
      <c r="AE27" s="662"/>
      <c r="AF27" s="662"/>
      <c r="AG27" s="662"/>
      <c r="AH27" s="662"/>
      <c r="AI27" s="662"/>
      <c r="AJ27" s="663"/>
      <c r="AK27" s="659" t="str">
        <f t="shared" si="0"/>
        <v/>
      </c>
      <c r="AL27" s="662"/>
      <c r="AM27" s="662"/>
      <c r="AN27" s="662"/>
      <c r="AO27" s="662"/>
      <c r="AP27" s="662"/>
      <c r="AQ27" s="663"/>
      <c r="AR27" s="154"/>
      <c r="AS27" s="154"/>
      <c r="AT27" s="343"/>
    </row>
    <row r="28" spans="1:46" ht="18" customHeight="1">
      <c r="A28" s="343"/>
      <c r="B28" s="658">
        <v>17</v>
      </c>
      <c r="C28" s="639"/>
      <c r="D28" s="639"/>
      <c r="E28" s="639"/>
      <c r="F28" s="639"/>
      <c r="G28" s="639"/>
      <c r="H28" s="640"/>
      <c r="I28" s="659" t="str">
        <f>Calcu!E25</f>
        <v/>
      </c>
      <c r="J28" s="660"/>
      <c r="K28" s="660"/>
      <c r="L28" s="660"/>
      <c r="M28" s="660"/>
      <c r="N28" s="660"/>
      <c r="O28" s="661"/>
      <c r="P28" s="659" t="str">
        <f>Calcu!K25</f>
        <v/>
      </c>
      <c r="Q28" s="662"/>
      <c r="R28" s="662"/>
      <c r="S28" s="662"/>
      <c r="T28" s="662"/>
      <c r="U28" s="662"/>
      <c r="V28" s="663"/>
      <c r="W28" s="659" t="str">
        <f>Calcu!L25</f>
        <v/>
      </c>
      <c r="X28" s="662"/>
      <c r="Y28" s="662"/>
      <c r="Z28" s="662"/>
      <c r="AA28" s="662"/>
      <c r="AB28" s="662"/>
      <c r="AC28" s="663"/>
      <c r="AD28" s="659" t="str">
        <f>Calcu!M25</f>
        <v/>
      </c>
      <c r="AE28" s="662"/>
      <c r="AF28" s="662"/>
      <c r="AG28" s="662"/>
      <c r="AH28" s="662"/>
      <c r="AI28" s="662"/>
      <c r="AJ28" s="663"/>
      <c r="AK28" s="659" t="str">
        <f t="shared" si="0"/>
        <v/>
      </c>
      <c r="AL28" s="662"/>
      <c r="AM28" s="662"/>
      <c r="AN28" s="662"/>
      <c r="AO28" s="662"/>
      <c r="AP28" s="662"/>
      <c r="AQ28" s="663"/>
      <c r="AR28" s="154"/>
      <c r="AS28" s="154"/>
      <c r="AT28" s="343"/>
    </row>
    <row r="29" spans="1:46" ht="18" customHeight="1">
      <c r="A29" s="343"/>
      <c r="B29" s="658">
        <v>18</v>
      </c>
      <c r="C29" s="639"/>
      <c r="D29" s="639"/>
      <c r="E29" s="639"/>
      <c r="F29" s="639"/>
      <c r="G29" s="639"/>
      <c r="H29" s="640"/>
      <c r="I29" s="659" t="str">
        <f>Calcu!E26</f>
        <v/>
      </c>
      <c r="J29" s="660"/>
      <c r="K29" s="660"/>
      <c r="L29" s="660"/>
      <c r="M29" s="660"/>
      <c r="N29" s="660"/>
      <c r="O29" s="661"/>
      <c r="P29" s="659" t="str">
        <f>Calcu!K26</f>
        <v/>
      </c>
      <c r="Q29" s="662"/>
      <c r="R29" s="662"/>
      <c r="S29" s="662"/>
      <c r="T29" s="662"/>
      <c r="U29" s="662"/>
      <c r="V29" s="663"/>
      <c r="W29" s="659" t="str">
        <f>Calcu!L26</f>
        <v/>
      </c>
      <c r="X29" s="662"/>
      <c r="Y29" s="662"/>
      <c r="Z29" s="662"/>
      <c r="AA29" s="662"/>
      <c r="AB29" s="662"/>
      <c r="AC29" s="663"/>
      <c r="AD29" s="659" t="str">
        <f>Calcu!M26</f>
        <v/>
      </c>
      <c r="AE29" s="662"/>
      <c r="AF29" s="662"/>
      <c r="AG29" s="662"/>
      <c r="AH29" s="662"/>
      <c r="AI29" s="662"/>
      <c r="AJ29" s="663"/>
      <c r="AK29" s="659" t="str">
        <f t="shared" si="0"/>
        <v/>
      </c>
      <c r="AL29" s="662"/>
      <c r="AM29" s="662"/>
      <c r="AN29" s="662"/>
      <c r="AO29" s="662"/>
      <c r="AP29" s="662"/>
      <c r="AQ29" s="663"/>
      <c r="AR29" s="154"/>
      <c r="AS29" s="154"/>
      <c r="AT29" s="343"/>
    </row>
    <row r="30" spans="1:46" ht="18" customHeight="1">
      <c r="A30" s="343"/>
      <c r="B30" s="658">
        <v>19</v>
      </c>
      <c r="C30" s="639"/>
      <c r="D30" s="639"/>
      <c r="E30" s="639"/>
      <c r="F30" s="639"/>
      <c r="G30" s="639"/>
      <c r="H30" s="640"/>
      <c r="I30" s="659" t="str">
        <f>Calcu!E27</f>
        <v/>
      </c>
      <c r="J30" s="660"/>
      <c r="K30" s="660"/>
      <c r="L30" s="660"/>
      <c r="M30" s="660"/>
      <c r="N30" s="660"/>
      <c r="O30" s="661"/>
      <c r="P30" s="659" t="str">
        <f>Calcu!K27</f>
        <v/>
      </c>
      <c r="Q30" s="662"/>
      <c r="R30" s="662"/>
      <c r="S30" s="662"/>
      <c r="T30" s="662"/>
      <c r="U30" s="662"/>
      <c r="V30" s="663"/>
      <c r="W30" s="659" t="str">
        <f>Calcu!L27</f>
        <v/>
      </c>
      <c r="X30" s="662"/>
      <c r="Y30" s="662"/>
      <c r="Z30" s="662"/>
      <c r="AA30" s="662"/>
      <c r="AB30" s="662"/>
      <c r="AC30" s="663"/>
      <c r="AD30" s="659" t="str">
        <f>Calcu!M27</f>
        <v/>
      </c>
      <c r="AE30" s="662"/>
      <c r="AF30" s="662"/>
      <c r="AG30" s="662"/>
      <c r="AH30" s="662"/>
      <c r="AI30" s="662"/>
      <c r="AJ30" s="663"/>
      <c r="AK30" s="659" t="str">
        <f t="shared" si="0"/>
        <v/>
      </c>
      <c r="AL30" s="662"/>
      <c r="AM30" s="662"/>
      <c r="AN30" s="662"/>
      <c r="AO30" s="662"/>
      <c r="AP30" s="662"/>
      <c r="AQ30" s="663"/>
      <c r="AR30" s="154"/>
      <c r="AS30" s="154"/>
      <c r="AT30" s="343"/>
    </row>
    <row r="31" spans="1:46" ht="18" customHeight="1">
      <c r="A31" s="343"/>
      <c r="B31" s="658">
        <v>20</v>
      </c>
      <c r="C31" s="639"/>
      <c r="D31" s="639"/>
      <c r="E31" s="639"/>
      <c r="F31" s="639"/>
      <c r="G31" s="639"/>
      <c r="H31" s="640"/>
      <c r="I31" s="659" t="str">
        <f>Calcu!E28</f>
        <v/>
      </c>
      <c r="J31" s="660"/>
      <c r="K31" s="660"/>
      <c r="L31" s="660"/>
      <c r="M31" s="660"/>
      <c r="N31" s="660"/>
      <c r="O31" s="661"/>
      <c r="P31" s="659" t="str">
        <f>Calcu!K28</f>
        <v/>
      </c>
      <c r="Q31" s="662"/>
      <c r="R31" s="662"/>
      <c r="S31" s="662"/>
      <c r="T31" s="662"/>
      <c r="U31" s="662"/>
      <c r="V31" s="663"/>
      <c r="W31" s="659" t="str">
        <f>Calcu!L28</f>
        <v/>
      </c>
      <c r="X31" s="662"/>
      <c r="Y31" s="662"/>
      <c r="Z31" s="662"/>
      <c r="AA31" s="662"/>
      <c r="AB31" s="662"/>
      <c r="AC31" s="663"/>
      <c r="AD31" s="659" t="str">
        <f>Calcu!M28</f>
        <v/>
      </c>
      <c r="AE31" s="662"/>
      <c r="AF31" s="662"/>
      <c r="AG31" s="662"/>
      <c r="AH31" s="662"/>
      <c r="AI31" s="662"/>
      <c r="AJ31" s="663"/>
      <c r="AK31" s="659" t="str">
        <f t="shared" si="0"/>
        <v/>
      </c>
      <c r="AL31" s="662"/>
      <c r="AM31" s="662"/>
      <c r="AN31" s="662"/>
      <c r="AO31" s="662"/>
      <c r="AP31" s="662"/>
      <c r="AQ31" s="663"/>
      <c r="AR31" s="154"/>
      <c r="AS31" s="154"/>
      <c r="AT31" s="343"/>
    </row>
    <row r="32" spans="1:46" ht="18" customHeight="1">
      <c r="A32" s="343"/>
      <c r="B32" s="658">
        <v>21</v>
      </c>
      <c r="C32" s="639"/>
      <c r="D32" s="639"/>
      <c r="E32" s="639"/>
      <c r="F32" s="639"/>
      <c r="G32" s="639"/>
      <c r="H32" s="640"/>
      <c r="I32" s="659" t="str">
        <f>Calcu!E29</f>
        <v/>
      </c>
      <c r="J32" s="660"/>
      <c r="K32" s="660"/>
      <c r="L32" s="660"/>
      <c r="M32" s="660"/>
      <c r="N32" s="660"/>
      <c r="O32" s="661"/>
      <c r="P32" s="659" t="str">
        <f>Calcu!K29</f>
        <v/>
      </c>
      <c r="Q32" s="662"/>
      <c r="R32" s="662"/>
      <c r="S32" s="662"/>
      <c r="T32" s="662"/>
      <c r="U32" s="662"/>
      <c r="V32" s="663"/>
      <c r="W32" s="659" t="str">
        <f>Calcu!L29</f>
        <v/>
      </c>
      <c r="X32" s="662"/>
      <c r="Y32" s="662"/>
      <c r="Z32" s="662"/>
      <c r="AA32" s="662"/>
      <c r="AB32" s="662"/>
      <c r="AC32" s="663"/>
      <c r="AD32" s="659" t="str">
        <f>Calcu!M29</f>
        <v/>
      </c>
      <c r="AE32" s="662"/>
      <c r="AF32" s="662"/>
      <c r="AG32" s="662"/>
      <c r="AH32" s="662"/>
      <c r="AI32" s="662"/>
      <c r="AJ32" s="663"/>
      <c r="AK32" s="659" t="str">
        <f t="shared" si="0"/>
        <v/>
      </c>
      <c r="AL32" s="662"/>
      <c r="AM32" s="662"/>
      <c r="AN32" s="662"/>
      <c r="AO32" s="662"/>
      <c r="AP32" s="662"/>
      <c r="AQ32" s="663"/>
      <c r="AR32" s="154"/>
      <c r="AS32" s="154"/>
      <c r="AT32" s="343"/>
    </row>
    <row r="33" spans="1:46" ht="18" customHeight="1">
      <c r="A33" s="343"/>
      <c r="B33" s="658">
        <v>22</v>
      </c>
      <c r="C33" s="639"/>
      <c r="D33" s="639"/>
      <c r="E33" s="639"/>
      <c r="F33" s="639"/>
      <c r="G33" s="639"/>
      <c r="H33" s="640"/>
      <c r="I33" s="659" t="str">
        <f>Calcu!E30</f>
        <v/>
      </c>
      <c r="J33" s="660"/>
      <c r="K33" s="660"/>
      <c r="L33" s="660"/>
      <c r="M33" s="660"/>
      <c r="N33" s="660"/>
      <c r="O33" s="661"/>
      <c r="P33" s="659" t="str">
        <f>Calcu!K30</f>
        <v/>
      </c>
      <c r="Q33" s="662"/>
      <c r="R33" s="662"/>
      <c r="S33" s="662"/>
      <c r="T33" s="662"/>
      <c r="U33" s="662"/>
      <c r="V33" s="663"/>
      <c r="W33" s="659" t="str">
        <f>Calcu!L30</f>
        <v/>
      </c>
      <c r="X33" s="662"/>
      <c r="Y33" s="662"/>
      <c r="Z33" s="662"/>
      <c r="AA33" s="662"/>
      <c r="AB33" s="662"/>
      <c r="AC33" s="663"/>
      <c r="AD33" s="659" t="str">
        <f>Calcu!M30</f>
        <v/>
      </c>
      <c r="AE33" s="662"/>
      <c r="AF33" s="662"/>
      <c r="AG33" s="662"/>
      <c r="AH33" s="662"/>
      <c r="AI33" s="662"/>
      <c r="AJ33" s="663"/>
      <c r="AK33" s="659" t="str">
        <f t="shared" si="0"/>
        <v/>
      </c>
      <c r="AL33" s="662"/>
      <c r="AM33" s="662"/>
      <c r="AN33" s="662"/>
      <c r="AO33" s="662"/>
      <c r="AP33" s="662"/>
      <c r="AQ33" s="663"/>
      <c r="AR33" s="154"/>
      <c r="AS33" s="154"/>
      <c r="AT33" s="343"/>
    </row>
    <row r="34" spans="1:46" ht="18" customHeight="1">
      <c r="A34" s="343"/>
      <c r="B34" s="658">
        <v>23</v>
      </c>
      <c r="C34" s="639"/>
      <c r="D34" s="639"/>
      <c r="E34" s="639"/>
      <c r="F34" s="639"/>
      <c r="G34" s="639"/>
      <c r="H34" s="640"/>
      <c r="I34" s="659" t="str">
        <f>Calcu!E31</f>
        <v/>
      </c>
      <c r="J34" s="660"/>
      <c r="K34" s="660"/>
      <c r="L34" s="660"/>
      <c r="M34" s="660"/>
      <c r="N34" s="660"/>
      <c r="O34" s="661"/>
      <c r="P34" s="659" t="str">
        <f>Calcu!K31</f>
        <v/>
      </c>
      <c r="Q34" s="662"/>
      <c r="R34" s="662"/>
      <c r="S34" s="662"/>
      <c r="T34" s="662"/>
      <c r="U34" s="662"/>
      <c r="V34" s="663"/>
      <c r="W34" s="659" t="str">
        <f>Calcu!L31</f>
        <v/>
      </c>
      <c r="X34" s="662"/>
      <c r="Y34" s="662"/>
      <c r="Z34" s="662"/>
      <c r="AA34" s="662"/>
      <c r="AB34" s="662"/>
      <c r="AC34" s="663"/>
      <c r="AD34" s="659" t="str">
        <f>Calcu!M31</f>
        <v/>
      </c>
      <c r="AE34" s="662"/>
      <c r="AF34" s="662"/>
      <c r="AG34" s="662"/>
      <c r="AH34" s="662"/>
      <c r="AI34" s="662"/>
      <c r="AJ34" s="663"/>
      <c r="AK34" s="659" t="str">
        <f t="shared" si="0"/>
        <v/>
      </c>
      <c r="AL34" s="662"/>
      <c r="AM34" s="662"/>
      <c r="AN34" s="662"/>
      <c r="AO34" s="662"/>
      <c r="AP34" s="662"/>
      <c r="AQ34" s="663"/>
      <c r="AR34" s="154"/>
      <c r="AS34" s="154"/>
      <c r="AT34" s="343"/>
    </row>
    <row r="35" spans="1:46" ht="18" customHeight="1">
      <c r="A35" s="343"/>
      <c r="B35" s="658">
        <v>24</v>
      </c>
      <c r="C35" s="639"/>
      <c r="D35" s="639"/>
      <c r="E35" s="639"/>
      <c r="F35" s="639"/>
      <c r="G35" s="639"/>
      <c r="H35" s="640"/>
      <c r="I35" s="659" t="str">
        <f>Calcu!E32</f>
        <v/>
      </c>
      <c r="J35" s="660"/>
      <c r="K35" s="660"/>
      <c r="L35" s="660"/>
      <c r="M35" s="660"/>
      <c r="N35" s="660"/>
      <c r="O35" s="661"/>
      <c r="P35" s="659" t="str">
        <f>Calcu!K32</f>
        <v/>
      </c>
      <c r="Q35" s="662"/>
      <c r="R35" s="662"/>
      <c r="S35" s="662"/>
      <c r="T35" s="662"/>
      <c r="U35" s="662"/>
      <c r="V35" s="663"/>
      <c r="W35" s="659" t="str">
        <f>Calcu!L32</f>
        <v/>
      </c>
      <c r="X35" s="662"/>
      <c r="Y35" s="662"/>
      <c r="Z35" s="662"/>
      <c r="AA35" s="662"/>
      <c r="AB35" s="662"/>
      <c r="AC35" s="663"/>
      <c r="AD35" s="659" t="str">
        <f>Calcu!M32</f>
        <v/>
      </c>
      <c r="AE35" s="662"/>
      <c r="AF35" s="662"/>
      <c r="AG35" s="662"/>
      <c r="AH35" s="662"/>
      <c r="AI35" s="662"/>
      <c r="AJ35" s="663"/>
      <c r="AK35" s="659" t="str">
        <f t="shared" si="0"/>
        <v/>
      </c>
      <c r="AL35" s="662"/>
      <c r="AM35" s="662"/>
      <c r="AN35" s="662"/>
      <c r="AO35" s="662"/>
      <c r="AP35" s="662"/>
      <c r="AQ35" s="663"/>
      <c r="AR35" s="154"/>
      <c r="AS35" s="154"/>
      <c r="AT35" s="343"/>
    </row>
    <row r="36" spans="1:46" ht="18" customHeight="1">
      <c r="A36" s="343"/>
      <c r="B36" s="658">
        <v>25</v>
      </c>
      <c r="C36" s="639"/>
      <c r="D36" s="639"/>
      <c r="E36" s="639"/>
      <c r="F36" s="639"/>
      <c r="G36" s="639"/>
      <c r="H36" s="640"/>
      <c r="I36" s="659" t="str">
        <f>Calcu!E33</f>
        <v/>
      </c>
      <c r="J36" s="660"/>
      <c r="K36" s="660"/>
      <c r="L36" s="660"/>
      <c r="M36" s="660"/>
      <c r="N36" s="660"/>
      <c r="O36" s="661"/>
      <c r="P36" s="659" t="str">
        <f>Calcu!K33</f>
        <v/>
      </c>
      <c r="Q36" s="662"/>
      <c r="R36" s="662"/>
      <c r="S36" s="662"/>
      <c r="T36" s="662"/>
      <c r="U36" s="662"/>
      <c r="V36" s="663"/>
      <c r="W36" s="659" t="str">
        <f>Calcu!L33</f>
        <v/>
      </c>
      <c r="X36" s="662"/>
      <c r="Y36" s="662"/>
      <c r="Z36" s="662"/>
      <c r="AA36" s="662"/>
      <c r="AB36" s="662"/>
      <c r="AC36" s="663"/>
      <c r="AD36" s="659" t="str">
        <f>Calcu!M33</f>
        <v/>
      </c>
      <c r="AE36" s="662"/>
      <c r="AF36" s="662"/>
      <c r="AG36" s="662"/>
      <c r="AH36" s="662"/>
      <c r="AI36" s="662"/>
      <c r="AJ36" s="663"/>
      <c r="AK36" s="659" t="str">
        <f t="shared" si="0"/>
        <v/>
      </c>
      <c r="AL36" s="662"/>
      <c r="AM36" s="662"/>
      <c r="AN36" s="662"/>
      <c r="AO36" s="662"/>
      <c r="AP36" s="662"/>
      <c r="AQ36" s="663"/>
      <c r="AR36" s="154"/>
      <c r="AS36" s="154"/>
      <c r="AT36" s="343"/>
    </row>
    <row r="37" spans="1:46" ht="18" customHeight="1">
      <c r="A37" s="343"/>
      <c r="B37" s="658">
        <v>26</v>
      </c>
      <c r="C37" s="639"/>
      <c r="D37" s="639"/>
      <c r="E37" s="639"/>
      <c r="F37" s="639"/>
      <c r="G37" s="639"/>
      <c r="H37" s="640"/>
      <c r="I37" s="659" t="str">
        <f>Calcu!E34</f>
        <v/>
      </c>
      <c r="J37" s="660"/>
      <c r="K37" s="660"/>
      <c r="L37" s="660"/>
      <c r="M37" s="660"/>
      <c r="N37" s="660"/>
      <c r="O37" s="661"/>
      <c r="P37" s="659" t="str">
        <f>Calcu!K34</f>
        <v/>
      </c>
      <c r="Q37" s="662"/>
      <c r="R37" s="662"/>
      <c r="S37" s="662"/>
      <c r="T37" s="662"/>
      <c r="U37" s="662"/>
      <c r="V37" s="663"/>
      <c r="W37" s="659" t="str">
        <f>Calcu!L34</f>
        <v/>
      </c>
      <c r="X37" s="662"/>
      <c r="Y37" s="662"/>
      <c r="Z37" s="662"/>
      <c r="AA37" s="662"/>
      <c r="AB37" s="662"/>
      <c r="AC37" s="663"/>
      <c r="AD37" s="659" t="str">
        <f>Calcu!M34</f>
        <v/>
      </c>
      <c r="AE37" s="662"/>
      <c r="AF37" s="662"/>
      <c r="AG37" s="662"/>
      <c r="AH37" s="662"/>
      <c r="AI37" s="662"/>
      <c r="AJ37" s="663"/>
      <c r="AK37" s="659" t="str">
        <f t="shared" si="0"/>
        <v/>
      </c>
      <c r="AL37" s="662"/>
      <c r="AM37" s="662"/>
      <c r="AN37" s="662"/>
      <c r="AO37" s="662"/>
      <c r="AP37" s="662"/>
      <c r="AQ37" s="663"/>
      <c r="AR37" s="154"/>
      <c r="AS37" s="154"/>
      <c r="AT37" s="343"/>
    </row>
    <row r="38" spans="1:46" ht="18" customHeight="1">
      <c r="A38" s="343"/>
      <c r="B38" s="658">
        <v>27</v>
      </c>
      <c r="C38" s="639"/>
      <c r="D38" s="639"/>
      <c r="E38" s="639"/>
      <c r="F38" s="639"/>
      <c r="G38" s="639"/>
      <c r="H38" s="640"/>
      <c r="I38" s="659" t="str">
        <f>Calcu!E35</f>
        <v/>
      </c>
      <c r="J38" s="660"/>
      <c r="K38" s="660"/>
      <c r="L38" s="660"/>
      <c r="M38" s="660"/>
      <c r="N38" s="660"/>
      <c r="O38" s="661"/>
      <c r="P38" s="659" t="str">
        <f>Calcu!K35</f>
        <v/>
      </c>
      <c r="Q38" s="662"/>
      <c r="R38" s="662"/>
      <c r="S38" s="662"/>
      <c r="T38" s="662"/>
      <c r="U38" s="662"/>
      <c r="V38" s="663"/>
      <c r="W38" s="659" t="str">
        <f>Calcu!L35</f>
        <v/>
      </c>
      <c r="X38" s="662"/>
      <c r="Y38" s="662"/>
      <c r="Z38" s="662"/>
      <c r="AA38" s="662"/>
      <c r="AB38" s="662"/>
      <c r="AC38" s="663"/>
      <c r="AD38" s="659" t="str">
        <f>Calcu!M35</f>
        <v/>
      </c>
      <c r="AE38" s="662"/>
      <c r="AF38" s="662"/>
      <c r="AG38" s="662"/>
      <c r="AH38" s="662"/>
      <c r="AI38" s="662"/>
      <c r="AJ38" s="663"/>
      <c r="AK38" s="659" t="str">
        <f t="shared" si="0"/>
        <v/>
      </c>
      <c r="AL38" s="662"/>
      <c r="AM38" s="662"/>
      <c r="AN38" s="662"/>
      <c r="AO38" s="662"/>
      <c r="AP38" s="662"/>
      <c r="AQ38" s="663"/>
      <c r="AR38" s="154"/>
      <c r="AS38" s="154"/>
      <c r="AT38" s="343"/>
    </row>
    <row r="39" spans="1:46" ht="18" customHeight="1">
      <c r="A39" s="343"/>
      <c r="B39" s="658">
        <v>28</v>
      </c>
      <c r="C39" s="639"/>
      <c r="D39" s="639"/>
      <c r="E39" s="639"/>
      <c r="F39" s="639"/>
      <c r="G39" s="639"/>
      <c r="H39" s="640"/>
      <c r="I39" s="659" t="str">
        <f>Calcu!E36</f>
        <v/>
      </c>
      <c r="J39" s="660"/>
      <c r="K39" s="660"/>
      <c r="L39" s="660"/>
      <c r="M39" s="660"/>
      <c r="N39" s="660"/>
      <c r="O39" s="661"/>
      <c r="P39" s="659" t="str">
        <f>Calcu!K36</f>
        <v/>
      </c>
      <c r="Q39" s="662"/>
      <c r="R39" s="662"/>
      <c r="S39" s="662"/>
      <c r="T39" s="662"/>
      <c r="U39" s="662"/>
      <c r="V39" s="663"/>
      <c r="W39" s="659" t="str">
        <f>Calcu!L36</f>
        <v/>
      </c>
      <c r="X39" s="662"/>
      <c r="Y39" s="662"/>
      <c r="Z39" s="662"/>
      <c r="AA39" s="662"/>
      <c r="AB39" s="662"/>
      <c r="AC39" s="663"/>
      <c r="AD39" s="659" t="str">
        <f>Calcu!M36</f>
        <v/>
      </c>
      <c r="AE39" s="662"/>
      <c r="AF39" s="662"/>
      <c r="AG39" s="662"/>
      <c r="AH39" s="662"/>
      <c r="AI39" s="662"/>
      <c r="AJ39" s="663"/>
      <c r="AK39" s="659" t="str">
        <f t="shared" si="0"/>
        <v/>
      </c>
      <c r="AL39" s="662"/>
      <c r="AM39" s="662"/>
      <c r="AN39" s="662"/>
      <c r="AO39" s="662"/>
      <c r="AP39" s="662"/>
      <c r="AQ39" s="663"/>
      <c r="AR39" s="154"/>
      <c r="AS39" s="154"/>
      <c r="AT39" s="343"/>
    </row>
    <row r="40" spans="1:46" ht="18" customHeight="1">
      <c r="A40" s="343"/>
      <c r="B40" s="658">
        <v>29</v>
      </c>
      <c r="C40" s="639"/>
      <c r="D40" s="639"/>
      <c r="E40" s="639"/>
      <c r="F40" s="639"/>
      <c r="G40" s="639"/>
      <c r="H40" s="640"/>
      <c r="I40" s="659" t="str">
        <f>Calcu!E37</f>
        <v/>
      </c>
      <c r="J40" s="660"/>
      <c r="K40" s="660"/>
      <c r="L40" s="660"/>
      <c r="M40" s="660"/>
      <c r="N40" s="660"/>
      <c r="O40" s="661"/>
      <c r="P40" s="659" t="str">
        <f>Calcu!K37</f>
        <v/>
      </c>
      <c r="Q40" s="662"/>
      <c r="R40" s="662"/>
      <c r="S40" s="662"/>
      <c r="T40" s="662"/>
      <c r="U40" s="662"/>
      <c r="V40" s="663"/>
      <c r="W40" s="659" t="str">
        <f>Calcu!L37</f>
        <v/>
      </c>
      <c r="X40" s="662"/>
      <c r="Y40" s="662"/>
      <c r="Z40" s="662"/>
      <c r="AA40" s="662"/>
      <c r="AB40" s="662"/>
      <c r="AC40" s="663"/>
      <c r="AD40" s="659" t="str">
        <f>Calcu!M37</f>
        <v/>
      </c>
      <c r="AE40" s="662"/>
      <c r="AF40" s="662"/>
      <c r="AG40" s="662"/>
      <c r="AH40" s="662"/>
      <c r="AI40" s="662"/>
      <c r="AJ40" s="663"/>
      <c r="AK40" s="659" t="str">
        <f t="shared" si="0"/>
        <v/>
      </c>
      <c r="AL40" s="662"/>
      <c r="AM40" s="662"/>
      <c r="AN40" s="662"/>
      <c r="AO40" s="662"/>
      <c r="AP40" s="662"/>
      <c r="AQ40" s="663"/>
      <c r="AR40" s="154"/>
      <c r="AS40" s="154"/>
      <c r="AT40" s="343"/>
    </row>
    <row r="41" spans="1:46" ht="18" customHeight="1">
      <c r="A41" s="343"/>
      <c r="B41" s="672">
        <v>30</v>
      </c>
      <c r="C41" s="642"/>
      <c r="D41" s="642"/>
      <c r="E41" s="642"/>
      <c r="F41" s="642"/>
      <c r="G41" s="642"/>
      <c r="H41" s="643"/>
      <c r="I41" s="673" t="str">
        <f>Calcu!E38</f>
        <v/>
      </c>
      <c r="J41" s="674"/>
      <c r="K41" s="674"/>
      <c r="L41" s="674"/>
      <c r="M41" s="674"/>
      <c r="N41" s="674"/>
      <c r="O41" s="675"/>
      <c r="P41" s="673" t="str">
        <f>Calcu!K38</f>
        <v/>
      </c>
      <c r="Q41" s="676"/>
      <c r="R41" s="676"/>
      <c r="S41" s="676"/>
      <c r="T41" s="676"/>
      <c r="U41" s="676"/>
      <c r="V41" s="677"/>
      <c r="W41" s="673" t="str">
        <f>Calcu!L38</f>
        <v/>
      </c>
      <c r="X41" s="676"/>
      <c r="Y41" s="676"/>
      <c r="Z41" s="676"/>
      <c r="AA41" s="676"/>
      <c r="AB41" s="676"/>
      <c r="AC41" s="677"/>
      <c r="AD41" s="673" t="str">
        <f>Calcu!M38</f>
        <v/>
      </c>
      <c r="AE41" s="676"/>
      <c r="AF41" s="676"/>
      <c r="AG41" s="676"/>
      <c r="AH41" s="676"/>
      <c r="AI41" s="676"/>
      <c r="AJ41" s="677"/>
      <c r="AK41" s="673" t="str">
        <f t="shared" si="0"/>
        <v/>
      </c>
      <c r="AL41" s="676"/>
      <c r="AM41" s="676"/>
      <c r="AN41" s="676"/>
      <c r="AO41" s="676"/>
      <c r="AP41" s="676"/>
      <c r="AQ41" s="677"/>
      <c r="AR41" s="154"/>
      <c r="AS41" s="154"/>
      <c r="AT41" s="343"/>
    </row>
    <row r="42" spans="1:46" s="343" customFormat="1" ht="18" customHeight="1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  <c r="AD42" s="278"/>
      <c r="AE42" s="278"/>
      <c r="AF42" s="278"/>
      <c r="AG42" s="278"/>
      <c r="AH42" s="278"/>
      <c r="AI42" s="278"/>
      <c r="AJ42" s="278"/>
      <c r="AK42" s="278"/>
      <c r="AL42" s="278"/>
      <c r="AM42" s="278"/>
      <c r="AN42" s="278"/>
      <c r="AO42" s="278"/>
      <c r="AP42" s="278"/>
      <c r="AQ42" s="278"/>
      <c r="AR42" s="154"/>
      <c r="AS42" s="154"/>
    </row>
    <row r="43" spans="1:46" ht="18" customHeight="1">
      <c r="A43" s="194" t="s">
        <v>411</v>
      </c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3"/>
      <c r="P43" s="343"/>
      <c r="Q43" s="343"/>
      <c r="R43" s="343"/>
      <c r="S43" s="343"/>
      <c r="T43" s="343"/>
      <c r="U43" s="343"/>
      <c r="V43" s="343"/>
      <c r="W43" s="343"/>
      <c r="X43" s="343"/>
      <c r="Y43" s="343"/>
      <c r="Z43" s="343"/>
      <c r="AA43" s="343"/>
      <c r="AB43" s="343"/>
      <c r="AC43" s="343"/>
      <c r="AD43" s="343"/>
      <c r="AE43" s="343"/>
      <c r="AF43" s="343"/>
      <c r="AG43" s="343"/>
      <c r="AH43" s="343"/>
      <c r="AI43" s="343"/>
      <c r="AJ43" s="343"/>
      <c r="AK43" s="343"/>
      <c r="AL43" s="343"/>
      <c r="AM43" s="343"/>
      <c r="AN43" s="343"/>
      <c r="AO43" s="343"/>
      <c r="AP43" s="343"/>
      <c r="AQ43" s="343"/>
      <c r="AR43" s="343"/>
      <c r="AS43" s="343"/>
      <c r="AT43" s="343"/>
    </row>
    <row r="44" spans="1:46" ht="18" customHeight="1">
      <c r="A44" s="343"/>
      <c r="B44" s="635" t="s">
        <v>412</v>
      </c>
      <c r="C44" s="687"/>
      <c r="D44" s="687"/>
      <c r="E44" s="635" t="s">
        <v>404</v>
      </c>
      <c r="F44" s="636"/>
      <c r="G44" s="636"/>
      <c r="H44" s="636"/>
      <c r="I44" s="636"/>
      <c r="J44" s="636"/>
      <c r="K44" s="637"/>
      <c r="L44" s="689" t="s">
        <v>413</v>
      </c>
      <c r="M44" s="689"/>
      <c r="N44" s="689"/>
      <c r="O44" s="689"/>
      <c r="P44" s="689"/>
      <c r="Q44" s="689"/>
      <c r="R44" s="689"/>
      <c r="S44" s="689"/>
      <c r="T44" s="689"/>
      <c r="U44" s="689"/>
      <c r="V44" s="689"/>
      <c r="W44" s="689"/>
      <c r="X44" s="689"/>
      <c r="Y44" s="689"/>
      <c r="Z44" s="689"/>
      <c r="AA44" s="689"/>
      <c r="AB44" s="689"/>
      <c r="AC44" s="689"/>
      <c r="AD44" s="689"/>
      <c r="AE44" s="689"/>
      <c r="AF44" s="689"/>
      <c r="AG44" s="689"/>
      <c r="AH44" s="689"/>
      <c r="AI44" s="689"/>
      <c r="AJ44" s="689"/>
      <c r="AK44" s="689"/>
      <c r="AL44" s="689"/>
      <c r="AM44" s="689"/>
      <c r="AN44" s="689"/>
      <c r="AO44" s="689"/>
      <c r="AP44" s="689"/>
      <c r="AQ44" s="689"/>
      <c r="AR44" s="154"/>
      <c r="AS44" s="154"/>
      <c r="AT44" s="343"/>
    </row>
    <row r="45" spans="1:46" ht="18" customHeight="1">
      <c r="A45" s="343"/>
      <c r="B45" s="658"/>
      <c r="C45" s="681"/>
      <c r="D45" s="681"/>
      <c r="E45" s="641"/>
      <c r="F45" s="642"/>
      <c r="G45" s="642"/>
      <c r="H45" s="642"/>
      <c r="I45" s="642"/>
      <c r="J45" s="642"/>
      <c r="K45" s="643"/>
      <c r="L45" s="672" t="s">
        <v>414</v>
      </c>
      <c r="M45" s="642"/>
      <c r="N45" s="642"/>
      <c r="O45" s="642"/>
      <c r="P45" s="642"/>
      <c r="Q45" s="642"/>
      <c r="R45" s="643"/>
      <c r="S45" s="672" t="s">
        <v>66</v>
      </c>
      <c r="T45" s="642"/>
      <c r="U45" s="642"/>
      <c r="V45" s="642"/>
      <c r="W45" s="642"/>
      <c r="X45" s="642"/>
      <c r="Y45" s="643"/>
      <c r="Z45" s="672" t="s">
        <v>415</v>
      </c>
      <c r="AA45" s="642"/>
      <c r="AB45" s="642"/>
      <c r="AC45" s="642"/>
      <c r="AD45" s="642"/>
      <c r="AE45" s="642"/>
      <c r="AF45" s="643"/>
      <c r="AG45" s="690" t="s">
        <v>416</v>
      </c>
      <c r="AH45" s="691"/>
      <c r="AI45" s="691"/>
      <c r="AJ45" s="691"/>
      <c r="AK45" s="691"/>
      <c r="AL45" s="691"/>
      <c r="AM45" s="691"/>
      <c r="AN45" s="691"/>
      <c r="AO45" s="691"/>
      <c r="AP45" s="691"/>
      <c r="AQ45" s="692"/>
      <c r="AR45" s="154"/>
      <c r="AS45" s="154"/>
      <c r="AT45" s="343"/>
    </row>
    <row r="46" spans="1:46" ht="18" customHeight="1">
      <c r="A46" s="343"/>
      <c r="B46" s="672"/>
      <c r="C46" s="688"/>
      <c r="D46" s="688"/>
      <c r="E46" s="628">
        <f>I11</f>
        <v>0</v>
      </c>
      <c r="F46" s="629"/>
      <c r="G46" s="629"/>
      <c r="H46" s="629"/>
      <c r="I46" s="629"/>
      <c r="J46" s="629"/>
      <c r="K46" s="630"/>
      <c r="L46" s="628">
        <f>P11</f>
        <v>0</v>
      </c>
      <c r="M46" s="631"/>
      <c r="N46" s="631"/>
      <c r="O46" s="631"/>
      <c r="P46" s="631"/>
      <c r="Q46" s="631"/>
      <c r="R46" s="632"/>
      <c r="S46" s="628">
        <f>W11</f>
        <v>0</v>
      </c>
      <c r="T46" s="631"/>
      <c r="U46" s="631"/>
      <c r="V46" s="631"/>
      <c r="W46" s="631"/>
      <c r="X46" s="631"/>
      <c r="Y46" s="632"/>
      <c r="Z46" s="628">
        <f>AD11</f>
        <v>0</v>
      </c>
      <c r="AA46" s="631"/>
      <c r="AB46" s="631"/>
      <c r="AC46" s="631"/>
      <c r="AD46" s="631"/>
      <c r="AE46" s="631"/>
      <c r="AF46" s="632"/>
      <c r="AG46" s="693"/>
      <c r="AH46" s="694"/>
      <c r="AI46" s="694"/>
      <c r="AJ46" s="694"/>
      <c r="AK46" s="694"/>
      <c r="AL46" s="694"/>
      <c r="AM46" s="694"/>
      <c r="AN46" s="694"/>
      <c r="AO46" s="694"/>
      <c r="AP46" s="694"/>
      <c r="AQ46" s="695"/>
      <c r="AR46" s="154"/>
      <c r="AS46" s="154"/>
      <c r="AT46" s="343"/>
    </row>
    <row r="47" spans="1:46" ht="18" customHeight="1">
      <c r="A47" s="343"/>
      <c r="B47" s="664">
        <v>1</v>
      </c>
      <c r="C47" s="686"/>
      <c r="D47" s="686"/>
      <c r="E47" s="667" t="str">
        <f>I12</f>
        <v/>
      </c>
      <c r="F47" s="668"/>
      <c r="G47" s="668"/>
      <c r="H47" s="668"/>
      <c r="I47" s="668"/>
      <c r="J47" s="668"/>
      <c r="K47" s="669"/>
      <c r="L47" s="667" t="str">
        <f>Calcu!K9</f>
        <v/>
      </c>
      <c r="M47" s="670"/>
      <c r="N47" s="670"/>
      <c r="O47" s="670"/>
      <c r="P47" s="670"/>
      <c r="Q47" s="670"/>
      <c r="R47" s="671"/>
      <c r="S47" s="667" t="str">
        <f t="shared" ref="S47:S76" si="1">W12</f>
        <v/>
      </c>
      <c r="T47" s="670"/>
      <c r="U47" s="670"/>
      <c r="V47" s="670"/>
      <c r="W47" s="670"/>
      <c r="X47" s="670"/>
      <c r="Y47" s="671"/>
      <c r="Z47" s="667" t="str">
        <f t="shared" ref="Z47:Z76" si="2">AD12</f>
        <v/>
      </c>
      <c r="AA47" s="670"/>
      <c r="AB47" s="670"/>
      <c r="AC47" s="670"/>
      <c r="AD47" s="670"/>
      <c r="AE47" s="670"/>
      <c r="AF47" s="671"/>
      <c r="AG47" s="678"/>
      <c r="AH47" s="679"/>
      <c r="AI47" s="679"/>
      <c r="AJ47" s="679"/>
      <c r="AK47" s="679"/>
      <c r="AL47" s="679"/>
      <c r="AM47" s="679"/>
      <c r="AN47" s="679"/>
      <c r="AO47" s="679"/>
      <c r="AP47" s="679"/>
      <c r="AQ47" s="680"/>
      <c r="AR47" s="154"/>
      <c r="AS47" s="154"/>
      <c r="AT47" s="343"/>
    </row>
    <row r="48" spans="1:46" ht="18" customHeight="1">
      <c r="A48" s="343"/>
      <c r="B48" s="658">
        <v>2</v>
      </c>
      <c r="C48" s="681"/>
      <c r="D48" s="681"/>
      <c r="E48" s="659" t="str">
        <f t="shared" ref="E48:E76" si="3">I13</f>
        <v/>
      </c>
      <c r="F48" s="660"/>
      <c r="G48" s="660"/>
      <c r="H48" s="660"/>
      <c r="I48" s="660"/>
      <c r="J48" s="660"/>
      <c r="K48" s="661"/>
      <c r="L48" s="659" t="str">
        <f t="shared" ref="L48:L76" si="4">P13</f>
        <v/>
      </c>
      <c r="M48" s="662"/>
      <c r="N48" s="662"/>
      <c r="O48" s="662"/>
      <c r="P48" s="662"/>
      <c r="Q48" s="662"/>
      <c r="R48" s="663"/>
      <c r="S48" s="659" t="str">
        <f t="shared" si="1"/>
        <v/>
      </c>
      <c r="T48" s="662"/>
      <c r="U48" s="662"/>
      <c r="V48" s="662"/>
      <c r="W48" s="662"/>
      <c r="X48" s="662"/>
      <c r="Y48" s="663"/>
      <c r="Z48" s="659" t="str">
        <f t="shared" si="2"/>
        <v/>
      </c>
      <c r="AA48" s="662"/>
      <c r="AB48" s="662"/>
      <c r="AC48" s="662"/>
      <c r="AD48" s="662"/>
      <c r="AE48" s="662"/>
      <c r="AF48" s="663"/>
      <c r="AG48" s="682" t="s">
        <v>417</v>
      </c>
      <c r="AH48" s="683"/>
      <c r="AI48" s="683"/>
      <c r="AJ48" s="683"/>
      <c r="AK48" s="683"/>
      <c r="AL48" s="684">
        <f>SUM(Calcu!O9:Q38)</f>
        <v>0</v>
      </c>
      <c r="AM48" s="684"/>
      <c r="AN48" s="684"/>
      <c r="AO48" s="684"/>
      <c r="AP48" s="684"/>
      <c r="AQ48" s="685"/>
      <c r="AR48" s="154"/>
      <c r="AS48" s="154"/>
      <c r="AT48" s="343"/>
    </row>
    <row r="49" spans="1:46" ht="18" customHeight="1">
      <c r="A49" s="343"/>
      <c r="B49" s="658">
        <v>3</v>
      </c>
      <c r="C49" s="681"/>
      <c r="D49" s="681"/>
      <c r="E49" s="659" t="str">
        <f t="shared" si="3"/>
        <v/>
      </c>
      <c r="F49" s="660"/>
      <c r="G49" s="660"/>
      <c r="H49" s="660"/>
      <c r="I49" s="660"/>
      <c r="J49" s="660"/>
      <c r="K49" s="661"/>
      <c r="L49" s="659" t="str">
        <f t="shared" si="4"/>
        <v/>
      </c>
      <c r="M49" s="662"/>
      <c r="N49" s="662"/>
      <c r="O49" s="662"/>
      <c r="P49" s="662"/>
      <c r="Q49" s="662"/>
      <c r="R49" s="663"/>
      <c r="S49" s="659" t="str">
        <f t="shared" si="1"/>
        <v/>
      </c>
      <c r="T49" s="662"/>
      <c r="U49" s="662"/>
      <c r="V49" s="662"/>
      <c r="W49" s="662"/>
      <c r="X49" s="662"/>
      <c r="Y49" s="663"/>
      <c r="Z49" s="659" t="str">
        <f t="shared" si="2"/>
        <v/>
      </c>
      <c r="AA49" s="662"/>
      <c r="AB49" s="662"/>
      <c r="AC49" s="662"/>
      <c r="AD49" s="662"/>
      <c r="AE49" s="662"/>
      <c r="AF49" s="663"/>
      <c r="AG49" s="682" t="s">
        <v>418</v>
      </c>
      <c r="AH49" s="683"/>
      <c r="AI49" s="683"/>
      <c r="AJ49" s="683"/>
      <c r="AK49" s="683"/>
      <c r="AL49" s="684">
        <f>SUM(Calcu!N9:N38)</f>
        <v>0</v>
      </c>
      <c r="AM49" s="684"/>
      <c r="AN49" s="684"/>
      <c r="AO49" s="684"/>
      <c r="AP49" s="684"/>
      <c r="AQ49" s="685"/>
      <c r="AR49" s="154"/>
      <c r="AS49" s="154"/>
      <c r="AT49" s="343"/>
    </row>
    <row r="50" spans="1:46" ht="18" customHeight="1">
      <c r="A50" s="343"/>
      <c r="B50" s="658">
        <v>4</v>
      </c>
      <c r="C50" s="681"/>
      <c r="D50" s="681"/>
      <c r="E50" s="659" t="str">
        <f t="shared" si="3"/>
        <v/>
      </c>
      <c r="F50" s="660"/>
      <c r="G50" s="660"/>
      <c r="H50" s="660"/>
      <c r="I50" s="660"/>
      <c r="J50" s="660"/>
      <c r="K50" s="661"/>
      <c r="L50" s="659" t="str">
        <f t="shared" si="4"/>
        <v/>
      </c>
      <c r="M50" s="662"/>
      <c r="N50" s="662"/>
      <c r="O50" s="662"/>
      <c r="P50" s="662"/>
      <c r="Q50" s="662"/>
      <c r="R50" s="663"/>
      <c r="S50" s="659" t="str">
        <f t="shared" si="1"/>
        <v/>
      </c>
      <c r="T50" s="662"/>
      <c r="U50" s="662"/>
      <c r="V50" s="662"/>
      <c r="W50" s="662"/>
      <c r="X50" s="662"/>
      <c r="Y50" s="663"/>
      <c r="Z50" s="659" t="str">
        <f t="shared" si="2"/>
        <v/>
      </c>
      <c r="AA50" s="662"/>
      <c r="AB50" s="662"/>
      <c r="AC50" s="662"/>
      <c r="AD50" s="662"/>
      <c r="AE50" s="662"/>
      <c r="AF50" s="663"/>
      <c r="AG50" s="699" t="s">
        <v>419</v>
      </c>
      <c r="AH50" s="700"/>
      <c r="AI50" s="700"/>
      <c r="AJ50" s="700"/>
      <c r="AK50" s="700"/>
      <c r="AL50" s="700"/>
      <c r="AM50" s="700"/>
      <c r="AN50" s="700"/>
      <c r="AO50" s="700"/>
      <c r="AP50" s="700"/>
      <c r="AQ50" s="701"/>
      <c r="AR50" s="154"/>
      <c r="AS50" s="154"/>
      <c r="AT50" s="343"/>
    </row>
    <row r="51" spans="1:46" ht="18" customHeight="1">
      <c r="A51" s="343"/>
      <c r="B51" s="658">
        <v>5</v>
      </c>
      <c r="C51" s="681"/>
      <c r="D51" s="681"/>
      <c r="E51" s="659" t="str">
        <f t="shared" si="3"/>
        <v/>
      </c>
      <c r="F51" s="660"/>
      <c r="G51" s="660"/>
      <c r="H51" s="660"/>
      <c r="I51" s="660"/>
      <c r="J51" s="660"/>
      <c r="K51" s="661"/>
      <c r="L51" s="659" t="str">
        <f t="shared" si="4"/>
        <v/>
      </c>
      <c r="M51" s="662"/>
      <c r="N51" s="662"/>
      <c r="O51" s="662"/>
      <c r="P51" s="662"/>
      <c r="Q51" s="662"/>
      <c r="R51" s="663"/>
      <c r="S51" s="659" t="str">
        <f t="shared" si="1"/>
        <v/>
      </c>
      <c r="T51" s="662"/>
      <c r="U51" s="662"/>
      <c r="V51" s="662"/>
      <c r="W51" s="662"/>
      <c r="X51" s="662"/>
      <c r="Y51" s="663"/>
      <c r="Z51" s="659" t="str">
        <f t="shared" si="2"/>
        <v/>
      </c>
      <c r="AA51" s="662"/>
      <c r="AB51" s="662"/>
      <c r="AC51" s="662"/>
      <c r="AD51" s="662"/>
      <c r="AE51" s="662"/>
      <c r="AF51" s="663"/>
      <c r="AG51" s="696"/>
      <c r="AH51" s="697"/>
      <c r="AI51" s="697"/>
      <c r="AJ51" s="697"/>
      <c r="AK51" s="697"/>
      <c r="AL51" s="697"/>
      <c r="AM51" s="697"/>
      <c r="AN51" s="697"/>
      <c r="AO51" s="697"/>
      <c r="AP51" s="697"/>
      <c r="AQ51" s="698"/>
      <c r="AR51" s="154"/>
      <c r="AS51" s="154"/>
      <c r="AT51" s="343"/>
    </row>
    <row r="52" spans="1:46" ht="18" customHeight="1">
      <c r="A52" s="343"/>
      <c r="B52" s="658">
        <v>6</v>
      </c>
      <c r="C52" s="681"/>
      <c r="D52" s="681"/>
      <c r="E52" s="659" t="str">
        <f t="shared" si="3"/>
        <v/>
      </c>
      <c r="F52" s="660"/>
      <c r="G52" s="660"/>
      <c r="H52" s="660"/>
      <c r="I52" s="660"/>
      <c r="J52" s="660"/>
      <c r="K52" s="661"/>
      <c r="L52" s="659" t="str">
        <f t="shared" si="4"/>
        <v/>
      </c>
      <c r="M52" s="662"/>
      <c r="N52" s="662"/>
      <c r="O52" s="662"/>
      <c r="P52" s="662"/>
      <c r="Q52" s="662"/>
      <c r="R52" s="663"/>
      <c r="S52" s="659" t="str">
        <f t="shared" si="1"/>
        <v/>
      </c>
      <c r="T52" s="662"/>
      <c r="U52" s="662"/>
      <c r="V52" s="662"/>
      <c r="W52" s="662"/>
      <c r="X52" s="662"/>
      <c r="Y52" s="663"/>
      <c r="Z52" s="659" t="str">
        <f t="shared" si="2"/>
        <v/>
      </c>
      <c r="AA52" s="662"/>
      <c r="AB52" s="662"/>
      <c r="AC52" s="662"/>
      <c r="AD52" s="662"/>
      <c r="AE52" s="662"/>
      <c r="AF52" s="663"/>
      <c r="AG52" s="696"/>
      <c r="AH52" s="697"/>
      <c r="AI52" s="697"/>
      <c r="AJ52" s="697"/>
      <c r="AK52" s="697"/>
      <c r="AL52" s="697"/>
      <c r="AM52" s="697"/>
      <c r="AN52" s="697"/>
      <c r="AO52" s="697"/>
      <c r="AP52" s="697"/>
      <c r="AQ52" s="698"/>
      <c r="AR52" s="154"/>
      <c r="AS52" s="154"/>
      <c r="AT52" s="343"/>
    </row>
    <row r="53" spans="1:46" ht="18" customHeight="1">
      <c r="A53" s="343"/>
      <c r="B53" s="658">
        <v>7</v>
      </c>
      <c r="C53" s="681"/>
      <c r="D53" s="681"/>
      <c r="E53" s="659" t="str">
        <f t="shared" si="3"/>
        <v/>
      </c>
      <c r="F53" s="660"/>
      <c r="G53" s="660"/>
      <c r="H53" s="660"/>
      <c r="I53" s="660"/>
      <c r="J53" s="660"/>
      <c r="K53" s="661"/>
      <c r="L53" s="659" t="str">
        <f t="shared" si="4"/>
        <v/>
      </c>
      <c r="M53" s="662"/>
      <c r="N53" s="662"/>
      <c r="O53" s="662"/>
      <c r="P53" s="662"/>
      <c r="Q53" s="662"/>
      <c r="R53" s="663"/>
      <c r="S53" s="659" t="str">
        <f t="shared" si="1"/>
        <v/>
      </c>
      <c r="T53" s="662"/>
      <c r="U53" s="662"/>
      <c r="V53" s="662"/>
      <c r="W53" s="662"/>
      <c r="X53" s="662"/>
      <c r="Y53" s="663"/>
      <c r="Z53" s="659" t="str">
        <f t="shared" si="2"/>
        <v/>
      </c>
      <c r="AA53" s="662"/>
      <c r="AB53" s="662"/>
      <c r="AC53" s="662"/>
      <c r="AD53" s="662"/>
      <c r="AE53" s="662"/>
      <c r="AF53" s="663"/>
      <c r="AG53" s="706" t="s">
        <v>420</v>
      </c>
      <c r="AH53" s="707"/>
      <c r="AI53" s="707"/>
      <c r="AJ53" s="702" t="e">
        <f>Calcu!O7</f>
        <v>#DIV/0!</v>
      </c>
      <c r="AK53" s="702"/>
      <c r="AL53" s="702"/>
      <c r="AM53" s="702"/>
      <c r="AN53" s="702"/>
      <c r="AO53" s="702"/>
      <c r="AP53" s="702"/>
      <c r="AQ53" s="703"/>
      <c r="AR53" s="154"/>
      <c r="AS53" s="154"/>
      <c r="AT53" s="343"/>
    </row>
    <row r="54" spans="1:46" ht="18" customHeight="1">
      <c r="A54" s="343"/>
      <c r="B54" s="658">
        <v>8</v>
      </c>
      <c r="C54" s="681"/>
      <c r="D54" s="681"/>
      <c r="E54" s="659" t="str">
        <f t="shared" si="3"/>
        <v/>
      </c>
      <c r="F54" s="660"/>
      <c r="G54" s="660"/>
      <c r="H54" s="660"/>
      <c r="I54" s="660"/>
      <c r="J54" s="660"/>
      <c r="K54" s="661"/>
      <c r="L54" s="659" t="str">
        <f t="shared" si="4"/>
        <v/>
      </c>
      <c r="M54" s="662"/>
      <c r="N54" s="662"/>
      <c r="O54" s="662"/>
      <c r="P54" s="662"/>
      <c r="Q54" s="662"/>
      <c r="R54" s="663"/>
      <c r="S54" s="659" t="str">
        <f t="shared" si="1"/>
        <v/>
      </c>
      <c r="T54" s="662"/>
      <c r="U54" s="662"/>
      <c r="V54" s="662"/>
      <c r="W54" s="662"/>
      <c r="X54" s="662"/>
      <c r="Y54" s="663"/>
      <c r="Z54" s="659" t="str">
        <f t="shared" si="2"/>
        <v/>
      </c>
      <c r="AA54" s="662"/>
      <c r="AB54" s="662"/>
      <c r="AC54" s="662"/>
      <c r="AD54" s="662"/>
      <c r="AE54" s="662"/>
      <c r="AF54" s="663"/>
      <c r="AG54" s="370"/>
      <c r="AH54" s="286"/>
      <c r="AI54" s="286"/>
      <c r="AJ54" s="704" t="str">
        <f>"("&amp;L46&amp;")/"&amp;E46</f>
        <v>(0)/0</v>
      </c>
      <c r="AK54" s="704"/>
      <c r="AL54" s="704"/>
      <c r="AM54" s="704"/>
      <c r="AN54" s="704"/>
      <c r="AO54" s="704"/>
      <c r="AP54" s="704"/>
      <c r="AQ54" s="705"/>
      <c r="AR54" s="154"/>
      <c r="AS54" s="154"/>
      <c r="AT54" s="343"/>
    </row>
    <row r="55" spans="1:46" ht="18" customHeight="1">
      <c r="A55" s="343"/>
      <c r="B55" s="658">
        <v>9</v>
      </c>
      <c r="C55" s="681"/>
      <c r="D55" s="681"/>
      <c r="E55" s="659" t="str">
        <f t="shared" si="3"/>
        <v/>
      </c>
      <c r="F55" s="660"/>
      <c r="G55" s="660"/>
      <c r="H55" s="660"/>
      <c r="I55" s="660"/>
      <c r="J55" s="660"/>
      <c r="K55" s="661"/>
      <c r="L55" s="659" t="str">
        <f t="shared" si="4"/>
        <v/>
      </c>
      <c r="M55" s="662"/>
      <c r="N55" s="662"/>
      <c r="O55" s="662"/>
      <c r="P55" s="662"/>
      <c r="Q55" s="662"/>
      <c r="R55" s="663"/>
      <c r="S55" s="659" t="str">
        <f t="shared" si="1"/>
        <v/>
      </c>
      <c r="T55" s="662"/>
      <c r="U55" s="662"/>
      <c r="V55" s="662"/>
      <c r="W55" s="662"/>
      <c r="X55" s="662"/>
      <c r="Y55" s="663"/>
      <c r="Z55" s="659" t="str">
        <f t="shared" si="2"/>
        <v/>
      </c>
      <c r="AA55" s="662"/>
      <c r="AB55" s="662"/>
      <c r="AC55" s="662"/>
      <c r="AD55" s="662"/>
      <c r="AE55" s="662"/>
      <c r="AF55" s="663"/>
      <c r="AG55" s="696"/>
      <c r="AH55" s="697"/>
      <c r="AI55" s="697"/>
      <c r="AJ55" s="697"/>
      <c r="AK55" s="697"/>
      <c r="AL55" s="697"/>
      <c r="AM55" s="697"/>
      <c r="AN55" s="697"/>
      <c r="AO55" s="697"/>
      <c r="AP55" s="697"/>
      <c r="AQ55" s="698"/>
      <c r="AR55" s="154"/>
      <c r="AS55" s="154"/>
      <c r="AT55" s="343"/>
    </row>
    <row r="56" spans="1:46" ht="18" customHeight="1">
      <c r="A56" s="343"/>
      <c r="B56" s="658">
        <v>10</v>
      </c>
      <c r="C56" s="681"/>
      <c r="D56" s="681"/>
      <c r="E56" s="659" t="str">
        <f t="shared" si="3"/>
        <v/>
      </c>
      <c r="F56" s="660"/>
      <c r="G56" s="660"/>
      <c r="H56" s="660"/>
      <c r="I56" s="660"/>
      <c r="J56" s="660"/>
      <c r="K56" s="661"/>
      <c r="L56" s="659" t="str">
        <f t="shared" si="4"/>
        <v/>
      </c>
      <c r="M56" s="662"/>
      <c r="N56" s="662"/>
      <c r="O56" s="662"/>
      <c r="P56" s="662"/>
      <c r="Q56" s="662"/>
      <c r="R56" s="663"/>
      <c r="S56" s="659" t="str">
        <f t="shared" si="1"/>
        <v/>
      </c>
      <c r="T56" s="662"/>
      <c r="U56" s="662"/>
      <c r="V56" s="662"/>
      <c r="W56" s="662"/>
      <c r="X56" s="662"/>
      <c r="Y56" s="663"/>
      <c r="Z56" s="659" t="str">
        <f t="shared" si="2"/>
        <v/>
      </c>
      <c r="AA56" s="662"/>
      <c r="AB56" s="662"/>
      <c r="AC56" s="662"/>
      <c r="AD56" s="662"/>
      <c r="AE56" s="662"/>
      <c r="AF56" s="663"/>
      <c r="AG56" s="699" t="s">
        <v>421</v>
      </c>
      <c r="AH56" s="700"/>
      <c r="AI56" s="700"/>
      <c r="AJ56" s="700"/>
      <c r="AK56" s="700"/>
      <c r="AL56" s="700"/>
      <c r="AM56" s="700"/>
      <c r="AN56" s="700"/>
      <c r="AO56" s="700"/>
      <c r="AP56" s="700"/>
      <c r="AQ56" s="701"/>
      <c r="AR56" s="154"/>
      <c r="AS56" s="154"/>
      <c r="AT56" s="343"/>
    </row>
    <row r="57" spans="1:46" ht="18" customHeight="1">
      <c r="A57" s="343"/>
      <c r="B57" s="658">
        <v>11</v>
      </c>
      <c r="C57" s="681"/>
      <c r="D57" s="681"/>
      <c r="E57" s="659" t="str">
        <f t="shared" si="3"/>
        <v/>
      </c>
      <c r="F57" s="660"/>
      <c r="G57" s="660"/>
      <c r="H57" s="660"/>
      <c r="I57" s="660"/>
      <c r="J57" s="660"/>
      <c r="K57" s="661"/>
      <c r="L57" s="659" t="str">
        <f t="shared" si="4"/>
        <v/>
      </c>
      <c r="M57" s="662"/>
      <c r="N57" s="662"/>
      <c r="O57" s="662"/>
      <c r="P57" s="662"/>
      <c r="Q57" s="662"/>
      <c r="R57" s="663"/>
      <c r="S57" s="659" t="str">
        <f t="shared" si="1"/>
        <v/>
      </c>
      <c r="T57" s="662"/>
      <c r="U57" s="662"/>
      <c r="V57" s="662"/>
      <c r="W57" s="662"/>
      <c r="X57" s="662"/>
      <c r="Y57" s="663"/>
      <c r="Z57" s="659" t="str">
        <f t="shared" si="2"/>
        <v/>
      </c>
      <c r="AA57" s="662"/>
      <c r="AB57" s="662"/>
      <c r="AC57" s="662"/>
      <c r="AD57" s="662"/>
      <c r="AE57" s="662"/>
      <c r="AF57" s="663"/>
      <c r="AG57" s="706"/>
      <c r="AH57" s="707"/>
      <c r="AI57" s="707"/>
      <c r="AJ57" s="702" t="e">
        <f>Calcu!Q7</f>
        <v>#DIV/0!</v>
      </c>
      <c r="AK57" s="702"/>
      <c r="AL57" s="702"/>
      <c r="AM57" s="702"/>
      <c r="AN57" s="702"/>
      <c r="AO57" s="702"/>
      <c r="AP57" s="702"/>
      <c r="AQ57" s="703"/>
      <c r="AR57" s="154"/>
      <c r="AS57" s="154"/>
      <c r="AT57" s="343"/>
    </row>
    <row r="58" spans="1:46" ht="18" customHeight="1">
      <c r="A58" s="343"/>
      <c r="B58" s="658">
        <v>12</v>
      </c>
      <c r="C58" s="681"/>
      <c r="D58" s="681"/>
      <c r="E58" s="659" t="str">
        <f t="shared" si="3"/>
        <v/>
      </c>
      <c r="F58" s="660"/>
      <c r="G58" s="660"/>
      <c r="H58" s="660"/>
      <c r="I58" s="660"/>
      <c r="J58" s="660"/>
      <c r="K58" s="661"/>
      <c r="L58" s="659" t="str">
        <f t="shared" si="4"/>
        <v/>
      </c>
      <c r="M58" s="662"/>
      <c r="N58" s="662"/>
      <c r="O58" s="662"/>
      <c r="P58" s="662"/>
      <c r="Q58" s="662"/>
      <c r="R58" s="663"/>
      <c r="S58" s="659" t="str">
        <f t="shared" si="1"/>
        <v/>
      </c>
      <c r="T58" s="662"/>
      <c r="U58" s="662"/>
      <c r="V58" s="662"/>
      <c r="W58" s="662"/>
      <c r="X58" s="662"/>
      <c r="Y58" s="663"/>
      <c r="Z58" s="659" t="str">
        <f t="shared" si="2"/>
        <v/>
      </c>
      <c r="AA58" s="662"/>
      <c r="AB58" s="662"/>
      <c r="AC58" s="662"/>
      <c r="AD58" s="662"/>
      <c r="AE58" s="662"/>
      <c r="AF58" s="663"/>
      <c r="AG58" s="370"/>
      <c r="AH58" s="286"/>
      <c r="AI58" s="286"/>
      <c r="AJ58" s="704" t="str">
        <f>E46&amp;"/("&amp;L46&amp;")"</f>
        <v>0/(0)</v>
      </c>
      <c r="AK58" s="704"/>
      <c r="AL58" s="704"/>
      <c r="AM58" s="704"/>
      <c r="AN58" s="704"/>
      <c r="AO58" s="704"/>
      <c r="AP58" s="704"/>
      <c r="AQ58" s="705"/>
      <c r="AR58" s="154"/>
      <c r="AS58" s="154"/>
      <c r="AT58" s="343"/>
    </row>
    <row r="59" spans="1:46" ht="18" customHeight="1">
      <c r="A59" s="343"/>
      <c r="B59" s="658">
        <v>13</v>
      </c>
      <c r="C59" s="681"/>
      <c r="D59" s="681"/>
      <c r="E59" s="659" t="str">
        <f t="shared" si="3"/>
        <v/>
      </c>
      <c r="F59" s="660"/>
      <c r="G59" s="660"/>
      <c r="H59" s="660"/>
      <c r="I59" s="660"/>
      <c r="J59" s="660"/>
      <c r="K59" s="661"/>
      <c r="L59" s="659" t="str">
        <f t="shared" si="4"/>
        <v/>
      </c>
      <c r="M59" s="662"/>
      <c r="N59" s="662"/>
      <c r="O59" s="662"/>
      <c r="P59" s="662"/>
      <c r="Q59" s="662"/>
      <c r="R59" s="663"/>
      <c r="S59" s="659" t="str">
        <f t="shared" si="1"/>
        <v/>
      </c>
      <c r="T59" s="662"/>
      <c r="U59" s="662"/>
      <c r="V59" s="662"/>
      <c r="W59" s="662"/>
      <c r="X59" s="662"/>
      <c r="Y59" s="663"/>
      <c r="Z59" s="659" t="str">
        <f t="shared" si="2"/>
        <v/>
      </c>
      <c r="AA59" s="662"/>
      <c r="AB59" s="662"/>
      <c r="AC59" s="662"/>
      <c r="AD59" s="662"/>
      <c r="AE59" s="662"/>
      <c r="AF59" s="663"/>
      <c r="AG59" s="696"/>
      <c r="AH59" s="697"/>
      <c r="AI59" s="697"/>
      <c r="AJ59" s="697"/>
      <c r="AK59" s="697"/>
      <c r="AL59" s="697"/>
      <c r="AM59" s="697"/>
      <c r="AN59" s="697"/>
      <c r="AO59" s="697"/>
      <c r="AP59" s="697"/>
      <c r="AQ59" s="698"/>
      <c r="AR59" s="154"/>
      <c r="AS59" s="154"/>
      <c r="AT59" s="343"/>
    </row>
    <row r="60" spans="1:46" ht="18" customHeight="1">
      <c r="A60" s="343"/>
      <c r="B60" s="658">
        <v>14</v>
      </c>
      <c r="C60" s="681"/>
      <c r="D60" s="681"/>
      <c r="E60" s="659" t="str">
        <f t="shared" si="3"/>
        <v/>
      </c>
      <c r="F60" s="660"/>
      <c r="G60" s="660"/>
      <c r="H60" s="660"/>
      <c r="I60" s="660"/>
      <c r="J60" s="660"/>
      <c r="K60" s="661"/>
      <c r="L60" s="659" t="str">
        <f t="shared" si="4"/>
        <v/>
      </c>
      <c r="M60" s="662"/>
      <c r="N60" s="662"/>
      <c r="O60" s="662"/>
      <c r="P60" s="662"/>
      <c r="Q60" s="662"/>
      <c r="R60" s="663"/>
      <c r="S60" s="659" t="str">
        <f t="shared" si="1"/>
        <v/>
      </c>
      <c r="T60" s="662"/>
      <c r="U60" s="662"/>
      <c r="V60" s="662"/>
      <c r="W60" s="662"/>
      <c r="X60" s="662"/>
      <c r="Y60" s="663"/>
      <c r="Z60" s="659" t="str">
        <f t="shared" si="2"/>
        <v/>
      </c>
      <c r="AA60" s="662"/>
      <c r="AB60" s="662"/>
      <c r="AC60" s="662"/>
      <c r="AD60" s="662"/>
      <c r="AE60" s="662"/>
      <c r="AF60" s="663"/>
      <c r="AG60" s="696"/>
      <c r="AH60" s="697"/>
      <c r="AI60" s="697"/>
      <c r="AJ60" s="697"/>
      <c r="AK60" s="697"/>
      <c r="AL60" s="697"/>
      <c r="AM60" s="697"/>
      <c r="AN60" s="697"/>
      <c r="AO60" s="697"/>
      <c r="AP60" s="697"/>
      <c r="AQ60" s="698"/>
      <c r="AR60" s="154"/>
      <c r="AS60" s="154"/>
      <c r="AT60" s="343"/>
    </row>
    <row r="61" spans="1:46" ht="18" customHeight="1">
      <c r="A61" s="343"/>
      <c r="B61" s="658">
        <v>15</v>
      </c>
      <c r="C61" s="681"/>
      <c r="D61" s="681"/>
      <c r="E61" s="659" t="str">
        <f t="shared" si="3"/>
        <v/>
      </c>
      <c r="F61" s="660"/>
      <c r="G61" s="660"/>
      <c r="H61" s="660"/>
      <c r="I61" s="660"/>
      <c r="J61" s="660"/>
      <c r="K61" s="661"/>
      <c r="L61" s="659" t="str">
        <f t="shared" si="4"/>
        <v/>
      </c>
      <c r="M61" s="662"/>
      <c r="N61" s="662"/>
      <c r="O61" s="662"/>
      <c r="P61" s="662"/>
      <c r="Q61" s="662"/>
      <c r="R61" s="663"/>
      <c r="S61" s="659" t="str">
        <f t="shared" si="1"/>
        <v/>
      </c>
      <c r="T61" s="662"/>
      <c r="U61" s="662"/>
      <c r="V61" s="662"/>
      <c r="W61" s="662"/>
      <c r="X61" s="662"/>
      <c r="Y61" s="663"/>
      <c r="Z61" s="659" t="str">
        <f t="shared" si="2"/>
        <v/>
      </c>
      <c r="AA61" s="662"/>
      <c r="AB61" s="662"/>
      <c r="AC61" s="662"/>
      <c r="AD61" s="662"/>
      <c r="AE61" s="662"/>
      <c r="AF61" s="663"/>
      <c r="AG61" s="696"/>
      <c r="AH61" s="697"/>
      <c r="AI61" s="697"/>
      <c r="AJ61" s="697"/>
      <c r="AK61" s="697"/>
      <c r="AL61" s="697"/>
      <c r="AM61" s="697"/>
      <c r="AN61" s="697"/>
      <c r="AO61" s="697"/>
      <c r="AP61" s="697"/>
      <c r="AQ61" s="698"/>
      <c r="AR61" s="154"/>
      <c r="AS61" s="154"/>
      <c r="AT61" s="343"/>
    </row>
    <row r="62" spans="1:46" ht="18" customHeight="1">
      <c r="A62" s="343"/>
      <c r="B62" s="658">
        <v>16</v>
      </c>
      <c r="C62" s="681"/>
      <c r="D62" s="681"/>
      <c r="E62" s="659" t="str">
        <f t="shared" si="3"/>
        <v/>
      </c>
      <c r="F62" s="660"/>
      <c r="G62" s="660"/>
      <c r="H62" s="660"/>
      <c r="I62" s="660"/>
      <c r="J62" s="660"/>
      <c r="K62" s="661"/>
      <c r="L62" s="659" t="str">
        <f t="shared" si="4"/>
        <v/>
      </c>
      <c r="M62" s="662"/>
      <c r="N62" s="662"/>
      <c r="O62" s="662"/>
      <c r="P62" s="662"/>
      <c r="Q62" s="662"/>
      <c r="R62" s="663"/>
      <c r="S62" s="659" t="str">
        <f t="shared" si="1"/>
        <v/>
      </c>
      <c r="T62" s="662"/>
      <c r="U62" s="662"/>
      <c r="V62" s="662"/>
      <c r="W62" s="662"/>
      <c r="X62" s="662"/>
      <c r="Y62" s="663"/>
      <c r="Z62" s="659" t="str">
        <f t="shared" si="2"/>
        <v/>
      </c>
      <c r="AA62" s="662"/>
      <c r="AB62" s="662"/>
      <c r="AC62" s="662"/>
      <c r="AD62" s="662"/>
      <c r="AE62" s="662"/>
      <c r="AF62" s="663"/>
      <c r="AG62" s="696"/>
      <c r="AH62" s="697"/>
      <c r="AI62" s="697"/>
      <c r="AJ62" s="697"/>
      <c r="AK62" s="697"/>
      <c r="AL62" s="697"/>
      <c r="AM62" s="697"/>
      <c r="AN62" s="697"/>
      <c r="AO62" s="697"/>
      <c r="AP62" s="697"/>
      <c r="AQ62" s="698"/>
      <c r="AR62" s="154"/>
      <c r="AS62" s="154"/>
      <c r="AT62" s="343"/>
    </row>
    <row r="63" spans="1:46" ht="18" customHeight="1">
      <c r="A63" s="343"/>
      <c r="B63" s="658">
        <v>17</v>
      </c>
      <c r="C63" s="681"/>
      <c r="D63" s="681"/>
      <c r="E63" s="659" t="str">
        <f t="shared" si="3"/>
        <v/>
      </c>
      <c r="F63" s="660"/>
      <c r="G63" s="660"/>
      <c r="H63" s="660"/>
      <c r="I63" s="660"/>
      <c r="J63" s="660"/>
      <c r="K63" s="661"/>
      <c r="L63" s="659" t="str">
        <f t="shared" si="4"/>
        <v/>
      </c>
      <c r="M63" s="662"/>
      <c r="N63" s="662"/>
      <c r="O63" s="662"/>
      <c r="P63" s="662"/>
      <c r="Q63" s="662"/>
      <c r="R63" s="663"/>
      <c r="S63" s="659" t="str">
        <f t="shared" si="1"/>
        <v/>
      </c>
      <c r="T63" s="662"/>
      <c r="U63" s="662"/>
      <c r="V63" s="662"/>
      <c r="W63" s="662"/>
      <c r="X63" s="662"/>
      <c r="Y63" s="663"/>
      <c r="Z63" s="659" t="str">
        <f t="shared" si="2"/>
        <v/>
      </c>
      <c r="AA63" s="662"/>
      <c r="AB63" s="662"/>
      <c r="AC63" s="662"/>
      <c r="AD63" s="662"/>
      <c r="AE63" s="662"/>
      <c r="AF63" s="663"/>
      <c r="AG63" s="696"/>
      <c r="AH63" s="697"/>
      <c r="AI63" s="697"/>
      <c r="AJ63" s="697"/>
      <c r="AK63" s="697"/>
      <c r="AL63" s="697"/>
      <c r="AM63" s="697"/>
      <c r="AN63" s="697"/>
      <c r="AO63" s="697"/>
      <c r="AP63" s="697"/>
      <c r="AQ63" s="698"/>
      <c r="AR63" s="154"/>
      <c r="AS63" s="154"/>
      <c r="AT63" s="343"/>
    </row>
    <row r="64" spans="1:46" ht="18" customHeight="1">
      <c r="A64" s="343"/>
      <c r="B64" s="658">
        <v>18</v>
      </c>
      <c r="C64" s="681"/>
      <c r="D64" s="681"/>
      <c r="E64" s="659" t="str">
        <f t="shared" si="3"/>
        <v/>
      </c>
      <c r="F64" s="660"/>
      <c r="G64" s="660"/>
      <c r="H64" s="660"/>
      <c r="I64" s="660"/>
      <c r="J64" s="660"/>
      <c r="K64" s="661"/>
      <c r="L64" s="659" t="str">
        <f t="shared" si="4"/>
        <v/>
      </c>
      <c r="M64" s="662"/>
      <c r="N64" s="662"/>
      <c r="O64" s="662"/>
      <c r="P64" s="662"/>
      <c r="Q64" s="662"/>
      <c r="R64" s="663"/>
      <c r="S64" s="659" t="str">
        <f t="shared" si="1"/>
        <v/>
      </c>
      <c r="T64" s="662"/>
      <c r="U64" s="662"/>
      <c r="V64" s="662"/>
      <c r="W64" s="662"/>
      <c r="X64" s="662"/>
      <c r="Y64" s="663"/>
      <c r="Z64" s="659" t="str">
        <f t="shared" si="2"/>
        <v/>
      </c>
      <c r="AA64" s="662"/>
      <c r="AB64" s="662"/>
      <c r="AC64" s="662"/>
      <c r="AD64" s="662"/>
      <c r="AE64" s="662"/>
      <c r="AF64" s="663"/>
      <c r="AG64" s="696"/>
      <c r="AH64" s="697"/>
      <c r="AI64" s="697"/>
      <c r="AJ64" s="697"/>
      <c r="AK64" s="697"/>
      <c r="AL64" s="697"/>
      <c r="AM64" s="697"/>
      <c r="AN64" s="697"/>
      <c r="AO64" s="697"/>
      <c r="AP64" s="697"/>
      <c r="AQ64" s="698"/>
      <c r="AR64" s="154"/>
      <c r="AS64" s="154"/>
      <c r="AT64" s="343"/>
    </row>
    <row r="65" spans="1:46" ht="18" customHeight="1">
      <c r="A65" s="343"/>
      <c r="B65" s="658">
        <v>19</v>
      </c>
      <c r="C65" s="681"/>
      <c r="D65" s="681"/>
      <c r="E65" s="659" t="str">
        <f t="shared" si="3"/>
        <v/>
      </c>
      <c r="F65" s="660"/>
      <c r="G65" s="660"/>
      <c r="H65" s="660"/>
      <c r="I65" s="660"/>
      <c r="J65" s="660"/>
      <c r="K65" s="661"/>
      <c r="L65" s="659" t="str">
        <f t="shared" si="4"/>
        <v/>
      </c>
      <c r="M65" s="662"/>
      <c r="N65" s="662"/>
      <c r="O65" s="662"/>
      <c r="P65" s="662"/>
      <c r="Q65" s="662"/>
      <c r="R65" s="663"/>
      <c r="S65" s="659" t="str">
        <f t="shared" si="1"/>
        <v/>
      </c>
      <c r="T65" s="662"/>
      <c r="U65" s="662"/>
      <c r="V65" s="662"/>
      <c r="W65" s="662"/>
      <c r="X65" s="662"/>
      <c r="Y65" s="663"/>
      <c r="Z65" s="659" t="str">
        <f t="shared" si="2"/>
        <v/>
      </c>
      <c r="AA65" s="662"/>
      <c r="AB65" s="662"/>
      <c r="AC65" s="662"/>
      <c r="AD65" s="662"/>
      <c r="AE65" s="662"/>
      <c r="AF65" s="663"/>
      <c r="AG65" s="696"/>
      <c r="AH65" s="697"/>
      <c r="AI65" s="697"/>
      <c r="AJ65" s="697"/>
      <c r="AK65" s="697"/>
      <c r="AL65" s="697"/>
      <c r="AM65" s="697"/>
      <c r="AN65" s="697"/>
      <c r="AO65" s="697"/>
      <c r="AP65" s="697"/>
      <c r="AQ65" s="698"/>
      <c r="AR65" s="154"/>
      <c r="AS65" s="154"/>
      <c r="AT65" s="343"/>
    </row>
    <row r="66" spans="1:46" ht="18" customHeight="1">
      <c r="A66" s="343"/>
      <c r="B66" s="658">
        <v>20</v>
      </c>
      <c r="C66" s="681"/>
      <c r="D66" s="681"/>
      <c r="E66" s="659" t="str">
        <f t="shared" si="3"/>
        <v/>
      </c>
      <c r="F66" s="660"/>
      <c r="G66" s="660"/>
      <c r="H66" s="660"/>
      <c r="I66" s="660"/>
      <c r="J66" s="660"/>
      <c r="K66" s="661"/>
      <c r="L66" s="659" t="str">
        <f t="shared" si="4"/>
        <v/>
      </c>
      <c r="M66" s="662"/>
      <c r="N66" s="662"/>
      <c r="O66" s="662"/>
      <c r="P66" s="662"/>
      <c r="Q66" s="662"/>
      <c r="R66" s="663"/>
      <c r="S66" s="659" t="str">
        <f t="shared" si="1"/>
        <v/>
      </c>
      <c r="T66" s="662"/>
      <c r="U66" s="662"/>
      <c r="V66" s="662"/>
      <c r="W66" s="662"/>
      <c r="X66" s="662"/>
      <c r="Y66" s="663"/>
      <c r="Z66" s="659" t="str">
        <f t="shared" si="2"/>
        <v/>
      </c>
      <c r="AA66" s="662"/>
      <c r="AB66" s="662"/>
      <c r="AC66" s="662"/>
      <c r="AD66" s="662"/>
      <c r="AE66" s="662"/>
      <c r="AF66" s="663"/>
      <c r="AG66" s="696"/>
      <c r="AH66" s="697"/>
      <c r="AI66" s="697"/>
      <c r="AJ66" s="697"/>
      <c r="AK66" s="697"/>
      <c r="AL66" s="697"/>
      <c r="AM66" s="697"/>
      <c r="AN66" s="697"/>
      <c r="AO66" s="697"/>
      <c r="AP66" s="697"/>
      <c r="AQ66" s="698"/>
      <c r="AR66" s="154"/>
      <c r="AS66" s="154"/>
      <c r="AT66" s="343"/>
    </row>
    <row r="67" spans="1:46" ht="18" customHeight="1">
      <c r="A67" s="343"/>
      <c r="B67" s="658">
        <v>21</v>
      </c>
      <c r="C67" s="681"/>
      <c r="D67" s="681"/>
      <c r="E67" s="659" t="str">
        <f t="shared" si="3"/>
        <v/>
      </c>
      <c r="F67" s="660"/>
      <c r="G67" s="660"/>
      <c r="H67" s="660"/>
      <c r="I67" s="660"/>
      <c r="J67" s="660"/>
      <c r="K67" s="661"/>
      <c r="L67" s="659" t="str">
        <f t="shared" si="4"/>
        <v/>
      </c>
      <c r="M67" s="662"/>
      <c r="N67" s="662"/>
      <c r="O67" s="662"/>
      <c r="P67" s="662"/>
      <c r="Q67" s="662"/>
      <c r="R67" s="663"/>
      <c r="S67" s="659" t="str">
        <f t="shared" si="1"/>
        <v/>
      </c>
      <c r="T67" s="662"/>
      <c r="U67" s="662"/>
      <c r="V67" s="662"/>
      <c r="W67" s="662"/>
      <c r="X67" s="662"/>
      <c r="Y67" s="663"/>
      <c r="Z67" s="659" t="str">
        <f t="shared" si="2"/>
        <v/>
      </c>
      <c r="AA67" s="662"/>
      <c r="AB67" s="662"/>
      <c r="AC67" s="662"/>
      <c r="AD67" s="662"/>
      <c r="AE67" s="662"/>
      <c r="AF67" s="663"/>
      <c r="AG67" s="696"/>
      <c r="AH67" s="697"/>
      <c r="AI67" s="697"/>
      <c r="AJ67" s="697"/>
      <c r="AK67" s="697"/>
      <c r="AL67" s="697"/>
      <c r="AM67" s="697"/>
      <c r="AN67" s="697"/>
      <c r="AO67" s="697"/>
      <c r="AP67" s="697"/>
      <c r="AQ67" s="698"/>
      <c r="AR67" s="154"/>
      <c r="AS67" s="154"/>
      <c r="AT67" s="343"/>
    </row>
    <row r="68" spans="1:46" ht="18" customHeight="1">
      <c r="A68" s="343"/>
      <c r="B68" s="658">
        <v>22</v>
      </c>
      <c r="C68" s="681"/>
      <c r="D68" s="681"/>
      <c r="E68" s="659" t="str">
        <f t="shared" si="3"/>
        <v/>
      </c>
      <c r="F68" s="660"/>
      <c r="G68" s="660"/>
      <c r="H68" s="660"/>
      <c r="I68" s="660"/>
      <c r="J68" s="660"/>
      <c r="K68" s="661"/>
      <c r="L68" s="659" t="str">
        <f t="shared" si="4"/>
        <v/>
      </c>
      <c r="M68" s="662"/>
      <c r="N68" s="662"/>
      <c r="O68" s="662"/>
      <c r="P68" s="662"/>
      <c r="Q68" s="662"/>
      <c r="R68" s="663"/>
      <c r="S68" s="659" t="str">
        <f t="shared" si="1"/>
        <v/>
      </c>
      <c r="T68" s="662"/>
      <c r="U68" s="662"/>
      <c r="V68" s="662"/>
      <c r="W68" s="662"/>
      <c r="X68" s="662"/>
      <c r="Y68" s="663"/>
      <c r="Z68" s="659" t="str">
        <f t="shared" si="2"/>
        <v/>
      </c>
      <c r="AA68" s="662"/>
      <c r="AB68" s="662"/>
      <c r="AC68" s="662"/>
      <c r="AD68" s="662"/>
      <c r="AE68" s="662"/>
      <c r="AF68" s="663"/>
      <c r="AG68" s="696"/>
      <c r="AH68" s="697"/>
      <c r="AI68" s="697"/>
      <c r="AJ68" s="697"/>
      <c r="AK68" s="697"/>
      <c r="AL68" s="697"/>
      <c r="AM68" s="697"/>
      <c r="AN68" s="697"/>
      <c r="AO68" s="697"/>
      <c r="AP68" s="697"/>
      <c r="AQ68" s="698"/>
      <c r="AR68" s="154"/>
      <c r="AS68" s="154"/>
      <c r="AT68" s="343"/>
    </row>
    <row r="69" spans="1:46" ht="18" customHeight="1">
      <c r="A69" s="343"/>
      <c r="B69" s="658">
        <v>23</v>
      </c>
      <c r="C69" s="681"/>
      <c r="D69" s="681"/>
      <c r="E69" s="659" t="str">
        <f t="shared" si="3"/>
        <v/>
      </c>
      <c r="F69" s="660"/>
      <c r="G69" s="660"/>
      <c r="H69" s="660"/>
      <c r="I69" s="660"/>
      <c r="J69" s="660"/>
      <c r="K69" s="661"/>
      <c r="L69" s="659" t="str">
        <f t="shared" si="4"/>
        <v/>
      </c>
      <c r="M69" s="662"/>
      <c r="N69" s="662"/>
      <c r="O69" s="662"/>
      <c r="P69" s="662"/>
      <c r="Q69" s="662"/>
      <c r="R69" s="663"/>
      <c r="S69" s="659" t="str">
        <f t="shared" si="1"/>
        <v/>
      </c>
      <c r="T69" s="662"/>
      <c r="U69" s="662"/>
      <c r="V69" s="662"/>
      <c r="W69" s="662"/>
      <c r="X69" s="662"/>
      <c r="Y69" s="663"/>
      <c r="Z69" s="659" t="str">
        <f t="shared" si="2"/>
        <v/>
      </c>
      <c r="AA69" s="662"/>
      <c r="AB69" s="662"/>
      <c r="AC69" s="662"/>
      <c r="AD69" s="662"/>
      <c r="AE69" s="662"/>
      <c r="AF69" s="663"/>
      <c r="AG69" s="696"/>
      <c r="AH69" s="697"/>
      <c r="AI69" s="697"/>
      <c r="AJ69" s="697"/>
      <c r="AK69" s="697"/>
      <c r="AL69" s="697"/>
      <c r="AM69" s="697"/>
      <c r="AN69" s="697"/>
      <c r="AO69" s="697"/>
      <c r="AP69" s="697"/>
      <c r="AQ69" s="698"/>
      <c r="AR69" s="154"/>
      <c r="AS69" s="154"/>
      <c r="AT69" s="343"/>
    </row>
    <row r="70" spans="1:46" ht="18" customHeight="1">
      <c r="A70" s="343"/>
      <c r="B70" s="658">
        <v>24</v>
      </c>
      <c r="C70" s="681"/>
      <c r="D70" s="681"/>
      <c r="E70" s="659" t="str">
        <f t="shared" si="3"/>
        <v/>
      </c>
      <c r="F70" s="660"/>
      <c r="G70" s="660"/>
      <c r="H70" s="660"/>
      <c r="I70" s="660"/>
      <c r="J70" s="660"/>
      <c r="K70" s="661"/>
      <c r="L70" s="659" t="str">
        <f t="shared" si="4"/>
        <v/>
      </c>
      <c r="M70" s="662"/>
      <c r="N70" s="662"/>
      <c r="O70" s="662"/>
      <c r="P70" s="662"/>
      <c r="Q70" s="662"/>
      <c r="R70" s="663"/>
      <c r="S70" s="659" t="str">
        <f t="shared" si="1"/>
        <v/>
      </c>
      <c r="T70" s="662"/>
      <c r="U70" s="662"/>
      <c r="V70" s="662"/>
      <c r="W70" s="662"/>
      <c r="X70" s="662"/>
      <c r="Y70" s="663"/>
      <c r="Z70" s="659" t="str">
        <f t="shared" si="2"/>
        <v/>
      </c>
      <c r="AA70" s="662"/>
      <c r="AB70" s="662"/>
      <c r="AC70" s="662"/>
      <c r="AD70" s="662"/>
      <c r="AE70" s="662"/>
      <c r="AF70" s="663"/>
      <c r="AG70" s="696"/>
      <c r="AH70" s="697"/>
      <c r="AI70" s="697"/>
      <c r="AJ70" s="697"/>
      <c r="AK70" s="697"/>
      <c r="AL70" s="697"/>
      <c r="AM70" s="697"/>
      <c r="AN70" s="697"/>
      <c r="AO70" s="697"/>
      <c r="AP70" s="697"/>
      <c r="AQ70" s="698"/>
      <c r="AR70" s="154"/>
      <c r="AS70" s="154"/>
      <c r="AT70" s="343"/>
    </row>
    <row r="71" spans="1:46" ht="18" customHeight="1">
      <c r="A71" s="343"/>
      <c r="B71" s="658">
        <v>25</v>
      </c>
      <c r="C71" s="681"/>
      <c r="D71" s="681"/>
      <c r="E71" s="659" t="str">
        <f t="shared" si="3"/>
        <v/>
      </c>
      <c r="F71" s="660"/>
      <c r="G71" s="660"/>
      <c r="H71" s="660"/>
      <c r="I71" s="660"/>
      <c r="J71" s="660"/>
      <c r="K71" s="661"/>
      <c r="L71" s="659" t="str">
        <f t="shared" si="4"/>
        <v/>
      </c>
      <c r="M71" s="662"/>
      <c r="N71" s="662"/>
      <c r="O71" s="662"/>
      <c r="P71" s="662"/>
      <c r="Q71" s="662"/>
      <c r="R71" s="663"/>
      <c r="S71" s="659" t="str">
        <f t="shared" si="1"/>
        <v/>
      </c>
      <c r="T71" s="662"/>
      <c r="U71" s="662"/>
      <c r="V71" s="662"/>
      <c r="W71" s="662"/>
      <c r="X71" s="662"/>
      <c r="Y71" s="663"/>
      <c r="Z71" s="659" t="str">
        <f t="shared" si="2"/>
        <v/>
      </c>
      <c r="AA71" s="662"/>
      <c r="AB71" s="662"/>
      <c r="AC71" s="662"/>
      <c r="AD71" s="662"/>
      <c r="AE71" s="662"/>
      <c r="AF71" s="663"/>
      <c r="AG71" s="696"/>
      <c r="AH71" s="697"/>
      <c r="AI71" s="697"/>
      <c r="AJ71" s="697"/>
      <c r="AK71" s="697"/>
      <c r="AL71" s="697"/>
      <c r="AM71" s="697"/>
      <c r="AN71" s="697"/>
      <c r="AO71" s="697"/>
      <c r="AP71" s="697"/>
      <c r="AQ71" s="698"/>
      <c r="AR71" s="154"/>
      <c r="AS71" s="154"/>
      <c r="AT71" s="343"/>
    </row>
    <row r="72" spans="1:46" ht="18" customHeight="1">
      <c r="A72" s="343"/>
      <c r="B72" s="658">
        <v>26</v>
      </c>
      <c r="C72" s="681"/>
      <c r="D72" s="681"/>
      <c r="E72" s="659" t="str">
        <f t="shared" si="3"/>
        <v/>
      </c>
      <c r="F72" s="660"/>
      <c r="G72" s="660"/>
      <c r="H72" s="660"/>
      <c r="I72" s="660"/>
      <c r="J72" s="660"/>
      <c r="K72" s="661"/>
      <c r="L72" s="659" t="str">
        <f t="shared" si="4"/>
        <v/>
      </c>
      <c r="M72" s="662"/>
      <c r="N72" s="662"/>
      <c r="O72" s="662"/>
      <c r="P72" s="662"/>
      <c r="Q72" s="662"/>
      <c r="R72" s="663"/>
      <c r="S72" s="659" t="str">
        <f t="shared" si="1"/>
        <v/>
      </c>
      <c r="T72" s="662"/>
      <c r="U72" s="662"/>
      <c r="V72" s="662"/>
      <c r="W72" s="662"/>
      <c r="X72" s="662"/>
      <c r="Y72" s="663"/>
      <c r="Z72" s="659" t="str">
        <f t="shared" si="2"/>
        <v/>
      </c>
      <c r="AA72" s="662"/>
      <c r="AB72" s="662"/>
      <c r="AC72" s="662"/>
      <c r="AD72" s="662"/>
      <c r="AE72" s="662"/>
      <c r="AF72" s="663"/>
      <c r="AG72" s="696"/>
      <c r="AH72" s="697"/>
      <c r="AI72" s="697"/>
      <c r="AJ72" s="697"/>
      <c r="AK72" s="697"/>
      <c r="AL72" s="697"/>
      <c r="AM72" s="697"/>
      <c r="AN72" s="697"/>
      <c r="AO72" s="697"/>
      <c r="AP72" s="697"/>
      <c r="AQ72" s="698"/>
      <c r="AR72" s="154"/>
      <c r="AS72" s="154"/>
      <c r="AT72" s="343"/>
    </row>
    <row r="73" spans="1:46" ht="18" customHeight="1">
      <c r="A73" s="343"/>
      <c r="B73" s="658">
        <v>27</v>
      </c>
      <c r="C73" s="681"/>
      <c r="D73" s="681"/>
      <c r="E73" s="659" t="str">
        <f t="shared" si="3"/>
        <v/>
      </c>
      <c r="F73" s="660"/>
      <c r="G73" s="660"/>
      <c r="H73" s="660"/>
      <c r="I73" s="660"/>
      <c r="J73" s="660"/>
      <c r="K73" s="661"/>
      <c r="L73" s="659" t="str">
        <f t="shared" si="4"/>
        <v/>
      </c>
      <c r="M73" s="662"/>
      <c r="N73" s="662"/>
      <c r="O73" s="662"/>
      <c r="P73" s="662"/>
      <c r="Q73" s="662"/>
      <c r="R73" s="663"/>
      <c r="S73" s="659" t="str">
        <f t="shared" si="1"/>
        <v/>
      </c>
      <c r="T73" s="662"/>
      <c r="U73" s="662"/>
      <c r="V73" s="662"/>
      <c r="W73" s="662"/>
      <c r="X73" s="662"/>
      <c r="Y73" s="663"/>
      <c r="Z73" s="659" t="str">
        <f t="shared" si="2"/>
        <v/>
      </c>
      <c r="AA73" s="662"/>
      <c r="AB73" s="662"/>
      <c r="AC73" s="662"/>
      <c r="AD73" s="662"/>
      <c r="AE73" s="662"/>
      <c r="AF73" s="663"/>
      <c r="AG73" s="696"/>
      <c r="AH73" s="697"/>
      <c r="AI73" s="697"/>
      <c r="AJ73" s="697"/>
      <c r="AK73" s="697"/>
      <c r="AL73" s="697"/>
      <c r="AM73" s="697"/>
      <c r="AN73" s="697"/>
      <c r="AO73" s="697"/>
      <c r="AP73" s="697"/>
      <c r="AQ73" s="698"/>
      <c r="AR73" s="154"/>
      <c r="AS73" s="154"/>
      <c r="AT73" s="343"/>
    </row>
    <row r="74" spans="1:46" ht="18" customHeight="1">
      <c r="A74" s="343"/>
      <c r="B74" s="658">
        <v>28</v>
      </c>
      <c r="C74" s="681"/>
      <c r="D74" s="681"/>
      <c r="E74" s="659" t="str">
        <f t="shared" si="3"/>
        <v/>
      </c>
      <c r="F74" s="660"/>
      <c r="G74" s="660"/>
      <c r="H74" s="660"/>
      <c r="I74" s="660"/>
      <c r="J74" s="660"/>
      <c r="K74" s="661"/>
      <c r="L74" s="659" t="str">
        <f t="shared" si="4"/>
        <v/>
      </c>
      <c r="M74" s="662"/>
      <c r="N74" s="662"/>
      <c r="O74" s="662"/>
      <c r="P74" s="662"/>
      <c r="Q74" s="662"/>
      <c r="R74" s="663"/>
      <c r="S74" s="659" t="str">
        <f t="shared" si="1"/>
        <v/>
      </c>
      <c r="T74" s="662"/>
      <c r="U74" s="662"/>
      <c r="V74" s="662"/>
      <c r="W74" s="662"/>
      <c r="X74" s="662"/>
      <c r="Y74" s="663"/>
      <c r="Z74" s="659" t="str">
        <f t="shared" si="2"/>
        <v/>
      </c>
      <c r="AA74" s="662"/>
      <c r="AB74" s="662"/>
      <c r="AC74" s="662"/>
      <c r="AD74" s="662"/>
      <c r="AE74" s="662"/>
      <c r="AF74" s="663"/>
      <c r="AG74" s="696"/>
      <c r="AH74" s="697"/>
      <c r="AI74" s="697"/>
      <c r="AJ74" s="697"/>
      <c r="AK74" s="697"/>
      <c r="AL74" s="697"/>
      <c r="AM74" s="697"/>
      <c r="AN74" s="697"/>
      <c r="AO74" s="697"/>
      <c r="AP74" s="697"/>
      <c r="AQ74" s="698"/>
      <c r="AR74" s="154"/>
      <c r="AS74" s="154"/>
      <c r="AT74" s="343"/>
    </row>
    <row r="75" spans="1:46" ht="18" customHeight="1">
      <c r="A75" s="343"/>
      <c r="B75" s="658">
        <v>29</v>
      </c>
      <c r="C75" s="681"/>
      <c r="D75" s="681"/>
      <c r="E75" s="659" t="str">
        <f t="shared" si="3"/>
        <v/>
      </c>
      <c r="F75" s="660"/>
      <c r="G75" s="660"/>
      <c r="H75" s="660"/>
      <c r="I75" s="660"/>
      <c r="J75" s="660"/>
      <c r="K75" s="661"/>
      <c r="L75" s="659" t="str">
        <f t="shared" si="4"/>
        <v/>
      </c>
      <c r="M75" s="662"/>
      <c r="N75" s="662"/>
      <c r="O75" s="662"/>
      <c r="P75" s="662"/>
      <c r="Q75" s="662"/>
      <c r="R75" s="663"/>
      <c r="S75" s="659" t="str">
        <f t="shared" si="1"/>
        <v/>
      </c>
      <c r="T75" s="662"/>
      <c r="U75" s="662"/>
      <c r="V75" s="662"/>
      <c r="W75" s="662"/>
      <c r="X75" s="662"/>
      <c r="Y75" s="663"/>
      <c r="Z75" s="659" t="str">
        <f t="shared" si="2"/>
        <v/>
      </c>
      <c r="AA75" s="662"/>
      <c r="AB75" s="662"/>
      <c r="AC75" s="662"/>
      <c r="AD75" s="662"/>
      <c r="AE75" s="662"/>
      <c r="AF75" s="663"/>
      <c r="AG75" s="696"/>
      <c r="AH75" s="697"/>
      <c r="AI75" s="697"/>
      <c r="AJ75" s="697"/>
      <c r="AK75" s="697"/>
      <c r="AL75" s="697"/>
      <c r="AM75" s="697"/>
      <c r="AN75" s="697"/>
      <c r="AO75" s="697"/>
      <c r="AP75" s="697"/>
      <c r="AQ75" s="698"/>
      <c r="AR75" s="154"/>
      <c r="AS75" s="154"/>
      <c r="AT75" s="343"/>
    </row>
    <row r="76" spans="1:46" ht="18" customHeight="1">
      <c r="A76" s="343"/>
      <c r="B76" s="672">
        <v>30</v>
      </c>
      <c r="C76" s="688"/>
      <c r="D76" s="688"/>
      <c r="E76" s="673" t="str">
        <f t="shared" si="3"/>
        <v/>
      </c>
      <c r="F76" s="674"/>
      <c r="G76" s="674"/>
      <c r="H76" s="674"/>
      <c r="I76" s="674"/>
      <c r="J76" s="674"/>
      <c r="K76" s="675"/>
      <c r="L76" s="673" t="str">
        <f t="shared" si="4"/>
        <v/>
      </c>
      <c r="M76" s="676"/>
      <c r="N76" s="676"/>
      <c r="O76" s="676"/>
      <c r="P76" s="676"/>
      <c r="Q76" s="676"/>
      <c r="R76" s="677"/>
      <c r="S76" s="673" t="str">
        <f t="shared" si="1"/>
        <v/>
      </c>
      <c r="T76" s="676"/>
      <c r="U76" s="676"/>
      <c r="V76" s="676"/>
      <c r="W76" s="676"/>
      <c r="X76" s="676"/>
      <c r="Y76" s="677"/>
      <c r="Z76" s="673" t="str">
        <f t="shared" si="2"/>
        <v/>
      </c>
      <c r="AA76" s="676"/>
      <c r="AB76" s="676"/>
      <c r="AC76" s="676"/>
      <c r="AD76" s="676"/>
      <c r="AE76" s="676"/>
      <c r="AF76" s="677"/>
      <c r="AG76" s="693"/>
      <c r="AH76" s="694"/>
      <c r="AI76" s="694"/>
      <c r="AJ76" s="694"/>
      <c r="AK76" s="694"/>
      <c r="AL76" s="694"/>
      <c r="AM76" s="694"/>
      <c r="AN76" s="694"/>
      <c r="AO76" s="694"/>
      <c r="AP76" s="694"/>
      <c r="AQ76" s="695"/>
      <c r="AR76" s="154"/>
      <c r="AS76" s="154"/>
      <c r="AT76" s="343"/>
    </row>
    <row r="77" spans="1:46" s="343" customFormat="1" ht="18" customHeight="1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78"/>
      <c r="AB77" s="278"/>
      <c r="AC77" s="278"/>
      <c r="AD77" s="278"/>
      <c r="AE77" s="278"/>
      <c r="AF77" s="278"/>
      <c r="AG77" s="278"/>
      <c r="AH77" s="278"/>
      <c r="AI77" s="278"/>
      <c r="AJ77" s="278"/>
      <c r="AK77" s="278"/>
      <c r="AL77" s="278"/>
      <c r="AM77" s="278"/>
      <c r="AN77" s="278"/>
      <c r="AO77" s="278"/>
      <c r="AP77" s="278"/>
      <c r="AQ77" s="278"/>
      <c r="AR77" s="154"/>
      <c r="AS77" s="154"/>
    </row>
    <row r="78" spans="1:46" ht="18" customHeight="1">
      <c r="A78" s="194" t="s">
        <v>422</v>
      </c>
      <c r="B78" s="343"/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</row>
    <row r="79" spans="1:46" ht="18" customHeight="1">
      <c r="A79" s="343"/>
      <c r="B79" s="635" t="s">
        <v>137</v>
      </c>
      <c r="C79" s="636"/>
      <c r="D79" s="636"/>
      <c r="E79" s="636"/>
      <c r="F79" s="636"/>
      <c r="G79" s="636"/>
      <c r="H79" s="637"/>
      <c r="I79" s="635" t="s">
        <v>404</v>
      </c>
      <c r="J79" s="687"/>
      <c r="K79" s="687"/>
      <c r="L79" s="687"/>
      <c r="M79" s="687"/>
      <c r="N79" s="687"/>
      <c r="O79" s="708"/>
      <c r="P79" s="625" t="s">
        <v>423</v>
      </c>
      <c r="Q79" s="711"/>
      <c r="R79" s="711"/>
      <c r="S79" s="711"/>
      <c r="T79" s="711"/>
      <c r="U79" s="711"/>
      <c r="V79" s="711"/>
      <c r="W79" s="711"/>
      <c r="X79" s="711"/>
      <c r="Y79" s="711"/>
      <c r="Z79" s="711"/>
      <c r="AA79" s="711"/>
      <c r="AB79" s="711"/>
      <c r="AC79" s="711"/>
      <c r="AD79" s="711"/>
      <c r="AE79" s="711"/>
      <c r="AF79" s="711"/>
      <c r="AG79" s="711"/>
      <c r="AH79" s="711"/>
      <c r="AI79" s="711"/>
      <c r="AJ79" s="712"/>
      <c r="AK79" s="154"/>
      <c r="AL79" s="154"/>
      <c r="AM79" s="343"/>
    </row>
    <row r="80" spans="1:46" ht="18" customHeight="1">
      <c r="A80" s="343"/>
      <c r="B80" s="638"/>
      <c r="C80" s="639"/>
      <c r="D80" s="639"/>
      <c r="E80" s="639"/>
      <c r="F80" s="639"/>
      <c r="G80" s="639"/>
      <c r="H80" s="640"/>
      <c r="I80" s="658"/>
      <c r="J80" s="681"/>
      <c r="K80" s="681"/>
      <c r="L80" s="681"/>
      <c r="M80" s="681"/>
      <c r="N80" s="681"/>
      <c r="O80" s="709"/>
      <c r="P80" s="635" t="s">
        <v>409</v>
      </c>
      <c r="Q80" s="687"/>
      <c r="R80" s="687"/>
      <c r="S80" s="687"/>
      <c r="T80" s="687"/>
      <c r="U80" s="687"/>
      <c r="V80" s="708"/>
      <c r="W80" s="635" t="s">
        <v>424</v>
      </c>
      <c r="X80" s="687"/>
      <c r="Y80" s="687"/>
      <c r="Z80" s="687"/>
      <c r="AA80" s="687"/>
      <c r="AB80" s="687"/>
      <c r="AC80" s="708"/>
      <c r="AD80" s="635" t="s">
        <v>425</v>
      </c>
      <c r="AE80" s="687"/>
      <c r="AF80" s="687"/>
      <c r="AG80" s="687"/>
      <c r="AH80" s="687"/>
      <c r="AI80" s="687"/>
      <c r="AJ80" s="708"/>
      <c r="AK80" s="154"/>
      <c r="AL80" s="154"/>
      <c r="AM80" s="343"/>
    </row>
    <row r="81" spans="1:39" ht="18" customHeight="1">
      <c r="A81" s="343"/>
      <c r="B81" s="638"/>
      <c r="C81" s="639"/>
      <c r="D81" s="639"/>
      <c r="E81" s="639"/>
      <c r="F81" s="639"/>
      <c r="G81" s="639"/>
      <c r="H81" s="640"/>
      <c r="I81" s="672"/>
      <c r="J81" s="688"/>
      <c r="K81" s="688"/>
      <c r="L81" s="688"/>
      <c r="M81" s="688"/>
      <c r="N81" s="688"/>
      <c r="O81" s="710"/>
      <c r="P81" s="672"/>
      <c r="Q81" s="688"/>
      <c r="R81" s="688"/>
      <c r="S81" s="688"/>
      <c r="T81" s="688"/>
      <c r="U81" s="688"/>
      <c r="V81" s="710"/>
      <c r="W81" s="672"/>
      <c r="X81" s="688"/>
      <c r="Y81" s="688"/>
      <c r="Z81" s="688"/>
      <c r="AA81" s="688"/>
      <c r="AB81" s="688"/>
      <c r="AC81" s="710"/>
      <c r="AD81" s="672"/>
      <c r="AE81" s="688"/>
      <c r="AF81" s="688"/>
      <c r="AG81" s="688"/>
      <c r="AH81" s="688"/>
      <c r="AI81" s="688"/>
      <c r="AJ81" s="710"/>
      <c r="AK81" s="154"/>
      <c r="AL81" s="154"/>
      <c r="AM81" s="343"/>
    </row>
    <row r="82" spans="1:39" ht="18" customHeight="1">
      <c r="A82" s="343"/>
      <c r="B82" s="641"/>
      <c r="C82" s="642"/>
      <c r="D82" s="642"/>
      <c r="E82" s="642"/>
      <c r="F82" s="642"/>
      <c r="G82" s="642"/>
      <c r="H82" s="643"/>
      <c r="I82" s="628">
        <f>E46</f>
        <v>0</v>
      </c>
      <c r="J82" s="629"/>
      <c r="K82" s="629"/>
      <c r="L82" s="629"/>
      <c r="M82" s="629"/>
      <c r="N82" s="629"/>
      <c r="O82" s="630"/>
      <c r="P82" s="628">
        <f>AK11</f>
        <v>0</v>
      </c>
      <c r="Q82" s="631"/>
      <c r="R82" s="631"/>
      <c r="S82" s="631"/>
      <c r="T82" s="631"/>
      <c r="U82" s="631"/>
      <c r="V82" s="632"/>
      <c r="W82" s="628">
        <f>I82</f>
        <v>0</v>
      </c>
      <c r="X82" s="631"/>
      <c r="Y82" s="631"/>
      <c r="Z82" s="631"/>
      <c r="AA82" s="631"/>
      <c r="AB82" s="631"/>
      <c r="AC82" s="632"/>
      <c r="AD82" s="628">
        <f>W82</f>
        <v>0</v>
      </c>
      <c r="AE82" s="631"/>
      <c r="AF82" s="631"/>
      <c r="AG82" s="631"/>
      <c r="AH82" s="631"/>
      <c r="AI82" s="631"/>
      <c r="AJ82" s="632"/>
      <c r="AK82" s="154"/>
      <c r="AL82" s="154"/>
      <c r="AM82" s="343"/>
    </row>
    <row r="83" spans="1:39" ht="18" customHeight="1">
      <c r="A83" s="343"/>
      <c r="B83" s="664">
        <v>1</v>
      </c>
      <c r="C83" s="665"/>
      <c r="D83" s="665"/>
      <c r="E83" s="665"/>
      <c r="F83" s="665"/>
      <c r="G83" s="665"/>
      <c r="H83" s="666"/>
      <c r="I83" s="667" t="str">
        <f t="shared" ref="I83:I112" si="5">E47</f>
        <v/>
      </c>
      <c r="J83" s="668"/>
      <c r="K83" s="668"/>
      <c r="L83" s="668"/>
      <c r="M83" s="668"/>
      <c r="N83" s="668"/>
      <c r="O83" s="669"/>
      <c r="P83" s="667" t="str">
        <f t="shared" ref="P83:P112" si="6">AK12</f>
        <v/>
      </c>
      <c r="Q83" s="670"/>
      <c r="R83" s="670"/>
      <c r="S83" s="670"/>
      <c r="T83" s="670"/>
      <c r="U83" s="670"/>
      <c r="V83" s="671"/>
      <c r="W83" s="667" t="str">
        <f>IF(I83="","",P83*AJ$57)</f>
        <v/>
      </c>
      <c r="X83" s="670"/>
      <c r="Y83" s="670"/>
      <c r="Z83" s="670"/>
      <c r="AA83" s="670"/>
      <c r="AB83" s="670"/>
      <c r="AC83" s="671"/>
      <c r="AD83" s="667" t="str">
        <f>IF(I83="","",I83-W83)</f>
        <v/>
      </c>
      <c r="AE83" s="670"/>
      <c r="AF83" s="670"/>
      <c r="AG83" s="670"/>
      <c r="AH83" s="670"/>
      <c r="AI83" s="670"/>
      <c r="AJ83" s="671"/>
      <c r="AK83" s="154"/>
      <c r="AL83" s="154"/>
      <c r="AM83" s="343"/>
    </row>
    <row r="84" spans="1:39" ht="18" customHeight="1">
      <c r="A84" s="343"/>
      <c r="B84" s="658">
        <v>2</v>
      </c>
      <c r="C84" s="639"/>
      <c r="D84" s="639"/>
      <c r="E84" s="639"/>
      <c r="F84" s="639"/>
      <c r="G84" s="639"/>
      <c r="H84" s="640"/>
      <c r="I84" s="659" t="str">
        <f t="shared" si="5"/>
        <v/>
      </c>
      <c r="J84" s="660"/>
      <c r="K84" s="660"/>
      <c r="L84" s="660"/>
      <c r="M84" s="660"/>
      <c r="N84" s="660"/>
      <c r="O84" s="661"/>
      <c r="P84" s="659" t="str">
        <f t="shared" si="6"/>
        <v/>
      </c>
      <c r="Q84" s="662"/>
      <c r="R84" s="662"/>
      <c r="S84" s="662"/>
      <c r="T84" s="662"/>
      <c r="U84" s="662"/>
      <c r="V84" s="663"/>
      <c r="W84" s="659" t="str">
        <f t="shared" ref="W84:W112" si="7">IF(I84="","",P84*AJ$57)</f>
        <v/>
      </c>
      <c r="X84" s="662"/>
      <c r="Y84" s="662"/>
      <c r="Z84" s="662"/>
      <c r="AA84" s="662"/>
      <c r="AB84" s="662"/>
      <c r="AC84" s="663"/>
      <c r="AD84" s="659" t="str">
        <f t="shared" ref="AD84:AD112" si="8">IF(I84="","",I84-W84)</f>
        <v/>
      </c>
      <c r="AE84" s="662"/>
      <c r="AF84" s="662"/>
      <c r="AG84" s="662"/>
      <c r="AH84" s="662"/>
      <c r="AI84" s="662"/>
      <c r="AJ84" s="663"/>
      <c r="AK84" s="154"/>
      <c r="AL84" s="154"/>
      <c r="AM84" s="343"/>
    </row>
    <row r="85" spans="1:39" ht="18" customHeight="1">
      <c r="A85" s="343"/>
      <c r="B85" s="658">
        <v>3</v>
      </c>
      <c r="C85" s="639"/>
      <c r="D85" s="639"/>
      <c r="E85" s="639"/>
      <c r="F85" s="639"/>
      <c r="G85" s="639"/>
      <c r="H85" s="640"/>
      <c r="I85" s="659" t="str">
        <f t="shared" si="5"/>
        <v/>
      </c>
      <c r="J85" s="660"/>
      <c r="K85" s="660"/>
      <c r="L85" s="660"/>
      <c r="M85" s="660"/>
      <c r="N85" s="660"/>
      <c r="O85" s="661"/>
      <c r="P85" s="659" t="str">
        <f t="shared" si="6"/>
        <v/>
      </c>
      <c r="Q85" s="662"/>
      <c r="R85" s="662"/>
      <c r="S85" s="662"/>
      <c r="T85" s="662"/>
      <c r="U85" s="662"/>
      <c r="V85" s="663"/>
      <c r="W85" s="659" t="str">
        <f t="shared" si="7"/>
        <v/>
      </c>
      <c r="X85" s="662"/>
      <c r="Y85" s="662"/>
      <c r="Z85" s="662"/>
      <c r="AA85" s="662"/>
      <c r="AB85" s="662"/>
      <c r="AC85" s="663"/>
      <c r="AD85" s="659" t="str">
        <f t="shared" si="8"/>
        <v/>
      </c>
      <c r="AE85" s="662"/>
      <c r="AF85" s="662"/>
      <c r="AG85" s="662"/>
      <c r="AH85" s="662"/>
      <c r="AI85" s="662"/>
      <c r="AJ85" s="663"/>
      <c r="AK85" s="154"/>
      <c r="AL85" s="154"/>
      <c r="AM85" s="343"/>
    </row>
    <row r="86" spans="1:39" ht="18" customHeight="1">
      <c r="A86" s="343"/>
      <c r="B86" s="658">
        <v>4</v>
      </c>
      <c r="C86" s="639"/>
      <c r="D86" s="639"/>
      <c r="E86" s="639"/>
      <c r="F86" s="639"/>
      <c r="G86" s="639"/>
      <c r="H86" s="640"/>
      <c r="I86" s="659" t="str">
        <f t="shared" si="5"/>
        <v/>
      </c>
      <c r="J86" s="660"/>
      <c r="K86" s="660"/>
      <c r="L86" s="660"/>
      <c r="M86" s="660"/>
      <c r="N86" s="660"/>
      <c r="O86" s="661"/>
      <c r="P86" s="659" t="str">
        <f t="shared" si="6"/>
        <v/>
      </c>
      <c r="Q86" s="662"/>
      <c r="R86" s="662"/>
      <c r="S86" s="662"/>
      <c r="T86" s="662"/>
      <c r="U86" s="662"/>
      <c r="V86" s="663"/>
      <c r="W86" s="659" t="str">
        <f t="shared" si="7"/>
        <v/>
      </c>
      <c r="X86" s="662"/>
      <c r="Y86" s="662"/>
      <c r="Z86" s="662"/>
      <c r="AA86" s="662"/>
      <c r="AB86" s="662"/>
      <c r="AC86" s="663"/>
      <c r="AD86" s="659" t="str">
        <f t="shared" si="8"/>
        <v/>
      </c>
      <c r="AE86" s="662"/>
      <c r="AF86" s="662"/>
      <c r="AG86" s="662"/>
      <c r="AH86" s="662"/>
      <c r="AI86" s="662"/>
      <c r="AJ86" s="663"/>
      <c r="AK86" s="154"/>
      <c r="AL86" s="154"/>
      <c r="AM86" s="343"/>
    </row>
    <row r="87" spans="1:39" ht="18" customHeight="1">
      <c r="A87" s="343"/>
      <c r="B87" s="658">
        <v>5</v>
      </c>
      <c r="C87" s="639"/>
      <c r="D87" s="639"/>
      <c r="E87" s="639"/>
      <c r="F87" s="639"/>
      <c r="G87" s="639"/>
      <c r="H87" s="640"/>
      <c r="I87" s="659" t="str">
        <f t="shared" si="5"/>
        <v/>
      </c>
      <c r="J87" s="660"/>
      <c r="K87" s="660"/>
      <c r="L87" s="660"/>
      <c r="M87" s="660"/>
      <c r="N87" s="660"/>
      <c r="O87" s="661"/>
      <c r="P87" s="659" t="str">
        <f t="shared" si="6"/>
        <v/>
      </c>
      <c r="Q87" s="662"/>
      <c r="R87" s="662"/>
      <c r="S87" s="662"/>
      <c r="T87" s="662"/>
      <c r="U87" s="662"/>
      <c r="V87" s="663"/>
      <c r="W87" s="659" t="str">
        <f t="shared" si="7"/>
        <v/>
      </c>
      <c r="X87" s="662"/>
      <c r="Y87" s="662"/>
      <c r="Z87" s="662"/>
      <c r="AA87" s="662"/>
      <c r="AB87" s="662"/>
      <c r="AC87" s="663"/>
      <c r="AD87" s="659" t="str">
        <f t="shared" si="8"/>
        <v/>
      </c>
      <c r="AE87" s="662"/>
      <c r="AF87" s="662"/>
      <c r="AG87" s="662"/>
      <c r="AH87" s="662"/>
      <c r="AI87" s="662"/>
      <c r="AJ87" s="663"/>
      <c r="AK87" s="154"/>
      <c r="AL87" s="154"/>
      <c r="AM87" s="343"/>
    </row>
    <row r="88" spans="1:39" ht="18" customHeight="1">
      <c r="A88" s="343"/>
      <c r="B88" s="658">
        <v>6</v>
      </c>
      <c r="C88" s="639"/>
      <c r="D88" s="639"/>
      <c r="E88" s="639"/>
      <c r="F88" s="639"/>
      <c r="G88" s="639"/>
      <c r="H88" s="640"/>
      <c r="I88" s="659" t="str">
        <f t="shared" si="5"/>
        <v/>
      </c>
      <c r="J88" s="660"/>
      <c r="K88" s="660"/>
      <c r="L88" s="660"/>
      <c r="M88" s="660"/>
      <c r="N88" s="660"/>
      <c r="O88" s="661"/>
      <c r="P88" s="659" t="str">
        <f t="shared" si="6"/>
        <v/>
      </c>
      <c r="Q88" s="662"/>
      <c r="R88" s="662"/>
      <c r="S88" s="662"/>
      <c r="T88" s="662"/>
      <c r="U88" s="662"/>
      <c r="V88" s="663"/>
      <c r="W88" s="659" t="str">
        <f t="shared" si="7"/>
        <v/>
      </c>
      <c r="X88" s="662"/>
      <c r="Y88" s="662"/>
      <c r="Z88" s="662"/>
      <c r="AA88" s="662"/>
      <c r="AB88" s="662"/>
      <c r="AC88" s="663"/>
      <c r="AD88" s="659" t="str">
        <f t="shared" si="8"/>
        <v/>
      </c>
      <c r="AE88" s="662"/>
      <c r="AF88" s="662"/>
      <c r="AG88" s="662"/>
      <c r="AH88" s="662"/>
      <c r="AI88" s="662"/>
      <c r="AJ88" s="663"/>
      <c r="AK88" s="154"/>
      <c r="AL88" s="154"/>
      <c r="AM88" s="343"/>
    </row>
    <row r="89" spans="1:39" ht="18" customHeight="1">
      <c r="A89" s="343"/>
      <c r="B89" s="658">
        <v>7</v>
      </c>
      <c r="C89" s="639"/>
      <c r="D89" s="639"/>
      <c r="E89" s="639"/>
      <c r="F89" s="639"/>
      <c r="G89" s="639"/>
      <c r="H89" s="640"/>
      <c r="I89" s="659" t="str">
        <f t="shared" si="5"/>
        <v/>
      </c>
      <c r="J89" s="660"/>
      <c r="K89" s="660"/>
      <c r="L89" s="660"/>
      <c r="M89" s="660"/>
      <c r="N89" s="660"/>
      <c r="O89" s="661"/>
      <c r="P89" s="659" t="str">
        <f t="shared" si="6"/>
        <v/>
      </c>
      <c r="Q89" s="662"/>
      <c r="R89" s="662"/>
      <c r="S89" s="662"/>
      <c r="T89" s="662"/>
      <c r="U89" s="662"/>
      <c r="V89" s="663"/>
      <c r="W89" s="659" t="str">
        <f t="shared" si="7"/>
        <v/>
      </c>
      <c r="X89" s="662"/>
      <c r="Y89" s="662"/>
      <c r="Z89" s="662"/>
      <c r="AA89" s="662"/>
      <c r="AB89" s="662"/>
      <c r="AC89" s="663"/>
      <c r="AD89" s="659" t="str">
        <f t="shared" si="8"/>
        <v/>
      </c>
      <c r="AE89" s="662"/>
      <c r="AF89" s="662"/>
      <c r="AG89" s="662"/>
      <c r="AH89" s="662"/>
      <c r="AI89" s="662"/>
      <c r="AJ89" s="663"/>
      <c r="AK89" s="154"/>
      <c r="AL89" s="154"/>
      <c r="AM89" s="343"/>
    </row>
    <row r="90" spans="1:39" ht="18" customHeight="1">
      <c r="A90" s="343"/>
      <c r="B90" s="658">
        <v>8</v>
      </c>
      <c r="C90" s="639"/>
      <c r="D90" s="639"/>
      <c r="E90" s="639"/>
      <c r="F90" s="639"/>
      <c r="G90" s="639"/>
      <c r="H90" s="640"/>
      <c r="I90" s="659" t="str">
        <f t="shared" si="5"/>
        <v/>
      </c>
      <c r="J90" s="660"/>
      <c r="K90" s="660"/>
      <c r="L90" s="660"/>
      <c r="M90" s="660"/>
      <c r="N90" s="660"/>
      <c r="O90" s="661"/>
      <c r="P90" s="659" t="str">
        <f t="shared" si="6"/>
        <v/>
      </c>
      <c r="Q90" s="662"/>
      <c r="R90" s="662"/>
      <c r="S90" s="662"/>
      <c r="T90" s="662"/>
      <c r="U90" s="662"/>
      <c r="V90" s="663"/>
      <c r="W90" s="659" t="str">
        <f t="shared" si="7"/>
        <v/>
      </c>
      <c r="X90" s="662"/>
      <c r="Y90" s="662"/>
      <c r="Z90" s="662"/>
      <c r="AA90" s="662"/>
      <c r="AB90" s="662"/>
      <c r="AC90" s="663"/>
      <c r="AD90" s="659" t="str">
        <f t="shared" si="8"/>
        <v/>
      </c>
      <c r="AE90" s="662"/>
      <c r="AF90" s="662"/>
      <c r="AG90" s="662"/>
      <c r="AH90" s="662"/>
      <c r="AI90" s="662"/>
      <c r="AJ90" s="663"/>
      <c r="AK90" s="154"/>
      <c r="AL90" s="154"/>
      <c r="AM90" s="343"/>
    </row>
    <row r="91" spans="1:39" ht="18" customHeight="1">
      <c r="A91" s="343"/>
      <c r="B91" s="658">
        <v>9</v>
      </c>
      <c r="C91" s="639"/>
      <c r="D91" s="639"/>
      <c r="E91" s="639"/>
      <c r="F91" s="639"/>
      <c r="G91" s="639"/>
      <c r="H91" s="640"/>
      <c r="I91" s="659" t="str">
        <f t="shared" si="5"/>
        <v/>
      </c>
      <c r="J91" s="660"/>
      <c r="K91" s="660"/>
      <c r="L91" s="660"/>
      <c r="M91" s="660"/>
      <c r="N91" s="660"/>
      <c r="O91" s="661"/>
      <c r="P91" s="659" t="str">
        <f t="shared" si="6"/>
        <v/>
      </c>
      <c r="Q91" s="662"/>
      <c r="R91" s="662"/>
      <c r="S91" s="662"/>
      <c r="T91" s="662"/>
      <c r="U91" s="662"/>
      <c r="V91" s="663"/>
      <c r="W91" s="659" t="str">
        <f t="shared" si="7"/>
        <v/>
      </c>
      <c r="X91" s="662"/>
      <c r="Y91" s="662"/>
      <c r="Z91" s="662"/>
      <c r="AA91" s="662"/>
      <c r="AB91" s="662"/>
      <c r="AC91" s="663"/>
      <c r="AD91" s="659" t="str">
        <f t="shared" si="8"/>
        <v/>
      </c>
      <c r="AE91" s="662"/>
      <c r="AF91" s="662"/>
      <c r="AG91" s="662"/>
      <c r="AH91" s="662"/>
      <c r="AI91" s="662"/>
      <c r="AJ91" s="663"/>
      <c r="AK91" s="154"/>
      <c r="AL91" s="154"/>
      <c r="AM91" s="343"/>
    </row>
    <row r="92" spans="1:39" ht="18" customHeight="1">
      <c r="A92" s="343"/>
      <c r="B92" s="658">
        <v>10</v>
      </c>
      <c r="C92" s="639"/>
      <c r="D92" s="639"/>
      <c r="E92" s="639"/>
      <c r="F92" s="639"/>
      <c r="G92" s="639"/>
      <c r="H92" s="640"/>
      <c r="I92" s="659" t="str">
        <f t="shared" si="5"/>
        <v/>
      </c>
      <c r="J92" s="660"/>
      <c r="K92" s="660"/>
      <c r="L92" s="660"/>
      <c r="M92" s="660"/>
      <c r="N92" s="660"/>
      <c r="O92" s="661"/>
      <c r="P92" s="659" t="str">
        <f t="shared" si="6"/>
        <v/>
      </c>
      <c r="Q92" s="662"/>
      <c r="R92" s="662"/>
      <c r="S92" s="662"/>
      <c r="T92" s="662"/>
      <c r="U92" s="662"/>
      <c r="V92" s="663"/>
      <c r="W92" s="659" t="str">
        <f t="shared" si="7"/>
        <v/>
      </c>
      <c r="X92" s="662"/>
      <c r="Y92" s="662"/>
      <c r="Z92" s="662"/>
      <c r="AA92" s="662"/>
      <c r="AB92" s="662"/>
      <c r="AC92" s="663"/>
      <c r="AD92" s="659" t="str">
        <f t="shared" si="8"/>
        <v/>
      </c>
      <c r="AE92" s="662"/>
      <c r="AF92" s="662"/>
      <c r="AG92" s="662"/>
      <c r="AH92" s="662"/>
      <c r="AI92" s="662"/>
      <c r="AJ92" s="663"/>
      <c r="AK92" s="154"/>
      <c r="AL92" s="154"/>
      <c r="AM92" s="343"/>
    </row>
    <row r="93" spans="1:39" ht="18" customHeight="1">
      <c r="A93" s="343"/>
      <c r="B93" s="658">
        <v>11</v>
      </c>
      <c r="C93" s="639"/>
      <c r="D93" s="639"/>
      <c r="E93" s="639"/>
      <c r="F93" s="639"/>
      <c r="G93" s="639"/>
      <c r="H93" s="640"/>
      <c r="I93" s="659" t="str">
        <f t="shared" si="5"/>
        <v/>
      </c>
      <c r="J93" s="660"/>
      <c r="K93" s="660"/>
      <c r="L93" s="660"/>
      <c r="M93" s="660"/>
      <c r="N93" s="660"/>
      <c r="O93" s="661"/>
      <c r="P93" s="659" t="str">
        <f t="shared" si="6"/>
        <v/>
      </c>
      <c r="Q93" s="662"/>
      <c r="R93" s="662"/>
      <c r="S93" s="662"/>
      <c r="T93" s="662"/>
      <c r="U93" s="662"/>
      <c r="V93" s="663"/>
      <c r="W93" s="659" t="str">
        <f t="shared" si="7"/>
        <v/>
      </c>
      <c r="X93" s="662"/>
      <c r="Y93" s="662"/>
      <c r="Z93" s="662"/>
      <c r="AA93" s="662"/>
      <c r="AB93" s="662"/>
      <c r="AC93" s="663"/>
      <c r="AD93" s="659" t="str">
        <f t="shared" si="8"/>
        <v/>
      </c>
      <c r="AE93" s="662"/>
      <c r="AF93" s="662"/>
      <c r="AG93" s="662"/>
      <c r="AH93" s="662"/>
      <c r="AI93" s="662"/>
      <c r="AJ93" s="663"/>
      <c r="AK93" s="154"/>
      <c r="AL93" s="154"/>
      <c r="AM93" s="343"/>
    </row>
    <row r="94" spans="1:39" ht="18" customHeight="1">
      <c r="A94" s="343"/>
      <c r="B94" s="658">
        <v>12</v>
      </c>
      <c r="C94" s="639"/>
      <c r="D94" s="639"/>
      <c r="E94" s="639"/>
      <c r="F94" s="639"/>
      <c r="G94" s="639"/>
      <c r="H94" s="640"/>
      <c r="I94" s="659" t="str">
        <f t="shared" si="5"/>
        <v/>
      </c>
      <c r="J94" s="660"/>
      <c r="K94" s="660"/>
      <c r="L94" s="660"/>
      <c r="M94" s="660"/>
      <c r="N94" s="660"/>
      <c r="O94" s="661"/>
      <c r="P94" s="659" t="str">
        <f t="shared" si="6"/>
        <v/>
      </c>
      <c r="Q94" s="662"/>
      <c r="R94" s="662"/>
      <c r="S94" s="662"/>
      <c r="T94" s="662"/>
      <c r="U94" s="662"/>
      <c r="V94" s="663"/>
      <c r="W94" s="659" t="str">
        <f t="shared" si="7"/>
        <v/>
      </c>
      <c r="X94" s="662"/>
      <c r="Y94" s="662"/>
      <c r="Z94" s="662"/>
      <c r="AA94" s="662"/>
      <c r="AB94" s="662"/>
      <c r="AC94" s="663"/>
      <c r="AD94" s="659" t="str">
        <f t="shared" si="8"/>
        <v/>
      </c>
      <c r="AE94" s="662"/>
      <c r="AF94" s="662"/>
      <c r="AG94" s="662"/>
      <c r="AH94" s="662"/>
      <c r="AI94" s="662"/>
      <c r="AJ94" s="663"/>
      <c r="AK94" s="154"/>
      <c r="AL94" s="154"/>
      <c r="AM94" s="343"/>
    </row>
    <row r="95" spans="1:39" ht="18" customHeight="1">
      <c r="A95" s="343"/>
      <c r="B95" s="658">
        <v>13</v>
      </c>
      <c r="C95" s="639"/>
      <c r="D95" s="639"/>
      <c r="E95" s="639"/>
      <c r="F95" s="639"/>
      <c r="G95" s="639"/>
      <c r="H95" s="640"/>
      <c r="I95" s="659" t="str">
        <f t="shared" si="5"/>
        <v/>
      </c>
      <c r="J95" s="660"/>
      <c r="K95" s="660"/>
      <c r="L95" s="660"/>
      <c r="M95" s="660"/>
      <c r="N95" s="660"/>
      <c r="O95" s="661"/>
      <c r="P95" s="659" t="str">
        <f t="shared" si="6"/>
        <v/>
      </c>
      <c r="Q95" s="662"/>
      <c r="R95" s="662"/>
      <c r="S95" s="662"/>
      <c r="T95" s="662"/>
      <c r="U95" s="662"/>
      <c r="V95" s="663"/>
      <c r="W95" s="659" t="str">
        <f t="shared" si="7"/>
        <v/>
      </c>
      <c r="X95" s="662"/>
      <c r="Y95" s="662"/>
      <c r="Z95" s="662"/>
      <c r="AA95" s="662"/>
      <c r="AB95" s="662"/>
      <c r="AC95" s="663"/>
      <c r="AD95" s="659" t="str">
        <f t="shared" si="8"/>
        <v/>
      </c>
      <c r="AE95" s="662"/>
      <c r="AF95" s="662"/>
      <c r="AG95" s="662"/>
      <c r="AH95" s="662"/>
      <c r="AI95" s="662"/>
      <c r="AJ95" s="663"/>
      <c r="AK95" s="154"/>
      <c r="AL95" s="154"/>
      <c r="AM95" s="343"/>
    </row>
    <row r="96" spans="1:39" ht="18" customHeight="1">
      <c r="A96" s="343"/>
      <c r="B96" s="658">
        <v>14</v>
      </c>
      <c r="C96" s="639"/>
      <c r="D96" s="639"/>
      <c r="E96" s="639"/>
      <c r="F96" s="639"/>
      <c r="G96" s="639"/>
      <c r="H96" s="640"/>
      <c r="I96" s="659" t="str">
        <f t="shared" si="5"/>
        <v/>
      </c>
      <c r="J96" s="660"/>
      <c r="K96" s="660"/>
      <c r="L96" s="660"/>
      <c r="M96" s="660"/>
      <c r="N96" s="660"/>
      <c r="O96" s="661"/>
      <c r="P96" s="659" t="str">
        <f t="shared" si="6"/>
        <v/>
      </c>
      <c r="Q96" s="662"/>
      <c r="R96" s="662"/>
      <c r="S96" s="662"/>
      <c r="T96" s="662"/>
      <c r="U96" s="662"/>
      <c r="V96" s="663"/>
      <c r="W96" s="659" t="str">
        <f t="shared" si="7"/>
        <v/>
      </c>
      <c r="X96" s="662"/>
      <c r="Y96" s="662"/>
      <c r="Z96" s="662"/>
      <c r="AA96" s="662"/>
      <c r="AB96" s="662"/>
      <c r="AC96" s="663"/>
      <c r="AD96" s="659" t="str">
        <f t="shared" si="8"/>
        <v/>
      </c>
      <c r="AE96" s="662"/>
      <c r="AF96" s="662"/>
      <c r="AG96" s="662"/>
      <c r="AH96" s="662"/>
      <c r="AI96" s="662"/>
      <c r="AJ96" s="663"/>
      <c r="AK96" s="154"/>
      <c r="AL96" s="154"/>
      <c r="AM96" s="343"/>
    </row>
    <row r="97" spans="1:39" ht="18" customHeight="1">
      <c r="A97" s="343"/>
      <c r="B97" s="658">
        <v>15</v>
      </c>
      <c r="C97" s="639"/>
      <c r="D97" s="639"/>
      <c r="E97" s="639"/>
      <c r="F97" s="639"/>
      <c r="G97" s="639"/>
      <c r="H97" s="640"/>
      <c r="I97" s="659" t="str">
        <f t="shared" si="5"/>
        <v/>
      </c>
      <c r="J97" s="660"/>
      <c r="K97" s="660"/>
      <c r="L97" s="660"/>
      <c r="M97" s="660"/>
      <c r="N97" s="660"/>
      <c r="O97" s="661"/>
      <c r="P97" s="659" t="str">
        <f t="shared" si="6"/>
        <v/>
      </c>
      <c r="Q97" s="662"/>
      <c r="R97" s="662"/>
      <c r="S97" s="662"/>
      <c r="T97" s="662"/>
      <c r="U97" s="662"/>
      <c r="V97" s="663"/>
      <c r="W97" s="659" t="str">
        <f t="shared" si="7"/>
        <v/>
      </c>
      <c r="X97" s="662"/>
      <c r="Y97" s="662"/>
      <c r="Z97" s="662"/>
      <c r="AA97" s="662"/>
      <c r="AB97" s="662"/>
      <c r="AC97" s="663"/>
      <c r="AD97" s="659" t="str">
        <f t="shared" si="8"/>
        <v/>
      </c>
      <c r="AE97" s="662"/>
      <c r="AF97" s="662"/>
      <c r="AG97" s="662"/>
      <c r="AH97" s="662"/>
      <c r="AI97" s="662"/>
      <c r="AJ97" s="663"/>
      <c r="AK97" s="154"/>
      <c r="AL97" s="154"/>
      <c r="AM97" s="343"/>
    </row>
    <row r="98" spans="1:39" ht="18" customHeight="1">
      <c r="A98" s="343"/>
      <c r="B98" s="658">
        <v>16</v>
      </c>
      <c r="C98" s="639"/>
      <c r="D98" s="639"/>
      <c r="E98" s="639"/>
      <c r="F98" s="639"/>
      <c r="G98" s="639"/>
      <c r="H98" s="640"/>
      <c r="I98" s="659" t="str">
        <f t="shared" si="5"/>
        <v/>
      </c>
      <c r="J98" s="660"/>
      <c r="K98" s="660"/>
      <c r="L98" s="660"/>
      <c r="M98" s="660"/>
      <c r="N98" s="660"/>
      <c r="O98" s="661"/>
      <c r="P98" s="659" t="str">
        <f t="shared" si="6"/>
        <v/>
      </c>
      <c r="Q98" s="662"/>
      <c r="R98" s="662"/>
      <c r="S98" s="662"/>
      <c r="T98" s="662"/>
      <c r="U98" s="662"/>
      <c r="V98" s="663"/>
      <c r="W98" s="659" t="str">
        <f t="shared" si="7"/>
        <v/>
      </c>
      <c r="X98" s="662"/>
      <c r="Y98" s="662"/>
      <c r="Z98" s="662"/>
      <c r="AA98" s="662"/>
      <c r="AB98" s="662"/>
      <c r="AC98" s="663"/>
      <c r="AD98" s="659" t="str">
        <f t="shared" si="8"/>
        <v/>
      </c>
      <c r="AE98" s="662"/>
      <c r="AF98" s="662"/>
      <c r="AG98" s="662"/>
      <c r="AH98" s="662"/>
      <c r="AI98" s="662"/>
      <c r="AJ98" s="663"/>
      <c r="AK98" s="154"/>
      <c r="AL98" s="154"/>
      <c r="AM98" s="343"/>
    </row>
    <row r="99" spans="1:39" ht="18" customHeight="1">
      <c r="A99" s="343"/>
      <c r="B99" s="658">
        <v>17</v>
      </c>
      <c r="C99" s="639"/>
      <c r="D99" s="639"/>
      <c r="E99" s="639"/>
      <c r="F99" s="639"/>
      <c r="G99" s="639"/>
      <c r="H99" s="640"/>
      <c r="I99" s="659" t="str">
        <f t="shared" si="5"/>
        <v/>
      </c>
      <c r="J99" s="660"/>
      <c r="K99" s="660"/>
      <c r="L99" s="660"/>
      <c r="M99" s="660"/>
      <c r="N99" s="660"/>
      <c r="O99" s="661"/>
      <c r="P99" s="659" t="str">
        <f t="shared" si="6"/>
        <v/>
      </c>
      <c r="Q99" s="662"/>
      <c r="R99" s="662"/>
      <c r="S99" s="662"/>
      <c r="T99" s="662"/>
      <c r="U99" s="662"/>
      <c r="V99" s="663"/>
      <c r="W99" s="659" t="str">
        <f t="shared" si="7"/>
        <v/>
      </c>
      <c r="X99" s="662"/>
      <c r="Y99" s="662"/>
      <c r="Z99" s="662"/>
      <c r="AA99" s="662"/>
      <c r="AB99" s="662"/>
      <c r="AC99" s="663"/>
      <c r="AD99" s="659" t="str">
        <f t="shared" si="8"/>
        <v/>
      </c>
      <c r="AE99" s="662"/>
      <c r="AF99" s="662"/>
      <c r="AG99" s="662"/>
      <c r="AH99" s="662"/>
      <c r="AI99" s="662"/>
      <c r="AJ99" s="663"/>
      <c r="AK99" s="154"/>
      <c r="AL99" s="154"/>
      <c r="AM99" s="343"/>
    </row>
    <row r="100" spans="1:39" ht="18" customHeight="1">
      <c r="A100" s="343"/>
      <c r="B100" s="658">
        <v>18</v>
      </c>
      <c r="C100" s="639"/>
      <c r="D100" s="639"/>
      <c r="E100" s="639"/>
      <c r="F100" s="639"/>
      <c r="G100" s="639"/>
      <c r="H100" s="640"/>
      <c r="I100" s="659" t="str">
        <f t="shared" si="5"/>
        <v/>
      </c>
      <c r="J100" s="660"/>
      <c r="K100" s="660"/>
      <c r="L100" s="660"/>
      <c r="M100" s="660"/>
      <c r="N100" s="660"/>
      <c r="O100" s="661"/>
      <c r="P100" s="659" t="str">
        <f t="shared" si="6"/>
        <v/>
      </c>
      <c r="Q100" s="662"/>
      <c r="R100" s="662"/>
      <c r="S100" s="662"/>
      <c r="T100" s="662"/>
      <c r="U100" s="662"/>
      <c r="V100" s="663"/>
      <c r="W100" s="659" t="str">
        <f t="shared" si="7"/>
        <v/>
      </c>
      <c r="X100" s="662"/>
      <c r="Y100" s="662"/>
      <c r="Z100" s="662"/>
      <c r="AA100" s="662"/>
      <c r="AB100" s="662"/>
      <c r="AC100" s="663"/>
      <c r="AD100" s="659" t="str">
        <f t="shared" si="8"/>
        <v/>
      </c>
      <c r="AE100" s="662"/>
      <c r="AF100" s="662"/>
      <c r="AG100" s="662"/>
      <c r="AH100" s="662"/>
      <c r="AI100" s="662"/>
      <c r="AJ100" s="663"/>
      <c r="AK100" s="154"/>
      <c r="AL100" s="154"/>
      <c r="AM100" s="343"/>
    </row>
    <row r="101" spans="1:39" ht="18" customHeight="1">
      <c r="A101" s="343"/>
      <c r="B101" s="658">
        <v>19</v>
      </c>
      <c r="C101" s="639"/>
      <c r="D101" s="639"/>
      <c r="E101" s="639"/>
      <c r="F101" s="639"/>
      <c r="G101" s="639"/>
      <c r="H101" s="640"/>
      <c r="I101" s="659" t="str">
        <f t="shared" si="5"/>
        <v/>
      </c>
      <c r="J101" s="660"/>
      <c r="K101" s="660"/>
      <c r="L101" s="660"/>
      <c r="M101" s="660"/>
      <c r="N101" s="660"/>
      <c r="O101" s="661"/>
      <c r="P101" s="659" t="str">
        <f t="shared" si="6"/>
        <v/>
      </c>
      <c r="Q101" s="662"/>
      <c r="R101" s="662"/>
      <c r="S101" s="662"/>
      <c r="T101" s="662"/>
      <c r="U101" s="662"/>
      <c r="V101" s="663"/>
      <c r="W101" s="659" t="str">
        <f t="shared" si="7"/>
        <v/>
      </c>
      <c r="X101" s="662"/>
      <c r="Y101" s="662"/>
      <c r="Z101" s="662"/>
      <c r="AA101" s="662"/>
      <c r="AB101" s="662"/>
      <c r="AC101" s="663"/>
      <c r="AD101" s="659" t="str">
        <f t="shared" si="8"/>
        <v/>
      </c>
      <c r="AE101" s="662"/>
      <c r="AF101" s="662"/>
      <c r="AG101" s="662"/>
      <c r="AH101" s="662"/>
      <c r="AI101" s="662"/>
      <c r="AJ101" s="663"/>
      <c r="AK101" s="154"/>
      <c r="AL101" s="154"/>
      <c r="AM101" s="343"/>
    </row>
    <row r="102" spans="1:39" ht="18" customHeight="1">
      <c r="A102" s="343"/>
      <c r="B102" s="658">
        <v>20</v>
      </c>
      <c r="C102" s="639"/>
      <c r="D102" s="639"/>
      <c r="E102" s="639"/>
      <c r="F102" s="639"/>
      <c r="G102" s="639"/>
      <c r="H102" s="640"/>
      <c r="I102" s="659" t="str">
        <f t="shared" si="5"/>
        <v/>
      </c>
      <c r="J102" s="660"/>
      <c r="K102" s="660"/>
      <c r="L102" s="660"/>
      <c r="M102" s="660"/>
      <c r="N102" s="660"/>
      <c r="O102" s="661"/>
      <c r="P102" s="659" t="str">
        <f t="shared" si="6"/>
        <v/>
      </c>
      <c r="Q102" s="662"/>
      <c r="R102" s="662"/>
      <c r="S102" s="662"/>
      <c r="T102" s="662"/>
      <c r="U102" s="662"/>
      <c r="V102" s="663"/>
      <c r="W102" s="659" t="str">
        <f t="shared" si="7"/>
        <v/>
      </c>
      <c r="X102" s="662"/>
      <c r="Y102" s="662"/>
      <c r="Z102" s="662"/>
      <c r="AA102" s="662"/>
      <c r="AB102" s="662"/>
      <c r="AC102" s="663"/>
      <c r="AD102" s="659" t="str">
        <f t="shared" si="8"/>
        <v/>
      </c>
      <c r="AE102" s="662"/>
      <c r="AF102" s="662"/>
      <c r="AG102" s="662"/>
      <c r="AH102" s="662"/>
      <c r="AI102" s="662"/>
      <c r="AJ102" s="663"/>
      <c r="AK102" s="154"/>
      <c r="AL102" s="154"/>
      <c r="AM102" s="343"/>
    </row>
    <row r="103" spans="1:39" ht="18" customHeight="1">
      <c r="A103" s="343"/>
      <c r="B103" s="658">
        <v>21</v>
      </c>
      <c r="C103" s="639"/>
      <c r="D103" s="639"/>
      <c r="E103" s="639"/>
      <c r="F103" s="639"/>
      <c r="G103" s="639"/>
      <c r="H103" s="640"/>
      <c r="I103" s="659" t="str">
        <f t="shared" si="5"/>
        <v/>
      </c>
      <c r="J103" s="660"/>
      <c r="K103" s="660"/>
      <c r="L103" s="660"/>
      <c r="M103" s="660"/>
      <c r="N103" s="660"/>
      <c r="O103" s="661"/>
      <c r="P103" s="659" t="str">
        <f t="shared" si="6"/>
        <v/>
      </c>
      <c r="Q103" s="662"/>
      <c r="R103" s="662"/>
      <c r="S103" s="662"/>
      <c r="T103" s="662"/>
      <c r="U103" s="662"/>
      <c r="V103" s="663"/>
      <c r="W103" s="659" t="str">
        <f t="shared" si="7"/>
        <v/>
      </c>
      <c r="X103" s="662"/>
      <c r="Y103" s="662"/>
      <c r="Z103" s="662"/>
      <c r="AA103" s="662"/>
      <c r="AB103" s="662"/>
      <c r="AC103" s="663"/>
      <c r="AD103" s="659" t="str">
        <f t="shared" si="8"/>
        <v/>
      </c>
      <c r="AE103" s="662"/>
      <c r="AF103" s="662"/>
      <c r="AG103" s="662"/>
      <c r="AH103" s="662"/>
      <c r="AI103" s="662"/>
      <c r="AJ103" s="663"/>
      <c r="AK103" s="154"/>
      <c r="AL103" s="154"/>
      <c r="AM103" s="343"/>
    </row>
    <row r="104" spans="1:39" ht="18" customHeight="1">
      <c r="A104" s="343"/>
      <c r="B104" s="658">
        <v>22</v>
      </c>
      <c r="C104" s="639"/>
      <c r="D104" s="639"/>
      <c r="E104" s="639"/>
      <c r="F104" s="639"/>
      <c r="G104" s="639"/>
      <c r="H104" s="640"/>
      <c r="I104" s="659" t="str">
        <f t="shared" si="5"/>
        <v/>
      </c>
      <c r="J104" s="660"/>
      <c r="K104" s="660"/>
      <c r="L104" s="660"/>
      <c r="M104" s="660"/>
      <c r="N104" s="660"/>
      <c r="O104" s="661"/>
      <c r="P104" s="659" t="str">
        <f t="shared" si="6"/>
        <v/>
      </c>
      <c r="Q104" s="662"/>
      <c r="R104" s="662"/>
      <c r="S104" s="662"/>
      <c r="T104" s="662"/>
      <c r="U104" s="662"/>
      <c r="V104" s="663"/>
      <c r="W104" s="659" t="str">
        <f t="shared" si="7"/>
        <v/>
      </c>
      <c r="X104" s="662"/>
      <c r="Y104" s="662"/>
      <c r="Z104" s="662"/>
      <c r="AA104" s="662"/>
      <c r="AB104" s="662"/>
      <c r="AC104" s="663"/>
      <c r="AD104" s="659" t="str">
        <f t="shared" si="8"/>
        <v/>
      </c>
      <c r="AE104" s="662"/>
      <c r="AF104" s="662"/>
      <c r="AG104" s="662"/>
      <c r="AH104" s="662"/>
      <c r="AI104" s="662"/>
      <c r="AJ104" s="663"/>
      <c r="AK104" s="154"/>
      <c r="AL104" s="154"/>
      <c r="AM104" s="343"/>
    </row>
    <row r="105" spans="1:39" ht="18" customHeight="1">
      <c r="A105" s="343"/>
      <c r="B105" s="658">
        <v>23</v>
      </c>
      <c r="C105" s="639"/>
      <c r="D105" s="639"/>
      <c r="E105" s="639"/>
      <c r="F105" s="639"/>
      <c r="G105" s="639"/>
      <c r="H105" s="640"/>
      <c r="I105" s="659" t="str">
        <f t="shared" si="5"/>
        <v/>
      </c>
      <c r="J105" s="660"/>
      <c r="K105" s="660"/>
      <c r="L105" s="660"/>
      <c r="M105" s="660"/>
      <c r="N105" s="660"/>
      <c r="O105" s="661"/>
      <c r="P105" s="659" t="str">
        <f t="shared" si="6"/>
        <v/>
      </c>
      <c r="Q105" s="662"/>
      <c r="R105" s="662"/>
      <c r="S105" s="662"/>
      <c r="T105" s="662"/>
      <c r="U105" s="662"/>
      <c r="V105" s="663"/>
      <c r="W105" s="659" t="str">
        <f t="shared" si="7"/>
        <v/>
      </c>
      <c r="X105" s="662"/>
      <c r="Y105" s="662"/>
      <c r="Z105" s="662"/>
      <c r="AA105" s="662"/>
      <c r="AB105" s="662"/>
      <c r="AC105" s="663"/>
      <c r="AD105" s="659" t="str">
        <f t="shared" si="8"/>
        <v/>
      </c>
      <c r="AE105" s="662"/>
      <c r="AF105" s="662"/>
      <c r="AG105" s="662"/>
      <c r="AH105" s="662"/>
      <c r="AI105" s="662"/>
      <c r="AJ105" s="663"/>
      <c r="AK105" s="154"/>
      <c r="AL105" s="154"/>
      <c r="AM105" s="343"/>
    </row>
    <row r="106" spans="1:39" ht="18" customHeight="1">
      <c r="A106" s="343"/>
      <c r="B106" s="658">
        <v>24</v>
      </c>
      <c r="C106" s="639"/>
      <c r="D106" s="639"/>
      <c r="E106" s="639"/>
      <c r="F106" s="639"/>
      <c r="G106" s="639"/>
      <c r="H106" s="640"/>
      <c r="I106" s="659" t="str">
        <f t="shared" si="5"/>
        <v/>
      </c>
      <c r="J106" s="660"/>
      <c r="K106" s="660"/>
      <c r="L106" s="660"/>
      <c r="M106" s="660"/>
      <c r="N106" s="660"/>
      <c r="O106" s="661"/>
      <c r="P106" s="659" t="str">
        <f t="shared" si="6"/>
        <v/>
      </c>
      <c r="Q106" s="662"/>
      <c r="R106" s="662"/>
      <c r="S106" s="662"/>
      <c r="T106" s="662"/>
      <c r="U106" s="662"/>
      <c r="V106" s="663"/>
      <c r="W106" s="659" t="str">
        <f t="shared" si="7"/>
        <v/>
      </c>
      <c r="X106" s="662"/>
      <c r="Y106" s="662"/>
      <c r="Z106" s="662"/>
      <c r="AA106" s="662"/>
      <c r="AB106" s="662"/>
      <c r="AC106" s="663"/>
      <c r="AD106" s="659" t="str">
        <f t="shared" si="8"/>
        <v/>
      </c>
      <c r="AE106" s="662"/>
      <c r="AF106" s="662"/>
      <c r="AG106" s="662"/>
      <c r="AH106" s="662"/>
      <c r="AI106" s="662"/>
      <c r="AJ106" s="663"/>
      <c r="AK106" s="154"/>
      <c r="AL106" s="154"/>
      <c r="AM106" s="343"/>
    </row>
    <row r="107" spans="1:39" ht="18" customHeight="1">
      <c r="A107" s="343"/>
      <c r="B107" s="658">
        <v>25</v>
      </c>
      <c r="C107" s="639"/>
      <c r="D107" s="639"/>
      <c r="E107" s="639"/>
      <c r="F107" s="639"/>
      <c r="G107" s="639"/>
      <c r="H107" s="640"/>
      <c r="I107" s="659" t="str">
        <f t="shared" si="5"/>
        <v/>
      </c>
      <c r="J107" s="660"/>
      <c r="K107" s="660"/>
      <c r="L107" s="660"/>
      <c r="M107" s="660"/>
      <c r="N107" s="660"/>
      <c r="O107" s="661"/>
      <c r="P107" s="659" t="str">
        <f t="shared" si="6"/>
        <v/>
      </c>
      <c r="Q107" s="662"/>
      <c r="R107" s="662"/>
      <c r="S107" s="662"/>
      <c r="T107" s="662"/>
      <c r="U107" s="662"/>
      <c r="V107" s="663"/>
      <c r="W107" s="659" t="str">
        <f t="shared" si="7"/>
        <v/>
      </c>
      <c r="X107" s="662"/>
      <c r="Y107" s="662"/>
      <c r="Z107" s="662"/>
      <c r="AA107" s="662"/>
      <c r="AB107" s="662"/>
      <c r="AC107" s="663"/>
      <c r="AD107" s="659" t="str">
        <f t="shared" si="8"/>
        <v/>
      </c>
      <c r="AE107" s="662"/>
      <c r="AF107" s="662"/>
      <c r="AG107" s="662"/>
      <c r="AH107" s="662"/>
      <c r="AI107" s="662"/>
      <c r="AJ107" s="663"/>
      <c r="AK107" s="154"/>
      <c r="AL107" s="154"/>
      <c r="AM107" s="343"/>
    </row>
    <row r="108" spans="1:39" ht="18" customHeight="1">
      <c r="A108" s="343"/>
      <c r="B108" s="658">
        <v>26</v>
      </c>
      <c r="C108" s="639"/>
      <c r="D108" s="639"/>
      <c r="E108" s="639"/>
      <c r="F108" s="639"/>
      <c r="G108" s="639"/>
      <c r="H108" s="640"/>
      <c r="I108" s="659" t="str">
        <f t="shared" si="5"/>
        <v/>
      </c>
      <c r="J108" s="660"/>
      <c r="K108" s="660"/>
      <c r="L108" s="660"/>
      <c r="M108" s="660"/>
      <c r="N108" s="660"/>
      <c r="O108" s="661"/>
      <c r="P108" s="659" t="str">
        <f t="shared" si="6"/>
        <v/>
      </c>
      <c r="Q108" s="662"/>
      <c r="R108" s="662"/>
      <c r="S108" s="662"/>
      <c r="T108" s="662"/>
      <c r="U108" s="662"/>
      <c r="V108" s="663"/>
      <c r="W108" s="659" t="str">
        <f t="shared" si="7"/>
        <v/>
      </c>
      <c r="X108" s="662"/>
      <c r="Y108" s="662"/>
      <c r="Z108" s="662"/>
      <c r="AA108" s="662"/>
      <c r="AB108" s="662"/>
      <c r="AC108" s="663"/>
      <c r="AD108" s="659" t="str">
        <f t="shared" si="8"/>
        <v/>
      </c>
      <c r="AE108" s="662"/>
      <c r="AF108" s="662"/>
      <c r="AG108" s="662"/>
      <c r="AH108" s="662"/>
      <c r="AI108" s="662"/>
      <c r="AJ108" s="663"/>
      <c r="AK108" s="154"/>
      <c r="AL108" s="154"/>
      <c r="AM108" s="343"/>
    </row>
    <row r="109" spans="1:39" ht="18" customHeight="1">
      <c r="A109" s="343"/>
      <c r="B109" s="658">
        <v>27</v>
      </c>
      <c r="C109" s="639"/>
      <c r="D109" s="639"/>
      <c r="E109" s="639"/>
      <c r="F109" s="639"/>
      <c r="G109" s="639"/>
      <c r="H109" s="640"/>
      <c r="I109" s="659" t="str">
        <f t="shared" si="5"/>
        <v/>
      </c>
      <c r="J109" s="660"/>
      <c r="K109" s="660"/>
      <c r="L109" s="660"/>
      <c r="M109" s="660"/>
      <c r="N109" s="660"/>
      <c r="O109" s="661"/>
      <c r="P109" s="659" t="str">
        <f t="shared" si="6"/>
        <v/>
      </c>
      <c r="Q109" s="662"/>
      <c r="R109" s="662"/>
      <c r="S109" s="662"/>
      <c r="T109" s="662"/>
      <c r="U109" s="662"/>
      <c r="V109" s="663"/>
      <c r="W109" s="659" t="str">
        <f t="shared" si="7"/>
        <v/>
      </c>
      <c r="X109" s="662"/>
      <c r="Y109" s="662"/>
      <c r="Z109" s="662"/>
      <c r="AA109" s="662"/>
      <c r="AB109" s="662"/>
      <c r="AC109" s="663"/>
      <c r="AD109" s="659" t="str">
        <f t="shared" si="8"/>
        <v/>
      </c>
      <c r="AE109" s="662"/>
      <c r="AF109" s="662"/>
      <c r="AG109" s="662"/>
      <c r="AH109" s="662"/>
      <c r="AI109" s="662"/>
      <c r="AJ109" s="663"/>
      <c r="AK109" s="154"/>
      <c r="AL109" s="154"/>
      <c r="AM109" s="343"/>
    </row>
    <row r="110" spans="1:39" ht="18" customHeight="1">
      <c r="A110" s="343"/>
      <c r="B110" s="658">
        <v>28</v>
      </c>
      <c r="C110" s="639"/>
      <c r="D110" s="639"/>
      <c r="E110" s="639"/>
      <c r="F110" s="639"/>
      <c r="G110" s="639"/>
      <c r="H110" s="640"/>
      <c r="I110" s="659" t="str">
        <f t="shared" si="5"/>
        <v/>
      </c>
      <c r="J110" s="660"/>
      <c r="K110" s="660"/>
      <c r="L110" s="660"/>
      <c r="M110" s="660"/>
      <c r="N110" s="660"/>
      <c r="O110" s="661"/>
      <c r="P110" s="659" t="str">
        <f t="shared" si="6"/>
        <v/>
      </c>
      <c r="Q110" s="662"/>
      <c r="R110" s="662"/>
      <c r="S110" s="662"/>
      <c r="T110" s="662"/>
      <c r="U110" s="662"/>
      <c r="V110" s="663"/>
      <c r="W110" s="659" t="str">
        <f t="shared" si="7"/>
        <v/>
      </c>
      <c r="X110" s="662"/>
      <c r="Y110" s="662"/>
      <c r="Z110" s="662"/>
      <c r="AA110" s="662"/>
      <c r="AB110" s="662"/>
      <c r="AC110" s="663"/>
      <c r="AD110" s="659" t="str">
        <f t="shared" si="8"/>
        <v/>
      </c>
      <c r="AE110" s="662"/>
      <c r="AF110" s="662"/>
      <c r="AG110" s="662"/>
      <c r="AH110" s="662"/>
      <c r="AI110" s="662"/>
      <c r="AJ110" s="663"/>
      <c r="AK110" s="154"/>
      <c r="AL110" s="154"/>
      <c r="AM110" s="343"/>
    </row>
    <row r="111" spans="1:39" ht="18" customHeight="1">
      <c r="A111" s="343"/>
      <c r="B111" s="658">
        <v>29</v>
      </c>
      <c r="C111" s="639"/>
      <c r="D111" s="639"/>
      <c r="E111" s="639"/>
      <c r="F111" s="639"/>
      <c r="G111" s="639"/>
      <c r="H111" s="640"/>
      <c r="I111" s="659" t="str">
        <f t="shared" si="5"/>
        <v/>
      </c>
      <c r="J111" s="660"/>
      <c r="K111" s="660"/>
      <c r="L111" s="660"/>
      <c r="M111" s="660"/>
      <c r="N111" s="660"/>
      <c r="O111" s="661"/>
      <c r="P111" s="659" t="str">
        <f t="shared" si="6"/>
        <v/>
      </c>
      <c r="Q111" s="662"/>
      <c r="R111" s="662"/>
      <c r="S111" s="662"/>
      <c r="T111" s="662"/>
      <c r="U111" s="662"/>
      <c r="V111" s="663"/>
      <c r="W111" s="659" t="str">
        <f t="shared" si="7"/>
        <v/>
      </c>
      <c r="X111" s="662"/>
      <c r="Y111" s="662"/>
      <c r="Z111" s="662"/>
      <c r="AA111" s="662"/>
      <c r="AB111" s="662"/>
      <c r="AC111" s="663"/>
      <c r="AD111" s="659" t="str">
        <f t="shared" si="8"/>
        <v/>
      </c>
      <c r="AE111" s="662"/>
      <c r="AF111" s="662"/>
      <c r="AG111" s="662"/>
      <c r="AH111" s="662"/>
      <c r="AI111" s="662"/>
      <c r="AJ111" s="663"/>
      <c r="AK111" s="154"/>
      <c r="AL111" s="154"/>
      <c r="AM111" s="343"/>
    </row>
    <row r="112" spans="1:39" ht="18" customHeight="1">
      <c r="A112" s="343"/>
      <c r="B112" s="672">
        <v>30</v>
      </c>
      <c r="C112" s="642"/>
      <c r="D112" s="642"/>
      <c r="E112" s="642"/>
      <c r="F112" s="642"/>
      <c r="G112" s="642"/>
      <c r="H112" s="643"/>
      <c r="I112" s="673" t="str">
        <f t="shared" si="5"/>
        <v/>
      </c>
      <c r="J112" s="674"/>
      <c r="K112" s="674"/>
      <c r="L112" s="674"/>
      <c r="M112" s="674"/>
      <c r="N112" s="674"/>
      <c r="O112" s="675"/>
      <c r="P112" s="673" t="str">
        <f t="shared" si="6"/>
        <v/>
      </c>
      <c r="Q112" s="676"/>
      <c r="R112" s="676"/>
      <c r="S112" s="676"/>
      <c r="T112" s="676"/>
      <c r="U112" s="676"/>
      <c r="V112" s="677"/>
      <c r="W112" s="673" t="str">
        <f t="shared" si="7"/>
        <v/>
      </c>
      <c r="X112" s="676"/>
      <c r="Y112" s="676"/>
      <c r="Z112" s="676"/>
      <c r="AA112" s="676"/>
      <c r="AB112" s="676"/>
      <c r="AC112" s="677"/>
      <c r="AD112" s="673" t="str">
        <f t="shared" si="8"/>
        <v/>
      </c>
      <c r="AE112" s="676"/>
      <c r="AF112" s="676"/>
      <c r="AG112" s="676"/>
      <c r="AH112" s="676"/>
      <c r="AI112" s="676"/>
      <c r="AJ112" s="677"/>
      <c r="AK112" s="154"/>
      <c r="AL112" s="154"/>
      <c r="AM112" s="343"/>
    </row>
    <row r="113" spans="1:46" s="343" customFormat="1" ht="18" customHeight="1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78"/>
      <c r="AB113" s="278"/>
      <c r="AC113" s="278"/>
      <c r="AD113" s="278"/>
      <c r="AE113" s="278"/>
      <c r="AF113" s="278"/>
      <c r="AG113" s="278"/>
      <c r="AH113" s="278"/>
      <c r="AI113" s="278"/>
      <c r="AJ113" s="278"/>
      <c r="AK113" s="278"/>
      <c r="AL113" s="278"/>
      <c r="AM113" s="278"/>
      <c r="AN113" s="278"/>
      <c r="AO113" s="278"/>
      <c r="AP113" s="278"/>
      <c r="AQ113" s="278"/>
      <c r="AR113" s="154"/>
      <c r="AS113" s="154"/>
    </row>
    <row r="114" spans="1:46" ht="18" customHeight="1">
      <c r="A114" s="194" t="s">
        <v>426</v>
      </c>
      <c r="B114" s="343"/>
      <c r="C114" s="343"/>
      <c r="D114" s="343"/>
      <c r="E114" s="343"/>
      <c r="F114" s="343"/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  <c r="T114" s="343"/>
      <c r="U114" s="343"/>
      <c r="V114" s="343"/>
      <c r="W114" s="343"/>
      <c r="X114" s="343"/>
      <c r="Y114" s="343"/>
      <c r="Z114" s="343"/>
      <c r="AA114" s="343"/>
      <c r="AB114" s="343"/>
      <c r="AC114" s="343"/>
      <c r="AD114" s="343"/>
      <c r="AE114" s="343"/>
      <c r="AF114" s="343"/>
      <c r="AG114" s="343"/>
      <c r="AH114" s="343"/>
      <c r="AI114" s="343"/>
      <c r="AJ114" s="343"/>
      <c r="AK114" s="343"/>
      <c r="AL114" s="343"/>
      <c r="AM114" s="343"/>
      <c r="AN114" s="343"/>
      <c r="AO114" s="343"/>
      <c r="AP114" s="343"/>
      <c r="AQ114" s="343"/>
      <c r="AR114" s="343"/>
      <c r="AS114" s="343"/>
      <c r="AT114" s="343"/>
    </row>
    <row r="115" spans="1:46" ht="18" customHeight="1">
      <c r="A115" s="343"/>
      <c r="B115" s="635" t="s">
        <v>427</v>
      </c>
      <c r="C115" s="687"/>
      <c r="D115" s="687"/>
      <c r="E115" s="635" t="s">
        <v>428</v>
      </c>
      <c r="F115" s="636"/>
      <c r="G115" s="636"/>
      <c r="H115" s="636"/>
      <c r="I115" s="636"/>
      <c r="J115" s="636"/>
      <c r="K115" s="637"/>
      <c r="L115" s="719" t="s">
        <v>429</v>
      </c>
      <c r="M115" s="719"/>
      <c r="N115" s="719"/>
      <c r="O115" s="719"/>
      <c r="P115" s="719"/>
      <c r="Q115" s="719"/>
      <c r="R115" s="719"/>
      <c r="S115" s="719"/>
      <c r="T115" s="719"/>
      <c r="U115" s="719"/>
      <c r="V115" s="719"/>
      <c r="W115" s="719"/>
      <c r="X115" s="719"/>
      <c r="Y115" s="719"/>
      <c r="Z115" s="719"/>
      <c r="AA115" s="719"/>
      <c r="AB115" s="719"/>
      <c r="AC115" s="719"/>
      <c r="AD115" s="719"/>
      <c r="AE115" s="719"/>
      <c r="AF115" s="719"/>
      <c r="AG115" s="719"/>
      <c r="AH115" s="719"/>
      <c r="AI115" s="719"/>
      <c r="AJ115" s="719"/>
      <c r="AK115" s="719"/>
      <c r="AL115" s="719"/>
      <c r="AM115" s="719"/>
      <c r="AN115" s="719"/>
      <c r="AO115" s="719"/>
      <c r="AP115" s="719"/>
      <c r="AQ115" s="719"/>
    </row>
    <row r="116" spans="1:46" ht="18" customHeight="1">
      <c r="A116" s="343"/>
      <c r="B116" s="658"/>
      <c r="C116" s="681"/>
      <c r="D116" s="681"/>
      <c r="E116" s="641"/>
      <c r="F116" s="642"/>
      <c r="G116" s="642"/>
      <c r="H116" s="642"/>
      <c r="I116" s="642"/>
      <c r="J116" s="642"/>
      <c r="K116" s="643"/>
      <c r="L116" s="720" t="s">
        <v>430</v>
      </c>
      <c r="M116" s="720"/>
      <c r="N116" s="720"/>
      <c r="O116" s="720"/>
      <c r="P116" s="720"/>
      <c r="Q116" s="720"/>
      <c r="R116" s="720" t="s">
        <v>431</v>
      </c>
      <c r="S116" s="720"/>
      <c r="T116" s="720"/>
      <c r="U116" s="720"/>
      <c r="V116" s="720"/>
      <c r="W116" s="720"/>
      <c r="X116" s="720" t="s">
        <v>432</v>
      </c>
      <c r="Y116" s="720"/>
      <c r="Z116" s="720"/>
      <c r="AA116" s="720"/>
      <c r="AB116" s="720"/>
      <c r="AC116" s="720"/>
      <c r="AD116" s="716" t="s">
        <v>433</v>
      </c>
      <c r="AE116" s="716"/>
      <c r="AF116" s="716"/>
      <c r="AG116" s="716"/>
      <c r="AH116" s="716"/>
      <c r="AI116" s="716"/>
      <c r="AJ116" s="716"/>
      <c r="AK116" s="716"/>
      <c r="AL116" s="716"/>
      <c r="AM116" s="716"/>
      <c r="AN116" s="716"/>
      <c r="AO116" s="716"/>
      <c r="AP116" s="716"/>
      <c r="AQ116" s="716"/>
    </row>
    <row r="117" spans="1:46" ht="18" customHeight="1">
      <c r="A117" s="343"/>
      <c r="B117" s="672"/>
      <c r="C117" s="688"/>
      <c r="D117" s="688"/>
      <c r="E117" s="628">
        <f>I82</f>
        <v>0</v>
      </c>
      <c r="F117" s="629"/>
      <c r="G117" s="629"/>
      <c r="H117" s="629"/>
      <c r="I117" s="629"/>
      <c r="J117" s="629"/>
      <c r="K117" s="630"/>
      <c r="L117" s="713">
        <f>P11</f>
        <v>0</v>
      </c>
      <c r="M117" s="713"/>
      <c r="N117" s="713"/>
      <c r="O117" s="713"/>
      <c r="P117" s="713"/>
      <c r="Q117" s="713"/>
      <c r="R117" s="713">
        <f>W11</f>
        <v>0</v>
      </c>
      <c r="S117" s="713"/>
      <c r="T117" s="713"/>
      <c r="U117" s="713"/>
      <c r="V117" s="713"/>
      <c r="W117" s="713"/>
      <c r="X117" s="713">
        <f>AD11</f>
        <v>0</v>
      </c>
      <c r="Y117" s="713"/>
      <c r="Z117" s="713"/>
      <c r="AA117" s="713"/>
      <c r="AB117" s="713"/>
      <c r="AC117" s="713"/>
      <c r="AD117" s="713">
        <f>X117</f>
        <v>0</v>
      </c>
      <c r="AE117" s="713"/>
      <c r="AF117" s="713"/>
      <c r="AG117" s="713"/>
      <c r="AH117" s="713"/>
      <c r="AI117" s="713"/>
      <c r="AJ117" s="713"/>
      <c r="AK117" s="716">
        <f>E117</f>
        <v>0</v>
      </c>
      <c r="AL117" s="716"/>
      <c r="AM117" s="716"/>
      <c r="AN117" s="716"/>
      <c r="AO117" s="716"/>
      <c r="AP117" s="716"/>
      <c r="AQ117" s="716"/>
    </row>
    <row r="118" spans="1:46" ht="18" customHeight="1">
      <c r="A118" s="343"/>
      <c r="B118" s="664">
        <v>1</v>
      </c>
      <c r="C118" s="686"/>
      <c r="D118" s="686"/>
      <c r="E118" s="667" t="str">
        <f>I83</f>
        <v/>
      </c>
      <c r="F118" s="668"/>
      <c r="G118" s="668"/>
      <c r="H118" s="668"/>
      <c r="I118" s="668"/>
      <c r="J118" s="668"/>
      <c r="K118" s="669"/>
      <c r="L118" s="717" t="str">
        <f ca="1">IF(E118="","",P12-IF(B118&lt;=$BD$6,P$12,OFFSET($P$11,$BD$6*2,0)))</f>
        <v/>
      </c>
      <c r="M118" s="717"/>
      <c r="N118" s="717"/>
      <c r="O118" s="717"/>
      <c r="P118" s="717"/>
      <c r="Q118" s="717"/>
      <c r="R118" s="717" t="str">
        <f ca="1">IF(E118="","",W12-IF(E118&lt;=$BD$6,W$12,OFFSET($W$11,$BD$6*2,0)))</f>
        <v/>
      </c>
      <c r="S118" s="717"/>
      <c r="T118" s="717"/>
      <c r="U118" s="717"/>
      <c r="V118" s="717"/>
      <c r="W118" s="717"/>
      <c r="X118" s="717" t="str">
        <f ca="1">IF(E118="","",AD12-IF(E118&lt;=$BD$6,AD$12,OFFSET($AD$11,$BD$6*2,0)))</f>
        <v/>
      </c>
      <c r="Y118" s="717"/>
      <c r="Z118" s="717"/>
      <c r="AA118" s="717"/>
      <c r="AB118" s="717"/>
      <c r="AC118" s="717"/>
      <c r="AD118" s="717" t="str">
        <f>IF(E118="","",MAX(ABS(R118-L118),ABS(X118-L118),ABS(X118-R118)))</f>
        <v/>
      </c>
      <c r="AE118" s="717"/>
      <c r="AF118" s="717"/>
      <c r="AG118" s="717"/>
      <c r="AH118" s="717"/>
      <c r="AI118" s="717"/>
      <c r="AJ118" s="717"/>
      <c r="AK118" s="718" t="str">
        <f>IF(E118="","",AD118*AJ$57)</f>
        <v/>
      </c>
      <c r="AL118" s="718"/>
      <c r="AM118" s="718"/>
      <c r="AN118" s="718"/>
      <c r="AO118" s="718"/>
      <c r="AP118" s="718"/>
      <c r="AQ118" s="718"/>
    </row>
    <row r="119" spans="1:46" ht="18" customHeight="1">
      <c r="A119" s="343"/>
      <c r="B119" s="658">
        <v>2</v>
      </c>
      <c r="C119" s="681"/>
      <c r="D119" s="681"/>
      <c r="E119" s="659" t="str">
        <f t="shared" ref="E119:E147" si="9">I84</f>
        <v/>
      </c>
      <c r="F119" s="660"/>
      <c r="G119" s="660"/>
      <c r="H119" s="660"/>
      <c r="I119" s="660"/>
      <c r="J119" s="660"/>
      <c r="K119" s="661"/>
      <c r="L119" s="659" t="str">
        <f t="shared" ref="L119:L147" ca="1" si="10">IF(E119="","",P13-IF(B119&lt;=$BD$6,P$12,OFFSET($P$11,$BD$6*2,0)))</f>
        <v/>
      </c>
      <c r="M119" s="662"/>
      <c r="N119" s="662"/>
      <c r="O119" s="662"/>
      <c r="P119" s="662"/>
      <c r="Q119" s="663"/>
      <c r="R119" s="715" t="str">
        <f t="shared" ref="R119:R147" ca="1" si="11">IF(E119="","",W13-IF(E119&lt;=$BD$6,W$12,OFFSET($W$11,$BD$6*2,0)))</f>
        <v/>
      </c>
      <c r="S119" s="715"/>
      <c r="T119" s="715"/>
      <c r="U119" s="715"/>
      <c r="V119" s="715"/>
      <c r="W119" s="715"/>
      <c r="X119" s="715" t="str">
        <f t="shared" ref="X119:X147" ca="1" si="12">IF(E119="","",AD13-IF(E119&lt;=$BD$6,AD$12,OFFSET($AD$11,$BD$6*2,0)))</f>
        <v/>
      </c>
      <c r="Y119" s="715"/>
      <c r="Z119" s="715"/>
      <c r="AA119" s="715"/>
      <c r="AB119" s="715"/>
      <c r="AC119" s="715"/>
      <c r="AD119" s="714" t="str">
        <f t="shared" ref="AD119:AD147" si="13">IF(E119="","",MAX(ABS(R119-L119),ABS(X119-L119),ABS(X119-R119)))</f>
        <v/>
      </c>
      <c r="AE119" s="714"/>
      <c r="AF119" s="714"/>
      <c r="AG119" s="714"/>
      <c r="AH119" s="714"/>
      <c r="AI119" s="714"/>
      <c r="AJ119" s="714"/>
      <c r="AK119" s="714" t="str">
        <f t="shared" ref="AK119:AK147" si="14">IF(E119="","",AD119*AJ$57)</f>
        <v/>
      </c>
      <c r="AL119" s="714"/>
      <c r="AM119" s="714"/>
      <c r="AN119" s="714"/>
      <c r="AO119" s="714"/>
      <c r="AP119" s="714"/>
      <c r="AQ119" s="714"/>
    </row>
    <row r="120" spans="1:46" ht="18" customHeight="1">
      <c r="A120" s="343"/>
      <c r="B120" s="658">
        <v>3</v>
      </c>
      <c r="C120" s="681"/>
      <c r="D120" s="681"/>
      <c r="E120" s="659" t="str">
        <f t="shared" si="9"/>
        <v/>
      </c>
      <c r="F120" s="660"/>
      <c r="G120" s="660"/>
      <c r="H120" s="660"/>
      <c r="I120" s="660"/>
      <c r="J120" s="660"/>
      <c r="K120" s="661"/>
      <c r="L120" s="659" t="str">
        <f t="shared" ca="1" si="10"/>
        <v/>
      </c>
      <c r="M120" s="662"/>
      <c r="N120" s="662"/>
      <c r="O120" s="662"/>
      <c r="P120" s="662"/>
      <c r="Q120" s="663"/>
      <c r="R120" s="715" t="str">
        <f t="shared" ca="1" si="11"/>
        <v/>
      </c>
      <c r="S120" s="715"/>
      <c r="T120" s="715"/>
      <c r="U120" s="715"/>
      <c r="V120" s="715"/>
      <c r="W120" s="715"/>
      <c r="X120" s="715" t="str">
        <f t="shared" ca="1" si="12"/>
        <v/>
      </c>
      <c r="Y120" s="715"/>
      <c r="Z120" s="715"/>
      <c r="AA120" s="715"/>
      <c r="AB120" s="715"/>
      <c r="AC120" s="715"/>
      <c r="AD120" s="714" t="str">
        <f t="shared" si="13"/>
        <v/>
      </c>
      <c r="AE120" s="714"/>
      <c r="AF120" s="714"/>
      <c r="AG120" s="714"/>
      <c r="AH120" s="714"/>
      <c r="AI120" s="714"/>
      <c r="AJ120" s="714"/>
      <c r="AK120" s="714" t="str">
        <f t="shared" si="14"/>
        <v/>
      </c>
      <c r="AL120" s="714"/>
      <c r="AM120" s="714"/>
      <c r="AN120" s="714"/>
      <c r="AO120" s="714"/>
      <c r="AP120" s="714"/>
      <c r="AQ120" s="714"/>
    </row>
    <row r="121" spans="1:46" ht="18" customHeight="1">
      <c r="A121" s="343"/>
      <c r="B121" s="658">
        <v>4</v>
      </c>
      <c r="C121" s="681"/>
      <c r="D121" s="681"/>
      <c r="E121" s="659" t="str">
        <f t="shared" si="9"/>
        <v/>
      </c>
      <c r="F121" s="660"/>
      <c r="G121" s="660"/>
      <c r="H121" s="660"/>
      <c r="I121" s="660"/>
      <c r="J121" s="660"/>
      <c r="K121" s="661"/>
      <c r="L121" s="659" t="str">
        <f t="shared" ca="1" si="10"/>
        <v/>
      </c>
      <c r="M121" s="662"/>
      <c r="N121" s="662"/>
      <c r="O121" s="662"/>
      <c r="P121" s="662"/>
      <c r="Q121" s="663"/>
      <c r="R121" s="715" t="str">
        <f t="shared" ca="1" si="11"/>
        <v/>
      </c>
      <c r="S121" s="715"/>
      <c r="T121" s="715"/>
      <c r="U121" s="715"/>
      <c r="V121" s="715"/>
      <c r="W121" s="715"/>
      <c r="X121" s="715" t="str">
        <f t="shared" ca="1" si="12"/>
        <v/>
      </c>
      <c r="Y121" s="715"/>
      <c r="Z121" s="715"/>
      <c r="AA121" s="715"/>
      <c r="AB121" s="715"/>
      <c r="AC121" s="715"/>
      <c r="AD121" s="714" t="str">
        <f t="shared" si="13"/>
        <v/>
      </c>
      <c r="AE121" s="714"/>
      <c r="AF121" s="714"/>
      <c r="AG121" s="714"/>
      <c r="AH121" s="714"/>
      <c r="AI121" s="714"/>
      <c r="AJ121" s="714"/>
      <c r="AK121" s="714" t="str">
        <f t="shared" si="14"/>
        <v/>
      </c>
      <c r="AL121" s="714"/>
      <c r="AM121" s="714"/>
      <c r="AN121" s="714"/>
      <c r="AO121" s="714"/>
      <c r="AP121" s="714"/>
      <c r="AQ121" s="714"/>
    </row>
    <row r="122" spans="1:46" ht="18" customHeight="1">
      <c r="A122" s="343"/>
      <c r="B122" s="658">
        <v>5</v>
      </c>
      <c r="C122" s="681"/>
      <c r="D122" s="681"/>
      <c r="E122" s="659" t="str">
        <f t="shared" si="9"/>
        <v/>
      </c>
      <c r="F122" s="660"/>
      <c r="G122" s="660"/>
      <c r="H122" s="660"/>
      <c r="I122" s="660"/>
      <c r="J122" s="660"/>
      <c r="K122" s="661"/>
      <c r="L122" s="659" t="str">
        <f t="shared" ca="1" si="10"/>
        <v/>
      </c>
      <c r="M122" s="662"/>
      <c r="N122" s="662"/>
      <c r="O122" s="662"/>
      <c r="P122" s="662"/>
      <c r="Q122" s="663"/>
      <c r="R122" s="715" t="str">
        <f t="shared" ca="1" si="11"/>
        <v/>
      </c>
      <c r="S122" s="715"/>
      <c r="T122" s="715"/>
      <c r="U122" s="715"/>
      <c r="V122" s="715"/>
      <c r="W122" s="715"/>
      <c r="X122" s="715" t="str">
        <f t="shared" ca="1" si="12"/>
        <v/>
      </c>
      <c r="Y122" s="715"/>
      <c r="Z122" s="715"/>
      <c r="AA122" s="715"/>
      <c r="AB122" s="715"/>
      <c r="AC122" s="715"/>
      <c r="AD122" s="714" t="str">
        <f t="shared" si="13"/>
        <v/>
      </c>
      <c r="AE122" s="714"/>
      <c r="AF122" s="714"/>
      <c r="AG122" s="714"/>
      <c r="AH122" s="714"/>
      <c r="AI122" s="714"/>
      <c r="AJ122" s="714"/>
      <c r="AK122" s="714" t="str">
        <f t="shared" si="14"/>
        <v/>
      </c>
      <c r="AL122" s="714"/>
      <c r="AM122" s="714"/>
      <c r="AN122" s="714"/>
      <c r="AO122" s="714"/>
      <c r="AP122" s="714"/>
      <c r="AQ122" s="714"/>
    </row>
    <row r="123" spans="1:46" ht="18" customHeight="1">
      <c r="A123" s="343"/>
      <c r="B123" s="658">
        <v>6</v>
      </c>
      <c r="C123" s="681"/>
      <c r="D123" s="681"/>
      <c r="E123" s="659" t="str">
        <f t="shared" si="9"/>
        <v/>
      </c>
      <c r="F123" s="660"/>
      <c r="G123" s="660"/>
      <c r="H123" s="660"/>
      <c r="I123" s="660"/>
      <c r="J123" s="660"/>
      <c r="K123" s="661"/>
      <c r="L123" s="659" t="str">
        <f t="shared" ca="1" si="10"/>
        <v/>
      </c>
      <c r="M123" s="662"/>
      <c r="N123" s="662"/>
      <c r="O123" s="662"/>
      <c r="P123" s="662"/>
      <c r="Q123" s="663"/>
      <c r="R123" s="715" t="str">
        <f t="shared" ca="1" si="11"/>
        <v/>
      </c>
      <c r="S123" s="715"/>
      <c r="T123" s="715"/>
      <c r="U123" s="715"/>
      <c r="V123" s="715"/>
      <c r="W123" s="715"/>
      <c r="X123" s="715" t="str">
        <f t="shared" ca="1" si="12"/>
        <v/>
      </c>
      <c r="Y123" s="715"/>
      <c r="Z123" s="715"/>
      <c r="AA123" s="715"/>
      <c r="AB123" s="715"/>
      <c r="AC123" s="715"/>
      <c r="AD123" s="714" t="str">
        <f t="shared" si="13"/>
        <v/>
      </c>
      <c r="AE123" s="714"/>
      <c r="AF123" s="714"/>
      <c r="AG123" s="714"/>
      <c r="AH123" s="714"/>
      <c r="AI123" s="714"/>
      <c r="AJ123" s="714"/>
      <c r="AK123" s="714" t="str">
        <f t="shared" si="14"/>
        <v/>
      </c>
      <c r="AL123" s="714"/>
      <c r="AM123" s="714"/>
      <c r="AN123" s="714"/>
      <c r="AO123" s="714"/>
      <c r="AP123" s="714"/>
      <c r="AQ123" s="714"/>
    </row>
    <row r="124" spans="1:46" ht="18" customHeight="1">
      <c r="A124" s="343"/>
      <c r="B124" s="658">
        <v>7</v>
      </c>
      <c r="C124" s="681"/>
      <c r="D124" s="681"/>
      <c r="E124" s="659" t="str">
        <f t="shared" si="9"/>
        <v/>
      </c>
      <c r="F124" s="660"/>
      <c r="G124" s="660"/>
      <c r="H124" s="660"/>
      <c r="I124" s="660"/>
      <c r="J124" s="660"/>
      <c r="K124" s="661"/>
      <c r="L124" s="659" t="str">
        <f t="shared" ca="1" si="10"/>
        <v/>
      </c>
      <c r="M124" s="662"/>
      <c r="N124" s="662"/>
      <c r="O124" s="662"/>
      <c r="P124" s="662"/>
      <c r="Q124" s="663"/>
      <c r="R124" s="715" t="str">
        <f t="shared" ca="1" si="11"/>
        <v/>
      </c>
      <c r="S124" s="715"/>
      <c r="T124" s="715"/>
      <c r="U124" s="715"/>
      <c r="V124" s="715"/>
      <c r="W124" s="715"/>
      <c r="X124" s="715" t="str">
        <f t="shared" ca="1" si="12"/>
        <v/>
      </c>
      <c r="Y124" s="715"/>
      <c r="Z124" s="715"/>
      <c r="AA124" s="715"/>
      <c r="AB124" s="715"/>
      <c r="AC124" s="715"/>
      <c r="AD124" s="714" t="str">
        <f t="shared" si="13"/>
        <v/>
      </c>
      <c r="AE124" s="714"/>
      <c r="AF124" s="714"/>
      <c r="AG124" s="714"/>
      <c r="AH124" s="714"/>
      <c r="AI124" s="714"/>
      <c r="AJ124" s="714"/>
      <c r="AK124" s="714" t="str">
        <f t="shared" si="14"/>
        <v/>
      </c>
      <c r="AL124" s="714"/>
      <c r="AM124" s="714"/>
      <c r="AN124" s="714"/>
      <c r="AO124" s="714"/>
      <c r="AP124" s="714"/>
      <c r="AQ124" s="714"/>
    </row>
    <row r="125" spans="1:46" ht="18" customHeight="1">
      <c r="A125" s="343"/>
      <c r="B125" s="658">
        <v>8</v>
      </c>
      <c r="C125" s="681"/>
      <c r="D125" s="681"/>
      <c r="E125" s="659" t="str">
        <f t="shared" si="9"/>
        <v/>
      </c>
      <c r="F125" s="660"/>
      <c r="G125" s="660"/>
      <c r="H125" s="660"/>
      <c r="I125" s="660"/>
      <c r="J125" s="660"/>
      <c r="K125" s="661"/>
      <c r="L125" s="659" t="str">
        <f t="shared" ca="1" si="10"/>
        <v/>
      </c>
      <c r="M125" s="662"/>
      <c r="N125" s="662"/>
      <c r="O125" s="662"/>
      <c r="P125" s="662"/>
      <c r="Q125" s="663"/>
      <c r="R125" s="715" t="str">
        <f t="shared" ca="1" si="11"/>
        <v/>
      </c>
      <c r="S125" s="715"/>
      <c r="T125" s="715"/>
      <c r="U125" s="715"/>
      <c r="V125" s="715"/>
      <c r="W125" s="715"/>
      <c r="X125" s="715" t="str">
        <f t="shared" ca="1" si="12"/>
        <v/>
      </c>
      <c r="Y125" s="715"/>
      <c r="Z125" s="715"/>
      <c r="AA125" s="715"/>
      <c r="AB125" s="715"/>
      <c r="AC125" s="715"/>
      <c r="AD125" s="714" t="str">
        <f t="shared" si="13"/>
        <v/>
      </c>
      <c r="AE125" s="714"/>
      <c r="AF125" s="714"/>
      <c r="AG125" s="714"/>
      <c r="AH125" s="714"/>
      <c r="AI125" s="714"/>
      <c r="AJ125" s="714"/>
      <c r="AK125" s="714" t="str">
        <f t="shared" si="14"/>
        <v/>
      </c>
      <c r="AL125" s="714"/>
      <c r="AM125" s="714"/>
      <c r="AN125" s="714"/>
      <c r="AO125" s="714"/>
      <c r="AP125" s="714"/>
      <c r="AQ125" s="714"/>
    </row>
    <row r="126" spans="1:46" ht="18" customHeight="1">
      <c r="A126" s="343"/>
      <c r="B126" s="658">
        <v>9</v>
      </c>
      <c r="C126" s="681"/>
      <c r="D126" s="681"/>
      <c r="E126" s="659" t="str">
        <f t="shared" si="9"/>
        <v/>
      </c>
      <c r="F126" s="660"/>
      <c r="G126" s="660"/>
      <c r="H126" s="660"/>
      <c r="I126" s="660"/>
      <c r="J126" s="660"/>
      <c r="K126" s="661"/>
      <c r="L126" s="659" t="str">
        <f t="shared" ca="1" si="10"/>
        <v/>
      </c>
      <c r="M126" s="662"/>
      <c r="N126" s="662"/>
      <c r="O126" s="662"/>
      <c r="P126" s="662"/>
      <c r="Q126" s="663"/>
      <c r="R126" s="715" t="str">
        <f t="shared" ca="1" si="11"/>
        <v/>
      </c>
      <c r="S126" s="715"/>
      <c r="T126" s="715"/>
      <c r="U126" s="715"/>
      <c r="V126" s="715"/>
      <c r="W126" s="715"/>
      <c r="X126" s="715" t="str">
        <f t="shared" ca="1" si="12"/>
        <v/>
      </c>
      <c r="Y126" s="715"/>
      <c r="Z126" s="715"/>
      <c r="AA126" s="715"/>
      <c r="AB126" s="715"/>
      <c r="AC126" s="715"/>
      <c r="AD126" s="714" t="str">
        <f t="shared" si="13"/>
        <v/>
      </c>
      <c r="AE126" s="714"/>
      <c r="AF126" s="714"/>
      <c r="AG126" s="714"/>
      <c r="AH126" s="714"/>
      <c r="AI126" s="714"/>
      <c r="AJ126" s="714"/>
      <c r="AK126" s="714" t="str">
        <f t="shared" si="14"/>
        <v/>
      </c>
      <c r="AL126" s="714"/>
      <c r="AM126" s="714"/>
      <c r="AN126" s="714"/>
      <c r="AO126" s="714"/>
      <c r="AP126" s="714"/>
      <c r="AQ126" s="714"/>
    </row>
    <row r="127" spans="1:46" ht="18" customHeight="1">
      <c r="A127" s="343"/>
      <c r="B127" s="658">
        <v>10</v>
      </c>
      <c r="C127" s="681"/>
      <c r="D127" s="681"/>
      <c r="E127" s="659" t="str">
        <f t="shared" si="9"/>
        <v/>
      </c>
      <c r="F127" s="660"/>
      <c r="G127" s="660"/>
      <c r="H127" s="660"/>
      <c r="I127" s="660"/>
      <c r="J127" s="660"/>
      <c r="K127" s="661"/>
      <c r="L127" s="659" t="str">
        <f t="shared" ca="1" si="10"/>
        <v/>
      </c>
      <c r="M127" s="662"/>
      <c r="N127" s="662"/>
      <c r="O127" s="662"/>
      <c r="P127" s="662"/>
      <c r="Q127" s="663"/>
      <c r="R127" s="715" t="str">
        <f t="shared" ca="1" si="11"/>
        <v/>
      </c>
      <c r="S127" s="715"/>
      <c r="T127" s="715"/>
      <c r="U127" s="715"/>
      <c r="V127" s="715"/>
      <c r="W127" s="715"/>
      <c r="X127" s="715" t="str">
        <f t="shared" ca="1" si="12"/>
        <v/>
      </c>
      <c r="Y127" s="715"/>
      <c r="Z127" s="715"/>
      <c r="AA127" s="715"/>
      <c r="AB127" s="715"/>
      <c r="AC127" s="715"/>
      <c r="AD127" s="714" t="str">
        <f t="shared" si="13"/>
        <v/>
      </c>
      <c r="AE127" s="714"/>
      <c r="AF127" s="714"/>
      <c r="AG127" s="714"/>
      <c r="AH127" s="714"/>
      <c r="AI127" s="714"/>
      <c r="AJ127" s="714"/>
      <c r="AK127" s="714" t="str">
        <f t="shared" si="14"/>
        <v/>
      </c>
      <c r="AL127" s="714"/>
      <c r="AM127" s="714"/>
      <c r="AN127" s="714"/>
      <c r="AO127" s="714"/>
      <c r="AP127" s="714"/>
      <c r="AQ127" s="714"/>
    </row>
    <row r="128" spans="1:46" ht="18" customHeight="1">
      <c r="A128" s="343"/>
      <c r="B128" s="658">
        <v>11</v>
      </c>
      <c r="C128" s="681"/>
      <c r="D128" s="681"/>
      <c r="E128" s="659" t="str">
        <f t="shared" si="9"/>
        <v/>
      </c>
      <c r="F128" s="660"/>
      <c r="G128" s="660"/>
      <c r="H128" s="660"/>
      <c r="I128" s="660"/>
      <c r="J128" s="660"/>
      <c r="K128" s="661"/>
      <c r="L128" s="659" t="str">
        <f t="shared" ca="1" si="10"/>
        <v/>
      </c>
      <c r="M128" s="662"/>
      <c r="N128" s="662"/>
      <c r="O128" s="662"/>
      <c r="P128" s="662"/>
      <c r="Q128" s="663"/>
      <c r="R128" s="715" t="str">
        <f t="shared" ca="1" si="11"/>
        <v/>
      </c>
      <c r="S128" s="715"/>
      <c r="T128" s="715"/>
      <c r="U128" s="715"/>
      <c r="V128" s="715"/>
      <c r="W128" s="715"/>
      <c r="X128" s="715" t="str">
        <f t="shared" ca="1" si="12"/>
        <v/>
      </c>
      <c r="Y128" s="715"/>
      <c r="Z128" s="715"/>
      <c r="AA128" s="715"/>
      <c r="AB128" s="715"/>
      <c r="AC128" s="715"/>
      <c r="AD128" s="714" t="str">
        <f t="shared" si="13"/>
        <v/>
      </c>
      <c r="AE128" s="714"/>
      <c r="AF128" s="714"/>
      <c r="AG128" s="714"/>
      <c r="AH128" s="714"/>
      <c r="AI128" s="714"/>
      <c r="AJ128" s="714"/>
      <c r="AK128" s="714" t="str">
        <f t="shared" si="14"/>
        <v/>
      </c>
      <c r="AL128" s="714"/>
      <c r="AM128" s="714"/>
      <c r="AN128" s="714"/>
      <c r="AO128" s="714"/>
      <c r="AP128" s="714"/>
      <c r="AQ128" s="714"/>
    </row>
    <row r="129" spans="1:43" ht="18" customHeight="1">
      <c r="A129" s="343"/>
      <c r="B129" s="658">
        <v>12</v>
      </c>
      <c r="C129" s="681"/>
      <c r="D129" s="681"/>
      <c r="E129" s="659" t="str">
        <f t="shared" si="9"/>
        <v/>
      </c>
      <c r="F129" s="660"/>
      <c r="G129" s="660"/>
      <c r="H129" s="660"/>
      <c r="I129" s="660"/>
      <c r="J129" s="660"/>
      <c r="K129" s="661"/>
      <c r="L129" s="659" t="str">
        <f t="shared" ca="1" si="10"/>
        <v/>
      </c>
      <c r="M129" s="662"/>
      <c r="N129" s="662"/>
      <c r="O129" s="662"/>
      <c r="P129" s="662"/>
      <c r="Q129" s="663"/>
      <c r="R129" s="715" t="str">
        <f t="shared" ca="1" si="11"/>
        <v/>
      </c>
      <c r="S129" s="715"/>
      <c r="T129" s="715"/>
      <c r="U129" s="715"/>
      <c r="V129" s="715"/>
      <c r="W129" s="715"/>
      <c r="X129" s="715" t="str">
        <f t="shared" ca="1" si="12"/>
        <v/>
      </c>
      <c r="Y129" s="715"/>
      <c r="Z129" s="715"/>
      <c r="AA129" s="715"/>
      <c r="AB129" s="715"/>
      <c r="AC129" s="715"/>
      <c r="AD129" s="714" t="str">
        <f t="shared" si="13"/>
        <v/>
      </c>
      <c r="AE129" s="714"/>
      <c r="AF129" s="714"/>
      <c r="AG129" s="714"/>
      <c r="AH129" s="714"/>
      <c r="AI129" s="714"/>
      <c r="AJ129" s="714"/>
      <c r="AK129" s="714" t="str">
        <f t="shared" si="14"/>
        <v/>
      </c>
      <c r="AL129" s="714"/>
      <c r="AM129" s="714"/>
      <c r="AN129" s="714"/>
      <c r="AO129" s="714"/>
      <c r="AP129" s="714"/>
      <c r="AQ129" s="714"/>
    </row>
    <row r="130" spans="1:43" ht="18" customHeight="1">
      <c r="A130" s="343"/>
      <c r="B130" s="658">
        <v>13</v>
      </c>
      <c r="C130" s="681"/>
      <c r="D130" s="681"/>
      <c r="E130" s="659" t="str">
        <f t="shared" si="9"/>
        <v/>
      </c>
      <c r="F130" s="660"/>
      <c r="G130" s="660"/>
      <c r="H130" s="660"/>
      <c r="I130" s="660"/>
      <c r="J130" s="660"/>
      <c r="K130" s="661"/>
      <c r="L130" s="659" t="str">
        <f t="shared" ca="1" si="10"/>
        <v/>
      </c>
      <c r="M130" s="662"/>
      <c r="N130" s="662"/>
      <c r="O130" s="662"/>
      <c r="P130" s="662"/>
      <c r="Q130" s="663"/>
      <c r="R130" s="715" t="str">
        <f t="shared" ca="1" si="11"/>
        <v/>
      </c>
      <c r="S130" s="715"/>
      <c r="T130" s="715"/>
      <c r="U130" s="715"/>
      <c r="V130" s="715"/>
      <c r="W130" s="715"/>
      <c r="X130" s="715" t="str">
        <f t="shared" ca="1" si="12"/>
        <v/>
      </c>
      <c r="Y130" s="715"/>
      <c r="Z130" s="715"/>
      <c r="AA130" s="715"/>
      <c r="AB130" s="715"/>
      <c r="AC130" s="715"/>
      <c r="AD130" s="714" t="str">
        <f t="shared" si="13"/>
        <v/>
      </c>
      <c r="AE130" s="714"/>
      <c r="AF130" s="714"/>
      <c r="AG130" s="714"/>
      <c r="AH130" s="714"/>
      <c r="AI130" s="714"/>
      <c r="AJ130" s="714"/>
      <c r="AK130" s="714" t="str">
        <f t="shared" si="14"/>
        <v/>
      </c>
      <c r="AL130" s="714"/>
      <c r="AM130" s="714"/>
      <c r="AN130" s="714"/>
      <c r="AO130" s="714"/>
      <c r="AP130" s="714"/>
      <c r="AQ130" s="714"/>
    </row>
    <row r="131" spans="1:43" ht="18" customHeight="1">
      <c r="A131" s="343"/>
      <c r="B131" s="658">
        <v>14</v>
      </c>
      <c r="C131" s="681"/>
      <c r="D131" s="681"/>
      <c r="E131" s="659" t="str">
        <f t="shared" si="9"/>
        <v/>
      </c>
      <c r="F131" s="660"/>
      <c r="G131" s="660"/>
      <c r="H131" s="660"/>
      <c r="I131" s="660"/>
      <c r="J131" s="660"/>
      <c r="K131" s="661"/>
      <c r="L131" s="659" t="str">
        <f t="shared" ca="1" si="10"/>
        <v/>
      </c>
      <c r="M131" s="662"/>
      <c r="N131" s="662"/>
      <c r="O131" s="662"/>
      <c r="P131" s="662"/>
      <c r="Q131" s="663"/>
      <c r="R131" s="715" t="str">
        <f t="shared" ca="1" si="11"/>
        <v/>
      </c>
      <c r="S131" s="715"/>
      <c r="T131" s="715"/>
      <c r="U131" s="715"/>
      <c r="V131" s="715"/>
      <c r="W131" s="715"/>
      <c r="X131" s="715" t="str">
        <f t="shared" ca="1" si="12"/>
        <v/>
      </c>
      <c r="Y131" s="715"/>
      <c r="Z131" s="715"/>
      <c r="AA131" s="715"/>
      <c r="AB131" s="715"/>
      <c r="AC131" s="715"/>
      <c r="AD131" s="714" t="str">
        <f t="shared" si="13"/>
        <v/>
      </c>
      <c r="AE131" s="714"/>
      <c r="AF131" s="714"/>
      <c r="AG131" s="714"/>
      <c r="AH131" s="714"/>
      <c r="AI131" s="714"/>
      <c r="AJ131" s="714"/>
      <c r="AK131" s="714" t="str">
        <f t="shared" si="14"/>
        <v/>
      </c>
      <c r="AL131" s="714"/>
      <c r="AM131" s="714"/>
      <c r="AN131" s="714"/>
      <c r="AO131" s="714"/>
      <c r="AP131" s="714"/>
      <c r="AQ131" s="714"/>
    </row>
    <row r="132" spans="1:43" ht="18" customHeight="1">
      <c r="A132" s="343"/>
      <c r="B132" s="658">
        <v>15</v>
      </c>
      <c r="C132" s="681"/>
      <c r="D132" s="681"/>
      <c r="E132" s="659" t="str">
        <f t="shared" si="9"/>
        <v/>
      </c>
      <c r="F132" s="660"/>
      <c r="G132" s="660"/>
      <c r="H132" s="660"/>
      <c r="I132" s="660"/>
      <c r="J132" s="660"/>
      <c r="K132" s="661"/>
      <c r="L132" s="659" t="str">
        <f t="shared" ca="1" si="10"/>
        <v/>
      </c>
      <c r="M132" s="662"/>
      <c r="N132" s="662"/>
      <c r="O132" s="662"/>
      <c r="P132" s="662"/>
      <c r="Q132" s="663"/>
      <c r="R132" s="715" t="str">
        <f t="shared" ca="1" si="11"/>
        <v/>
      </c>
      <c r="S132" s="715"/>
      <c r="T132" s="715"/>
      <c r="U132" s="715"/>
      <c r="V132" s="715"/>
      <c r="W132" s="715"/>
      <c r="X132" s="715" t="str">
        <f t="shared" ca="1" si="12"/>
        <v/>
      </c>
      <c r="Y132" s="715"/>
      <c r="Z132" s="715"/>
      <c r="AA132" s="715"/>
      <c r="AB132" s="715"/>
      <c r="AC132" s="715"/>
      <c r="AD132" s="714" t="str">
        <f t="shared" si="13"/>
        <v/>
      </c>
      <c r="AE132" s="714"/>
      <c r="AF132" s="714"/>
      <c r="AG132" s="714"/>
      <c r="AH132" s="714"/>
      <c r="AI132" s="714"/>
      <c r="AJ132" s="714"/>
      <c r="AK132" s="714" t="str">
        <f t="shared" si="14"/>
        <v/>
      </c>
      <c r="AL132" s="714"/>
      <c r="AM132" s="714"/>
      <c r="AN132" s="714"/>
      <c r="AO132" s="714"/>
      <c r="AP132" s="714"/>
      <c r="AQ132" s="714"/>
    </row>
    <row r="133" spans="1:43" ht="18" customHeight="1">
      <c r="A133" s="343"/>
      <c r="B133" s="658">
        <v>16</v>
      </c>
      <c r="C133" s="681"/>
      <c r="D133" s="681"/>
      <c r="E133" s="659" t="str">
        <f t="shared" si="9"/>
        <v/>
      </c>
      <c r="F133" s="660"/>
      <c r="G133" s="660"/>
      <c r="H133" s="660"/>
      <c r="I133" s="660"/>
      <c r="J133" s="660"/>
      <c r="K133" s="661"/>
      <c r="L133" s="659" t="str">
        <f t="shared" ca="1" si="10"/>
        <v/>
      </c>
      <c r="M133" s="662"/>
      <c r="N133" s="662"/>
      <c r="O133" s="662"/>
      <c r="P133" s="662"/>
      <c r="Q133" s="663"/>
      <c r="R133" s="715" t="str">
        <f t="shared" ca="1" si="11"/>
        <v/>
      </c>
      <c r="S133" s="715"/>
      <c r="T133" s="715"/>
      <c r="U133" s="715"/>
      <c r="V133" s="715"/>
      <c r="W133" s="715"/>
      <c r="X133" s="715" t="str">
        <f t="shared" ca="1" si="12"/>
        <v/>
      </c>
      <c r="Y133" s="715"/>
      <c r="Z133" s="715"/>
      <c r="AA133" s="715"/>
      <c r="AB133" s="715"/>
      <c r="AC133" s="715"/>
      <c r="AD133" s="714" t="str">
        <f t="shared" si="13"/>
        <v/>
      </c>
      <c r="AE133" s="714"/>
      <c r="AF133" s="714"/>
      <c r="AG133" s="714"/>
      <c r="AH133" s="714"/>
      <c r="AI133" s="714"/>
      <c r="AJ133" s="714"/>
      <c r="AK133" s="714" t="str">
        <f t="shared" si="14"/>
        <v/>
      </c>
      <c r="AL133" s="714"/>
      <c r="AM133" s="714"/>
      <c r="AN133" s="714"/>
      <c r="AO133" s="714"/>
      <c r="AP133" s="714"/>
      <c r="AQ133" s="714"/>
    </row>
    <row r="134" spans="1:43" ht="18" customHeight="1">
      <c r="A134" s="343"/>
      <c r="B134" s="658">
        <v>17</v>
      </c>
      <c r="C134" s="681"/>
      <c r="D134" s="681"/>
      <c r="E134" s="659" t="str">
        <f t="shared" si="9"/>
        <v/>
      </c>
      <c r="F134" s="660"/>
      <c r="G134" s="660"/>
      <c r="H134" s="660"/>
      <c r="I134" s="660"/>
      <c r="J134" s="660"/>
      <c r="K134" s="661"/>
      <c r="L134" s="659" t="str">
        <f t="shared" ca="1" si="10"/>
        <v/>
      </c>
      <c r="M134" s="662"/>
      <c r="N134" s="662"/>
      <c r="O134" s="662"/>
      <c r="P134" s="662"/>
      <c r="Q134" s="663"/>
      <c r="R134" s="715" t="str">
        <f t="shared" ca="1" si="11"/>
        <v/>
      </c>
      <c r="S134" s="715"/>
      <c r="T134" s="715"/>
      <c r="U134" s="715"/>
      <c r="V134" s="715"/>
      <c r="W134" s="715"/>
      <c r="X134" s="715" t="str">
        <f t="shared" ca="1" si="12"/>
        <v/>
      </c>
      <c r="Y134" s="715"/>
      <c r="Z134" s="715"/>
      <c r="AA134" s="715"/>
      <c r="AB134" s="715"/>
      <c r="AC134" s="715"/>
      <c r="AD134" s="714" t="str">
        <f t="shared" si="13"/>
        <v/>
      </c>
      <c r="AE134" s="714"/>
      <c r="AF134" s="714"/>
      <c r="AG134" s="714"/>
      <c r="AH134" s="714"/>
      <c r="AI134" s="714"/>
      <c r="AJ134" s="714"/>
      <c r="AK134" s="714" t="str">
        <f t="shared" si="14"/>
        <v/>
      </c>
      <c r="AL134" s="714"/>
      <c r="AM134" s="714"/>
      <c r="AN134" s="714"/>
      <c r="AO134" s="714"/>
      <c r="AP134" s="714"/>
      <c r="AQ134" s="714"/>
    </row>
    <row r="135" spans="1:43" ht="18" customHeight="1">
      <c r="A135" s="343"/>
      <c r="B135" s="658">
        <v>18</v>
      </c>
      <c r="C135" s="681"/>
      <c r="D135" s="681"/>
      <c r="E135" s="659" t="str">
        <f t="shared" si="9"/>
        <v/>
      </c>
      <c r="F135" s="660"/>
      <c r="G135" s="660"/>
      <c r="H135" s="660"/>
      <c r="I135" s="660"/>
      <c r="J135" s="660"/>
      <c r="K135" s="661"/>
      <c r="L135" s="659" t="str">
        <f t="shared" ca="1" si="10"/>
        <v/>
      </c>
      <c r="M135" s="662"/>
      <c r="N135" s="662"/>
      <c r="O135" s="662"/>
      <c r="P135" s="662"/>
      <c r="Q135" s="663"/>
      <c r="R135" s="715" t="str">
        <f t="shared" ca="1" si="11"/>
        <v/>
      </c>
      <c r="S135" s="715"/>
      <c r="T135" s="715"/>
      <c r="U135" s="715"/>
      <c r="V135" s="715"/>
      <c r="W135" s="715"/>
      <c r="X135" s="715" t="str">
        <f t="shared" ca="1" si="12"/>
        <v/>
      </c>
      <c r="Y135" s="715"/>
      <c r="Z135" s="715"/>
      <c r="AA135" s="715"/>
      <c r="AB135" s="715"/>
      <c r="AC135" s="715"/>
      <c r="AD135" s="714" t="str">
        <f t="shared" si="13"/>
        <v/>
      </c>
      <c r="AE135" s="714"/>
      <c r="AF135" s="714"/>
      <c r="AG135" s="714"/>
      <c r="AH135" s="714"/>
      <c r="AI135" s="714"/>
      <c r="AJ135" s="714"/>
      <c r="AK135" s="714" t="str">
        <f t="shared" si="14"/>
        <v/>
      </c>
      <c r="AL135" s="714"/>
      <c r="AM135" s="714"/>
      <c r="AN135" s="714"/>
      <c r="AO135" s="714"/>
      <c r="AP135" s="714"/>
      <c r="AQ135" s="714"/>
    </row>
    <row r="136" spans="1:43" ht="18" customHeight="1">
      <c r="A136" s="343"/>
      <c r="B136" s="658">
        <v>19</v>
      </c>
      <c r="C136" s="681"/>
      <c r="D136" s="681"/>
      <c r="E136" s="659" t="str">
        <f t="shared" si="9"/>
        <v/>
      </c>
      <c r="F136" s="660"/>
      <c r="G136" s="660"/>
      <c r="H136" s="660"/>
      <c r="I136" s="660"/>
      <c r="J136" s="660"/>
      <c r="K136" s="661"/>
      <c r="L136" s="659" t="str">
        <f t="shared" ca="1" si="10"/>
        <v/>
      </c>
      <c r="M136" s="662"/>
      <c r="N136" s="662"/>
      <c r="O136" s="662"/>
      <c r="P136" s="662"/>
      <c r="Q136" s="663"/>
      <c r="R136" s="715" t="str">
        <f t="shared" ca="1" si="11"/>
        <v/>
      </c>
      <c r="S136" s="715"/>
      <c r="T136" s="715"/>
      <c r="U136" s="715"/>
      <c r="V136" s="715"/>
      <c r="W136" s="715"/>
      <c r="X136" s="715" t="str">
        <f t="shared" ca="1" si="12"/>
        <v/>
      </c>
      <c r="Y136" s="715"/>
      <c r="Z136" s="715"/>
      <c r="AA136" s="715"/>
      <c r="AB136" s="715"/>
      <c r="AC136" s="715"/>
      <c r="AD136" s="714" t="str">
        <f t="shared" si="13"/>
        <v/>
      </c>
      <c r="AE136" s="714"/>
      <c r="AF136" s="714"/>
      <c r="AG136" s="714"/>
      <c r="AH136" s="714"/>
      <c r="AI136" s="714"/>
      <c r="AJ136" s="714"/>
      <c r="AK136" s="714" t="str">
        <f t="shared" si="14"/>
        <v/>
      </c>
      <c r="AL136" s="714"/>
      <c r="AM136" s="714"/>
      <c r="AN136" s="714"/>
      <c r="AO136" s="714"/>
      <c r="AP136" s="714"/>
      <c r="AQ136" s="714"/>
    </row>
    <row r="137" spans="1:43" ht="18" customHeight="1">
      <c r="A137" s="343"/>
      <c r="B137" s="658">
        <v>20</v>
      </c>
      <c r="C137" s="681"/>
      <c r="D137" s="681"/>
      <c r="E137" s="659" t="str">
        <f t="shared" si="9"/>
        <v/>
      </c>
      <c r="F137" s="660"/>
      <c r="G137" s="660"/>
      <c r="H137" s="660"/>
      <c r="I137" s="660"/>
      <c r="J137" s="660"/>
      <c r="K137" s="661"/>
      <c r="L137" s="659" t="str">
        <f t="shared" ca="1" si="10"/>
        <v/>
      </c>
      <c r="M137" s="662"/>
      <c r="N137" s="662"/>
      <c r="O137" s="662"/>
      <c r="P137" s="662"/>
      <c r="Q137" s="663"/>
      <c r="R137" s="715" t="str">
        <f t="shared" ca="1" si="11"/>
        <v/>
      </c>
      <c r="S137" s="715"/>
      <c r="T137" s="715"/>
      <c r="U137" s="715"/>
      <c r="V137" s="715"/>
      <c r="W137" s="715"/>
      <c r="X137" s="715" t="str">
        <f t="shared" ca="1" si="12"/>
        <v/>
      </c>
      <c r="Y137" s="715"/>
      <c r="Z137" s="715"/>
      <c r="AA137" s="715"/>
      <c r="AB137" s="715"/>
      <c r="AC137" s="715"/>
      <c r="AD137" s="714" t="str">
        <f t="shared" si="13"/>
        <v/>
      </c>
      <c r="AE137" s="714"/>
      <c r="AF137" s="714"/>
      <c r="AG137" s="714"/>
      <c r="AH137" s="714"/>
      <c r="AI137" s="714"/>
      <c r="AJ137" s="714"/>
      <c r="AK137" s="714" t="str">
        <f t="shared" si="14"/>
        <v/>
      </c>
      <c r="AL137" s="714"/>
      <c r="AM137" s="714"/>
      <c r="AN137" s="714"/>
      <c r="AO137" s="714"/>
      <c r="AP137" s="714"/>
      <c r="AQ137" s="714"/>
    </row>
    <row r="138" spans="1:43" ht="18" customHeight="1">
      <c r="A138" s="343"/>
      <c r="B138" s="658">
        <v>21</v>
      </c>
      <c r="C138" s="681"/>
      <c r="D138" s="681"/>
      <c r="E138" s="659" t="str">
        <f t="shared" si="9"/>
        <v/>
      </c>
      <c r="F138" s="660"/>
      <c r="G138" s="660"/>
      <c r="H138" s="660"/>
      <c r="I138" s="660"/>
      <c r="J138" s="660"/>
      <c r="K138" s="661"/>
      <c r="L138" s="659" t="str">
        <f t="shared" ca="1" si="10"/>
        <v/>
      </c>
      <c r="M138" s="662"/>
      <c r="N138" s="662"/>
      <c r="O138" s="662"/>
      <c r="P138" s="662"/>
      <c r="Q138" s="663"/>
      <c r="R138" s="715" t="str">
        <f t="shared" ca="1" si="11"/>
        <v/>
      </c>
      <c r="S138" s="715"/>
      <c r="T138" s="715"/>
      <c r="U138" s="715"/>
      <c r="V138" s="715"/>
      <c r="W138" s="715"/>
      <c r="X138" s="715" t="str">
        <f t="shared" ca="1" si="12"/>
        <v/>
      </c>
      <c r="Y138" s="715"/>
      <c r="Z138" s="715"/>
      <c r="AA138" s="715"/>
      <c r="AB138" s="715"/>
      <c r="AC138" s="715"/>
      <c r="AD138" s="714" t="str">
        <f t="shared" si="13"/>
        <v/>
      </c>
      <c r="AE138" s="714"/>
      <c r="AF138" s="714"/>
      <c r="AG138" s="714"/>
      <c r="AH138" s="714"/>
      <c r="AI138" s="714"/>
      <c r="AJ138" s="714"/>
      <c r="AK138" s="714" t="str">
        <f t="shared" si="14"/>
        <v/>
      </c>
      <c r="AL138" s="714"/>
      <c r="AM138" s="714"/>
      <c r="AN138" s="714"/>
      <c r="AO138" s="714"/>
      <c r="AP138" s="714"/>
      <c r="AQ138" s="714"/>
    </row>
    <row r="139" spans="1:43" ht="18" customHeight="1">
      <c r="A139" s="343"/>
      <c r="B139" s="658">
        <v>22</v>
      </c>
      <c r="C139" s="681"/>
      <c r="D139" s="681"/>
      <c r="E139" s="659" t="str">
        <f t="shared" si="9"/>
        <v/>
      </c>
      <c r="F139" s="660"/>
      <c r="G139" s="660"/>
      <c r="H139" s="660"/>
      <c r="I139" s="660"/>
      <c r="J139" s="660"/>
      <c r="K139" s="661"/>
      <c r="L139" s="659" t="str">
        <f t="shared" ca="1" si="10"/>
        <v/>
      </c>
      <c r="M139" s="662"/>
      <c r="N139" s="662"/>
      <c r="O139" s="662"/>
      <c r="P139" s="662"/>
      <c r="Q139" s="663"/>
      <c r="R139" s="715" t="str">
        <f t="shared" ca="1" si="11"/>
        <v/>
      </c>
      <c r="S139" s="715"/>
      <c r="T139" s="715"/>
      <c r="U139" s="715"/>
      <c r="V139" s="715"/>
      <c r="W139" s="715"/>
      <c r="X139" s="715" t="str">
        <f t="shared" ca="1" si="12"/>
        <v/>
      </c>
      <c r="Y139" s="715"/>
      <c r="Z139" s="715"/>
      <c r="AA139" s="715"/>
      <c r="AB139" s="715"/>
      <c r="AC139" s="715"/>
      <c r="AD139" s="714" t="str">
        <f t="shared" si="13"/>
        <v/>
      </c>
      <c r="AE139" s="714"/>
      <c r="AF139" s="714"/>
      <c r="AG139" s="714"/>
      <c r="AH139" s="714"/>
      <c r="AI139" s="714"/>
      <c r="AJ139" s="714"/>
      <c r="AK139" s="714" t="str">
        <f t="shared" si="14"/>
        <v/>
      </c>
      <c r="AL139" s="714"/>
      <c r="AM139" s="714"/>
      <c r="AN139" s="714"/>
      <c r="AO139" s="714"/>
      <c r="AP139" s="714"/>
      <c r="AQ139" s="714"/>
    </row>
    <row r="140" spans="1:43" ht="18" customHeight="1">
      <c r="A140" s="343"/>
      <c r="B140" s="658">
        <v>23</v>
      </c>
      <c r="C140" s="681"/>
      <c r="D140" s="681"/>
      <c r="E140" s="659" t="str">
        <f t="shared" si="9"/>
        <v/>
      </c>
      <c r="F140" s="660"/>
      <c r="G140" s="660"/>
      <c r="H140" s="660"/>
      <c r="I140" s="660"/>
      <c r="J140" s="660"/>
      <c r="K140" s="661"/>
      <c r="L140" s="659" t="str">
        <f t="shared" ca="1" si="10"/>
        <v/>
      </c>
      <c r="M140" s="662"/>
      <c r="N140" s="662"/>
      <c r="O140" s="662"/>
      <c r="P140" s="662"/>
      <c r="Q140" s="663"/>
      <c r="R140" s="715" t="str">
        <f t="shared" ca="1" si="11"/>
        <v/>
      </c>
      <c r="S140" s="715"/>
      <c r="T140" s="715"/>
      <c r="U140" s="715"/>
      <c r="V140" s="715"/>
      <c r="W140" s="715"/>
      <c r="X140" s="715" t="str">
        <f t="shared" ca="1" si="12"/>
        <v/>
      </c>
      <c r="Y140" s="715"/>
      <c r="Z140" s="715"/>
      <c r="AA140" s="715"/>
      <c r="AB140" s="715"/>
      <c r="AC140" s="715"/>
      <c r="AD140" s="721" t="str">
        <f t="shared" si="13"/>
        <v/>
      </c>
      <c r="AE140" s="721"/>
      <c r="AF140" s="721"/>
      <c r="AG140" s="721"/>
      <c r="AH140" s="721"/>
      <c r="AI140" s="721"/>
      <c r="AJ140" s="721"/>
      <c r="AK140" s="714" t="str">
        <f t="shared" si="14"/>
        <v/>
      </c>
      <c r="AL140" s="714"/>
      <c r="AM140" s="714"/>
      <c r="AN140" s="714"/>
      <c r="AO140" s="714"/>
      <c r="AP140" s="714"/>
      <c r="AQ140" s="714"/>
    </row>
    <row r="141" spans="1:43" ht="18" customHeight="1">
      <c r="A141" s="343"/>
      <c r="B141" s="658">
        <v>24</v>
      </c>
      <c r="C141" s="681"/>
      <c r="D141" s="681"/>
      <c r="E141" s="659" t="str">
        <f t="shared" si="9"/>
        <v/>
      </c>
      <c r="F141" s="660"/>
      <c r="G141" s="660"/>
      <c r="H141" s="660"/>
      <c r="I141" s="660"/>
      <c r="J141" s="660"/>
      <c r="K141" s="661"/>
      <c r="L141" s="659" t="str">
        <f t="shared" ca="1" si="10"/>
        <v/>
      </c>
      <c r="M141" s="662"/>
      <c r="N141" s="662"/>
      <c r="O141" s="662"/>
      <c r="P141" s="662"/>
      <c r="Q141" s="663"/>
      <c r="R141" s="715" t="str">
        <f t="shared" ca="1" si="11"/>
        <v/>
      </c>
      <c r="S141" s="715"/>
      <c r="T141" s="715"/>
      <c r="U141" s="715"/>
      <c r="V141" s="715"/>
      <c r="W141" s="715"/>
      <c r="X141" s="715" t="str">
        <f t="shared" ca="1" si="12"/>
        <v/>
      </c>
      <c r="Y141" s="715"/>
      <c r="Z141" s="715"/>
      <c r="AA141" s="715"/>
      <c r="AB141" s="715"/>
      <c r="AC141" s="715"/>
      <c r="AD141" s="721" t="str">
        <f t="shared" si="13"/>
        <v/>
      </c>
      <c r="AE141" s="721"/>
      <c r="AF141" s="721"/>
      <c r="AG141" s="721"/>
      <c r="AH141" s="721"/>
      <c r="AI141" s="721"/>
      <c r="AJ141" s="721"/>
      <c r="AK141" s="714" t="str">
        <f t="shared" si="14"/>
        <v/>
      </c>
      <c r="AL141" s="714"/>
      <c r="AM141" s="714"/>
      <c r="AN141" s="714"/>
      <c r="AO141" s="714"/>
      <c r="AP141" s="714"/>
      <c r="AQ141" s="714"/>
    </row>
    <row r="142" spans="1:43" ht="18" customHeight="1">
      <c r="A142" s="343"/>
      <c r="B142" s="658">
        <v>25</v>
      </c>
      <c r="C142" s="681"/>
      <c r="D142" s="681"/>
      <c r="E142" s="659" t="str">
        <f t="shared" si="9"/>
        <v/>
      </c>
      <c r="F142" s="660"/>
      <c r="G142" s="660"/>
      <c r="H142" s="660"/>
      <c r="I142" s="660"/>
      <c r="J142" s="660"/>
      <c r="K142" s="661"/>
      <c r="L142" s="659" t="str">
        <f t="shared" ca="1" si="10"/>
        <v/>
      </c>
      <c r="M142" s="662"/>
      <c r="N142" s="662"/>
      <c r="O142" s="662"/>
      <c r="P142" s="662"/>
      <c r="Q142" s="663"/>
      <c r="R142" s="715" t="str">
        <f t="shared" ca="1" si="11"/>
        <v/>
      </c>
      <c r="S142" s="715"/>
      <c r="T142" s="715"/>
      <c r="U142" s="715"/>
      <c r="V142" s="715"/>
      <c r="W142" s="715"/>
      <c r="X142" s="715" t="str">
        <f t="shared" ca="1" si="12"/>
        <v/>
      </c>
      <c r="Y142" s="715"/>
      <c r="Z142" s="715"/>
      <c r="AA142" s="715"/>
      <c r="AB142" s="715"/>
      <c r="AC142" s="715"/>
      <c r="AD142" s="721" t="str">
        <f t="shared" si="13"/>
        <v/>
      </c>
      <c r="AE142" s="721"/>
      <c r="AF142" s="721"/>
      <c r="AG142" s="721"/>
      <c r="AH142" s="721"/>
      <c r="AI142" s="721"/>
      <c r="AJ142" s="721"/>
      <c r="AK142" s="714" t="str">
        <f t="shared" si="14"/>
        <v/>
      </c>
      <c r="AL142" s="714"/>
      <c r="AM142" s="714"/>
      <c r="AN142" s="714"/>
      <c r="AO142" s="714"/>
      <c r="AP142" s="714"/>
      <c r="AQ142" s="714"/>
    </row>
    <row r="143" spans="1:43" ht="18" customHeight="1">
      <c r="A143" s="343"/>
      <c r="B143" s="658">
        <v>26</v>
      </c>
      <c r="C143" s="681"/>
      <c r="D143" s="681"/>
      <c r="E143" s="659" t="str">
        <f t="shared" si="9"/>
        <v/>
      </c>
      <c r="F143" s="660"/>
      <c r="G143" s="660"/>
      <c r="H143" s="660"/>
      <c r="I143" s="660"/>
      <c r="J143" s="660"/>
      <c r="K143" s="661"/>
      <c r="L143" s="659" t="str">
        <f t="shared" ca="1" si="10"/>
        <v/>
      </c>
      <c r="M143" s="662"/>
      <c r="N143" s="662"/>
      <c r="O143" s="662"/>
      <c r="P143" s="662"/>
      <c r="Q143" s="663"/>
      <c r="R143" s="715" t="str">
        <f t="shared" ca="1" si="11"/>
        <v/>
      </c>
      <c r="S143" s="715"/>
      <c r="T143" s="715"/>
      <c r="U143" s="715"/>
      <c r="V143" s="715"/>
      <c r="W143" s="715"/>
      <c r="X143" s="715" t="str">
        <f t="shared" ca="1" si="12"/>
        <v/>
      </c>
      <c r="Y143" s="715"/>
      <c r="Z143" s="715"/>
      <c r="AA143" s="715"/>
      <c r="AB143" s="715"/>
      <c r="AC143" s="715"/>
      <c r="AD143" s="721" t="str">
        <f t="shared" si="13"/>
        <v/>
      </c>
      <c r="AE143" s="721"/>
      <c r="AF143" s="721"/>
      <c r="AG143" s="721"/>
      <c r="AH143" s="721"/>
      <c r="AI143" s="721"/>
      <c r="AJ143" s="721"/>
      <c r="AK143" s="714" t="str">
        <f t="shared" si="14"/>
        <v/>
      </c>
      <c r="AL143" s="714"/>
      <c r="AM143" s="714"/>
      <c r="AN143" s="714"/>
      <c r="AO143" s="714"/>
      <c r="AP143" s="714"/>
      <c r="AQ143" s="714"/>
    </row>
    <row r="144" spans="1:43" ht="18" customHeight="1">
      <c r="A144" s="343"/>
      <c r="B144" s="658">
        <v>27</v>
      </c>
      <c r="C144" s="681"/>
      <c r="D144" s="681"/>
      <c r="E144" s="659" t="str">
        <f t="shared" si="9"/>
        <v/>
      </c>
      <c r="F144" s="660"/>
      <c r="G144" s="660"/>
      <c r="H144" s="660"/>
      <c r="I144" s="660"/>
      <c r="J144" s="660"/>
      <c r="K144" s="661"/>
      <c r="L144" s="659" t="str">
        <f t="shared" ca="1" si="10"/>
        <v/>
      </c>
      <c r="M144" s="662"/>
      <c r="N144" s="662"/>
      <c r="O144" s="662"/>
      <c r="P144" s="662"/>
      <c r="Q144" s="663"/>
      <c r="R144" s="715" t="str">
        <f t="shared" ca="1" si="11"/>
        <v/>
      </c>
      <c r="S144" s="715"/>
      <c r="T144" s="715"/>
      <c r="U144" s="715"/>
      <c r="V144" s="715"/>
      <c r="W144" s="715"/>
      <c r="X144" s="715" t="str">
        <f t="shared" ca="1" si="12"/>
        <v/>
      </c>
      <c r="Y144" s="715"/>
      <c r="Z144" s="715"/>
      <c r="AA144" s="715"/>
      <c r="AB144" s="715"/>
      <c r="AC144" s="715"/>
      <c r="AD144" s="721" t="str">
        <f t="shared" si="13"/>
        <v/>
      </c>
      <c r="AE144" s="721"/>
      <c r="AF144" s="721"/>
      <c r="AG144" s="721"/>
      <c r="AH144" s="721"/>
      <c r="AI144" s="721"/>
      <c r="AJ144" s="721"/>
      <c r="AK144" s="714" t="str">
        <f t="shared" si="14"/>
        <v/>
      </c>
      <c r="AL144" s="714"/>
      <c r="AM144" s="714"/>
      <c r="AN144" s="714"/>
      <c r="AO144" s="714"/>
      <c r="AP144" s="714"/>
      <c r="AQ144" s="714"/>
    </row>
    <row r="145" spans="1:46" ht="18" customHeight="1">
      <c r="A145" s="343"/>
      <c r="B145" s="658">
        <v>28</v>
      </c>
      <c r="C145" s="681"/>
      <c r="D145" s="681"/>
      <c r="E145" s="659" t="str">
        <f t="shared" si="9"/>
        <v/>
      </c>
      <c r="F145" s="660"/>
      <c r="G145" s="660"/>
      <c r="H145" s="660"/>
      <c r="I145" s="660"/>
      <c r="J145" s="660"/>
      <c r="K145" s="661"/>
      <c r="L145" s="659" t="str">
        <f t="shared" ca="1" si="10"/>
        <v/>
      </c>
      <c r="M145" s="662"/>
      <c r="N145" s="662"/>
      <c r="O145" s="662"/>
      <c r="P145" s="662"/>
      <c r="Q145" s="663"/>
      <c r="R145" s="715" t="str">
        <f t="shared" ca="1" si="11"/>
        <v/>
      </c>
      <c r="S145" s="715"/>
      <c r="T145" s="715"/>
      <c r="U145" s="715"/>
      <c r="V145" s="715"/>
      <c r="W145" s="715"/>
      <c r="X145" s="715" t="str">
        <f t="shared" ca="1" si="12"/>
        <v/>
      </c>
      <c r="Y145" s="715"/>
      <c r="Z145" s="715"/>
      <c r="AA145" s="715"/>
      <c r="AB145" s="715"/>
      <c r="AC145" s="715"/>
      <c r="AD145" s="721" t="str">
        <f t="shared" si="13"/>
        <v/>
      </c>
      <c r="AE145" s="721"/>
      <c r="AF145" s="721"/>
      <c r="AG145" s="721"/>
      <c r="AH145" s="721"/>
      <c r="AI145" s="721"/>
      <c r="AJ145" s="721"/>
      <c r="AK145" s="714" t="str">
        <f t="shared" si="14"/>
        <v/>
      </c>
      <c r="AL145" s="714"/>
      <c r="AM145" s="714"/>
      <c r="AN145" s="714"/>
      <c r="AO145" s="714"/>
      <c r="AP145" s="714"/>
      <c r="AQ145" s="714"/>
    </row>
    <row r="146" spans="1:46" ht="18" customHeight="1">
      <c r="A146" s="343"/>
      <c r="B146" s="658">
        <v>29</v>
      </c>
      <c r="C146" s="681"/>
      <c r="D146" s="681"/>
      <c r="E146" s="659" t="str">
        <f t="shared" si="9"/>
        <v/>
      </c>
      <c r="F146" s="660"/>
      <c r="G146" s="660"/>
      <c r="H146" s="660"/>
      <c r="I146" s="660"/>
      <c r="J146" s="660"/>
      <c r="K146" s="661"/>
      <c r="L146" s="659" t="str">
        <f t="shared" ca="1" si="10"/>
        <v/>
      </c>
      <c r="M146" s="662"/>
      <c r="N146" s="662"/>
      <c r="O146" s="662"/>
      <c r="P146" s="662"/>
      <c r="Q146" s="663"/>
      <c r="R146" s="715" t="str">
        <f t="shared" ca="1" si="11"/>
        <v/>
      </c>
      <c r="S146" s="715"/>
      <c r="T146" s="715"/>
      <c r="U146" s="715"/>
      <c r="V146" s="715"/>
      <c r="W146" s="715"/>
      <c r="X146" s="715" t="str">
        <f t="shared" ca="1" si="12"/>
        <v/>
      </c>
      <c r="Y146" s="715"/>
      <c r="Z146" s="715"/>
      <c r="AA146" s="715"/>
      <c r="AB146" s="715"/>
      <c r="AC146" s="715"/>
      <c r="AD146" s="721" t="str">
        <f t="shared" si="13"/>
        <v/>
      </c>
      <c r="AE146" s="721"/>
      <c r="AF146" s="721"/>
      <c r="AG146" s="721"/>
      <c r="AH146" s="721"/>
      <c r="AI146" s="721"/>
      <c r="AJ146" s="721"/>
      <c r="AK146" s="714" t="str">
        <f t="shared" si="14"/>
        <v/>
      </c>
      <c r="AL146" s="714"/>
      <c r="AM146" s="714"/>
      <c r="AN146" s="714"/>
      <c r="AO146" s="714"/>
      <c r="AP146" s="714"/>
      <c r="AQ146" s="714"/>
    </row>
    <row r="147" spans="1:46" ht="18" customHeight="1">
      <c r="A147" s="343"/>
      <c r="B147" s="672">
        <v>30</v>
      </c>
      <c r="C147" s="688"/>
      <c r="D147" s="688"/>
      <c r="E147" s="673" t="str">
        <f t="shared" si="9"/>
        <v/>
      </c>
      <c r="F147" s="674"/>
      <c r="G147" s="674"/>
      <c r="H147" s="674"/>
      <c r="I147" s="674"/>
      <c r="J147" s="674"/>
      <c r="K147" s="675"/>
      <c r="L147" s="673" t="str">
        <f t="shared" ca="1" si="10"/>
        <v/>
      </c>
      <c r="M147" s="676"/>
      <c r="N147" s="676"/>
      <c r="O147" s="676"/>
      <c r="P147" s="676"/>
      <c r="Q147" s="677"/>
      <c r="R147" s="740" t="str">
        <f t="shared" ca="1" si="11"/>
        <v/>
      </c>
      <c r="S147" s="740"/>
      <c r="T147" s="740"/>
      <c r="U147" s="740"/>
      <c r="V147" s="740"/>
      <c r="W147" s="740"/>
      <c r="X147" s="740" t="str">
        <f t="shared" ca="1" si="12"/>
        <v/>
      </c>
      <c r="Y147" s="740"/>
      <c r="Z147" s="740"/>
      <c r="AA147" s="740"/>
      <c r="AB147" s="740"/>
      <c r="AC147" s="740"/>
      <c r="AD147" s="740" t="str">
        <f t="shared" si="13"/>
        <v/>
      </c>
      <c r="AE147" s="740"/>
      <c r="AF147" s="740"/>
      <c r="AG147" s="740"/>
      <c r="AH147" s="740"/>
      <c r="AI147" s="740"/>
      <c r="AJ147" s="740"/>
      <c r="AK147" s="722" t="str">
        <f t="shared" si="14"/>
        <v/>
      </c>
      <c r="AL147" s="722"/>
      <c r="AM147" s="722"/>
      <c r="AN147" s="722"/>
      <c r="AO147" s="722"/>
      <c r="AP147" s="722"/>
      <c r="AQ147" s="722"/>
    </row>
    <row r="148" spans="1:46" s="343" customFormat="1" ht="18" customHeight="1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278"/>
      <c r="W148" s="278"/>
      <c r="X148" s="278"/>
      <c r="Y148" s="278"/>
      <c r="Z148" s="278"/>
      <c r="AA148" s="278"/>
      <c r="AB148" s="278"/>
      <c r="AC148" s="278"/>
      <c r="AD148" s="278"/>
      <c r="AE148" s="278"/>
      <c r="AF148" s="278"/>
      <c r="AG148" s="278"/>
      <c r="AH148" s="278"/>
      <c r="AI148" s="278"/>
      <c r="AJ148" s="278"/>
      <c r="AK148" s="278"/>
      <c r="AL148" s="278"/>
      <c r="AM148" s="278"/>
      <c r="AN148" s="278"/>
      <c r="AO148" s="278"/>
      <c r="AP148" s="278"/>
      <c r="AQ148" s="278"/>
      <c r="AR148" s="154"/>
      <c r="AS148" s="154"/>
    </row>
    <row r="149" spans="1:46" ht="18" customHeight="1">
      <c r="A149" s="194" t="s">
        <v>434</v>
      </c>
      <c r="B149" s="343"/>
      <c r="C149" s="343"/>
      <c r="D149" s="343"/>
      <c r="E149" s="343"/>
      <c r="F149" s="343"/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  <c r="T149" s="343"/>
      <c r="U149" s="343"/>
      <c r="V149" s="343"/>
      <c r="W149" s="343"/>
      <c r="X149" s="343"/>
      <c r="Y149" s="343"/>
      <c r="Z149" s="343"/>
      <c r="AA149" s="343"/>
      <c r="AB149" s="343"/>
      <c r="AC149" s="343"/>
      <c r="AD149" s="343"/>
      <c r="AE149" s="343"/>
      <c r="AF149" s="343"/>
      <c r="AG149" s="343"/>
      <c r="AH149" s="343"/>
      <c r="AI149" s="343"/>
      <c r="AJ149" s="343"/>
      <c r="AK149" s="343"/>
      <c r="AL149" s="343"/>
      <c r="AM149" s="343"/>
      <c r="AN149" s="343"/>
      <c r="AO149" s="343"/>
      <c r="AP149" s="343"/>
      <c r="AQ149" s="343"/>
      <c r="AR149" s="343"/>
      <c r="AS149" s="343"/>
      <c r="AT149" s="343"/>
    </row>
    <row r="150" spans="1:46" ht="18" customHeight="1">
      <c r="A150" s="343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  <c r="T150" s="343"/>
      <c r="U150" s="343"/>
      <c r="V150" s="343"/>
      <c r="W150" s="343"/>
      <c r="X150" s="343"/>
      <c r="Y150" s="343"/>
      <c r="Z150" s="343"/>
      <c r="AA150" s="343"/>
      <c r="AB150" s="343"/>
      <c r="AC150" s="343"/>
      <c r="AD150" s="343"/>
      <c r="AE150" s="343"/>
      <c r="AF150" s="343"/>
      <c r="AG150" s="351"/>
      <c r="AH150" s="343"/>
      <c r="AI150" s="343"/>
      <c r="AJ150" s="343"/>
      <c r="AK150" s="343"/>
      <c r="AL150" s="343"/>
      <c r="AM150" s="343"/>
      <c r="AN150" s="343"/>
      <c r="AO150" s="343"/>
      <c r="AP150" s="343"/>
      <c r="AQ150" s="343"/>
      <c r="AR150" s="343"/>
      <c r="AS150" s="343"/>
      <c r="AT150" s="343"/>
    </row>
    <row r="151" spans="1:46" ht="18" customHeight="1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  <c r="T151" s="343"/>
      <c r="U151" s="343"/>
      <c r="V151" s="343"/>
      <c r="W151" s="343"/>
      <c r="X151" s="343"/>
      <c r="Y151" s="343"/>
      <c r="Z151" s="343"/>
      <c r="AA151" s="343"/>
      <c r="AB151" s="343"/>
      <c r="AC151" s="343"/>
      <c r="AD151" s="343"/>
      <c r="AE151" s="343"/>
      <c r="AF151" s="343"/>
      <c r="AG151" s="343"/>
      <c r="AH151" s="343"/>
      <c r="AI151" s="343"/>
      <c r="AJ151" s="343"/>
      <c r="AK151" s="343"/>
      <c r="AL151" s="343"/>
      <c r="AM151" s="343"/>
      <c r="AN151" s="343"/>
      <c r="AO151" s="343"/>
      <c r="AP151" s="343"/>
      <c r="AQ151" s="343"/>
      <c r="AR151" s="343"/>
      <c r="AS151" s="343"/>
      <c r="AT151" s="343"/>
    </row>
    <row r="152" spans="1:46" ht="18" customHeight="1">
      <c r="A152" s="343"/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343"/>
      <c r="AB152" s="343"/>
      <c r="AC152" s="343"/>
      <c r="AD152" s="343"/>
      <c r="AE152" s="343"/>
      <c r="AF152" s="343"/>
      <c r="AG152" s="343"/>
      <c r="AH152" s="343"/>
      <c r="AI152" s="343"/>
      <c r="AJ152" s="343"/>
      <c r="AK152" s="343"/>
      <c r="AL152" s="343"/>
      <c r="AM152" s="343"/>
      <c r="AN152" s="343"/>
      <c r="AO152" s="343"/>
      <c r="AP152" s="343"/>
      <c r="AQ152" s="343"/>
      <c r="AR152" s="343"/>
      <c r="AS152" s="343"/>
      <c r="AT152" s="343"/>
    </row>
    <row r="153" spans="1:46" ht="18" customHeight="1">
      <c r="A153" s="343"/>
      <c r="B153" s="343"/>
      <c r="C153" s="155" t="s">
        <v>435</v>
      </c>
      <c r="D153" s="343"/>
      <c r="E153" s="343"/>
      <c r="F153" s="343"/>
      <c r="G153" s="343"/>
      <c r="H153" s="343" t="s">
        <v>436</v>
      </c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  <c r="T153" s="343"/>
      <c r="U153" s="343"/>
      <c r="V153" s="343"/>
      <c r="W153" s="343"/>
      <c r="X153" s="343"/>
      <c r="Y153" s="343"/>
      <c r="Z153" s="343"/>
      <c r="AA153" s="343"/>
      <c r="AB153" s="343"/>
      <c r="AC153" s="343"/>
      <c r="AD153" s="343"/>
      <c r="AE153" s="343"/>
      <c r="AF153" s="343"/>
      <c r="AG153" s="343"/>
      <c r="AH153" s="343"/>
      <c r="AI153" s="343"/>
      <c r="AJ153" s="343"/>
      <c r="AK153" s="343"/>
      <c r="AL153" s="343"/>
      <c r="AM153" s="343"/>
      <c r="AN153" s="343"/>
      <c r="AO153" s="343"/>
      <c r="AP153" s="343"/>
      <c r="AQ153" s="343"/>
      <c r="AR153" s="343"/>
      <c r="AS153" s="343"/>
      <c r="AT153" s="343"/>
    </row>
    <row r="154" spans="1:46" ht="18" customHeight="1">
      <c r="A154" s="343"/>
      <c r="B154" s="343"/>
      <c r="C154" s="155" t="s">
        <v>437</v>
      </c>
      <c r="D154" s="343"/>
      <c r="E154" s="343"/>
      <c r="F154" s="343"/>
      <c r="G154" s="343"/>
      <c r="H154" s="343" t="s">
        <v>438</v>
      </c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  <c r="T154" s="343"/>
      <c r="U154" s="343"/>
      <c r="V154" s="343"/>
      <c r="W154" s="343"/>
      <c r="X154" s="343"/>
      <c r="Y154" s="343"/>
      <c r="Z154" s="343"/>
      <c r="AA154" s="343"/>
      <c r="AB154" s="343"/>
      <c r="AC154" s="343"/>
      <c r="AD154" s="343"/>
      <c r="AE154" s="343"/>
      <c r="AF154" s="343"/>
      <c r="AG154" s="343"/>
      <c r="AH154" s="343"/>
      <c r="AI154" s="343"/>
      <c r="AJ154" s="343"/>
      <c r="AK154" s="343"/>
      <c r="AL154" s="343"/>
      <c r="AM154" s="343"/>
      <c r="AN154" s="343"/>
      <c r="AO154" s="343"/>
      <c r="AP154" s="343"/>
      <c r="AQ154" s="343"/>
      <c r="AR154" s="343"/>
      <c r="AS154" s="343"/>
      <c r="AT154" s="343"/>
    </row>
    <row r="155" spans="1:46" ht="18" customHeight="1">
      <c r="A155" s="343"/>
      <c r="B155" s="343"/>
      <c r="C155" s="155" t="s">
        <v>439</v>
      </c>
      <c r="D155" s="343"/>
      <c r="E155" s="343"/>
      <c r="F155" s="343"/>
      <c r="G155" s="343"/>
      <c r="H155" s="343" t="s">
        <v>440</v>
      </c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  <c r="T155" s="343"/>
      <c r="U155" s="343"/>
      <c r="V155" s="343"/>
      <c r="W155" s="343"/>
      <c r="X155" s="343"/>
      <c r="Y155" s="343"/>
      <c r="Z155" s="343"/>
      <c r="AA155" s="343"/>
      <c r="AB155" s="343"/>
      <c r="AC155" s="343"/>
      <c r="AD155" s="343"/>
      <c r="AE155" s="343"/>
      <c r="AF155" s="343"/>
      <c r="AG155" s="343"/>
      <c r="AH155" s="343"/>
      <c r="AI155" s="343"/>
      <c r="AJ155" s="343"/>
      <c r="AK155" s="343"/>
      <c r="AL155" s="343"/>
      <c r="AM155" s="343"/>
      <c r="AN155" s="343"/>
      <c r="AO155" s="343"/>
      <c r="AP155" s="343"/>
      <c r="AQ155" s="343"/>
      <c r="AR155" s="343"/>
      <c r="AS155" s="343"/>
      <c r="AT155" s="343"/>
    </row>
    <row r="156" spans="1:46" ht="18" customHeight="1">
      <c r="A156" s="343"/>
      <c r="B156" s="343"/>
      <c r="C156" s="155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  <c r="T156" s="343"/>
      <c r="U156" s="343"/>
      <c r="V156" s="343"/>
      <c r="W156" s="343"/>
      <c r="X156" s="343"/>
      <c r="Y156" s="343"/>
      <c r="Z156" s="343"/>
      <c r="AA156" s="343"/>
      <c r="AB156" s="343"/>
      <c r="AC156" s="343"/>
      <c r="AD156" s="343"/>
      <c r="AE156" s="343"/>
      <c r="AF156" s="343"/>
      <c r="AG156" s="343"/>
      <c r="AH156" s="343"/>
      <c r="AI156" s="343"/>
      <c r="AJ156" s="343"/>
      <c r="AK156" s="343"/>
      <c r="AL156" s="343"/>
      <c r="AM156" s="343"/>
      <c r="AN156" s="343"/>
      <c r="AO156" s="343"/>
      <c r="AP156" s="343"/>
      <c r="AQ156" s="343"/>
      <c r="AR156" s="343"/>
      <c r="AS156" s="343"/>
      <c r="AT156" s="343"/>
    </row>
    <row r="157" spans="1:46" ht="18" customHeight="1">
      <c r="A157" s="343"/>
      <c r="B157" s="343"/>
      <c r="C157" s="343" t="s">
        <v>441</v>
      </c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  <c r="T157" s="343"/>
      <c r="U157" s="343"/>
      <c r="V157" s="343"/>
      <c r="W157" s="343"/>
      <c r="X157" s="343"/>
      <c r="Y157" s="343"/>
      <c r="Z157" s="343"/>
      <c r="AA157" s="343"/>
      <c r="AB157" s="343"/>
      <c r="AC157" s="343"/>
      <c r="AD157" s="343"/>
      <c r="AE157" s="343"/>
      <c r="AF157" s="343"/>
      <c r="AG157" s="343"/>
      <c r="AH157" s="343"/>
      <c r="AI157" s="343"/>
      <c r="AJ157" s="343"/>
      <c r="AK157" s="343"/>
      <c r="AL157" s="343"/>
      <c r="AM157" s="343"/>
      <c r="AN157" s="343"/>
      <c r="AO157" s="343"/>
      <c r="AP157" s="343"/>
      <c r="AQ157" s="343"/>
      <c r="AR157" s="343"/>
      <c r="AS157" s="343"/>
      <c r="AT157" s="343"/>
    </row>
    <row r="158" spans="1:46" ht="18" customHeight="1">
      <c r="A158" s="343"/>
      <c r="B158" s="343"/>
      <c r="C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343"/>
      <c r="AB158" s="343"/>
      <c r="AC158" s="343"/>
      <c r="AD158" s="343"/>
      <c r="AE158" s="343"/>
      <c r="AF158" s="343"/>
      <c r="AG158" s="343"/>
      <c r="AH158" s="343"/>
      <c r="AI158" s="343"/>
      <c r="AJ158" s="343"/>
      <c r="AK158" s="343"/>
      <c r="AL158" s="343"/>
      <c r="AM158" s="343"/>
      <c r="AN158" s="343"/>
      <c r="AO158" s="343"/>
      <c r="AP158" s="343"/>
      <c r="AQ158" s="343"/>
      <c r="AR158" s="343"/>
      <c r="AS158" s="343"/>
      <c r="AT158" s="343"/>
    </row>
    <row r="159" spans="1:46" ht="18" customHeight="1">
      <c r="A159" s="343"/>
      <c r="B159" s="343"/>
      <c r="C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343"/>
      <c r="AB159" s="343"/>
      <c r="AC159" s="343"/>
      <c r="AD159" s="343"/>
      <c r="AE159" s="343"/>
      <c r="AF159" s="343"/>
      <c r="AG159" s="343"/>
      <c r="AH159" s="343"/>
      <c r="AI159" s="343"/>
      <c r="AJ159" s="343"/>
      <c r="AK159" s="343"/>
      <c r="AL159" s="343"/>
      <c r="AM159" s="343"/>
      <c r="AN159" s="343"/>
      <c r="AO159" s="343"/>
      <c r="AP159" s="343"/>
      <c r="AQ159" s="343"/>
      <c r="AR159" s="343"/>
      <c r="AS159" s="343"/>
      <c r="AT159" s="343"/>
    </row>
    <row r="160" spans="1:46" ht="18" customHeight="1">
      <c r="A160" s="343"/>
      <c r="B160" s="343"/>
      <c r="C160" s="155"/>
      <c r="D160" s="343"/>
      <c r="E160" s="343"/>
      <c r="F160" s="343"/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  <c r="T160" s="343"/>
      <c r="U160" s="343"/>
      <c r="V160" s="343"/>
      <c r="W160" s="343"/>
      <c r="X160" s="343"/>
      <c r="Y160" s="343"/>
      <c r="Z160" s="343"/>
      <c r="AA160" s="343"/>
      <c r="AB160" s="343"/>
      <c r="AC160" s="343"/>
      <c r="AD160" s="343"/>
      <c r="AE160" s="343"/>
      <c r="AF160" s="343"/>
      <c r="AG160" s="343"/>
      <c r="AH160" s="343"/>
      <c r="AI160" s="343"/>
      <c r="AJ160" s="343"/>
      <c r="AK160" s="343"/>
      <c r="AL160" s="343"/>
      <c r="AM160" s="343"/>
      <c r="AN160" s="343"/>
      <c r="AO160" s="343"/>
      <c r="AP160" s="343"/>
      <c r="AQ160" s="343"/>
      <c r="AR160" s="343"/>
      <c r="AS160" s="343"/>
      <c r="AT160" s="343"/>
    </row>
    <row r="161" spans="1:46" s="157" customFormat="1" ht="18" customHeight="1">
      <c r="A161" s="164" t="s">
        <v>442</v>
      </c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56"/>
      <c r="AQ161" s="156"/>
      <c r="AR161" s="156"/>
      <c r="AS161" s="156"/>
      <c r="AT161" s="156"/>
    </row>
    <row r="162" spans="1:46" s="157" customFormat="1" ht="18" customHeight="1">
      <c r="A162" s="195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56"/>
      <c r="AR162" s="156"/>
      <c r="AS162" s="156"/>
      <c r="AT162" s="156"/>
    </row>
    <row r="163" spans="1:46" s="157" customFormat="1" ht="18" customHeight="1">
      <c r="A163" s="195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56"/>
      <c r="AR163" s="156"/>
      <c r="AS163" s="156"/>
      <c r="AT163" s="156"/>
    </row>
    <row r="164" spans="1:46" s="157" customFormat="1" ht="18" customHeight="1">
      <c r="A164" s="195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56"/>
      <c r="AQ164" s="156"/>
      <c r="AR164" s="156"/>
      <c r="AS164" s="156"/>
      <c r="AT164" s="156"/>
    </row>
    <row r="165" spans="1:46" s="157" customFormat="1" ht="18" customHeight="1">
      <c r="A165" s="195"/>
      <c r="B165" s="156"/>
      <c r="C165" s="156" t="s">
        <v>443</v>
      </c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56"/>
      <c r="AR165" s="156"/>
      <c r="AS165" s="156"/>
      <c r="AT165" s="156"/>
    </row>
    <row r="166" spans="1:46" s="157" customFormat="1" ht="18" customHeight="1">
      <c r="A166" s="195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56"/>
      <c r="AQ166" s="156"/>
      <c r="AR166" s="156"/>
      <c r="AS166" s="156"/>
      <c r="AT166" s="156"/>
    </row>
    <row r="167" spans="1:46" s="157" customFormat="1" ht="18" customHeight="1">
      <c r="A167" s="195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56"/>
      <c r="AQ167" s="156"/>
      <c r="AR167" s="156"/>
      <c r="AS167" s="156"/>
      <c r="AT167" s="156"/>
    </row>
    <row r="168" spans="1:46" s="157" customFormat="1" ht="18" customHeight="1">
      <c r="A168" s="195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R168" s="156"/>
      <c r="AS168" s="156"/>
      <c r="AT168" s="156"/>
    </row>
    <row r="169" spans="1:46" s="157" customFormat="1" ht="18" customHeight="1">
      <c r="A169" s="195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6"/>
      <c r="AR169" s="156"/>
      <c r="AS169" s="156"/>
      <c r="AT169" s="156"/>
    </row>
    <row r="170" spans="1:46" s="157" customFormat="1" ht="18" customHeight="1">
      <c r="A170" s="195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56"/>
      <c r="AQ170" s="156"/>
      <c r="AR170" s="156"/>
      <c r="AS170" s="156"/>
      <c r="AT170" s="156"/>
    </row>
    <row r="171" spans="1:46" s="157" customFormat="1" ht="18" customHeight="1">
      <c r="A171" s="282" t="e">
        <f ca="1">"■ "&amp;B6&amp;" "&amp;H6&amp;" 에서의 교정데이터"</f>
        <v>#N/A</v>
      </c>
      <c r="D171" s="283"/>
      <c r="E171" s="283"/>
      <c r="F171" s="283"/>
      <c r="H171" s="156"/>
      <c r="I171" s="280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R171" s="156"/>
      <c r="AS171" s="156"/>
      <c r="AT171" s="156"/>
    </row>
    <row r="172" spans="1:46" s="157" customFormat="1" ht="18" customHeight="1">
      <c r="A172" s="195"/>
      <c r="B172" s="723" t="s">
        <v>57</v>
      </c>
      <c r="C172" s="723"/>
      <c r="D172" s="723"/>
      <c r="E172" s="723"/>
      <c r="F172" s="723"/>
      <c r="G172" s="724" t="s">
        <v>444</v>
      </c>
      <c r="H172" s="725"/>
      <c r="I172" s="725"/>
      <c r="J172" s="725"/>
      <c r="K172" s="725"/>
      <c r="L172" s="726"/>
      <c r="M172" s="730" t="s">
        <v>445</v>
      </c>
      <c r="N172" s="731"/>
      <c r="O172" s="731"/>
      <c r="P172" s="731"/>
      <c r="Q172" s="731"/>
      <c r="R172" s="731"/>
      <c r="S172" s="731"/>
      <c r="T172" s="731"/>
      <c r="U172" s="731"/>
      <c r="V172" s="731"/>
      <c r="W172" s="731"/>
      <c r="X172" s="731"/>
      <c r="Y172" s="731"/>
      <c r="Z172" s="731"/>
      <c r="AA172" s="731"/>
      <c r="AB172" s="731"/>
      <c r="AC172" s="731"/>
      <c r="AD172" s="731"/>
      <c r="AE172" s="731"/>
      <c r="AF172" s="731"/>
      <c r="AG172" s="731"/>
      <c r="AH172" s="731"/>
      <c r="AI172" s="731"/>
      <c r="AJ172" s="731"/>
      <c r="AK172" s="731"/>
      <c r="AL172" s="731"/>
      <c r="AM172" s="731"/>
      <c r="AN172" s="731"/>
      <c r="AO172" s="731"/>
      <c r="AP172" s="731"/>
      <c r="AQ172" s="731"/>
      <c r="AR172" s="731"/>
      <c r="AS172" s="732"/>
      <c r="AT172" s="156"/>
    </row>
    <row r="173" spans="1:46" s="157" customFormat="1" ht="18" customHeight="1">
      <c r="A173" s="195"/>
      <c r="B173" s="723"/>
      <c r="C173" s="723"/>
      <c r="D173" s="723"/>
      <c r="E173" s="723"/>
      <c r="F173" s="723"/>
      <c r="G173" s="727"/>
      <c r="H173" s="728"/>
      <c r="I173" s="728"/>
      <c r="J173" s="728"/>
      <c r="K173" s="728"/>
      <c r="L173" s="729"/>
      <c r="M173" s="723" t="s">
        <v>414</v>
      </c>
      <c r="N173" s="723"/>
      <c r="O173" s="723"/>
      <c r="P173" s="723"/>
      <c r="Q173" s="723"/>
      <c r="R173" s="733" t="s">
        <v>446</v>
      </c>
      <c r="S173" s="734"/>
      <c r="T173" s="734"/>
      <c r="U173" s="734"/>
      <c r="V173" s="735"/>
      <c r="W173" s="733" t="s">
        <v>415</v>
      </c>
      <c r="X173" s="734"/>
      <c r="Y173" s="734"/>
      <c r="Z173" s="734"/>
      <c r="AA173" s="735"/>
      <c r="AB173" s="733" t="s">
        <v>447</v>
      </c>
      <c r="AC173" s="734"/>
      <c r="AD173" s="734"/>
      <c r="AE173" s="734"/>
      <c r="AF173" s="734"/>
      <c r="AG173" s="734"/>
      <c r="AH173" s="734"/>
      <c r="AI173" s="734"/>
      <c r="AJ173" s="734"/>
      <c r="AK173" s="734"/>
      <c r="AL173" s="734"/>
      <c r="AM173" s="735"/>
      <c r="AN173" s="736" t="s">
        <v>448</v>
      </c>
      <c r="AO173" s="737"/>
      <c r="AP173" s="737"/>
      <c r="AQ173" s="737"/>
      <c r="AR173" s="737"/>
      <c r="AS173" s="738"/>
      <c r="AT173" s="156"/>
    </row>
    <row r="174" spans="1:46" s="157" customFormat="1" ht="18" customHeight="1">
      <c r="A174" s="195"/>
      <c r="B174" s="723"/>
      <c r="C174" s="723"/>
      <c r="D174" s="723"/>
      <c r="E174" s="723"/>
      <c r="F174" s="723"/>
      <c r="G174" s="739">
        <f>I11</f>
        <v>0</v>
      </c>
      <c r="H174" s="739"/>
      <c r="I174" s="739"/>
      <c r="J174" s="739"/>
      <c r="K174" s="739"/>
      <c r="L174" s="739"/>
      <c r="M174" s="739">
        <f>P11</f>
        <v>0</v>
      </c>
      <c r="N174" s="739"/>
      <c r="O174" s="739"/>
      <c r="P174" s="739"/>
      <c r="Q174" s="739"/>
      <c r="R174" s="747">
        <f>W11</f>
        <v>0</v>
      </c>
      <c r="S174" s="748"/>
      <c r="T174" s="748"/>
      <c r="U174" s="748"/>
      <c r="V174" s="749"/>
      <c r="W174" s="747">
        <f>AD11</f>
        <v>0</v>
      </c>
      <c r="X174" s="748"/>
      <c r="Y174" s="748"/>
      <c r="Z174" s="748"/>
      <c r="AA174" s="749"/>
      <c r="AB174" s="747">
        <f>Calcu!G44</f>
        <v>0</v>
      </c>
      <c r="AC174" s="748"/>
      <c r="AD174" s="748"/>
      <c r="AE174" s="748"/>
      <c r="AF174" s="748"/>
      <c r="AG174" s="748"/>
      <c r="AH174" s="747">
        <f>Calcu!M44</f>
        <v>0</v>
      </c>
      <c r="AI174" s="748"/>
      <c r="AJ174" s="748"/>
      <c r="AK174" s="748"/>
      <c r="AL174" s="748"/>
      <c r="AM174" s="748"/>
      <c r="AN174" s="739">
        <f>Calcu!I44</f>
        <v>0</v>
      </c>
      <c r="AO174" s="739"/>
      <c r="AP174" s="739"/>
      <c r="AQ174" s="739"/>
      <c r="AR174" s="739"/>
      <c r="AS174" s="739"/>
      <c r="AT174" s="156"/>
    </row>
    <row r="175" spans="1:46" s="157" customFormat="1" ht="18" customHeight="1">
      <c r="A175" s="195"/>
      <c r="B175" s="746" t="e">
        <f>AX6</f>
        <v>#N/A</v>
      </c>
      <c r="C175" s="746"/>
      <c r="D175" s="746"/>
      <c r="E175" s="746"/>
      <c r="F175" s="746"/>
      <c r="G175" s="743" t="e">
        <f ca="1">OFFSET(I11,B175,0)</f>
        <v>#N/A</v>
      </c>
      <c r="H175" s="744"/>
      <c r="I175" s="744"/>
      <c r="J175" s="744"/>
      <c r="K175" s="744"/>
      <c r="L175" s="745"/>
      <c r="M175" s="743" t="e">
        <f ca="1">OFFSET(Calcu!V8,B175,0)</f>
        <v>#N/A</v>
      </c>
      <c r="N175" s="744"/>
      <c r="O175" s="744"/>
      <c r="P175" s="744"/>
      <c r="Q175" s="745"/>
      <c r="R175" s="743" t="e">
        <f ca="1">OFFSET(Calcu!W8,B175,0)</f>
        <v>#N/A</v>
      </c>
      <c r="S175" s="744"/>
      <c r="T175" s="744"/>
      <c r="U175" s="744"/>
      <c r="V175" s="745"/>
      <c r="W175" s="743" t="e">
        <f ca="1">OFFSET(Calcu!X8,B175,0)</f>
        <v>#N/A</v>
      </c>
      <c r="X175" s="744"/>
      <c r="Y175" s="744"/>
      <c r="Z175" s="744"/>
      <c r="AA175" s="745"/>
      <c r="AB175" s="667" t="e">
        <f ca="1">OFFSET(Calcu!G44,B175,0)</f>
        <v>#N/A</v>
      </c>
      <c r="AC175" s="670"/>
      <c r="AD175" s="670"/>
      <c r="AE175" s="670"/>
      <c r="AF175" s="670"/>
      <c r="AG175" s="670"/>
      <c r="AH175" s="667" t="e">
        <f ca="1">OFFSET(Calcu!H44,B175,0)</f>
        <v>#N/A</v>
      </c>
      <c r="AI175" s="670"/>
      <c r="AJ175" s="670"/>
      <c r="AK175" s="670"/>
      <c r="AL175" s="670"/>
      <c r="AM175" s="670"/>
      <c r="AN175" s="741" t="e">
        <f ca="1">OFFSET(Calcu!I44,B175,0)</f>
        <v>#N/A</v>
      </c>
      <c r="AO175" s="741"/>
      <c r="AP175" s="741"/>
      <c r="AQ175" s="741"/>
      <c r="AR175" s="741"/>
      <c r="AS175" s="741"/>
      <c r="AT175" s="156"/>
    </row>
    <row r="176" spans="1:46" s="157" customFormat="1" ht="18" customHeight="1">
      <c r="A176" s="195"/>
      <c r="B176" s="742" t="e">
        <f>B175</f>
        <v>#N/A</v>
      </c>
      <c r="C176" s="742"/>
      <c r="D176" s="742"/>
      <c r="E176" s="742"/>
      <c r="F176" s="742"/>
      <c r="G176" s="741" t="e">
        <f ca="1">G175</f>
        <v>#N/A</v>
      </c>
      <c r="H176" s="741"/>
      <c r="I176" s="741"/>
      <c r="J176" s="741"/>
      <c r="K176" s="741"/>
      <c r="L176" s="741"/>
      <c r="M176" s="743" t="e">
        <f ca="1">OFFSET(Calcu!V23,B176,0)</f>
        <v>#N/A</v>
      </c>
      <c r="N176" s="744"/>
      <c r="O176" s="744"/>
      <c r="P176" s="744"/>
      <c r="Q176" s="745"/>
      <c r="R176" s="743" t="e">
        <f ca="1">OFFSET(Calcu!W23,B176,0)</f>
        <v>#N/A</v>
      </c>
      <c r="S176" s="744"/>
      <c r="T176" s="744"/>
      <c r="U176" s="744"/>
      <c r="V176" s="745"/>
      <c r="W176" s="743" t="e">
        <f ca="1">OFFSET(Calcu!X23,B176,0)</f>
        <v>#N/A</v>
      </c>
      <c r="X176" s="744"/>
      <c r="Y176" s="744"/>
      <c r="Z176" s="744"/>
      <c r="AA176" s="745"/>
      <c r="AB176" s="673"/>
      <c r="AC176" s="676"/>
      <c r="AD176" s="676"/>
      <c r="AE176" s="676"/>
      <c r="AF176" s="676"/>
      <c r="AG176" s="676"/>
      <c r="AH176" s="673"/>
      <c r="AI176" s="676"/>
      <c r="AJ176" s="676"/>
      <c r="AK176" s="676"/>
      <c r="AL176" s="676"/>
      <c r="AM176" s="676"/>
      <c r="AN176" s="741"/>
      <c r="AO176" s="741"/>
      <c r="AP176" s="741"/>
      <c r="AQ176" s="741"/>
      <c r="AR176" s="741"/>
      <c r="AS176" s="741"/>
      <c r="AT176" s="156"/>
    </row>
    <row r="177" spans="1:46" s="157" customFormat="1" ht="18" customHeight="1">
      <c r="A177" s="195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56"/>
      <c r="AQ177" s="156"/>
      <c r="AR177" s="156"/>
      <c r="AS177" s="156"/>
      <c r="AT177" s="156"/>
    </row>
    <row r="178" spans="1:46" s="157" customFormat="1" ht="18" customHeight="1">
      <c r="A178" s="164" t="e">
        <f ca="1">"■ "&amp;B6&amp;" "&amp;H6&amp;" 에서의 영점보정 후 교정데이터"</f>
        <v>#N/A</v>
      </c>
      <c r="B178" s="156"/>
      <c r="C178" s="279"/>
      <c r="D178" s="279"/>
      <c r="E178" s="279"/>
      <c r="F178" s="279"/>
      <c r="G178" s="280"/>
      <c r="H178" s="280"/>
      <c r="I178" s="280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  <c r="AR178" s="156"/>
      <c r="AS178" s="156"/>
      <c r="AT178" s="156"/>
    </row>
    <row r="179" spans="1:46" s="157" customFormat="1" ht="18" customHeight="1">
      <c r="A179" s="195"/>
      <c r="B179" s="724" t="s">
        <v>57</v>
      </c>
      <c r="C179" s="725"/>
      <c r="D179" s="725"/>
      <c r="E179" s="725"/>
      <c r="F179" s="725"/>
      <c r="G179" s="726"/>
      <c r="H179" s="724" t="s">
        <v>444</v>
      </c>
      <c r="I179" s="725"/>
      <c r="J179" s="725"/>
      <c r="K179" s="725"/>
      <c r="L179" s="725"/>
      <c r="M179" s="726"/>
      <c r="N179" s="723" t="e">
        <f>Calcu!$J$103&amp;"의 출력값 (영점보정)"</f>
        <v>#N/A</v>
      </c>
      <c r="O179" s="723"/>
      <c r="P179" s="723"/>
      <c r="Q179" s="723"/>
      <c r="R179" s="723"/>
      <c r="S179" s="723"/>
      <c r="T179" s="723"/>
      <c r="U179" s="723"/>
      <c r="V179" s="723"/>
      <c r="W179" s="723"/>
      <c r="X179" s="723"/>
      <c r="Y179" s="723"/>
      <c r="Z179" s="723"/>
      <c r="AA179" s="723"/>
      <c r="AB179" s="723"/>
      <c r="AC179" s="723"/>
      <c r="AD179" s="723"/>
      <c r="AE179" s="723"/>
      <c r="AF179" s="723"/>
      <c r="AG179" s="723"/>
      <c r="AH179" s="723"/>
      <c r="AI179" s="723"/>
      <c r="AJ179" s="723"/>
      <c r="AK179" s="723"/>
      <c r="AL179" s="723"/>
      <c r="AM179" s="723"/>
      <c r="AN179" s="723"/>
      <c r="AO179" s="723"/>
      <c r="AP179" s="723"/>
      <c r="AQ179" s="723"/>
      <c r="AR179" s="723"/>
      <c r="AS179" s="723"/>
      <c r="AT179" s="156"/>
    </row>
    <row r="180" spans="1:46" s="157" customFormat="1" ht="18" customHeight="1">
      <c r="A180" s="195"/>
      <c r="B180" s="756"/>
      <c r="C180" s="757"/>
      <c r="D180" s="757"/>
      <c r="E180" s="757"/>
      <c r="F180" s="757"/>
      <c r="G180" s="758"/>
      <c r="H180" s="727"/>
      <c r="I180" s="728"/>
      <c r="J180" s="728"/>
      <c r="K180" s="728"/>
      <c r="L180" s="728"/>
      <c r="M180" s="729"/>
      <c r="N180" s="723" t="s">
        <v>414</v>
      </c>
      <c r="O180" s="723"/>
      <c r="P180" s="723"/>
      <c r="Q180" s="723"/>
      <c r="R180" s="723"/>
      <c r="S180" s="723"/>
      <c r="T180" s="723" t="s">
        <v>66</v>
      </c>
      <c r="U180" s="723"/>
      <c r="V180" s="723"/>
      <c r="W180" s="723"/>
      <c r="X180" s="723"/>
      <c r="Y180" s="723"/>
      <c r="Z180" s="723" t="s">
        <v>415</v>
      </c>
      <c r="AA180" s="723"/>
      <c r="AB180" s="723"/>
      <c r="AC180" s="723"/>
      <c r="AD180" s="723"/>
      <c r="AE180" s="723"/>
      <c r="AF180" s="733" t="s">
        <v>449</v>
      </c>
      <c r="AG180" s="734"/>
      <c r="AH180" s="734"/>
      <c r="AI180" s="734"/>
      <c r="AJ180" s="734"/>
      <c r="AK180" s="734"/>
      <c r="AL180" s="734"/>
      <c r="AM180" s="734"/>
      <c r="AN180" s="734"/>
      <c r="AO180" s="734"/>
      <c r="AP180" s="734"/>
      <c r="AQ180" s="734"/>
      <c r="AR180" s="734"/>
      <c r="AS180" s="735"/>
      <c r="AT180" s="156"/>
    </row>
    <row r="181" spans="1:46" s="157" customFormat="1" ht="18" customHeight="1">
      <c r="A181" s="195"/>
      <c r="B181" s="727"/>
      <c r="C181" s="728"/>
      <c r="D181" s="728"/>
      <c r="E181" s="728"/>
      <c r="F181" s="728"/>
      <c r="G181" s="729"/>
      <c r="H181" s="750">
        <f>G174</f>
        <v>0</v>
      </c>
      <c r="I181" s="751"/>
      <c r="J181" s="751"/>
      <c r="K181" s="751"/>
      <c r="L181" s="751"/>
      <c r="M181" s="752"/>
      <c r="N181" s="750">
        <f>M174</f>
        <v>0</v>
      </c>
      <c r="O181" s="751"/>
      <c r="P181" s="751"/>
      <c r="Q181" s="751"/>
      <c r="R181" s="751"/>
      <c r="S181" s="752"/>
      <c r="T181" s="750">
        <f>R174</f>
        <v>0</v>
      </c>
      <c r="U181" s="751"/>
      <c r="V181" s="751"/>
      <c r="W181" s="751"/>
      <c r="X181" s="751"/>
      <c r="Y181" s="752"/>
      <c r="Z181" s="750">
        <f>W174</f>
        <v>0</v>
      </c>
      <c r="AA181" s="751"/>
      <c r="AB181" s="751"/>
      <c r="AC181" s="751"/>
      <c r="AD181" s="751"/>
      <c r="AE181" s="752"/>
      <c r="AF181" s="750">
        <f>AB174</f>
        <v>0</v>
      </c>
      <c r="AG181" s="751"/>
      <c r="AH181" s="751"/>
      <c r="AI181" s="751"/>
      <c r="AJ181" s="751"/>
      <c r="AK181" s="751"/>
      <c r="AL181" s="752"/>
      <c r="AM181" s="750">
        <f>H181</f>
        <v>0</v>
      </c>
      <c r="AN181" s="748"/>
      <c r="AO181" s="748"/>
      <c r="AP181" s="748"/>
      <c r="AQ181" s="748"/>
      <c r="AR181" s="748"/>
      <c r="AS181" s="749"/>
      <c r="AT181" s="156"/>
    </row>
    <row r="182" spans="1:46" s="157" customFormat="1" ht="18" customHeight="1">
      <c r="A182" s="195"/>
      <c r="B182" s="753" t="e">
        <f>B175</f>
        <v>#N/A</v>
      </c>
      <c r="C182" s="754"/>
      <c r="D182" s="754"/>
      <c r="E182" s="754"/>
      <c r="F182" s="754"/>
      <c r="G182" s="755"/>
      <c r="H182" s="743" t="e">
        <f ca="1">G175</f>
        <v>#N/A</v>
      </c>
      <c r="I182" s="744"/>
      <c r="J182" s="744"/>
      <c r="K182" s="744"/>
      <c r="L182" s="744"/>
      <c r="M182" s="745"/>
      <c r="N182" s="743" t="e">
        <f ca="1">OFFSET(Calcu!AA8,B182,0)</f>
        <v>#N/A</v>
      </c>
      <c r="O182" s="744"/>
      <c r="P182" s="744"/>
      <c r="Q182" s="744"/>
      <c r="R182" s="744"/>
      <c r="S182" s="745"/>
      <c r="T182" s="743" t="e">
        <f ca="1">OFFSET(Calcu!AB8,B182,0)</f>
        <v>#N/A</v>
      </c>
      <c r="U182" s="744"/>
      <c r="V182" s="744"/>
      <c r="W182" s="744"/>
      <c r="X182" s="744"/>
      <c r="Y182" s="745"/>
      <c r="Z182" s="743" t="e">
        <f ca="1">OFFSET(Calcu!AC8,B182,0)</f>
        <v>#N/A</v>
      </c>
      <c r="AA182" s="744"/>
      <c r="AB182" s="744"/>
      <c r="AC182" s="744"/>
      <c r="AD182" s="744"/>
      <c r="AE182" s="745"/>
      <c r="AF182" s="743" t="e">
        <f ca="1">OFFSET(Calcu!AD8,B182,0)</f>
        <v>#N/A</v>
      </c>
      <c r="AG182" s="744"/>
      <c r="AH182" s="744"/>
      <c r="AI182" s="744"/>
      <c r="AJ182" s="744"/>
      <c r="AK182" s="744"/>
      <c r="AL182" s="745"/>
      <c r="AM182" s="743" t="e">
        <f ca="1">AF182*AJ$57</f>
        <v>#N/A</v>
      </c>
      <c r="AN182" s="744"/>
      <c r="AO182" s="744"/>
      <c r="AP182" s="744"/>
      <c r="AQ182" s="744"/>
      <c r="AR182" s="744"/>
      <c r="AS182" s="745"/>
      <c r="AT182" s="156"/>
    </row>
    <row r="183" spans="1:46" s="157" customFormat="1" ht="18" customHeight="1">
      <c r="A183" s="195"/>
      <c r="B183" s="778" t="e">
        <f>B176</f>
        <v>#N/A</v>
      </c>
      <c r="C183" s="779"/>
      <c r="D183" s="779"/>
      <c r="E183" s="779"/>
      <c r="F183" s="779"/>
      <c r="G183" s="780"/>
      <c r="H183" s="743" t="e">
        <f ca="1">G176</f>
        <v>#N/A</v>
      </c>
      <c r="I183" s="744"/>
      <c r="J183" s="744"/>
      <c r="K183" s="744"/>
      <c r="L183" s="744"/>
      <c r="M183" s="745"/>
      <c r="N183" s="743" t="e">
        <f ca="1">OFFSET(Calcu!AA23,B183,0)</f>
        <v>#N/A</v>
      </c>
      <c r="O183" s="744"/>
      <c r="P183" s="744"/>
      <c r="Q183" s="744"/>
      <c r="R183" s="744"/>
      <c r="S183" s="745"/>
      <c r="T183" s="743" t="e">
        <f ca="1">OFFSET(Calcu!AB23,B183,0)</f>
        <v>#N/A</v>
      </c>
      <c r="U183" s="744"/>
      <c r="V183" s="744"/>
      <c r="W183" s="744"/>
      <c r="X183" s="744"/>
      <c r="Y183" s="745"/>
      <c r="Z183" s="743" t="e">
        <f ca="1">OFFSET(Calcu!AC23,B183,0)</f>
        <v>#N/A</v>
      </c>
      <c r="AA183" s="744"/>
      <c r="AB183" s="744"/>
      <c r="AC183" s="744"/>
      <c r="AD183" s="744"/>
      <c r="AE183" s="745"/>
      <c r="AF183" s="743" t="e">
        <f ca="1">OFFSET(Calcu!AD23,B183,0)</f>
        <v>#N/A</v>
      </c>
      <c r="AG183" s="744"/>
      <c r="AH183" s="744"/>
      <c r="AI183" s="744"/>
      <c r="AJ183" s="744"/>
      <c r="AK183" s="744"/>
      <c r="AL183" s="745"/>
      <c r="AM183" s="743" t="e">
        <f ca="1">AF183*AJ$57</f>
        <v>#N/A</v>
      </c>
      <c r="AN183" s="744"/>
      <c r="AO183" s="744"/>
      <c r="AP183" s="744"/>
      <c r="AQ183" s="744"/>
      <c r="AR183" s="744"/>
      <c r="AS183" s="745"/>
      <c r="AT183" s="156"/>
    </row>
    <row r="184" spans="1:46" s="157" customFormat="1" ht="18" customHeight="1">
      <c r="A184" s="195"/>
      <c r="B184" s="278"/>
      <c r="C184" s="351"/>
      <c r="D184" s="351"/>
      <c r="E184" s="351"/>
      <c r="F184" s="351"/>
      <c r="G184" s="351"/>
      <c r="H184" s="351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78"/>
      <c r="AB184" s="278"/>
      <c r="AC184" s="278"/>
      <c r="AD184" s="278"/>
      <c r="AE184" s="278"/>
      <c r="AF184" s="278"/>
      <c r="AG184" s="278"/>
      <c r="AH184" s="278"/>
      <c r="AI184" s="278"/>
      <c r="AJ184" s="278"/>
      <c r="AK184" s="278"/>
      <c r="AL184" s="278"/>
      <c r="AM184" s="278"/>
      <c r="AN184" s="278"/>
      <c r="AO184" s="278"/>
      <c r="AP184" s="278"/>
      <c r="AQ184" s="278"/>
      <c r="AR184" s="278"/>
      <c r="AS184" s="278"/>
      <c r="AT184" s="156"/>
    </row>
    <row r="185" spans="1:46" ht="18" customHeight="1">
      <c r="A185" s="194" t="s">
        <v>450</v>
      </c>
      <c r="B185" s="343"/>
      <c r="C185" s="343"/>
      <c r="D185" s="343"/>
      <c r="E185" s="343"/>
      <c r="F185" s="343"/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  <c r="T185" s="343"/>
      <c r="U185" s="343"/>
      <c r="V185" s="343"/>
      <c r="W185" s="343"/>
      <c r="X185" s="343"/>
      <c r="Y185" s="343"/>
      <c r="Z185" s="343"/>
      <c r="AA185" s="343"/>
      <c r="AB185" s="343"/>
      <c r="AC185" s="343"/>
      <c r="AD185" s="343"/>
      <c r="AE185" s="343"/>
      <c r="AF185" s="343"/>
      <c r="AG185" s="343"/>
      <c r="AH185" s="343"/>
      <c r="AI185" s="343"/>
      <c r="AJ185" s="343"/>
      <c r="AK185" s="343"/>
      <c r="AL185" s="343"/>
      <c r="AM185" s="343"/>
      <c r="AN185" s="343"/>
      <c r="AO185" s="343"/>
      <c r="AP185" s="343"/>
      <c r="AQ185" s="343"/>
      <c r="AR185" s="343"/>
      <c r="AS185" s="343"/>
      <c r="AT185" s="343"/>
    </row>
    <row r="186" spans="1:46" ht="18" customHeight="1">
      <c r="A186" s="343"/>
      <c r="B186" s="765"/>
      <c r="C186" s="766"/>
      <c r="D186" s="769"/>
      <c r="E186" s="770"/>
      <c r="F186" s="770"/>
      <c r="G186" s="770"/>
      <c r="H186" s="771"/>
      <c r="I186" s="769">
        <v>1</v>
      </c>
      <c r="J186" s="770"/>
      <c r="K186" s="770"/>
      <c r="L186" s="770"/>
      <c r="M186" s="770"/>
      <c r="N186" s="770"/>
      <c r="O186" s="771"/>
      <c r="P186" s="769">
        <v>2</v>
      </c>
      <c r="Q186" s="770"/>
      <c r="R186" s="770"/>
      <c r="S186" s="770"/>
      <c r="T186" s="770"/>
      <c r="U186" s="770"/>
      <c r="V186" s="770"/>
      <c r="W186" s="771"/>
      <c r="X186" s="769">
        <v>3</v>
      </c>
      <c r="Y186" s="772"/>
      <c r="Z186" s="772"/>
      <c r="AA186" s="772"/>
      <c r="AB186" s="773"/>
      <c r="AC186" s="769">
        <v>4</v>
      </c>
      <c r="AD186" s="770"/>
      <c r="AE186" s="770"/>
      <c r="AF186" s="770"/>
      <c r="AG186" s="771"/>
      <c r="AH186" s="769">
        <v>5</v>
      </c>
      <c r="AI186" s="770"/>
      <c r="AJ186" s="770"/>
      <c r="AK186" s="770"/>
      <c r="AL186" s="770"/>
      <c r="AM186" s="770"/>
      <c r="AN186" s="770"/>
      <c r="AO186" s="771"/>
      <c r="AP186" s="769">
        <v>6</v>
      </c>
      <c r="AQ186" s="774"/>
      <c r="AR186" s="774"/>
      <c r="AS186" s="773"/>
      <c r="AT186" s="343"/>
    </row>
    <row r="187" spans="1:46" ht="18" customHeight="1">
      <c r="A187" s="343"/>
      <c r="B187" s="767"/>
      <c r="C187" s="768"/>
      <c r="D187" s="759" t="s">
        <v>451</v>
      </c>
      <c r="E187" s="760"/>
      <c r="F187" s="760"/>
      <c r="G187" s="760"/>
      <c r="H187" s="761"/>
      <c r="I187" s="759" t="s">
        <v>452</v>
      </c>
      <c r="J187" s="760"/>
      <c r="K187" s="760"/>
      <c r="L187" s="760"/>
      <c r="M187" s="760"/>
      <c r="N187" s="760"/>
      <c r="O187" s="761"/>
      <c r="P187" s="759" t="s">
        <v>138</v>
      </c>
      <c r="Q187" s="760"/>
      <c r="R187" s="760"/>
      <c r="S187" s="760"/>
      <c r="T187" s="760"/>
      <c r="U187" s="760"/>
      <c r="V187" s="760"/>
      <c r="W187" s="761"/>
      <c r="X187" s="759" t="s">
        <v>453</v>
      </c>
      <c r="Y187" s="762"/>
      <c r="Z187" s="762"/>
      <c r="AA187" s="762"/>
      <c r="AB187" s="763"/>
      <c r="AC187" s="759" t="s">
        <v>454</v>
      </c>
      <c r="AD187" s="760"/>
      <c r="AE187" s="760"/>
      <c r="AF187" s="760"/>
      <c r="AG187" s="761"/>
      <c r="AH187" s="759" t="s">
        <v>455</v>
      </c>
      <c r="AI187" s="760"/>
      <c r="AJ187" s="760"/>
      <c r="AK187" s="760"/>
      <c r="AL187" s="760"/>
      <c r="AM187" s="760"/>
      <c r="AN187" s="760"/>
      <c r="AO187" s="761"/>
      <c r="AP187" s="759" t="s">
        <v>139</v>
      </c>
      <c r="AQ187" s="764"/>
      <c r="AR187" s="764"/>
      <c r="AS187" s="763"/>
      <c r="AT187" s="343"/>
    </row>
    <row r="188" spans="1:46" ht="18" customHeight="1">
      <c r="A188" s="343"/>
      <c r="B188" s="767"/>
      <c r="C188" s="768"/>
      <c r="D188" s="775"/>
      <c r="E188" s="776"/>
      <c r="F188" s="776"/>
      <c r="G188" s="776"/>
      <c r="H188" s="777"/>
      <c r="I188" s="797" t="s">
        <v>456</v>
      </c>
      <c r="J188" s="798"/>
      <c r="K188" s="798"/>
      <c r="L188" s="798"/>
      <c r="M188" s="798"/>
      <c r="N188" s="798"/>
      <c r="O188" s="799"/>
      <c r="P188" s="800" t="s">
        <v>457</v>
      </c>
      <c r="Q188" s="801"/>
      <c r="R188" s="801"/>
      <c r="S188" s="801"/>
      <c r="T188" s="801"/>
      <c r="U188" s="801"/>
      <c r="V188" s="801"/>
      <c r="W188" s="802"/>
      <c r="X188" s="803"/>
      <c r="Y188" s="804"/>
      <c r="Z188" s="804"/>
      <c r="AA188" s="804"/>
      <c r="AB188" s="805"/>
      <c r="AC188" s="800" t="s">
        <v>458</v>
      </c>
      <c r="AD188" s="801"/>
      <c r="AE188" s="801"/>
      <c r="AF188" s="801"/>
      <c r="AG188" s="802"/>
      <c r="AH188" s="797" t="s">
        <v>459</v>
      </c>
      <c r="AI188" s="798"/>
      <c r="AJ188" s="798"/>
      <c r="AK188" s="798"/>
      <c r="AL188" s="798"/>
      <c r="AM188" s="798"/>
      <c r="AN188" s="798"/>
      <c r="AO188" s="799"/>
      <c r="AP188" s="803"/>
      <c r="AQ188" s="806"/>
      <c r="AR188" s="806"/>
      <c r="AS188" s="805"/>
      <c r="AT188" s="343"/>
    </row>
    <row r="189" spans="1:46" ht="18" customHeight="1">
      <c r="A189" s="343"/>
      <c r="B189" s="793" t="s">
        <v>140</v>
      </c>
      <c r="C189" s="794"/>
      <c r="D189" s="788" t="s">
        <v>460</v>
      </c>
      <c r="E189" s="789"/>
      <c r="F189" s="789"/>
      <c r="G189" s="789"/>
      <c r="H189" s="790"/>
      <c r="I189" s="784" t="e">
        <f ca="1">G175</f>
        <v>#N/A</v>
      </c>
      <c r="J189" s="785"/>
      <c r="K189" s="785"/>
      <c r="L189" s="785"/>
      <c r="M189" s="786">
        <f>G174</f>
        <v>0</v>
      </c>
      <c r="N189" s="629"/>
      <c r="O189" s="630"/>
      <c r="P189" s="795" t="e">
        <f ca="1">IF(OR(AL6="% of Reading",AL6="% of F.S"),I189*AF6%,AF6)/AR6</f>
        <v>#N/A</v>
      </c>
      <c r="Q189" s="796"/>
      <c r="R189" s="796"/>
      <c r="S189" s="796"/>
      <c r="T189" s="796"/>
      <c r="U189" s="786">
        <f>M189</f>
        <v>0</v>
      </c>
      <c r="V189" s="786"/>
      <c r="W189" s="787"/>
      <c r="X189" s="769" t="s">
        <v>461</v>
      </c>
      <c r="Y189" s="774"/>
      <c r="Z189" s="774"/>
      <c r="AA189" s="774"/>
      <c r="AB189" s="773"/>
      <c r="AC189" s="781">
        <v>1</v>
      </c>
      <c r="AD189" s="782"/>
      <c r="AE189" s="782"/>
      <c r="AF189" s="782"/>
      <c r="AG189" s="783"/>
      <c r="AH189" s="784" t="e">
        <f t="shared" ref="AH189:AH193" ca="1" si="15">P189*AC189</f>
        <v>#N/A</v>
      </c>
      <c r="AI189" s="785"/>
      <c r="AJ189" s="785"/>
      <c r="AK189" s="785"/>
      <c r="AL189" s="785"/>
      <c r="AM189" s="786">
        <f>U189</f>
        <v>0</v>
      </c>
      <c r="AN189" s="786"/>
      <c r="AO189" s="787"/>
      <c r="AP189" s="769" t="s">
        <v>462</v>
      </c>
      <c r="AQ189" s="774"/>
      <c r="AR189" s="774"/>
      <c r="AS189" s="773"/>
      <c r="AT189" s="343"/>
    </row>
    <row r="190" spans="1:46" ht="18" customHeight="1">
      <c r="A190" s="343"/>
      <c r="B190" s="765" t="s">
        <v>463</v>
      </c>
      <c r="C190" s="766"/>
      <c r="D190" s="788" t="s">
        <v>464</v>
      </c>
      <c r="E190" s="789"/>
      <c r="F190" s="789"/>
      <c r="G190" s="789"/>
      <c r="H190" s="790"/>
      <c r="I190" s="791" t="e">
        <f ca="1">AH175</f>
        <v>#N/A</v>
      </c>
      <c r="J190" s="792"/>
      <c r="K190" s="792"/>
      <c r="L190" s="792"/>
      <c r="M190" s="786">
        <f>AH174</f>
        <v>0</v>
      </c>
      <c r="N190" s="629"/>
      <c r="O190" s="630"/>
      <c r="P190" s="791" t="e">
        <f ca="1">SQRT(SUMSQ(P191,P192,P193,P194))</f>
        <v>#N/A</v>
      </c>
      <c r="Q190" s="792"/>
      <c r="R190" s="792"/>
      <c r="S190" s="792"/>
      <c r="T190" s="792"/>
      <c r="U190" s="786">
        <f>M190</f>
        <v>0</v>
      </c>
      <c r="V190" s="786"/>
      <c r="W190" s="787"/>
      <c r="X190" s="759" t="s">
        <v>465</v>
      </c>
      <c r="Y190" s="760"/>
      <c r="Z190" s="760"/>
      <c r="AA190" s="760"/>
      <c r="AB190" s="761"/>
      <c r="AC190" s="816">
        <v>-1</v>
      </c>
      <c r="AD190" s="817"/>
      <c r="AE190" s="817"/>
      <c r="AF190" s="817"/>
      <c r="AG190" s="818"/>
      <c r="AH190" s="791" t="e">
        <f ca="1">ABS(P190*AC190)</f>
        <v>#N/A</v>
      </c>
      <c r="AI190" s="792"/>
      <c r="AJ190" s="792"/>
      <c r="AK190" s="792"/>
      <c r="AL190" s="792"/>
      <c r="AM190" s="786">
        <f>U190</f>
        <v>0</v>
      </c>
      <c r="AN190" s="786"/>
      <c r="AO190" s="787"/>
      <c r="AP190" s="759" t="e">
        <f ca="1">IF(AH191/AH190*100&gt;70,AP191,ROUNDDOWN(AH190^4/SUM(AH192^4/AP192,AH193^4/AP193,AH194^4/AP194),0))</f>
        <v>#N/A</v>
      </c>
      <c r="AQ190" s="760"/>
      <c r="AR190" s="760"/>
      <c r="AS190" s="761"/>
      <c r="AT190" s="343"/>
    </row>
    <row r="191" spans="1:46" ht="18" customHeight="1">
      <c r="A191" s="343"/>
      <c r="B191" s="793" t="s">
        <v>142</v>
      </c>
      <c r="C191" s="794"/>
      <c r="D191" s="813" t="s">
        <v>466</v>
      </c>
      <c r="E191" s="814"/>
      <c r="F191" s="814"/>
      <c r="G191" s="814"/>
      <c r="H191" s="815"/>
      <c r="I191" s="650">
        <v>0</v>
      </c>
      <c r="J191" s="651"/>
      <c r="K191" s="651"/>
      <c r="L191" s="651"/>
      <c r="M191" s="651"/>
      <c r="N191" s="651"/>
      <c r="O191" s="652"/>
      <c r="P191" s="784" t="e">
        <f ca="1">N6/2*AJ57</f>
        <v>#N/A</v>
      </c>
      <c r="Q191" s="785"/>
      <c r="R191" s="785"/>
      <c r="S191" s="785"/>
      <c r="T191" s="785"/>
      <c r="U191" s="785"/>
      <c r="V191" s="786">
        <f>U190</f>
        <v>0</v>
      </c>
      <c r="W191" s="787"/>
      <c r="X191" s="810" t="s">
        <v>465</v>
      </c>
      <c r="Y191" s="811"/>
      <c r="Z191" s="811"/>
      <c r="AA191" s="811"/>
      <c r="AB191" s="812"/>
      <c r="AC191" s="807">
        <v>1</v>
      </c>
      <c r="AD191" s="808"/>
      <c r="AE191" s="808"/>
      <c r="AF191" s="808"/>
      <c r="AG191" s="809"/>
      <c r="AH191" s="784" t="e">
        <f t="shared" ca="1" si="15"/>
        <v>#N/A</v>
      </c>
      <c r="AI191" s="785"/>
      <c r="AJ191" s="785"/>
      <c r="AK191" s="785"/>
      <c r="AL191" s="785"/>
      <c r="AM191" s="785"/>
      <c r="AN191" s="786">
        <f>V191</f>
        <v>0</v>
      </c>
      <c r="AO191" s="787"/>
      <c r="AP191" s="810" t="s">
        <v>141</v>
      </c>
      <c r="AQ191" s="811"/>
      <c r="AR191" s="811"/>
      <c r="AS191" s="812"/>
      <c r="AT191" s="343"/>
    </row>
    <row r="192" spans="1:46" ht="18" customHeight="1">
      <c r="A192" s="343"/>
      <c r="B192" s="793" t="s">
        <v>143</v>
      </c>
      <c r="C192" s="794"/>
      <c r="D192" s="813" t="s">
        <v>467</v>
      </c>
      <c r="E192" s="814"/>
      <c r="F192" s="814"/>
      <c r="G192" s="814"/>
      <c r="H192" s="815"/>
      <c r="I192" s="650">
        <v>0</v>
      </c>
      <c r="J192" s="651"/>
      <c r="K192" s="651"/>
      <c r="L192" s="651"/>
      <c r="M192" s="651"/>
      <c r="N192" s="651"/>
      <c r="O192" s="652"/>
      <c r="P192" s="784" t="e">
        <f ca="1">T6/2/SQRT(3)</f>
        <v>#VALUE!</v>
      </c>
      <c r="Q192" s="785"/>
      <c r="R192" s="785"/>
      <c r="S192" s="785"/>
      <c r="T192" s="785"/>
      <c r="U192" s="785"/>
      <c r="V192" s="786">
        <f>V191</f>
        <v>0</v>
      </c>
      <c r="W192" s="787"/>
      <c r="X192" s="810" t="s">
        <v>468</v>
      </c>
      <c r="Y192" s="811"/>
      <c r="Z192" s="811"/>
      <c r="AA192" s="811"/>
      <c r="AB192" s="812"/>
      <c r="AC192" s="807">
        <v>1</v>
      </c>
      <c r="AD192" s="808"/>
      <c r="AE192" s="808"/>
      <c r="AF192" s="808"/>
      <c r="AG192" s="809"/>
      <c r="AH192" s="784" t="e">
        <f t="shared" ca="1" si="15"/>
        <v>#VALUE!</v>
      </c>
      <c r="AI192" s="785"/>
      <c r="AJ192" s="785"/>
      <c r="AK192" s="785"/>
      <c r="AL192" s="785"/>
      <c r="AM192" s="785"/>
      <c r="AN192" s="786">
        <f>V192</f>
        <v>0</v>
      </c>
      <c r="AO192" s="787"/>
      <c r="AP192" s="810">
        <f>1/2*(100/20)^2</f>
        <v>12.5</v>
      </c>
      <c r="AQ192" s="811"/>
      <c r="AR192" s="811"/>
      <c r="AS192" s="812"/>
      <c r="AT192" s="343"/>
    </row>
    <row r="193" spans="1:92" ht="18" customHeight="1">
      <c r="A193" s="343"/>
      <c r="B193" s="793" t="s">
        <v>469</v>
      </c>
      <c r="C193" s="794"/>
      <c r="D193" s="813" t="s">
        <v>470</v>
      </c>
      <c r="E193" s="814"/>
      <c r="F193" s="814"/>
      <c r="G193" s="814"/>
      <c r="H193" s="815"/>
      <c r="I193" s="650">
        <v>0</v>
      </c>
      <c r="J193" s="651"/>
      <c r="K193" s="651"/>
      <c r="L193" s="651"/>
      <c r="M193" s="651"/>
      <c r="N193" s="651"/>
      <c r="O193" s="652"/>
      <c r="P193" s="784" t="e">
        <f ca="1">MAX(AM182:AS183)/2/SQRT(3)</f>
        <v>#N/A</v>
      </c>
      <c r="Q193" s="785"/>
      <c r="R193" s="785"/>
      <c r="S193" s="785"/>
      <c r="T193" s="785"/>
      <c r="U193" s="785"/>
      <c r="V193" s="786">
        <f>V192</f>
        <v>0</v>
      </c>
      <c r="W193" s="787"/>
      <c r="X193" s="810" t="s">
        <v>471</v>
      </c>
      <c r="Y193" s="811"/>
      <c r="Z193" s="811"/>
      <c r="AA193" s="811"/>
      <c r="AB193" s="812"/>
      <c r="AC193" s="807">
        <v>1</v>
      </c>
      <c r="AD193" s="808"/>
      <c r="AE193" s="808"/>
      <c r="AF193" s="808"/>
      <c r="AG193" s="809"/>
      <c r="AH193" s="784" t="e">
        <f t="shared" ca="1" si="15"/>
        <v>#N/A</v>
      </c>
      <c r="AI193" s="785"/>
      <c r="AJ193" s="785"/>
      <c r="AK193" s="785"/>
      <c r="AL193" s="785"/>
      <c r="AM193" s="785"/>
      <c r="AN193" s="786">
        <f>V193</f>
        <v>0</v>
      </c>
      <c r="AO193" s="787"/>
      <c r="AP193" s="810">
        <f>1/2*(100/20)^2</f>
        <v>12.5</v>
      </c>
      <c r="AQ193" s="811"/>
      <c r="AR193" s="811"/>
      <c r="AS193" s="812"/>
      <c r="AT193" s="343"/>
    </row>
    <row r="194" spans="1:92" ht="18" customHeight="1">
      <c r="A194" s="343"/>
      <c r="B194" s="793" t="s">
        <v>472</v>
      </c>
      <c r="C194" s="794"/>
      <c r="D194" s="813" t="s">
        <v>473</v>
      </c>
      <c r="E194" s="814"/>
      <c r="F194" s="814"/>
      <c r="G194" s="814"/>
      <c r="H194" s="815"/>
      <c r="I194" s="650">
        <v>0</v>
      </c>
      <c r="J194" s="651"/>
      <c r="K194" s="651"/>
      <c r="L194" s="651"/>
      <c r="M194" s="651"/>
      <c r="N194" s="651"/>
      <c r="O194" s="652"/>
      <c r="P194" s="784" t="e">
        <f ca="1">ABS(Z6/2/SQRT(3))</f>
        <v>#N/A</v>
      </c>
      <c r="Q194" s="785"/>
      <c r="R194" s="785"/>
      <c r="S194" s="785"/>
      <c r="T194" s="785"/>
      <c r="U194" s="785"/>
      <c r="V194" s="786">
        <f>V193</f>
        <v>0</v>
      </c>
      <c r="W194" s="787"/>
      <c r="X194" s="810" t="s">
        <v>471</v>
      </c>
      <c r="Y194" s="811"/>
      <c r="Z194" s="811"/>
      <c r="AA194" s="811"/>
      <c r="AB194" s="812"/>
      <c r="AC194" s="807">
        <v>1</v>
      </c>
      <c r="AD194" s="808"/>
      <c r="AE194" s="808"/>
      <c r="AF194" s="808"/>
      <c r="AG194" s="809"/>
      <c r="AH194" s="784" t="e">
        <f ca="1">ABS(P194*AC194)</f>
        <v>#N/A</v>
      </c>
      <c r="AI194" s="785"/>
      <c r="AJ194" s="785"/>
      <c r="AK194" s="785"/>
      <c r="AL194" s="785"/>
      <c r="AM194" s="785"/>
      <c r="AN194" s="786">
        <f>V194</f>
        <v>0</v>
      </c>
      <c r="AO194" s="787"/>
      <c r="AP194" s="810">
        <f>1/2*(100/20)^2</f>
        <v>12.5</v>
      </c>
      <c r="AQ194" s="811"/>
      <c r="AR194" s="811"/>
      <c r="AS194" s="812"/>
      <c r="AT194" s="343"/>
    </row>
    <row r="195" spans="1:92" ht="18" customHeight="1">
      <c r="A195" s="343"/>
      <c r="B195" s="793" t="s">
        <v>474</v>
      </c>
      <c r="C195" s="794"/>
      <c r="D195" s="788" t="s">
        <v>475</v>
      </c>
      <c r="E195" s="789"/>
      <c r="F195" s="789"/>
      <c r="G195" s="789"/>
      <c r="H195" s="790"/>
      <c r="I195" s="795" t="e">
        <f ca="1">AN175</f>
        <v>#N/A</v>
      </c>
      <c r="J195" s="796"/>
      <c r="K195" s="796"/>
      <c r="L195" s="796"/>
      <c r="M195" s="786">
        <f>AN174</f>
        <v>0</v>
      </c>
      <c r="N195" s="629"/>
      <c r="O195" s="630"/>
      <c r="P195" s="819" t="s">
        <v>476</v>
      </c>
      <c r="Q195" s="820"/>
      <c r="R195" s="820"/>
      <c r="S195" s="820"/>
      <c r="T195" s="820"/>
      <c r="U195" s="820"/>
      <c r="V195" s="820"/>
      <c r="W195" s="821"/>
      <c r="X195" s="769" t="s">
        <v>477</v>
      </c>
      <c r="Y195" s="774"/>
      <c r="Z195" s="774"/>
      <c r="AA195" s="774"/>
      <c r="AB195" s="773"/>
      <c r="AC195" s="781" t="s">
        <v>476</v>
      </c>
      <c r="AD195" s="782"/>
      <c r="AE195" s="782"/>
      <c r="AF195" s="782"/>
      <c r="AG195" s="783"/>
      <c r="AH195" s="784" t="e">
        <f ca="1">SQRT(SUMSQ(AH189,AH190))</f>
        <v>#N/A</v>
      </c>
      <c r="AI195" s="785"/>
      <c r="AJ195" s="785"/>
      <c r="AK195" s="785"/>
      <c r="AL195" s="785"/>
      <c r="AM195" s="786">
        <f>M195</f>
        <v>0</v>
      </c>
      <c r="AN195" s="786"/>
      <c r="AO195" s="787"/>
      <c r="AP195" s="769" t="s">
        <v>478</v>
      </c>
      <c r="AQ195" s="774"/>
      <c r="AR195" s="774"/>
      <c r="AS195" s="773"/>
      <c r="AT195" s="343"/>
      <c r="BD195" s="158"/>
      <c r="BE195" s="158"/>
      <c r="BF195" s="158"/>
      <c r="BG195" s="158"/>
      <c r="BH195" s="159"/>
      <c r="BI195" s="160"/>
      <c r="BJ195" s="160"/>
      <c r="BK195" s="161"/>
      <c r="BL195" s="161"/>
      <c r="BM195" s="161"/>
      <c r="BN195" s="161"/>
      <c r="BO195" s="161"/>
      <c r="BP195" s="161"/>
      <c r="BQ195" s="161"/>
      <c r="BR195" s="161"/>
      <c r="BS195" s="162"/>
      <c r="BT195" s="349"/>
      <c r="BU195" s="349"/>
      <c r="BV195" s="349"/>
      <c r="BW195" s="355"/>
      <c r="BX195" s="163"/>
      <c r="BY195" s="163"/>
      <c r="BZ195" s="163"/>
      <c r="CA195" s="163"/>
      <c r="CB195" s="163"/>
      <c r="CC195" s="193"/>
      <c r="CD195" s="193"/>
      <c r="CE195" s="193"/>
      <c r="CF195" s="193"/>
      <c r="CG195" s="193"/>
      <c r="CH195" s="159"/>
      <c r="CI195" s="160"/>
      <c r="CJ195" s="160"/>
      <c r="CK195" s="162"/>
      <c r="CL195" s="349"/>
      <c r="CM195" s="349"/>
      <c r="CN195" s="355"/>
    </row>
    <row r="196" spans="1:92" s="343" customFormat="1" ht="18" customHeight="1"/>
    <row r="197" spans="1:92" ht="18" customHeight="1">
      <c r="A197" s="164" t="s">
        <v>479</v>
      </c>
      <c r="B197" s="343"/>
      <c r="C197" s="343"/>
      <c r="D197" s="343"/>
      <c r="E197" s="343"/>
      <c r="F197" s="343"/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  <c r="T197" s="343"/>
      <c r="U197" s="343"/>
      <c r="V197" s="343"/>
      <c r="W197" s="343"/>
      <c r="X197" s="343"/>
      <c r="Y197" s="343"/>
      <c r="Z197" s="343"/>
      <c r="AA197" s="343"/>
      <c r="AB197" s="343"/>
      <c r="AC197" s="343"/>
      <c r="AD197" s="343"/>
      <c r="AE197" s="343"/>
      <c r="AF197" s="343"/>
      <c r="AG197" s="343"/>
      <c r="AH197" s="343"/>
      <c r="AI197" s="343"/>
      <c r="AJ197" s="343"/>
      <c r="AK197" s="343"/>
      <c r="AL197" s="343"/>
      <c r="AM197" s="343"/>
      <c r="AN197" s="343"/>
      <c r="AO197" s="343"/>
      <c r="AP197" s="343"/>
      <c r="AQ197" s="343"/>
      <c r="AR197" s="343"/>
      <c r="AS197" s="343"/>
      <c r="AT197" s="343"/>
    </row>
    <row r="198" spans="1:92" ht="18" customHeight="1">
      <c r="A198" s="164"/>
      <c r="B198" s="164" t="s">
        <v>480</v>
      </c>
      <c r="C198" s="343"/>
      <c r="D198" s="343"/>
      <c r="E198" s="343"/>
      <c r="F198" s="343"/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  <c r="T198" s="343"/>
      <c r="U198" s="343"/>
      <c r="V198" s="343"/>
      <c r="W198" s="343"/>
      <c r="X198" s="343"/>
      <c r="Y198" s="343"/>
      <c r="Z198" s="343"/>
      <c r="AA198" s="343"/>
      <c r="AB198" s="343"/>
      <c r="AC198" s="343"/>
      <c r="AD198" s="343"/>
      <c r="AE198" s="343"/>
      <c r="AF198" s="343"/>
      <c r="AG198" s="343"/>
      <c r="AH198" s="343"/>
      <c r="AI198" s="343"/>
      <c r="AJ198" s="343"/>
      <c r="AK198" s="343"/>
      <c r="AL198" s="343"/>
      <c r="AM198" s="343"/>
      <c r="AN198" s="343"/>
      <c r="AO198" s="343"/>
      <c r="AP198" s="343"/>
      <c r="AQ198" s="343"/>
      <c r="AR198" s="343"/>
      <c r="AS198" s="343"/>
      <c r="AT198" s="343"/>
    </row>
    <row r="199" spans="1:92" ht="18" customHeight="1">
      <c r="A199" s="164"/>
      <c r="B199" s="343" t="s">
        <v>481</v>
      </c>
      <c r="C199" s="343"/>
      <c r="D199" s="343"/>
      <c r="E199" s="343"/>
      <c r="F199" s="343"/>
      <c r="G199" s="823" t="e">
        <f ca="1">I189</f>
        <v>#N/A</v>
      </c>
      <c r="H199" s="823"/>
      <c r="I199" s="823"/>
      <c r="J199" s="823"/>
      <c r="K199" s="823"/>
      <c r="L199" s="825">
        <f>M189</f>
        <v>0</v>
      </c>
      <c r="M199" s="825"/>
      <c r="N199" s="825"/>
      <c r="O199" s="825"/>
      <c r="P199" s="825"/>
      <c r="Q199" s="825"/>
      <c r="R199" s="343"/>
      <c r="S199" s="343"/>
      <c r="T199" s="343"/>
      <c r="U199" s="343"/>
      <c r="V199" s="343"/>
      <c r="W199" s="343"/>
      <c r="X199" s="343"/>
      <c r="Y199" s="343"/>
      <c r="Z199" s="343"/>
      <c r="AA199" s="343"/>
      <c r="AB199" s="343"/>
      <c r="AC199" s="343"/>
      <c r="AD199" s="343"/>
      <c r="AE199" s="343"/>
      <c r="AF199" s="343"/>
      <c r="AG199" s="343"/>
      <c r="AH199" s="343"/>
      <c r="AI199" s="343"/>
      <c r="AJ199" s="343"/>
      <c r="AK199" s="343"/>
      <c r="AL199" s="343"/>
      <c r="AM199" s="343"/>
      <c r="AN199" s="343"/>
      <c r="AO199" s="343"/>
      <c r="AP199" s="343"/>
      <c r="AQ199" s="343"/>
      <c r="AR199" s="343"/>
      <c r="AS199" s="343"/>
      <c r="AT199" s="343"/>
    </row>
    <row r="200" spans="1:92" ht="18" customHeight="1">
      <c r="A200" s="164"/>
      <c r="B200" s="343"/>
      <c r="C200" s="343"/>
      <c r="D200" s="343"/>
      <c r="E200" s="343"/>
      <c r="F200" s="343"/>
      <c r="G200" s="284" t="s">
        <v>144</v>
      </c>
      <c r="H200" s="344"/>
      <c r="I200" s="344"/>
      <c r="J200" s="344"/>
      <c r="K200" s="344"/>
      <c r="L200" s="348"/>
      <c r="M200" s="348"/>
      <c r="N200" s="348"/>
      <c r="O200" s="348"/>
      <c r="P200" s="348"/>
      <c r="Q200" s="348"/>
      <c r="R200" s="343"/>
      <c r="S200" s="343"/>
      <c r="T200" s="343"/>
      <c r="U200" s="343"/>
      <c r="V200" s="343"/>
      <c r="W200" s="343"/>
      <c r="X200" s="343"/>
      <c r="Y200" s="343"/>
      <c r="Z200" s="343"/>
      <c r="AA200" s="343"/>
      <c r="AB200" s="343"/>
      <c r="AC200" s="343"/>
      <c r="AD200" s="343"/>
      <c r="AE200" s="343"/>
      <c r="AF200" s="343"/>
      <c r="AG200" s="343"/>
      <c r="AH200" s="343"/>
      <c r="AI200" s="343"/>
      <c r="AJ200" s="343"/>
      <c r="AK200" s="343"/>
      <c r="AL200" s="343"/>
      <c r="AM200" s="343"/>
      <c r="AN200" s="343"/>
      <c r="AO200" s="343"/>
      <c r="AP200" s="343"/>
      <c r="AQ200" s="343"/>
      <c r="AR200" s="343"/>
      <c r="AS200" s="343"/>
      <c r="AT200" s="343"/>
    </row>
    <row r="201" spans="1:92" ht="18" customHeight="1">
      <c r="A201" s="164"/>
      <c r="B201" s="343"/>
      <c r="C201" s="343"/>
      <c r="D201" s="343"/>
      <c r="E201" s="343"/>
      <c r="F201" s="343"/>
      <c r="G201" s="343" t="s">
        <v>145</v>
      </c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  <c r="T201" s="343"/>
      <c r="U201" s="165"/>
      <c r="V201" s="165"/>
      <c r="W201" s="165"/>
      <c r="X201" s="343"/>
      <c r="Y201" s="166"/>
      <c r="Z201" s="166"/>
      <c r="AA201" s="166"/>
      <c r="AB201" s="166"/>
      <c r="AC201" s="166"/>
      <c r="AD201" s="343"/>
      <c r="AE201" s="343"/>
      <c r="AF201" s="343"/>
      <c r="AG201" s="343"/>
      <c r="AH201" s="343"/>
      <c r="AI201" s="343"/>
      <c r="AJ201" s="343"/>
      <c r="AK201" s="343"/>
      <c r="AL201" s="343"/>
      <c r="AM201" s="343"/>
      <c r="AN201" s="343"/>
      <c r="AO201" s="343"/>
      <c r="AP201" s="343"/>
      <c r="AQ201" s="343"/>
      <c r="AR201" s="343"/>
      <c r="AS201" s="343"/>
      <c r="AT201" s="343"/>
    </row>
    <row r="202" spans="1:92" ht="18" customHeight="1">
      <c r="A202" s="164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  <c r="T202" s="343"/>
      <c r="U202" s="165"/>
      <c r="V202" s="165"/>
      <c r="W202" s="165"/>
      <c r="X202" s="343"/>
      <c r="Y202" s="166"/>
      <c r="Z202" s="166"/>
      <c r="AA202" s="166"/>
      <c r="AB202" s="166"/>
      <c r="AC202" s="166"/>
      <c r="AD202" s="343"/>
      <c r="AE202" s="343"/>
      <c r="AF202" s="343"/>
      <c r="AG202" s="343"/>
      <c r="AH202" s="343"/>
      <c r="AI202" s="343"/>
      <c r="AJ202" s="343"/>
      <c r="AK202" s="343"/>
      <c r="AL202" s="343"/>
      <c r="AM202" s="343"/>
      <c r="AN202" s="343"/>
      <c r="AO202" s="343"/>
      <c r="AP202" s="343"/>
      <c r="AQ202" s="343"/>
      <c r="AR202" s="343"/>
      <c r="AS202" s="343"/>
      <c r="AT202" s="343"/>
    </row>
    <row r="203" spans="1:92" ht="18" customHeight="1">
      <c r="A203" s="164"/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165"/>
      <c r="V203" s="165"/>
      <c r="W203" s="165"/>
      <c r="X203" s="343"/>
      <c r="Y203" s="166"/>
      <c r="Z203" s="166"/>
      <c r="AA203" s="822" t="e">
        <f ca="1">G199</f>
        <v>#N/A</v>
      </c>
      <c r="AB203" s="822"/>
      <c r="AC203" s="822"/>
      <c r="AD203" s="822"/>
      <c r="AE203" s="823">
        <f>L199</f>
        <v>0</v>
      </c>
      <c r="AF203" s="823"/>
      <c r="AG203" s="823"/>
      <c r="AH203" s="343"/>
      <c r="AI203" s="343"/>
      <c r="AJ203" s="343"/>
      <c r="AK203" s="343"/>
      <c r="AL203" s="343"/>
      <c r="AM203" s="343"/>
      <c r="AN203" s="343"/>
      <c r="AO203" s="343"/>
      <c r="AP203" s="343"/>
      <c r="AQ203" s="343"/>
      <c r="AR203" s="343"/>
      <c r="AS203" s="343"/>
      <c r="AT203" s="343"/>
    </row>
    <row r="204" spans="1:92" ht="18" customHeight="1">
      <c r="A204" s="164"/>
      <c r="B204" s="343"/>
      <c r="C204" s="343"/>
      <c r="D204" s="343"/>
      <c r="E204" s="343"/>
      <c r="F204" s="343"/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  <c r="T204" s="343"/>
      <c r="U204" s="165"/>
      <c r="V204" s="165"/>
      <c r="W204" s="165"/>
      <c r="X204" s="343"/>
      <c r="Y204" s="166"/>
      <c r="Z204" s="166"/>
      <c r="AA204" s="822"/>
      <c r="AB204" s="822"/>
      <c r="AC204" s="822"/>
      <c r="AD204" s="822"/>
      <c r="AE204" s="823"/>
      <c r="AF204" s="823"/>
      <c r="AG204" s="823"/>
      <c r="AH204" s="343"/>
      <c r="AI204" s="343"/>
      <c r="AJ204" s="343"/>
      <c r="AK204" s="343"/>
      <c r="AL204" s="343"/>
      <c r="AM204" s="343"/>
      <c r="AN204" s="343"/>
      <c r="AO204" s="343"/>
      <c r="AP204" s="343"/>
      <c r="AQ204" s="343"/>
      <c r="AR204" s="343"/>
      <c r="AS204" s="343"/>
      <c r="AT204" s="343"/>
    </row>
    <row r="205" spans="1:92" ht="18" customHeight="1">
      <c r="A205" s="164"/>
      <c r="B205" s="343"/>
      <c r="C205" s="343"/>
      <c r="D205" s="343"/>
      <c r="E205" s="343"/>
      <c r="F205" s="343"/>
      <c r="G205" s="284" t="s">
        <v>482</v>
      </c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  <c r="T205" s="343"/>
      <c r="U205" s="165"/>
      <c r="V205" s="165"/>
      <c r="W205" s="165"/>
      <c r="X205" s="343"/>
      <c r="Y205" s="166"/>
      <c r="Z205" s="166"/>
      <c r="AA205" s="345"/>
      <c r="AB205" s="345"/>
      <c r="AC205" s="345"/>
      <c r="AD205" s="345"/>
      <c r="AE205" s="344"/>
      <c r="AF205" s="344"/>
      <c r="AG205" s="344"/>
      <c r="AH205" s="343"/>
      <c r="AI205" s="343"/>
      <c r="AJ205" s="343"/>
      <c r="AK205" s="343"/>
      <c r="AL205" s="343"/>
      <c r="AM205" s="343"/>
      <c r="AN205" s="343"/>
      <c r="AO205" s="343"/>
      <c r="AP205" s="343"/>
      <c r="AQ205" s="343"/>
      <c r="AR205" s="343"/>
      <c r="AS205" s="343"/>
      <c r="AT205" s="343"/>
    </row>
    <row r="206" spans="1:92" ht="18" customHeight="1">
      <c r="A206" s="164"/>
      <c r="B206" s="343"/>
      <c r="C206" s="343"/>
      <c r="D206" s="343"/>
      <c r="E206" s="343"/>
      <c r="F206" s="343"/>
      <c r="G206" s="343" t="s">
        <v>483</v>
      </c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  <c r="T206" s="343"/>
      <c r="U206" s="165"/>
      <c r="V206" s="165"/>
      <c r="W206" s="165"/>
      <c r="X206" s="343"/>
      <c r="Y206" s="166"/>
      <c r="Z206" s="166"/>
      <c r="AA206" s="345"/>
      <c r="AB206" s="345"/>
      <c r="AC206" s="345"/>
      <c r="AD206" s="345"/>
      <c r="AE206" s="344"/>
      <c r="AF206" s="344"/>
      <c r="AG206" s="344"/>
      <c r="AH206" s="343"/>
      <c r="AI206" s="343"/>
      <c r="AJ206" s="343"/>
      <c r="AK206" s="343"/>
      <c r="AL206" s="343"/>
      <c r="AM206" s="343"/>
      <c r="AN206" s="343"/>
      <c r="AO206" s="343"/>
      <c r="AP206" s="343"/>
      <c r="AQ206" s="343"/>
      <c r="AR206" s="343"/>
      <c r="AS206" s="343"/>
      <c r="AT206" s="343"/>
    </row>
    <row r="207" spans="1:92" ht="18" customHeight="1">
      <c r="A207" s="164"/>
      <c r="B207" s="343"/>
      <c r="C207" s="343"/>
      <c r="D207" s="343"/>
      <c r="E207" s="343"/>
      <c r="F207" s="343"/>
      <c r="G207" s="343"/>
      <c r="H207" s="343"/>
      <c r="I207" s="343"/>
      <c r="J207" s="343"/>
      <c r="K207" s="169" t="s">
        <v>484</v>
      </c>
      <c r="L207" s="823" t="e">
        <f ca="1">G199</f>
        <v>#N/A</v>
      </c>
      <c r="M207" s="823"/>
      <c r="N207" s="823"/>
      <c r="O207" s="823"/>
      <c r="P207" s="823">
        <f>L199</f>
        <v>0</v>
      </c>
      <c r="Q207" s="823"/>
      <c r="R207" s="823"/>
      <c r="S207" s="343"/>
      <c r="T207" s="343"/>
      <c r="U207" s="165"/>
      <c r="V207" s="165"/>
      <c r="W207" s="165"/>
      <c r="X207" s="343"/>
      <c r="Y207" s="166"/>
      <c r="Z207" s="166"/>
      <c r="AA207" s="345"/>
      <c r="AB207" s="345"/>
      <c r="AC207" s="345"/>
      <c r="AD207" s="345"/>
      <c r="AE207" s="344"/>
      <c r="AF207" s="344"/>
      <c r="AG207" s="344"/>
      <c r="AH207" s="343"/>
      <c r="AI207" s="343"/>
      <c r="AJ207" s="343"/>
      <c r="AK207" s="343"/>
      <c r="AL207" s="343"/>
      <c r="AM207" s="343"/>
      <c r="AN207" s="343"/>
      <c r="AO207" s="343"/>
      <c r="AP207" s="343"/>
      <c r="AQ207" s="343"/>
      <c r="AR207" s="343"/>
      <c r="AS207" s="343"/>
      <c r="AT207" s="343"/>
    </row>
    <row r="208" spans="1:92" ht="18" customHeight="1">
      <c r="A208" s="164"/>
      <c r="B208" s="343"/>
      <c r="C208" s="343"/>
      <c r="D208" s="343"/>
      <c r="E208" s="343"/>
      <c r="F208" s="343"/>
      <c r="G208" s="343"/>
      <c r="H208" s="155" t="s">
        <v>485</v>
      </c>
      <c r="I208" s="347" t="s">
        <v>486</v>
      </c>
      <c r="J208" s="343" t="s">
        <v>487</v>
      </c>
      <c r="K208" s="343"/>
      <c r="L208" s="343"/>
      <c r="M208" s="343"/>
      <c r="N208" s="343"/>
      <c r="O208" s="343"/>
      <c r="P208" s="343"/>
      <c r="Q208" s="343"/>
      <c r="R208" s="343"/>
      <c r="S208" s="343"/>
      <c r="T208" s="343"/>
      <c r="U208" s="165"/>
      <c r="V208" s="165"/>
      <c r="W208" s="165"/>
      <c r="X208" s="343"/>
      <c r="Y208" s="166"/>
      <c r="Z208" s="166"/>
      <c r="AA208" s="345"/>
      <c r="AB208" s="345"/>
      <c r="AC208" s="345"/>
      <c r="AD208" s="345"/>
      <c r="AE208" s="344"/>
      <c r="AF208" s="344"/>
      <c r="AG208" s="344"/>
      <c r="AH208" s="343"/>
      <c r="AI208" s="343"/>
      <c r="AJ208" s="343"/>
      <c r="AK208" s="343"/>
      <c r="AL208" s="343"/>
      <c r="AM208" s="343"/>
      <c r="AN208" s="343"/>
      <c r="AO208" s="343"/>
      <c r="AP208" s="343"/>
      <c r="AQ208" s="343"/>
      <c r="AR208" s="343"/>
      <c r="AS208" s="343"/>
      <c r="AT208" s="343"/>
    </row>
    <row r="209" spans="1:46" ht="18" customHeight="1">
      <c r="A209" s="164"/>
      <c r="B209" s="343"/>
      <c r="C209" s="343"/>
      <c r="D209" s="343"/>
      <c r="E209" s="343"/>
      <c r="F209" s="343"/>
      <c r="G209" s="343"/>
      <c r="H209" s="155" t="s">
        <v>488</v>
      </c>
      <c r="I209" s="347" t="s">
        <v>489</v>
      </c>
      <c r="J209" s="824" t="e">
        <f ca="1">OFFSET(표준압력!H13,AX6,0)</f>
        <v>#N/A</v>
      </c>
      <c r="K209" s="824"/>
      <c r="L209" s="824"/>
      <c r="M209" s="824"/>
      <c r="N209" s="824"/>
      <c r="O209" s="824"/>
      <c r="P209" s="824"/>
      <c r="Q209" s="343"/>
      <c r="R209" s="343"/>
      <c r="S209" s="343"/>
      <c r="T209" s="343"/>
      <c r="U209" s="165"/>
      <c r="V209" s="165"/>
      <c r="W209" s="165"/>
      <c r="X209" s="343"/>
      <c r="Y209" s="166"/>
      <c r="Z209" s="166"/>
      <c r="AA209" s="345"/>
      <c r="AB209" s="345"/>
      <c r="AC209" s="345"/>
      <c r="AD209" s="345"/>
      <c r="AE209" s="344"/>
      <c r="AF209" s="344"/>
      <c r="AG209" s="344"/>
      <c r="AH209" s="343"/>
      <c r="AI209" s="343"/>
      <c r="AJ209" s="343"/>
      <c r="AK209" s="343"/>
      <c r="AL209" s="343"/>
      <c r="AM209" s="343"/>
      <c r="AN209" s="343"/>
      <c r="AO209" s="343"/>
      <c r="AP209" s="343"/>
      <c r="AQ209" s="343"/>
      <c r="AR209" s="343"/>
      <c r="AS209" s="343"/>
      <c r="AT209" s="343"/>
    </row>
    <row r="210" spans="1:46" ht="18" customHeight="1">
      <c r="A210" s="164"/>
      <c r="B210" s="343"/>
      <c r="C210" s="343"/>
      <c r="D210" s="343"/>
      <c r="E210" s="343"/>
      <c r="F210" s="343"/>
      <c r="G210" s="343"/>
      <c r="H210" s="155" t="s">
        <v>490</v>
      </c>
      <c r="I210" s="347" t="s">
        <v>486</v>
      </c>
      <c r="J210" s="824" t="e">
        <f ca="1">OFFSET(표준압력!I13,AX6,0)</f>
        <v>#N/A</v>
      </c>
      <c r="K210" s="824"/>
      <c r="L210" s="824"/>
      <c r="M210" s="824"/>
      <c r="N210" s="824"/>
      <c r="O210" s="824"/>
      <c r="P210" s="824"/>
      <c r="Q210" s="343"/>
      <c r="R210" s="343"/>
      <c r="S210" s="343"/>
      <c r="T210" s="343"/>
      <c r="U210" s="165"/>
      <c r="V210" s="165"/>
      <c r="W210" s="165"/>
      <c r="X210" s="343"/>
      <c r="Y210" s="166"/>
      <c r="Z210" s="166"/>
      <c r="AA210" s="345"/>
      <c r="AB210" s="345"/>
      <c r="AC210" s="345"/>
      <c r="AD210" s="345"/>
      <c r="AE210" s="344"/>
      <c r="AF210" s="344"/>
      <c r="AG210" s="344"/>
      <c r="AH210" s="343"/>
      <c r="AI210" s="343"/>
      <c r="AJ210" s="343"/>
      <c r="AK210" s="343"/>
      <c r="AL210" s="343"/>
      <c r="AM210" s="343"/>
      <c r="AN210" s="343"/>
      <c r="AO210" s="343"/>
      <c r="AP210" s="343"/>
      <c r="AQ210" s="343"/>
      <c r="AR210" s="343"/>
      <c r="AS210" s="343"/>
      <c r="AT210" s="343"/>
    </row>
    <row r="211" spans="1:46" ht="18" customHeight="1">
      <c r="A211" s="164"/>
      <c r="B211" s="343"/>
      <c r="C211" s="343"/>
      <c r="D211" s="343"/>
      <c r="E211" s="343"/>
      <c r="F211" s="343"/>
      <c r="G211" s="343"/>
      <c r="H211" s="155" t="s">
        <v>491</v>
      </c>
      <c r="I211" s="347" t="s">
        <v>489</v>
      </c>
      <c r="J211" s="285" t="s">
        <v>492</v>
      </c>
      <c r="K211" s="285"/>
      <c r="L211" s="285"/>
      <c r="M211" s="285"/>
      <c r="N211" s="285"/>
      <c r="O211" s="285"/>
      <c r="P211" s="285"/>
      <c r="Q211" s="343"/>
      <c r="R211" s="343"/>
      <c r="S211" s="343"/>
      <c r="T211" s="343"/>
      <c r="U211" s="165"/>
      <c r="V211" s="165"/>
      <c r="W211" s="165"/>
      <c r="X211" s="343"/>
      <c r="Y211" s="166"/>
      <c r="Z211" s="166"/>
      <c r="AA211" s="345"/>
      <c r="AB211" s="345"/>
      <c r="AC211" s="345"/>
      <c r="AD211" s="345"/>
      <c r="AE211" s="344"/>
      <c r="AF211" s="344"/>
      <c r="AG211" s="344"/>
      <c r="AH211" s="343"/>
      <c r="AI211" s="343"/>
      <c r="AJ211" s="343"/>
      <c r="AK211" s="343"/>
      <c r="AL211" s="343"/>
      <c r="AM211" s="343"/>
      <c r="AN211" s="343"/>
      <c r="AO211" s="343"/>
      <c r="AP211" s="343"/>
      <c r="AQ211" s="343"/>
      <c r="AR211" s="343"/>
      <c r="AS211" s="343"/>
      <c r="AT211" s="343"/>
    </row>
    <row r="212" spans="1:46" ht="18" customHeight="1">
      <c r="A212" s="164"/>
      <c r="B212" s="343" t="s">
        <v>493</v>
      </c>
      <c r="C212" s="343"/>
      <c r="D212" s="343"/>
      <c r="E212" s="343"/>
      <c r="F212" s="343"/>
      <c r="G212" s="343"/>
      <c r="H212" s="343"/>
      <c r="I212" s="343" t="e">
        <f ca="1">"※ 표준기의 불확도 평가결과에서 계산된 측정불확도는 "&amp;TRIM(TEXT(AF6,"0.### ###"))&amp;" "&amp;AL6&amp;" 이고,"</f>
        <v>#N/A</v>
      </c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  <c r="T212" s="343"/>
      <c r="U212" s="167"/>
      <c r="V212" s="167"/>
      <c r="W212" s="167"/>
      <c r="X212" s="343"/>
      <c r="Y212" s="168"/>
      <c r="Z212" s="168"/>
      <c r="AA212" s="168"/>
      <c r="AB212" s="166"/>
      <c r="AC212" s="166"/>
      <c r="AD212" s="343"/>
      <c r="AE212" s="343"/>
      <c r="AF212" s="343"/>
      <c r="AG212" s="343"/>
      <c r="AH212" s="343"/>
      <c r="AI212" s="343"/>
      <c r="AJ212" s="343"/>
      <c r="AK212" s="343"/>
      <c r="AL212" s="343"/>
      <c r="AM212" s="343"/>
      <c r="AN212" s="343"/>
      <c r="AO212" s="343"/>
      <c r="AP212" s="343"/>
      <c r="AQ212" s="343"/>
      <c r="AR212" s="343"/>
      <c r="AS212" s="343"/>
      <c r="AT212" s="343"/>
    </row>
    <row r="213" spans="1:46" ht="18" customHeight="1">
      <c r="A213" s="164"/>
      <c r="B213" s="343"/>
      <c r="C213" s="343"/>
      <c r="D213" s="343"/>
      <c r="E213" s="343"/>
      <c r="F213" s="343"/>
      <c r="G213" s="343"/>
      <c r="H213" s="343"/>
      <c r="I213" s="343"/>
      <c r="J213" s="343" t="e">
        <f ca="1">"표준기 압력값은 "&amp;TEXT(N214,"0.000000")&amp;" "&amp;L199&amp;" 이므로 아래와 같이 계산된다."</f>
        <v>#N/A</v>
      </c>
      <c r="K213" s="343"/>
      <c r="L213" s="343"/>
      <c r="M213" s="343"/>
      <c r="N213" s="343"/>
      <c r="O213" s="343"/>
      <c r="P213" s="343"/>
      <c r="Q213" s="343"/>
      <c r="R213" s="343"/>
      <c r="S213" s="343"/>
      <c r="T213" s="343"/>
      <c r="U213" s="167"/>
      <c r="V213" s="167"/>
      <c r="W213" s="167"/>
      <c r="X213" s="343"/>
      <c r="Y213" s="168"/>
      <c r="Z213" s="168"/>
      <c r="AA213" s="168"/>
      <c r="AB213" s="166"/>
      <c r="AC213" s="166"/>
      <c r="AD213" s="343"/>
      <c r="AE213" s="343"/>
      <c r="AF213" s="343"/>
      <c r="AG213" s="343"/>
      <c r="AH213" s="343"/>
      <c r="AI213" s="343"/>
      <c r="AJ213" s="343"/>
      <c r="AK213" s="343"/>
      <c r="AL213" s="343"/>
      <c r="AM213" s="343"/>
      <c r="AN213" s="343"/>
      <c r="AO213" s="343"/>
      <c r="AP213" s="343"/>
      <c r="AQ213" s="343"/>
      <c r="AR213" s="343"/>
      <c r="AS213" s="343"/>
      <c r="AT213" s="343"/>
    </row>
    <row r="214" spans="1:46" ht="18" customHeight="1">
      <c r="A214" s="164"/>
      <c r="B214" s="343"/>
      <c r="C214" s="343"/>
      <c r="D214" s="343"/>
      <c r="E214" s="343"/>
      <c r="F214" s="343"/>
      <c r="G214" s="343"/>
      <c r="H214" s="343"/>
      <c r="I214" s="343"/>
      <c r="J214" s="343"/>
      <c r="K214" s="343"/>
      <c r="L214" s="343"/>
      <c r="M214" s="343"/>
      <c r="N214" s="822" t="e">
        <f ca="1">AA203</f>
        <v>#N/A</v>
      </c>
      <c r="O214" s="660"/>
      <c r="P214" s="660"/>
      <c r="Q214" s="660"/>
      <c r="R214" s="660"/>
      <c r="S214" s="829" t="s">
        <v>494</v>
      </c>
      <c r="T214" s="830" t="e">
        <f ca="1">AF6/100</f>
        <v>#N/A</v>
      </c>
      <c r="U214" s="830"/>
      <c r="V214" s="830"/>
      <c r="W214" s="830"/>
      <c r="X214" s="830"/>
      <c r="Y214" s="829" t="s">
        <v>495</v>
      </c>
      <c r="Z214" s="822" t="e">
        <f ca="1">P189</f>
        <v>#N/A</v>
      </c>
      <c r="AA214" s="822"/>
      <c r="AB214" s="822"/>
      <c r="AC214" s="822"/>
      <c r="AD214" s="823">
        <f>AE203</f>
        <v>0</v>
      </c>
      <c r="AE214" s="823"/>
      <c r="AF214" s="823"/>
      <c r="AG214" s="343"/>
      <c r="AH214" s="343"/>
      <c r="AI214" s="343"/>
      <c r="AJ214" s="343"/>
      <c r="AK214" s="343"/>
      <c r="AL214" s="343"/>
      <c r="AM214" s="343"/>
      <c r="AN214" s="343"/>
      <c r="AO214" s="343"/>
      <c r="AP214" s="343"/>
      <c r="AQ214" s="343"/>
      <c r="AR214" s="343"/>
      <c r="AS214" s="343"/>
      <c r="AT214" s="343"/>
    </row>
    <row r="215" spans="1:46" ht="18" customHeight="1">
      <c r="A215" s="164"/>
      <c r="B215" s="343"/>
      <c r="C215" s="343"/>
      <c r="D215" s="343"/>
      <c r="E215" s="343"/>
      <c r="F215" s="343"/>
      <c r="G215" s="343"/>
      <c r="H215" s="343"/>
      <c r="I215" s="343"/>
      <c r="J215" s="343"/>
      <c r="K215" s="343"/>
      <c r="L215" s="343"/>
      <c r="M215" s="343"/>
      <c r="N215" s="660"/>
      <c r="O215" s="660"/>
      <c r="P215" s="660"/>
      <c r="Q215" s="660"/>
      <c r="R215" s="660"/>
      <c r="S215" s="829"/>
      <c r="T215" s="679">
        <f>AR6</f>
        <v>2</v>
      </c>
      <c r="U215" s="679"/>
      <c r="V215" s="679"/>
      <c r="W215" s="679"/>
      <c r="X215" s="679"/>
      <c r="Y215" s="829"/>
      <c r="Z215" s="822"/>
      <c r="AA215" s="822"/>
      <c r="AB215" s="822"/>
      <c r="AC215" s="822"/>
      <c r="AD215" s="823"/>
      <c r="AE215" s="823"/>
      <c r="AF215" s="823"/>
      <c r="AG215" s="343"/>
      <c r="AH215" s="343"/>
      <c r="AI215" s="343"/>
      <c r="AJ215" s="343"/>
      <c r="AK215" s="343"/>
      <c r="AL215" s="343"/>
      <c r="AM215" s="343"/>
      <c r="AN215" s="343"/>
      <c r="AO215" s="343"/>
      <c r="AP215" s="343"/>
      <c r="AQ215" s="343"/>
      <c r="AR215" s="343"/>
      <c r="AS215" s="343"/>
      <c r="AT215" s="343"/>
    </row>
    <row r="216" spans="1:46" ht="18" customHeight="1">
      <c r="A216" s="164"/>
      <c r="B216" s="343" t="s">
        <v>496</v>
      </c>
      <c r="C216" s="343"/>
      <c r="D216" s="343"/>
      <c r="E216" s="343"/>
      <c r="F216" s="343"/>
      <c r="G216" s="343"/>
      <c r="H216" s="826" t="str">
        <f>X189</f>
        <v>정규</v>
      </c>
      <c r="I216" s="826"/>
      <c r="J216" s="826"/>
      <c r="K216" s="826"/>
      <c r="L216" s="826"/>
      <c r="M216" s="343"/>
      <c r="N216" s="343"/>
      <c r="O216" s="343"/>
      <c r="P216" s="343"/>
      <c r="Q216" s="343"/>
      <c r="R216" s="343"/>
      <c r="S216" s="343"/>
      <c r="T216" s="343"/>
      <c r="U216" s="343"/>
      <c r="V216" s="343"/>
      <c r="W216" s="343"/>
      <c r="X216" s="343"/>
      <c r="Y216" s="343"/>
      <c r="Z216" s="343"/>
      <c r="AA216" s="343"/>
      <c r="AB216" s="343"/>
      <c r="AC216" s="343"/>
      <c r="AD216" s="343"/>
      <c r="AE216" s="343"/>
      <c r="AF216" s="343"/>
      <c r="AG216" s="343"/>
      <c r="AH216" s="343"/>
      <c r="AI216" s="343"/>
      <c r="AJ216" s="343"/>
      <c r="AK216" s="343"/>
      <c r="AL216" s="343"/>
      <c r="AM216" s="343"/>
      <c r="AN216" s="343"/>
      <c r="AO216" s="343"/>
      <c r="AP216" s="343"/>
      <c r="AQ216" s="343"/>
      <c r="AR216" s="343"/>
      <c r="AS216" s="343"/>
      <c r="AT216" s="343"/>
    </row>
    <row r="217" spans="1:46" ht="18" customHeight="1">
      <c r="A217" s="164"/>
      <c r="B217" s="826" t="s">
        <v>497</v>
      </c>
      <c r="C217" s="826"/>
      <c r="D217" s="826"/>
      <c r="E217" s="826"/>
      <c r="F217" s="826"/>
      <c r="G217" s="826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  <c r="T217" s="343"/>
      <c r="U217" s="343"/>
      <c r="V217" s="343"/>
      <c r="W217" s="343"/>
      <c r="X217" s="343"/>
      <c r="Y217" s="343"/>
      <c r="Z217" s="343"/>
      <c r="AA217" s="343"/>
      <c r="AB217" s="343"/>
      <c r="AC217" s="343"/>
      <c r="AD217" s="343"/>
      <c r="AE217" s="343"/>
      <c r="AF217" s="343"/>
      <c r="AG217" s="343"/>
      <c r="AH217" s="343"/>
      <c r="AI217" s="343"/>
      <c r="AJ217" s="343"/>
      <c r="AK217" s="343"/>
      <c r="AL217" s="343"/>
      <c r="AM217" s="343"/>
      <c r="AN217" s="343"/>
      <c r="AO217" s="343"/>
      <c r="AP217" s="343"/>
      <c r="AQ217" s="343"/>
      <c r="AR217" s="343"/>
      <c r="AS217" s="343"/>
      <c r="AT217" s="343"/>
    </row>
    <row r="218" spans="1:46" ht="18" customHeight="1">
      <c r="A218" s="164"/>
      <c r="B218" s="826"/>
      <c r="C218" s="826"/>
      <c r="D218" s="826"/>
      <c r="E218" s="826"/>
      <c r="F218" s="826"/>
      <c r="G218" s="826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  <c r="T218" s="343"/>
      <c r="U218" s="343"/>
      <c r="V218" s="343"/>
      <c r="W218" s="343"/>
      <c r="X218" s="343"/>
      <c r="Y218" s="343"/>
      <c r="Z218" s="343"/>
      <c r="AH218" s="343"/>
      <c r="AI218" s="343"/>
      <c r="AJ218" s="343"/>
      <c r="AK218" s="343"/>
      <c r="AL218" s="343"/>
      <c r="AM218" s="343"/>
      <c r="AN218" s="343"/>
      <c r="AO218" s="343"/>
      <c r="AP218" s="343"/>
      <c r="AQ218" s="343"/>
      <c r="AR218" s="343"/>
      <c r="AS218" s="343"/>
      <c r="AT218" s="343"/>
    </row>
    <row r="219" spans="1:46" ht="18" customHeight="1">
      <c r="A219" s="164"/>
      <c r="B219" s="343" t="s">
        <v>498</v>
      </c>
      <c r="C219" s="343"/>
      <c r="D219" s="343"/>
      <c r="E219" s="343"/>
      <c r="F219" s="343"/>
      <c r="G219" s="343"/>
      <c r="H219" s="343"/>
      <c r="I219" s="343"/>
      <c r="J219" s="343"/>
      <c r="K219" s="169" t="s">
        <v>499</v>
      </c>
      <c r="L219" s="823" t="e">
        <f ca="1">Z214</f>
        <v>#N/A</v>
      </c>
      <c r="M219" s="823"/>
      <c r="N219" s="823"/>
      <c r="O219" s="823"/>
      <c r="P219" s="822">
        <f>AD214</f>
        <v>0</v>
      </c>
      <c r="Q219" s="822"/>
      <c r="R219" s="170" t="s">
        <v>500</v>
      </c>
      <c r="S219" s="823" t="e">
        <f ca="1">1*L219</f>
        <v>#N/A</v>
      </c>
      <c r="T219" s="823"/>
      <c r="U219" s="823"/>
      <c r="V219" s="823"/>
      <c r="W219" s="822">
        <f>P219</f>
        <v>0</v>
      </c>
      <c r="X219" s="822"/>
      <c r="Y219" s="344"/>
      <c r="Z219" s="286"/>
      <c r="AA219" s="343"/>
      <c r="AB219" s="343"/>
      <c r="AC219" s="343"/>
      <c r="AD219" s="343"/>
      <c r="AE219" s="343"/>
      <c r="AF219" s="343"/>
      <c r="AG219" s="343"/>
      <c r="AH219" s="343"/>
      <c r="AI219" s="343"/>
      <c r="AJ219" s="343"/>
      <c r="AK219" s="343"/>
      <c r="AL219" s="343"/>
      <c r="AM219" s="343"/>
      <c r="AN219" s="343"/>
      <c r="AO219" s="343"/>
      <c r="AP219" s="343"/>
      <c r="AQ219" s="343"/>
      <c r="AR219" s="343"/>
      <c r="AS219" s="343"/>
      <c r="AT219" s="343"/>
    </row>
    <row r="220" spans="1:46" ht="18" customHeight="1">
      <c r="A220" s="164"/>
      <c r="B220" s="343" t="s">
        <v>501</v>
      </c>
      <c r="C220" s="343"/>
      <c r="D220" s="343"/>
      <c r="E220" s="343"/>
      <c r="F220" s="343"/>
      <c r="G220" s="343"/>
      <c r="H220" s="343"/>
      <c r="I220" s="343"/>
      <c r="J220" s="343"/>
      <c r="K220" s="171" t="s">
        <v>502</v>
      </c>
      <c r="L220" s="826" t="str">
        <f>AP189</f>
        <v>∞</v>
      </c>
      <c r="M220" s="826"/>
      <c r="N220" s="826"/>
      <c r="O220" s="826"/>
      <c r="P220" s="826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343"/>
      <c r="AB220" s="343"/>
      <c r="AC220" s="343"/>
      <c r="AD220" s="343"/>
      <c r="AE220" s="343"/>
      <c r="AF220" s="343"/>
      <c r="AG220" s="343"/>
      <c r="AH220" s="343"/>
      <c r="AI220" s="343"/>
      <c r="AJ220" s="343"/>
      <c r="AK220" s="343"/>
      <c r="AL220" s="343"/>
      <c r="AM220" s="343"/>
      <c r="AN220" s="343"/>
      <c r="AO220" s="343"/>
      <c r="AP220" s="343"/>
      <c r="AQ220" s="343"/>
      <c r="AR220" s="343"/>
      <c r="AS220" s="343"/>
      <c r="AT220" s="343"/>
    </row>
    <row r="221" spans="1:46" ht="18" customHeight="1">
      <c r="A221" s="164"/>
      <c r="B221" s="343"/>
      <c r="C221" s="343"/>
      <c r="D221" s="343"/>
      <c r="E221" s="343"/>
      <c r="F221" s="343"/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  <c r="T221" s="343"/>
      <c r="U221" s="343"/>
      <c r="V221" s="343"/>
      <c r="W221" s="343"/>
      <c r="X221" s="343"/>
      <c r="Y221" s="343"/>
      <c r="Z221" s="343"/>
      <c r="AA221" s="343"/>
      <c r="AB221" s="343"/>
      <c r="AC221" s="343"/>
      <c r="AD221" s="343"/>
      <c r="AE221" s="343"/>
      <c r="AF221" s="343"/>
      <c r="AG221" s="343"/>
      <c r="AH221" s="343"/>
      <c r="AI221" s="343"/>
      <c r="AJ221" s="343"/>
      <c r="AK221" s="343"/>
      <c r="AL221" s="343"/>
      <c r="AM221" s="343"/>
      <c r="AN221" s="343"/>
      <c r="AO221" s="343"/>
      <c r="AP221" s="343"/>
      <c r="AQ221" s="343"/>
      <c r="AR221" s="343"/>
      <c r="AS221" s="343"/>
      <c r="AT221" s="343"/>
    </row>
    <row r="222" spans="1:46" ht="18" customHeight="1">
      <c r="A222" s="164"/>
      <c r="B222" s="172" t="s">
        <v>503</v>
      </c>
      <c r="C222" s="343"/>
      <c r="D222" s="343"/>
      <c r="E222" s="343"/>
      <c r="F222" s="343"/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  <c r="T222" s="343"/>
      <c r="U222" s="343"/>
      <c r="V222" s="343"/>
      <c r="W222" s="343"/>
      <c r="X222" s="343"/>
      <c r="Y222" s="343"/>
      <c r="Z222" s="343"/>
      <c r="AA222" s="343"/>
      <c r="AB222" s="343"/>
      <c r="AC222" s="343"/>
      <c r="AD222" s="343"/>
      <c r="AE222" s="343"/>
      <c r="AF222" s="343"/>
      <c r="AG222" s="343"/>
      <c r="AH222" s="343"/>
      <c r="AI222" s="343"/>
      <c r="AJ222" s="343"/>
      <c r="AK222" s="343"/>
      <c r="AL222" s="343"/>
      <c r="AM222" s="343"/>
      <c r="AN222" s="343"/>
      <c r="AO222" s="343"/>
      <c r="AP222" s="343"/>
      <c r="AQ222" s="343"/>
      <c r="AR222" s="343"/>
      <c r="AS222" s="343"/>
      <c r="AT222" s="343"/>
    </row>
    <row r="223" spans="1:46" ht="18" customHeight="1">
      <c r="A223" s="164"/>
      <c r="B223" s="343" t="s">
        <v>504</v>
      </c>
      <c r="C223" s="343"/>
      <c r="D223" s="343"/>
      <c r="E223" s="343"/>
      <c r="F223" s="343"/>
      <c r="G223" s="823" t="e">
        <f ca="1">I190</f>
        <v>#N/A</v>
      </c>
      <c r="H223" s="823"/>
      <c r="I223" s="823"/>
      <c r="J223" s="823"/>
      <c r="K223" s="823"/>
      <c r="L223" s="825">
        <f>M190</f>
        <v>0</v>
      </c>
      <c r="M223" s="825"/>
      <c r="N223" s="825"/>
      <c r="O223" s="825"/>
      <c r="P223" s="825"/>
      <c r="Q223" s="825"/>
      <c r="R223" s="343"/>
      <c r="S223" s="343"/>
      <c r="T223" s="343"/>
      <c r="U223" s="343"/>
      <c r="V223" s="343"/>
      <c r="W223" s="343"/>
      <c r="X223" s="343"/>
      <c r="Y223" s="343"/>
      <c r="Z223" s="343"/>
      <c r="AA223" s="343"/>
      <c r="AB223" s="343"/>
      <c r="AC223" s="343"/>
      <c r="AD223" s="343"/>
      <c r="AE223" s="343"/>
      <c r="AF223" s="343"/>
      <c r="AG223" s="343"/>
      <c r="AH223" s="343"/>
      <c r="AI223" s="343"/>
      <c r="AJ223" s="343"/>
      <c r="AK223" s="343"/>
      <c r="AL223" s="343"/>
      <c r="AM223" s="343"/>
      <c r="AN223" s="343"/>
      <c r="AO223" s="343"/>
      <c r="AP223" s="343"/>
      <c r="AQ223" s="343"/>
      <c r="AR223" s="343"/>
      <c r="AS223" s="343"/>
      <c r="AT223" s="343"/>
    </row>
    <row r="224" spans="1:46" ht="18" customHeight="1">
      <c r="A224" s="164"/>
      <c r="B224" s="343" t="s">
        <v>505</v>
      </c>
      <c r="C224" s="343"/>
      <c r="D224" s="343"/>
      <c r="E224" s="343"/>
      <c r="F224" s="343"/>
      <c r="G224" s="343"/>
      <c r="H224" s="343"/>
      <c r="I224" s="343" t="s">
        <v>506</v>
      </c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  <c r="T224" s="343"/>
      <c r="U224" s="167"/>
      <c r="V224" s="167"/>
      <c r="W224" s="167"/>
      <c r="X224" s="343"/>
      <c r="Y224" s="168"/>
      <c r="Z224" s="168"/>
      <c r="AA224" s="168"/>
      <c r="AB224" s="166"/>
      <c r="AC224" s="166"/>
      <c r="AD224" s="343"/>
      <c r="AE224" s="343"/>
      <c r="AF224" s="343"/>
      <c r="AG224" s="343"/>
      <c r="AH224" s="343"/>
      <c r="AI224" s="343"/>
      <c r="AJ224" s="343"/>
      <c r="AK224" s="343"/>
      <c r="AL224" s="343"/>
      <c r="AM224" s="343"/>
      <c r="AN224" s="343"/>
      <c r="AO224" s="343"/>
      <c r="AP224" s="343"/>
      <c r="AQ224" s="343"/>
      <c r="AR224" s="343"/>
      <c r="AS224" s="343"/>
      <c r="AT224" s="343"/>
    </row>
    <row r="225" spans="1:64" ht="18" customHeight="1">
      <c r="A225" s="164"/>
      <c r="B225" s="343"/>
      <c r="C225" s="343"/>
      <c r="D225" s="343"/>
      <c r="E225" s="343"/>
      <c r="F225" s="343"/>
      <c r="G225" s="343"/>
      <c r="H225" s="343"/>
      <c r="I225" s="343"/>
      <c r="J225" s="343"/>
      <c r="K225" s="343"/>
      <c r="L225" s="343"/>
      <c r="M225" s="343"/>
      <c r="N225" s="343"/>
      <c r="O225" s="343"/>
      <c r="P225" s="827"/>
      <c r="Q225" s="827"/>
      <c r="R225" s="343"/>
      <c r="S225" s="173"/>
      <c r="T225" s="174"/>
      <c r="U225" s="174"/>
      <c r="V225" s="174"/>
      <c r="W225" s="174"/>
      <c r="X225" s="174"/>
      <c r="Y225" s="174"/>
      <c r="Z225" s="174"/>
      <c r="AA225" s="174"/>
      <c r="AB225" s="174"/>
      <c r="AC225" s="174"/>
      <c r="AD225" s="174"/>
      <c r="AE225" s="174"/>
      <c r="AF225" s="174"/>
      <c r="AG225" s="174"/>
      <c r="AH225" s="174"/>
      <c r="AI225" s="174"/>
      <c r="AJ225" s="174"/>
      <c r="AK225" s="174"/>
      <c r="AL225" s="343"/>
      <c r="AM225" s="343"/>
      <c r="AN225" s="343"/>
      <c r="AO225" s="343"/>
      <c r="AP225" s="343"/>
      <c r="AQ225" s="343"/>
      <c r="AR225" s="343"/>
      <c r="AS225" s="343"/>
      <c r="AT225" s="343"/>
    </row>
    <row r="226" spans="1:64" ht="18" customHeight="1">
      <c r="A226" s="164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828" t="e">
        <f ca="1">S244</f>
        <v>#N/A</v>
      </c>
      <c r="O226" s="828"/>
      <c r="P226" s="828"/>
      <c r="Q226" s="343"/>
      <c r="R226" s="347" t="s">
        <v>148</v>
      </c>
      <c r="S226" s="343"/>
      <c r="T226" s="828" t="e">
        <f ca="1">S257</f>
        <v>#VALUE!</v>
      </c>
      <c r="U226" s="828"/>
      <c r="V226" s="828"/>
      <c r="W226" s="343"/>
      <c r="X226" s="347" t="s">
        <v>148</v>
      </c>
      <c r="Y226" s="343"/>
      <c r="Z226" s="828" t="e">
        <f ca="1">S278</f>
        <v>#N/A</v>
      </c>
      <c r="AA226" s="828"/>
      <c r="AB226" s="828"/>
      <c r="AC226" s="343"/>
      <c r="AD226" s="347" t="s">
        <v>507</v>
      </c>
      <c r="AE226" s="343"/>
      <c r="AF226" s="828" t="e">
        <f ca="1">S292</f>
        <v>#N/A</v>
      </c>
      <c r="AG226" s="828"/>
      <c r="AH226" s="828"/>
      <c r="AI226" s="343"/>
      <c r="AJ226" s="175" t="s">
        <v>508</v>
      </c>
      <c r="AK226" s="823" t="e">
        <f ca="1">P190</f>
        <v>#N/A</v>
      </c>
      <c r="AL226" s="823"/>
      <c r="AM226" s="823"/>
      <c r="AN226" s="823"/>
      <c r="AO226" s="822">
        <f>U190</f>
        <v>0</v>
      </c>
      <c r="AP226" s="822"/>
      <c r="AQ226" s="344"/>
      <c r="AR226" s="286"/>
      <c r="AS226" s="343"/>
      <c r="AT226" s="343"/>
    </row>
    <row r="227" spans="1:64" ht="18" customHeight="1">
      <c r="A227" s="164"/>
      <c r="B227" s="343" t="s">
        <v>149</v>
      </c>
      <c r="C227" s="343"/>
      <c r="D227" s="343"/>
      <c r="E227" s="343"/>
      <c r="F227" s="343"/>
      <c r="G227" s="343"/>
      <c r="H227" s="826" t="str">
        <f>X190</f>
        <v>직사각형</v>
      </c>
      <c r="I227" s="826"/>
      <c r="J227" s="826"/>
      <c r="K227" s="826"/>
      <c r="L227" s="826"/>
      <c r="M227" s="343"/>
      <c r="N227" s="343"/>
      <c r="O227" s="343"/>
      <c r="P227" s="343"/>
      <c r="Q227" s="343"/>
      <c r="R227" s="343"/>
      <c r="S227" s="343"/>
      <c r="T227" s="343"/>
      <c r="U227" s="343"/>
      <c r="V227" s="343"/>
      <c r="W227" s="343"/>
      <c r="X227" s="343"/>
      <c r="Y227" s="343"/>
      <c r="Z227" s="343"/>
      <c r="AA227" s="343"/>
      <c r="AB227" s="343"/>
      <c r="AC227" s="343"/>
      <c r="AD227" s="343"/>
      <c r="AE227" s="343"/>
      <c r="AF227" s="343"/>
      <c r="AG227" s="343"/>
      <c r="AH227" s="343"/>
      <c r="AI227" s="343"/>
      <c r="AJ227" s="343"/>
      <c r="AK227" s="343"/>
      <c r="AL227" s="343"/>
      <c r="AM227" s="343"/>
      <c r="AN227" s="343"/>
      <c r="AO227" s="343"/>
      <c r="AP227" s="343"/>
      <c r="AQ227" s="343"/>
      <c r="AR227" s="343"/>
      <c r="AS227" s="343"/>
      <c r="AT227" s="343"/>
    </row>
    <row r="228" spans="1:64" ht="18" customHeight="1">
      <c r="A228" s="164"/>
      <c r="B228" s="826" t="s">
        <v>150</v>
      </c>
      <c r="C228" s="826"/>
      <c r="D228" s="826"/>
      <c r="E228" s="826"/>
      <c r="F228" s="826"/>
      <c r="G228" s="826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343"/>
      <c r="AB228" s="343"/>
      <c r="AC228" s="343"/>
      <c r="AD228" s="343"/>
      <c r="AE228" s="343"/>
      <c r="AF228" s="343"/>
      <c r="AG228" s="343"/>
      <c r="AH228" s="343"/>
      <c r="AI228" s="343"/>
      <c r="AJ228" s="343"/>
      <c r="AK228" s="343"/>
      <c r="AL228" s="343"/>
      <c r="AM228" s="343"/>
      <c r="AN228" s="343"/>
      <c r="AO228" s="343"/>
      <c r="AP228" s="343"/>
      <c r="AQ228" s="343"/>
      <c r="AR228" s="343"/>
      <c r="AS228" s="343"/>
      <c r="AT228" s="343"/>
    </row>
    <row r="229" spans="1:64" ht="18" customHeight="1">
      <c r="A229" s="164"/>
      <c r="B229" s="826"/>
      <c r="C229" s="826"/>
      <c r="D229" s="826"/>
      <c r="E229" s="826"/>
      <c r="F229" s="826"/>
      <c r="G229" s="826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  <c r="T229" s="343"/>
      <c r="U229" s="343"/>
      <c r="V229" s="343"/>
      <c r="W229" s="343"/>
      <c r="Y229" s="286"/>
      <c r="Z229" s="286"/>
      <c r="AA229" s="286"/>
      <c r="AB229" s="286"/>
      <c r="AC229" s="286"/>
      <c r="AD229" s="286"/>
      <c r="AE229" s="343"/>
      <c r="AF229" s="343"/>
      <c r="AG229" s="343"/>
      <c r="AH229" s="343"/>
      <c r="AI229" s="343"/>
      <c r="AJ229" s="343"/>
      <c r="AK229" s="343"/>
      <c r="AL229" s="343"/>
      <c r="AM229" s="343"/>
      <c r="AN229" s="343"/>
      <c r="AO229" s="343"/>
      <c r="AP229" s="343"/>
      <c r="AQ229" s="343"/>
      <c r="AR229" s="343"/>
      <c r="AS229" s="343"/>
      <c r="AT229" s="343"/>
    </row>
    <row r="230" spans="1:64" ht="18" customHeight="1">
      <c r="A230" s="164"/>
      <c r="B230" s="343" t="s">
        <v>151</v>
      </c>
      <c r="C230" s="343"/>
      <c r="D230" s="343"/>
      <c r="E230" s="343"/>
      <c r="F230" s="343"/>
      <c r="G230" s="343"/>
      <c r="H230" s="343"/>
      <c r="I230" s="343"/>
      <c r="J230" s="343"/>
      <c r="K230" s="169" t="s">
        <v>152</v>
      </c>
      <c r="L230" s="823" t="e">
        <f ca="1">AK226</f>
        <v>#N/A</v>
      </c>
      <c r="M230" s="823"/>
      <c r="N230" s="823"/>
      <c r="O230" s="823"/>
      <c r="P230" s="822">
        <f>AO226</f>
        <v>0</v>
      </c>
      <c r="Q230" s="822"/>
      <c r="R230" s="170" t="s">
        <v>153</v>
      </c>
      <c r="S230" s="823" t="e">
        <f ca="1">1*L230</f>
        <v>#N/A</v>
      </c>
      <c r="T230" s="823"/>
      <c r="U230" s="823"/>
      <c r="V230" s="823"/>
      <c r="W230" s="822">
        <f>P230</f>
        <v>0</v>
      </c>
      <c r="X230" s="822"/>
      <c r="Y230" s="344"/>
      <c r="Z230" s="286"/>
      <c r="AA230" s="286"/>
      <c r="AB230" s="343"/>
      <c r="AC230" s="343"/>
      <c r="AD230" s="343"/>
      <c r="AE230" s="343"/>
      <c r="AF230" s="343"/>
      <c r="AG230" s="343"/>
      <c r="AH230" s="343"/>
      <c r="AI230" s="343"/>
      <c r="AJ230" s="343"/>
      <c r="AK230" s="343"/>
      <c r="AL230" s="343"/>
      <c r="AM230" s="343"/>
      <c r="AN230" s="343"/>
      <c r="AO230" s="343"/>
      <c r="AP230" s="343"/>
      <c r="AQ230" s="343"/>
      <c r="AR230" s="343"/>
      <c r="AS230" s="343"/>
      <c r="AT230" s="343"/>
    </row>
    <row r="231" spans="1:64" ht="18" customHeight="1">
      <c r="A231" s="164"/>
      <c r="B231" s="343" t="s">
        <v>154</v>
      </c>
      <c r="C231" s="343"/>
      <c r="D231" s="343"/>
      <c r="E231" s="343"/>
      <c r="F231" s="343"/>
      <c r="G231" s="343"/>
      <c r="H231" s="343"/>
      <c r="I231" s="343"/>
      <c r="J231" s="343"/>
      <c r="K231" s="171"/>
      <c r="Q231" s="835" t="e">
        <f ca="1">S230</f>
        <v>#N/A</v>
      </c>
      <c r="R231" s="835"/>
      <c r="S231" s="835"/>
      <c r="T231" s="835"/>
      <c r="U231" s="835"/>
      <c r="V231" s="835"/>
      <c r="W231" s="835"/>
      <c r="X231" s="835"/>
      <c r="Y231" s="835"/>
      <c r="Z231" s="835"/>
      <c r="AA231" s="835"/>
      <c r="AB231" s="835"/>
      <c r="AC231" s="835"/>
      <c r="AD231" s="835"/>
      <c r="AE231" s="835"/>
      <c r="AF231" s="835"/>
      <c r="AG231" s="835"/>
      <c r="AH231" s="835"/>
      <c r="AI231" s="835"/>
      <c r="AJ231" s="835"/>
      <c r="AK231" s="835"/>
      <c r="AL231" s="835"/>
      <c r="AM231" s="835"/>
      <c r="AN231" s="834" t="s">
        <v>67</v>
      </c>
      <c r="AO231" s="831" t="e">
        <f ca="1">AP190</f>
        <v>#N/A</v>
      </c>
      <c r="AP231" s="831"/>
      <c r="AQ231" s="831"/>
      <c r="AR231" s="831"/>
      <c r="AS231" s="831"/>
    </row>
    <row r="232" spans="1:64" ht="18" customHeight="1">
      <c r="A232" s="164"/>
      <c r="B232" s="343"/>
      <c r="C232" s="343"/>
      <c r="D232" s="343"/>
      <c r="E232" s="343"/>
      <c r="F232" s="343"/>
      <c r="G232" s="343"/>
      <c r="H232" s="343"/>
      <c r="I232" s="343"/>
      <c r="J232" s="343"/>
      <c r="K232" s="171"/>
      <c r="Q232" s="832" t="e">
        <f ca="1">N226</f>
        <v>#N/A</v>
      </c>
      <c r="R232" s="832"/>
      <c r="S232" s="832"/>
      <c r="T232" s="832"/>
      <c r="U232" s="832"/>
      <c r="V232" s="833" t="s">
        <v>148</v>
      </c>
      <c r="W232" s="832" t="e">
        <f ca="1">T226</f>
        <v>#VALUE!</v>
      </c>
      <c r="X232" s="832"/>
      <c r="Y232" s="832"/>
      <c r="Z232" s="832"/>
      <c r="AA232" s="832"/>
      <c r="AB232" s="833" t="s">
        <v>148</v>
      </c>
      <c r="AC232" s="832" t="e">
        <f ca="1">Z226</f>
        <v>#N/A</v>
      </c>
      <c r="AD232" s="832"/>
      <c r="AE232" s="832"/>
      <c r="AF232" s="832"/>
      <c r="AG232" s="832"/>
      <c r="AH232" s="833" t="s">
        <v>148</v>
      </c>
      <c r="AI232" s="832" t="e">
        <f ca="1">AF226</f>
        <v>#N/A</v>
      </c>
      <c r="AJ232" s="832"/>
      <c r="AK232" s="832"/>
      <c r="AL232" s="832"/>
      <c r="AM232" s="832"/>
      <c r="AN232" s="834"/>
      <c r="AO232" s="831"/>
      <c r="AP232" s="831"/>
      <c r="AQ232" s="831"/>
      <c r="AR232" s="831"/>
      <c r="AS232" s="831"/>
    </row>
    <row r="233" spans="1:64" ht="18" customHeight="1">
      <c r="A233" s="164"/>
      <c r="B233" s="343"/>
      <c r="C233" s="343"/>
      <c r="D233" s="343"/>
      <c r="E233" s="343"/>
      <c r="F233" s="343"/>
      <c r="G233" s="343"/>
      <c r="H233" s="343"/>
      <c r="I233" s="343"/>
      <c r="J233" s="343"/>
      <c r="K233" s="171"/>
      <c r="Q233" s="834" t="str">
        <f>AP191</f>
        <v>∞</v>
      </c>
      <c r="R233" s="834"/>
      <c r="S233" s="834"/>
      <c r="T233" s="834"/>
      <c r="U233" s="834"/>
      <c r="V233" s="834"/>
      <c r="W233" s="834">
        <f>AP192</f>
        <v>12.5</v>
      </c>
      <c r="X233" s="834"/>
      <c r="Y233" s="834"/>
      <c r="Z233" s="834"/>
      <c r="AA233" s="834"/>
      <c r="AB233" s="834"/>
      <c r="AC233" s="834">
        <f>AP193</f>
        <v>12.5</v>
      </c>
      <c r="AD233" s="834"/>
      <c r="AE233" s="834"/>
      <c r="AF233" s="834"/>
      <c r="AG233" s="834"/>
      <c r="AH233" s="834"/>
      <c r="AI233" s="834">
        <f>AP194</f>
        <v>12.5</v>
      </c>
      <c r="AJ233" s="834"/>
      <c r="AK233" s="834"/>
      <c r="AL233" s="834"/>
      <c r="AM233" s="834"/>
    </row>
    <row r="234" spans="1:64" ht="18" customHeight="1">
      <c r="A234" s="164"/>
      <c r="B234" s="343"/>
      <c r="C234" s="343"/>
      <c r="D234" s="343"/>
      <c r="E234" s="343"/>
      <c r="F234" s="343"/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  <c r="T234" s="343"/>
      <c r="U234" s="343"/>
      <c r="V234" s="343"/>
      <c r="W234" s="343"/>
      <c r="X234" s="343"/>
      <c r="Y234" s="343"/>
      <c r="Z234" s="343"/>
      <c r="AA234" s="343"/>
      <c r="AB234" s="343"/>
      <c r="AC234" s="343"/>
      <c r="AD234" s="343"/>
      <c r="AE234" s="343"/>
      <c r="AF234" s="343"/>
      <c r="AG234" s="343"/>
      <c r="AH234" s="343"/>
      <c r="AI234" s="343"/>
      <c r="AJ234" s="343"/>
      <c r="AK234" s="343"/>
      <c r="AL234" s="343"/>
      <c r="AM234" s="343"/>
    </row>
    <row r="235" spans="1:64" ht="18" customHeight="1">
      <c r="A235" s="164"/>
      <c r="B235" s="172" t="s">
        <v>509</v>
      </c>
      <c r="C235" s="343"/>
      <c r="D235" s="343"/>
      <c r="E235" s="343"/>
      <c r="F235" s="343"/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  <c r="T235" s="343"/>
      <c r="U235" s="343"/>
      <c r="V235" s="343"/>
      <c r="W235" s="343"/>
      <c r="X235" s="343"/>
      <c r="Y235" s="343"/>
      <c r="Z235" s="343"/>
      <c r="AA235" s="343"/>
      <c r="AB235" s="343"/>
      <c r="AC235" s="343"/>
      <c r="AD235" s="343"/>
      <c r="AE235" s="343"/>
      <c r="AF235" s="343"/>
      <c r="AG235" s="343"/>
      <c r="AH235" s="343"/>
      <c r="AI235" s="343"/>
      <c r="AJ235" s="343"/>
      <c r="AK235" s="343"/>
      <c r="AL235" s="343"/>
      <c r="AM235" s="343"/>
    </row>
    <row r="236" spans="1:64" ht="18" customHeight="1">
      <c r="A236" s="164"/>
      <c r="B236" s="343" t="s">
        <v>155</v>
      </c>
      <c r="C236" s="343"/>
      <c r="D236" s="343"/>
      <c r="E236" s="343"/>
      <c r="F236" s="343"/>
      <c r="G236" s="831">
        <f>I177</f>
        <v>0</v>
      </c>
      <c r="H236" s="831"/>
      <c r="I236" s="831"/>
      <c r="J236" s="831"/>
      <c r="K236" s="831"/>
      <c r="L236" s="825"/>
      <c r="M236" s="825"/>
      <c r="N236" s="825"/>
      <c r="O236" s="825"/>
      <c r="P236" s="825"/>
      <c r="Q236" s="825"/>
      <c r="R236" s="343"/>
      <c r="S236" s="343"/>
      <c r="T236" s="343"/>
      <c r="U236" s="343"/>
      <c r="V236" s="343"/>
      <c r="W236" s="343"/>
      <c r="X236" s="343"/>
      <c r="Y236" s="343"/>
      <c r="Z236" s="343"/>
      <c r="AA236" s="343"/>
      <c r="AB236" s="343"/>
      <c r="AC236" s="343"/>
      <c r="AD236" s="343"/>
      <c r="AE236" s="343"/>
      <c r="AF236" s="343"/>
      <c r="AG236" s="343"/>
      <c r="AH236" s="343"/>
      <c r="AI236" s="343"/>
      <c r="AJ236" s="343"/>
      <c r="AK236" s="343"/>
      <c r="AL236" s="343"/>
      <c r="AM236" s="343"/>
      <c r="AN236" s="343"/>
      <c r="AO236" s="343"/>
      <c r="AP236" s="343"/>
      <c r="AQ236" s="343"/>
      <c r="AR236" s="343"/>
      <c r="AS236" s="343"/>
      <c r="AT236" s="343"/>
    </row>
    <row r="237" spans="1:64" ht="18" customHeight="1">
      <c r="A237" s="164"/>
      <c r="B237" s="343" t="s">
        <v>156</v>
      </c>
      <c r="C237" s="343"/>
      <c r="D237" s="343"/>
      <c r="E237" s="343"/>
      <c r="F237" s="343"/>
      <c r="G237" s="343"/>
      <c r="H237" s="343"/>
      <c r="I237" s="343" t="s">
        <v>510</v>
      </c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  <c r="T237" s="343"/>
      <c r="U237" s="167"/>
      <c r="V237" s="167"/>
      <c r="W237" s="167"/>
      <c r="X237" s="343"/>
      <c r="Y237" s="168"/>
      <c r="Z237" s="168"/>
      <c r="AA237" s="168"/>
      <c r="AB237" s="166"/>
      <c r="AC237" s="166"/>
      <c r="AD237" s="343"/>
      <c r="AE237" s="343"/>
      <c r="AF237" s="343"/>
      <c r="AG237" s="343"/>
      <c r="AH237" s="343"/>
      <c r="AI237" s="343"/>
      <c r="AJ237" s="343"/>
      <c r="AK237" s="343"/>
      <c r="AL237" s="343"/>
      <c r="AM237" s="343"/>
      <c r="AN237" s="343"/>
      <c r="AO237" s="343"/>
      <c r="AP237" s="343"/>
      <c r="AQ237" s="343"/>
      <c r="AR237" s="343"/>
      <c r="AS237" s="343"/>
      <c r="AT237" s="343"/>
    </row>
    <row r="238" spans="1:64" ht="18" customHeight="1">
      <c r="A238" s="164"/>
      <c r="B238" s="343"/>
      <c r="C238" s="343"/>
      <c r="D238" s="343"/>
      <c r="E238" s="343"/>
      <c r="F238" s="343"/>
      <c r="G238" s="343"/>
      <c r="H238" s="343"/>
      <c r="I238" s="343"/>
      <c r="J238" s="343" t="s">
        <v>511</v>
      </c>
      <c r="K238" s="343"/>
      <c r="L238" s="343"/>
      <c r="M238" s="343"/>
      <c r="N238" s="343"/>
      <c r="O238" s="343"/>
      <c r="P238" s="343"/>
      <c r="Q238" s="343"/>
      <c r="R238" s="343"/>
      <c r="S238" s="343"/>
      <c r="T238" s="343"/>
      <c r="U238" s="167"/>
      <c r="V238" s="167"/>
      <c r="W238" s="167"/>
      <c r="X238" s="343"/>
      <c r="Y238" s="168"/>
      <c r="Z238" s="168"/>
      <c r="AA238" s="168"/>
      <c r="AB238" s="166"/>
      <c r="AC238" s="166"/>
      <c r="AD238" s="343"/>
      <c r="AE238" s="343"/>
      <c r="AF238" s="343"/>
      <c r="AG238" s="343"/>
      <c r="AH238" s="343"/>
      <c r="AI238" s="343"/>
      <c r="AJ238" s="343"/>
      <c r="AK238" s="343"/>
      <c r="AL238" s="343"/>
      <c r="AM238" s="343"/>
      <c r="AN238" s="343"/>
      <c r="AO238" s="343"/>
      <c r="AP238" s="343"/>
      <c r="AQ238" s="343"/>
      <c r="AR238" s="343"/>
      <c r="AS238" s="343"/>
      <c r="AT238" s="343"/>
    </row>
    <row r="239" spans="1:64" ht="18" customHeight="1">
      <c r="A239" s="164"/>
      <c r="B239" s="343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836" t="e">
        <f>TEXT($AJ$57,"0.000 000 0 ")&amp;$AJ$58</f>
        <v>#DIV/0!</v>
      </c>
      <c r="P239" s="836"/>
      <c r="Q239" s="836"/>
      <c r="R239" s="836"/>
      <c r="S239" s="836"/>
      <c r="T239" s="836"/>
      <c r="U239" s="836"/>
      <c r="V239" s="836"/>
      <c r="W239" s="836"/>
      <c r="X239" s="836"/>
      <c r="Y239" s="836"/>
      <c r="Z239" s="829" t="s">
        <v>512</v>
      </c>
      <c r="AA239" s="837" t="e">
        <f ca="1">N6</f>
        <v>#N/A</v>
      </c>
      <c r="AB239" s="837"/>
      <c r="AC239" s="837"/>
      <c r="AD239" s="837"/>
      <c r="AE239" s="829" t="s">
        <v>67</v>
      </c>
      <c r="AF239" s="822" t="e">
        <f ca="1">P191</f>
        <v>#N/A</v>
      </c>
      <c r="AG239" s="822"/>
      <c r="AH239" s="822"/>
      <c r="AI239" s="822"/>
      <c r="AJ239" s="823">
        <f>H6</f>
        <v>0</v>
      </c>
      <c r="AK239" s="823"/>
      <c r="AL239" s="823"/>
      <c r="AM239" s="343"/>
      <c r="AN239" s="343"/>
      <c r="AO239" s="343"/>
      <c r="AP239" s="343"/>
      <c r="AQ239" s="343"/>
      <c r="AR239" s="343"/>
      <c r="AS239" s="343"/>
      <c r="BL239" s="187"/>
    </row>
    <row r="240" spans="1:64" ht="18" customHeight="1">
      <c r="A240" s="164"/>
      <c r="B240" s="343"/>
      <c r="C240" s="343"/>
      <c r="D240" s="343"/>
      <c r="E240" s="343"/>
      <c r="F240" s="343"/>
      <c r="G240" s="343"/>
      <c r="H240" s="343"/>
      <c r="I240" s="343"/>
      <c r="J240" s="343"/>
      <c r="K240" s="343"/>
      <c r="L240" s="343"/>
      <c r="M240" s="343"/>
      <c r="N240" s="343"/>
      <c r="O240" s="836"/>
      <c r="P240" s="836"/>
      <c r="Q240" s="836"/>
      <c r="R240" s="836"/>
      <c r="S240" s="836"/>
      <c r="T240" s="836"/>
      <c r="U240" s="836"/>
      <c r="V240" s="836"/>
      <c r="W240" s="836"/>
      <c r="X240" s="836"/>
      <c r="Y240" s="836"/>
      <c r="Z240" s="829"/>
      <c r="AA240" s="679">
        <v>2</v>
      </c>
      <c r="AB240" s="679"/>
      <c r="AC240" s="679"/>
      <c r="AD240" s="679"/>
      <c r="AE240" s="829"/>
      <c r="AF240" s="822"/>
      <c r="AG240" s="822"/>
      <c r="AH240" s="822"/>
      <c r="AI240" s="822"/>
      <c r="AJ240" s="823"/>
      <c r="AK240" s="823"/>
      <c r="AL240" s="823"/>
      <c r="AM240" s="343"/>
      <c r="AN240" s="343"/>
      <c r="AO240" s="343"/>
      <c r="AP240" s="343"/>
      <c r="AQ240" s="343"/>
      <c r="AR240" s="343"/>
      <c r="AS240" s="343"/>
      <c r="BL240" s="187"/>
    </row>
    <row r="241" spans="1:64" ht="18" customHeight="1">
      <c r="A241" s="164"/>
      <c r="B241" s="343" t="s">
        <v>157</v>
      </c>
      <c r="C241" s="343"/>
      <c r="D241" s="343"/>
      <c r="E241" s="343"/>
      <c r="F241" s="343"/>
      <c r="G241" s="343"/>
      <c r="H241" s="826" t="str">
        <f>X191</f>
        <v>직사각형</v>
      </c>
      <c r="I241" s="826"/>
      <c r="J241" s="826"/>
      <c r="K241" s="826"/>
      <c r="L241" s="826"/>
      <c r="M241" s="343"/>
      <c r="N241" s="343"/>
      <c r="O241" s="343"/>
      <c r="P241" s="343"/>
      <c r="Q241" s="343"/>
      <c r="R241" s="343"/>
      <c r="S241" s="343"/>
      <c r="T241" s="343"/>
      <c r="U241" s="343"/>
      <c r="V241" s="343"/>
      <c r="W241" s="343"/>
      <c r="X241" s="343"/>
      <c r="Y241" s="343"/>
      <c r="Z241" s="343"/>
      <c r="AA241" s="343"/>
      <c r="AB241" s="343"/>
      <c r="AC241" s="166"/>
      <c r="AD241" s="343"/>
      <c r="AE241" s="343"/>
      <c r="AF241" s="343"/>
      <c r="AG241" s="343"/>
      <c r="AH241" s="343"/>
      <c r="AI241" s="343"/>
      <c r="AJ241" s="343"/>
      <c r="AK241" s="343"/>
      <c r="AL241" s="343"/>
      <c r="AM241" s="343"/>
      <c r="AN241" s="343"/>
      <c r="AO241" s="343"/>
      <c r="AP241" s="343"/>
      <c r="AQ241" s="343"/>
      <c r="AR241" s="343"/>
      <c r="AS241" s="343"/>
      <c r="AT241" s="343"/>
      <c r="BL241" s="160"/>
    </row>
    <row r="242" spans="1:64" ht="18" customHeight="1">
      <c r="A242" s="164"/>
      <c r="B242" s="826" t="s">
        <v>513</v>
      </c>
      <c r="C242" s="826"/>
      <c r="D242" s="826"/>
      <c r="E242" s="826"/>
      <c r="F242" s="826"/>
      <c r="G242" s="826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  <c r="T242" s="343"/>
      <c r="U242" s="343"/>
      <c r="V242" s="343"/>
      <c r="W242" s="343"/>
      <c r="X242" s="343"/>
      <c r="Y242" s="343"/>
      <c r="Z242" s="343"/>
      <c r="AA242" s="343"/>
      <c r="AB242" s="343"/>
      <c r="AC242" s="343"/>
      <c r="AD242" s="343"/>
      <c r="AE242" s="343"/>
      <c r="AF242" s="343"/>
      <c r="AG242" s="343"/>
      <c r="AH242" s="343"/>
      <c r="AI242" s="343"/>
      <c r="AJ242" s="343"/>
      <c r="AK242" s="343"/>
      <c r="AL242" s="343"/>
      <c r="AM242" s="343"/>
      <c r="AN242" s="343"/>
      <c r="AO242" s="343"/>
      <c r="AP242" s="343"/>
      <c r="AQ242" s="343"/>
      <c r="AR242" s="343"/>
      <c r="AS242" s="343"/>
      <c r="AT242" s="343"/>
    </row>
    <row r="243" spans="1:64" ht="18" customHeight="1">
      <c r="A243" s="164"/>
      <c r="B243" s="826"/>
      <c r="C243" s="826"/>
      <c r="D243" s="826"/>
      <c r="E243" s="826"/>
      <c r="F243" s="826"/>
      <c r="G243" s="826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  <c r="T243" s="343"/>
      <c r="U243" s="343"/>
      <c r="V243" s="343"/>
      <c r="W243" s="343"/>
      <c r="X243" s="343"/>
      <c r="Y243" s="343"/>
      <c r="Z243" s="343"/>
      <c r="AA243" s="343"/>
      <c r="AB243" s="343"/>
      <c r="AC243" s="343"/>
      <c r="AD243" s="343"/>
      <c r="AE243" s="343"/>
      <c r="AF243" s="343"/>
      <c r="AG243" s="343"/>
      <c r="AH243" s="343"/>
      <c r="AI243" s="343"/>
      <c r="AJ243" s="343"/>
      <c r="AK243" s="343"/>
      <c r="AL243" s="343"/>
      <c r="AM243" s="343"/>
      <c r="AN243" s="343"/>
      <c r="AO243" s="343"/>
      <c r="AP243" s="343"/>
      <c r="AQ243" s="343"/>
      <c r="AR243" s="343"/>
      <c r="AS243" s="343"/>
      <c r="AT243" s="343"/>
    </row>
    <row r="244" spans="1:64" ht="18" customHeight="1">
      <c r="A244" s="164"/>
      <c r="B244" s="343" t="s">
        <v>514</v>
      </c>
      <c r="C244" s="343"/>
      <c r="D244" s="343"/>
      <c r="E244" s="343"/>
      <c r="F244" s="343"/>
      <c r="G244" s="343"/>
      <c r="H244" s="343"/>
      <c r="I244" s="343"/>
      <c r="J244" s="343"/>
      <c r="K244" s="169" t="s">
        <v>162</v>
      </c>
      <c r="L244" s="823" t="e">
        <f ca="1">AF239</f>
        <v>#N/A</v>
      </c>
      <c r="M244" s="823"/>
      <c r="N244" s="823"/>
      <c r="O244" s="823"/>
      <c r="P244" s="822">
        <f>AJ239</f>
        <v>0</v>
      </c>
      <c r="Q244" s="822"/>
      <c r="R244" s="170" t="s">
        <v>67</v>
      </c>
      <c r="S244" s="823" t="e">
        <f ca="1">1*L244</f>
        <v>#N/A</v>
      </c>
      <c r="T244" s="823"/>
      <c r="U244" s="823"/>
      <c r="V244" s="823"/>
      <c r="W244" s="822">
        <f>P244</f>
        <v>0</v>
      </c>
      <c r="X244" s="822"/>
      <c r="Y244" s="344"/>
      <c r="Z244" s="286"/>
      <c r="AA244" s="343"/>
      <c r="AB244" s="343"/>
      <c r="AC244" s="343"/>
      <c r="AD244" s="343"/>
      <c r="AE244" s="343"/>
      <c r="AF244" s="343"/>
      <c r="AG244" s="343"/>
      <c r="AH244" s="343"/>
      <c r="AI244" s="343"/>
      <c r="AJ244" s="343"/>
      <c r="AK244" s="343"/>
      <c r="AL244" s="343"/>
      <c r="AM244" s="343"/>
      <c r="AN244" s="343"/>
      <c r="AO244" s="343"/>
      <c r="AP244" s="343"/>
      <c r="AQ244" s="343"/>
      <c r="AR244" s="343"/>
      <c r="AS244" s="343"/>
      <c r="AT244" s="343"/>
    </row>
    <row r="245" spans="1:64" ht="18" customHeight="1">
      <c r="A245" s="164"/>
      <c r="B245" s="343" t="s">
        <v>158</v>
      </c>
      <c r="C245" s="343"/>
      <c r="D245" s="343"/>
      <c r="E245" s="343"/>
      <c r="F245" s="343"/>
      <c r="G245" s="343"/>
      <c r="H245" s="343"/>
      <c r="I245" s="343"/>
      <c r="J245" s="343"/>
      <c r="K245" s="171" t="s">
        <v>515</v>
      </c>
      <c r="L245" s="826" t="str">
        <f>AP191</f>
        <v>∞</v>
      </c>
      <c r="M245" s="826"/>
      <c r="N245" s="826"/>
      <c r="O245" s="826"/>
      <c r="P245" s="826"/>
      <c r="Q245" s="343"/>
      <c r="R245" s="343"/>
      <c r="S245" s="343"/>
      <c r="T245" s="343"/>
      <c r="U245" s="343"/>
      <c r="V245" s="343"/>
      <c r="W245" s="343"/>
      <c r="X245" s="343"/>
      <c r="Y245" s="343"/>
      <c r="Z245" s="343"/>
      <c r="AA245" s="343"/>
      <c r="AB245" s="343"/>
      <c r="AC245" s="343"/>
      <c r="AD245" s="343"/>
      <c r="AE245" s="343"/>
      <c r="AF245" s="343"/>
      <c r="AG245" s="343"/>
      <c r="AH245" s="343"/>
      <c r="AI245" s="343"/>
      <c r="AJ245" s="343"/>
      <c r="AK245" s="343"/>
      <c r="AL245" s="343"/>
      <c r="AM245" s="343"/>
      <c r="AN245" s="343"/>
      <c r="AO245" s="343"/>
      <c r="AP245" s="343"/>
      <c r="AQ245" s="343"/>
      <c r="AR245" s="343"/>
      <c r="AS245" s="343"/>
      <c r="AT245" s="343"/>
    </row>
    <row r="246" spans="1:64" s="343" customFormat="1" ht="18" customHeight="1">
      <c r="A246" s="164"/>
      <c r="K246" s="171"/>
    </row>
    <row r="247" spans="1:64" ht="18" customHeight="1">
      <c r="A247" s="164"/>
      <c r="B247" s="164" t="s">
        <v>516</v>
      </c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  <c r="T247" s="343"/>
      <c r="U247" s="343"/>
      <c r="V247" s="343"/>
      <c r="W247" s="343"/>
      <c r="X247" s="343"/>
      <c r="Y247" s="343"/>
      <c r="Z247" s="343"/>
      <c r="AA247" s="343"/>
      <c r="AB247" s="343"/>
      <c r="AC247" s="343"/>
      <c r="AD247" s="343"/>
      <c r="AE247" s="343"/>
      <c r="AF247" s="343"/>
      <c r="AG247" s="343"/>
      <c r="AH247" s="343"/>
      <c r="AI247" s="343"/>
      <c r="AJ247" s="343"/>
      <c r="AK247" s="343"/>
      <c r="AL247" s="343"/>
      <c r="AM247" s="343"/>
      <c r="AN247" s="343"/>
      <c r="AO247" s="343"/>
      <c r="AP247" s="343"/>
      <c r="AQ247" s="343"/>
      <c r="AR247" s="343"/>
      <c r="AS247" s="343"/>
      <c r="AT247" s="343"/>
    </row>
    <row r="248" spans="1:64" ht="18" customHeight="1">
      <c r="A248" s="164"/>
      <c r="B248" s="343" t="s">
        <v>159</v>
      </c>
      <c r="C248" s="343"/>
      <c r="D248" s="343"/>
      <c r="E248" s="343"/>
      <c r="F248" s="343"/>
      <c r="G248" s="831">
        <f>I191</f>
        <v>0</v>
      </c>
      <c r="H248" s="831"/>
      <c r="I248" s="831"/>
      <c r="J248" s="831"/>
      <c r="K248" s="831"/>
      <c r="L248" s="825"/>
      <c r="M248" s="825"/>
      <c r="N248" s="825"/>
      <c r="O248" s="825"/>
      <c r="P248" s="825"/>
      <c r="Q248" s="825"/>
      <c r="R248" s="343"/>
      <c r="S248" s="343"/>
      <c r="T248" s="343"/>
      <c r="U248" s="343"/>
      <c r="V248" s="343"/>
      <c r="W248" s="343"/>
      <c r="X248" s="343"/>
      <c r="Y248" s="343"/>
      <c r="Z248" s="343"/>
      <c r="AA248" s="343"/>
      <c r="AB248" s="343"/>
      <c r="AC248" s="343"/>
      <c r="AD248" s="343"/>
      <c r="AE248" s="343"/>
      <c r="AF248" s="343"/>
      <c r="AG248" s="343"/>
      <c r="AH248" s="343"/>
      <c r="AI248" s="343"/>
      <c r="AJ248" s="343"/>
      <c r="AK248" s="343"/>
      <c r="AL248" s="343"/>
      <c r="AM248" s="343"/>
      <c r="AN248" s="343"/>
      <c r="AO248" s="343"/>
      <c r="AP248" s="343"/>
      <c r="AQ248" s="343"/>
      <c r="AR248" s="343"/>
      <c r="AS248" s="343"/>
      <c r="AT248" s="343"/>
    </row>
    <row r="249" spans="1:64" ht="18" customHeight="1">
      <c r="A249" s="164"/>
      <c r="B249" s="343" t="s">
        <v>160</v>
      </c>
      <c r="C249" s="343"/>
      <c r="D249" s="343"/>
      <c r="E249" s="343"/>
      <c r="F249" s="343"/>
      <c r="G249" s="343"/>
      <c r="H249" s="343"/>
      <c r="I249" s="343" t="s">
        <v>161</v>
      </c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  <c r="T249" s="343"/>
      <c r="U249" s="167"/>
      <c r="V249" s="167"/>
      <c r="W249" s="167"/>
      <c r="X249" s="343"/>
      <c r="Y249" s="168"/>
      <c r="Z249" s="168"/>
      <c r="AA249" s="168"/>
      <c r="AB249" s="166"/>
      <c r="AC249" s="166"/>
      <c r="AD249" s="343"/>
      <c r="AE249" s="343"/>
      <c r="AF249" s="343"/>
      <c r="AG249" s="343"/>
      <c r="AH249" s="343"/>
      <c r="AI249" s="343"/>
      <c r="AJ249" s="343"/>
      <c r="AK249" s="343"/>
      <c r="AL249" s="343"/>
      <c r="AM249" s="343"/>
      <c r="AN249" s="343"/>
      <c r="AO249" s="343"/>
      <c r="AP249" s="343"/>
      <c r="AQ249" s="343"/>
      <c r="AR249" s="343"/>
      <c r="AS249" s="343"/>
      <c r="AT249" s="343"/>
    </row>
    <row r="250" spans="1:64" ht="18" customHeight="1">
      <c r="A250" s="164"/>
      <c r="B250" s="343"/>
      <c r="C250" s="343"/>
      <c r="D250" s="343"/>
      <c r="E250" s="343"/>
      <c r="F250" s="343"/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  <c r="T250" s="343"/>
      <c r="U250" s="167"/>
      <c r="V250" s="167"/>
      <c r="W250" s="167"/>
      <c r="X250" s="343"/>
      <c r="Y250" s="168"/>
      <c r="Z250" s="822" t="e">
        <f ca="1">MAX(ABS(Calcu!V$24-Calcu!V$9),ABS(Calcu!W$24-Calcu!W$9),ABS(Calcu!X$24-Calcu!X$9))</f>
        <v>#VALUE!</v>
      </c>
      <c r="AA250" s="822"/>
      <c r="AB250" s="822"/>
      <c r="AC250" s="822"/>
      <c r="AD250" s="823">
        <f>P11</f>
        <v>0</v>
      </c>
      <c r="AE250" s="823"/>
      <c r="AF250" s="823"/>
      <c r="AG250" s="343"/>
      <c r="AH250" s="343"/>
      <c r="AI250" s="343"/>
      <c r="AJ250" s="343"/>
      <c r="AK250" s="343"/>
      <c r="AL250" s="343"/>
      <c r="AM250" s="343"/>
      <c r="AN250" s="343"/>
      <c r="AO250" s="343"/>
      <c r="AP250" s="343"/>
      <c r="AQ250" s="343"/>
      <c r="AR250" s="343"/>
      <c r="AS250" s="343"/>
      <c r="AT250" s="343"/>
    </row>
    <row r="251" spans="1:64" ht="18" customHeight="1">
      <c r="A251" s="164"/>
      <c r="B251" s="343"/>
      <c r="C251" s="343"/>
      <c r="D251" s="343"/>
      <c r="E251" s="343"/>
      <c r="F251" s="343"/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  <c r="T251" s="343"/>
      <c r="U251" s="167"/>
      <c r="V251" s="167"/>
      <c r="W251" s="167"/>
      <c r="X251" s="343"/>
      <c r="Y251" s="168"/>
      <c r="Z251" s="822"/>
      <c r="AA251" s="822"/>
      <c r="AB251" s="822"/>
      <c r="AC251" s="822"/>
      <c r="AD251" s="823"/>
      <c r="AE251" s="823"/>
      <c r="AF251" s="823"/>
      <c r="AG251" s="343"/>
      <c r="AH251" s="343"/>
      <c r="AI251" s="343"/>
      <c r="AJ251" s="343"/>
      <c r="AK251" s="343"/>
      <c r="AL251" s="343"/>
      <c r="AM251" s="343"/>
      <c r="AN251" s="343"/>
      <c r="AO251" s="343"/>
      <c r="AP251" s="343"/>
      <c r="AQ251" s="343"/>
      <c r="AR251" s="343"/>
      <c r="AS251" s="343"/>
      <c r="AT251" s="343"/>
    </row>
    <row r="252" spans="1:64" ht="18" customHeight="1">
      <c r="A252" s="164"/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43"/>
      <c r="P252" s="836" t="e">
        <f>TEXT($AJ$57,"0.000 000 0 ")&amp;$AJ$58</f>
        <v>#DIV/0!</v>
      </c>
      <c r="Q252" s="836"/>
      <c r="R252" s="836"/>
      <c r="S252" s="836"/>
      <c r="T252" s="836"/>
      <c r="U252" s="836"/>
      <c r="V252" s="836"/>
      <c r="W252" s="836"/>
      <c r="X252" s="836"/>
      <c r="Y252" s="836"/>
      <c r="Z252" s="836"/>
      <c r="AA252" s="829" t="s">
        <v>512</v>
      </c>
      <c r="AB252" s="838" t="e">
        <f ca="1">Z250</f>
        <v>#VALUE!</v>
      </c>
      <c r="AC252" s="838"/>
      <c r="AD252" s="838"/>
      <c r="AE252" s="838"/>
      <c r="AF252" s="829" t="s">
        <v>67</v>
      </c>
      <c r="AG252" s="822" t="e">
        <f ca="1">P192</f>
        <v>#VALUE!</v>
      </c>
      <c r="AH252" s="822"/>
      <c r="AI252" s="822"/>
      <c r="AJ252" s="822"/>
      <c r="AK252" s="823">
        <f>V192</f>
        <v>0</v>
      </c>
      <c r="AL252" s="823"/>
      <c r="AM252" s="823"/>
      <c r="AN252" s="343"/>
      <c r="AO252" s="343"/>
      <c r="AP252" s="343"/>
      <c r="AQ252" s="343"/>
      <c r="AR252" s="343"/>
      <c r="AS252" s="343"/>
      <c r="AT252" s="343"/>
    </row>
    <row r="253" spans="1:64" ht="18" customHeight="1">
      <c r="A253" s="164"/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3"/>
      <c r="P253" s="836"/>
      <c r="Q253" s="836"/>
      <c r="R253" s="836"/>
      <c r="S253" s="836"/>
      <c r="T253" s="836"/>
      <c r="U253" s="836"/>
      <c r="V253" s="836"/>
      <c r="W253" s="836"/>
      <c r="X253" s="836"/>
      <c r="Y253" s="836"/>
      <c r="Z253" s="836"/>
      <c r="AA253" s="829"/>
      <c r="AB253" s="177"/>
      <c r="AC253" s="177"/>
      <c r="AD253" s="177"/>
      <c r="AE253" s="177"/>
      <c r="AF253" s="829"/>
      <c r="AG253" s="822"/>
      <c r="AH253" s="822"/>
      <c r="AI253" s="822"/>
      <c r="AJ253" s="822"/>
      <c r="AK253" s="823"/>
      <c r="AL253" s="823"/>
      <c r="AM253" s="823"/>
      <c r="AN253" s="343"/>
      <c r="AO253" s="343"/>
      <c r="AP253" s="343"/>
      <c r="AQ253" s="343"/>
      <c r="AR253" s="343"/>
      <c r="AS253" s="343"/>
      <c r="AT253" s="343"/>
    </row>
    <row r="254" spans="1:64" ht="18" customHeight="1">
      <c r="A254" s="164"/>
      <c r="B254" s="343" t="s">
        <v>517</v>
      </c>
      <c r="C254" s="343"/>
      <c r="D254" s="343"/>
      <c r="E254" s="343"/>
      <c r="F254" s="343"/>
      <c r="G254" s="343"/>
      <c r="H254" s="826" t="str">
        <f>X192</f>
        <v>직사각형</v>
      </c>
      <c r="I254" s="826"/>
      <c r="J254" s="826"/>
      <c r="K254" s="826"/>
      <c r="L254" s="826"/>
      <c r="M254" s="343"/>
      <c r="N254" s="343"/>
      <c r="O254" s="343"/>
      <c r="P254" s="343"/>
      <c r="Q254" s="343"/>
      <c r="R254" s="343"/>
      <c r="S254" s="343"/>
      <c r="T254" s="343"/>
      <c r="U254" s="343"/>
      <c r="V254" s="343"/>
      <c r="W254" s="343"/>
      <c r="X254" s="343"/>
      <c r="Y254" s="343"/>
      <c r="Z254" s="343"/>
      <c r="AA254" s="343"/>
      <c r="AB254" s="343"/>
      <c r="AC254" s="343"/>
      <c r="AD254" s="343"/>
      <c r="AE254" s="343"/>
      <c r="AF254" s="343"/>
      <c r="AG254" s="343"/>
      <c r="AH254" s="168"/>
      <c r="AI254" s="343"/>
      <c r="AJ254" s="343"/>
      <c r="AK254" s="343"/>
      <c r="AL254" s="343"/>
      <c r="AM254" s="343"/>
      <c r="AN254" s="343"/>
      <c r="AO254" s="343"/>
      <c r="AP254" s="343"/>
      <c r="AQ254" s="343"/>
      <c r="AR254" s="343"/>
      <c r="AS254" s="343"/>
      <c r="AT254" s="343"/>
    </row>
    <row r="255" spans="1:64" ht="18" customHeight="1">
      <c r="A255" s="164"/>
      <c r="B255" s="826" t="s">
        <v>518</v>
      </c>
      <c r="C255" s="826"/>
      <c r="D255" s="826"/>
      <c r="E255" s="826"/>
      <c r="F255" s="826"/>
      <c r="G255" s="826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  <c r="T255" s="343"/>
      <c r="U255" s="343"/>
      <c r="V255" s="343"/>
      <c r="W255" s="343"/>
      <c r="X255" s="343"/>
      <c r="Y255" s="343"/>
      <c r="Z255" s="343"/>
      <c r="AA255" s="343"/>
      <c r="AB255" s="343"/>
      <c r="AC255" s="343"/>
      <c r="AD255" s="343"/>
      <c r="AE255" s="343"/>
      <c r="AF255" s="343"/>
      <c r="AG255" s="343"/>
      <c r="AH255" s="343"/>
      <c r="AI255" s="343"/>
      <c r="AJ255" s="343"/>
      <c r="AK255" s="343"/>
      <c r="AL255" s="343"/>
      <c r="AM255" s="343"/>
      <c r="AN255" s="343"/>
      <c r="AO255" s="343"/>
      <c r="AP255" s="343"/>
      <c r="AQ255" s="343"/>
      <c r="AR255" s="343"/>
      <c r="AS255" s="343"/>
      <c r="AT255" s="343"/>
    </row>
    <row r="256" spans="1:64" ht="18" customHeight="1">
      <c r="A256" s="164"/>
      <c r="B256" s="826"/>
      <c r="C256" s="826"/>
      <c r="D256" s="826"/>
      <c r="E256" s="826"/>
      <c r="F256" s="826"/>
      <c r="G256" s="826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  <c r="T256" s="343"/>
      <c r="U256" s="343"/>
      <c r="V256" s="343"/>
      <c r="W256" s="343"/>
      <c r="X256" s="343"/>
      <c r="Y256" s="343"/>
      <c r="Z256" s="343"/>
      <c r="AA256" s="343"/>
      <c r="AB256" s="343"/>
      <c r="AC256" s="343"/>
      <c r="AD256" s="343"/>
      <c r="AE256" s="343"/>
      <c r="AF256" s="343"/>
      <c r="AG256" s="343"/>
      <c r="AH256" s="343"/>
      <c r="AI256" s="343"/>
      <c r="AJ256" s="343"/>
      <c r="AK256" s="343"/>
      <c r="AL256" s="343"/>
      <c r="AM256" s="343"/>
      <c r="AN256" s="343"/>
      <c r="AO256" s="343"/>
      <c r="AP256" s="343"/>
      <c r="AQ256" s="343"/>
      <c r="AR256" s="343"/>
      <c r="AS256" s="343"/>
      <c r="AT256" s="343"/>
    </row>
    <row r="257" spans="1:46" ht="18" customHeight="1">
      <c r="A257" s="164"/>
      <c r="B257" s="343" t="s">
        <v>68</v>
      </c>
      <c r="C257" s="343"/>
      <c r="D257" s="343"/>
      <c r="E257" s="343"/>
      <c r="F257" s="343"/>
      <c r="G257" s="343"/>
      <c r="H257" s="343"/>
      <c r="I257" s="343"/>
      <c r="J257" s="343"/>
      <c r="K257" s="169" t="s">
        <v>162</v>
      </c>
      <c r="L257" s="823" t="e">
        <f ca="1">AG252</f>
        <v>#VALUE!</v>
      </c>
      <c r="M257" s="823"/>
      <c r="N257" s="823"/>
      <c r="O257" s="823"/>
      <c r="P257" s="822">
        <f>AK252</f>
        <v>0</v>
      </c>
      <c r="Q257" s="822"/>
      <c r="R257" s="170" t="s">
        <v>67</v>
      </c>
      <c r="S257" s="823" t="e">
        <f ca="1">1*L257</f>
        <v>#VALUE!</v>
      </c>
      <c r="T257" s="823"/>
      <c r="U257" s="823"/>
      <c r="V257" s="823"/>
      <c r="W257" s="822">
        <f>P257</f>
        <v>0</v>
      </c>
      <c r="X257" s="822"/>
      <c r="Y257" s="344"/>
      <c r="Z257" s="286"/>
      <c r="AA257" s="343"/>
      <c r="AB257" s="343"/>
      <c r="AC257" s="343"/>
      <c r="AD257" s="343"/>
      <c r="AE257" s="343"/>
      <c r="AF257" s="343"/>
      <c r="AG257" s="343"/>
      <c r="AH257" s="343"/>
      <c r="AI257" s="343"/>
      <c r="AJ257" s="343"/>
      <c r="AK257" s="343"/>
      <c r="AL257" s="343"/>
      <c r="AM257" s="343"/>
      <c r="AN257" s="343"/>
      <c r="AO257" s="343"/>
      <c r="AP257" s="343"/>
      <c r="AQ257" s="343"/>
      <c r="AR257" s="343"/>
      <c r="AS257" s="343"/>
      <c r="AT257" s="343"/>
    </row>
    <row r="258" spans="1:46" ht="18" customHeight="1">
      <c r="A258" s="164"/>
      <c r="B258" s="343" t="s">
        <v>519</v>
      </c>
      <c r="C258" s="343"/>
      <c r="D258" s="343"/>
      <c r="E258" s="343"/>
      <c r="F258" s="343"/>
      <c r="G258" s="343"/>
      <c r="H258" s="343"/>
      <c r="I258" s="343"/>
      <c r="J258" s="343"/>
      <c r="K258" s="171"/>
      <c r="P258" s="831">
        <f>AP192</f>
        <v>12.5</v>
      </c>
      <c r="Q258" s="831"/>
      <c r="R258" s="831"/>
      <c r="S258" s="831"/>
      <c r="T258" s="831"/>
      <c r="U258" s="343"/>
      <c r="V258" s="343"/>
      <c r="W258" s="343"/>
      <c r="X258" s="343"/>
      <c r="Y258" s="343"/>
      <c r="Z258" s="343"/>
      <c r="AF258" s="343"/>
      <c r="AG258" s="343"/>
      <c r="AH258" s="343"/>
      <c r="AI258" s="343"/>
      <c r="AJ258" s="343"/>
      <c r="AK258" s="343"/>
      <c r="AL258" s="343"/>
      <c r="AM258" s="343"/>
      <c r="AN258" s="343"/>
      <c r="AO258" s="343"/>
      <c r="AP258" s="343"/>
      <c r="AQ258" s="343"/>
      <c r="AR258" s="343"/>
      <c r="AS258" s="343"/>
    </row>
    <row r="259" spans="1:46" ht="18" customHeight="1">
      <c r="A259" s="164"/>
      <c r="B259" s="343"/>
      <c r="C259" s="343"/>
      <c r="D259" s="343"/>
      <c r="E259" s="343"/>
      <c r="F259" s="343"/>
      <c r="G259" s="343"/>
      <c r="H259" s="343"/>
      <c r="I259" s="343"/>
      <c r="J259" s="343"/>
      <c r="K259" s="171"/>
      <c r="L259" s="346"/>
      <c r="M259" s="346"/>
      <c r="N259" s="346"/>
      <c r="O259" s="346"/>
      <c r="P259" s="831"/>
      <c r="Q259" s="831"/>
      <c r="R259" s="831"/>
      <c r="S259" s="831"/>
      <c r="T259" s="831"/>
      <c r="U259" s="343"/>
      <c r="V259" s="343"/>
      <c r="W259" s="343"/>
      <c r="X259" s="343"/>
      <c r="Y259" s="343"/>
      <c r="Z259" s="343"/>
      <c r="AA259" s="343"/>
      <c r="AB259" s="343"/>
      <c r="AC259" s="343"/>
      <c r="AD259" s="343"/>
      <c r="AE259" s="343"/>
      <c r="AF259" s="343"/>
      <c r="AG259" s="343"/>
      <c r="AH259" s="343"/>
      <c r="AI259" s="343"/>
      <c r="AJ259" s="343"/>
      <c r="AK259" s="343"/>
      <c r="AL259" s="343"/>
      <c r="AM259" s="343"/>
      <c r="AN259" s="343"/>
      <c r="AO259" s="343"/>
      <c r="AP259" s="343"/>
      <c r="AQ259" s="343"/>
      <c r="AR259" s="343"/>
      <c r="AS259" s="343"/>
    </row>
    <row r="260" spans="1:46" ht="18" customHeight="1">
      <c r="A260" s="164"/>
      <c r="B260" s="343"/>
      <c r="C260" s="343"/>
      <c r="D260" s="343"/>
      <c r="E260" s="343"/>
      <c r="F260" s="343"/>
      <c r="G260" s="343"/>
      <c r="H260" s="343"/>
      <c r="I260" s="343"/>
      <c r="J260" s="343"/>
      <c r="K260" s="171"/>
      <c r="L260" s="343"/>
      <c r="M260" s="343"/>
      <c r="N260" s="343"/>
      <c r="O260" s="343"/>
      <c r="P260" s="343"/>
      <c r="Q260" s="343"/>
      <c r="R260" s="343"/>
      <c r="S260" s="343"/>
      <c r="T260" s="343"/>
      <c r="U260" s="343"/>
      <c r="V260" s="343"/>
      <c r="W260" s="343"/>
      <c r="X260" s="343"/>
      <c r="Y260" s="343"/>
      <c r="Z260" s="343"/>
      <c r="AA260" s="343"/>
      <c r="AB260" s="343"/>
      <c r="AC260" s="343"/>
      <c r="AD260" s="343"/>
      <c r="AE260" s="343"/>
      <c r="AF260" s="343"/>
      <c r="AG260" s="343"/>
      <c r="AH260" s="343"/>
      <c r="AI260" s="343"/>
      <c r="AJ260" s="343"/>
      <c r="AK260" s="343"/>
      <c r="AL260" s="343"/>
      <c r="AM260" s="343"/>
      <c r="AN260" s="343"/>
      <c r="AO260" s="343"/>
      <c r="AP260" s="343"/>
      <c r="AQ260" s="343"/>
      <c r="AR260" s="343"/>
      <c r="AS260" s="343"/>
      <c r="AT260" s="343"/>
    </row>
    <row r="261" spans="1:46" ht="18" customHeight="1">
      <c r="A261" s="164"/>
      <c r="B261" s="164" t="s">
        <v>520</v>
      </c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  <c r="T261" s="343"/>
      <c r="U261" s="343"/>
      <c r="V261" s="343"/>
      <c r="W261" s="343"/>
      <c r="X261" s="343"/>
      <c r="Y261" s="343"/>
      <c r="Z261" s="343"/>
      <c r="AA261" s="343"/>
      <c r="AB261" s="343"/>
      <c r="AC261" s="343"/>
      <c r="AD261" s="343"/>
      <c r="AE261" s="343"/>
      <c r="AF261" s="343"/>
      <c r="AG261" s="343"/>
      <c r="AH261" s="343"/>
      <c r="AI261" s="343"/>
      <c r="AJ261" s="343"/>
      <c r="AK261" s="343"/>
      <c r="AL261" s="343"/>
      <c r="AM261" s="343"/>
      <c r="AN261" s="343"/>
      <c r="AO261" s="343"/>
      <c r="AP261" s="343"/>
      <c r="AQ261" s="343"/>
      <c r="AR261" s="343"/>
      <c r="AS261" s="343"/>
      <c r="AT261" s="343"/>
    </row>
    <row r="262" spans="1:46" ht="18" customHeight="1">
      <c r="A262" s="164"/>
      <c r="B262" s="343" t="s">
        <v>521</v>
      </c>
      <c r="C262" s="343"/>
      <c r="D262" s="343"/>
      <c r="E262" s="343"/>
      <c r="F262" s="343"/>
      <c r="G262" s="831">
        <f>I216</f>
        <v>0</v>
      </c>
      <c r="H262" s="831"/>
      <c r="I262" s="831"/>
      <c r="J262" s="831"/>
      <c r="K262" s="831"/>
      <c r="L262" s="825"/>
      <c r="M262" s="825"/>
      <c r="N262" s="825"/>
      <c r="O262" s="825"/>
      <c r="P262" s="825"/>
      <c r="Q262" s="825"/>
      <c r="R262" s="343"/>
      <c r="S262" s="343"/>
      <c r="T262" s="343"/>
      <c r="U262" s="343"/>
      <c r="V262" s="343"/>
      <c r="W262" s="343"/>
      <c r="X262" s="343"/>
      <c r="Y262" s="343"/>
      <c r="Z262" s="343"/>
      <c r="AA262" s="343"/>
      <c r="AB262" s="343"/>
      <c r="AC262" s="343"/>
      <c r="AD262" s="343"/>
      <c r="AE262" s="343"/>
      <c r="AF262" s="343"/>
      <c r="AG262" s="343"/>
      <c r="AH262" s="343"/>
      <c r="AI262" s="343"/>
      <c r="AJ262" s="343"/>
      <c r="AK262" s="343"/>
      <c r="AL262" s="343"/>
      <c r="AM262" s="343"/>
      <c r="AN262" s="343"/>
      <c r="AO262" s="343"/>
      <c r="AP262" s="343"/>
      <c r="AQ262" s="343"/>
      <c r="AR262" s="343"/>
      <c r="AS262" s="343"/>
      <c r="AT262" s="343"/>
    </row>
    <row r="263" spans="1:46" ht="18" customHeight="1">
      <c r="A263" s="164"/>
      <c r="B263" s="343" t="s">
        <v>163</v>
      </c>
      <c r="C263" s="343"/>
      <c r="D263" s="343"/>
      <c r="E263" s="343"/>
      <c r="F263" s="343"/>
      <c r="G263" s="343"/>
      <c r="H263" s="343"/>
      <c r="I263" s="343" t="s">
        <v>522</v>
      </c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167"/>
      <c r="V263" s="167"/>
      <c r="W263" s="167"/>
      <c r="X263" s="343"/>
      <c r="Y263" s="168"/>
      <c r="Z263" s="168"/>
      <c r="AA263" s="168"/>
      <c r="AB263" s="166"/>
      <c r="AC263" s="166"/>
      <c r="AD263" s="343"/>
      <c r="AE263" s="343"/>
      <c r="AF263" s="343"/>
      <c r="AG263" s="343"/>
      <c r="AH263" s="343"/>
      <c r="AI263" s="343"/>
      <c r="AJ263" s="343"/>
      <c r="AK263" s="343"/>
      <c r="AL263" s="343"/>
      <c r="AM263" s="343"/>
      <c r="AN263" s="343"/>
      <c r="AO263" s="343"/>
      <c r="AP263" s="343"/>
      <c r="AQ263" s="343"/>
      <c r="AR263" s="343"/>
      <c r="AS263" s="343"/>
      <c r="AT263" s="343"/>
    </row>
    <row r="264" spans="1:46" ht="18" customHeight="1">
      <c r="A264" s="164"/>
      <c r="B264" s="343"/>
      <c r="C264" s="343"/>
      <c r="D264" s="343"/>
      <c r="E264" s="343"/>
      <c r="F264" s="343"/>
      <c r="G264" s="343"/>
      <c r="H264" s="343"/>
      <c r="I264" s="343"/>
      <c r="J264" s="343" t="s">
        <v>164</v>
      </c>
      <c r="K264" s="343"/>
      <c r="L264" s="343"/>
      <c r="M264" s="343"/>
      <c r="N264" s="343"/>
      <c r="O264" s="343"/>
      <c r="P264" s="343"/>
      <c r="Q264" s="343"/>
      <c r="R264" s="343"/>
      <c r="S264" s="343"/>
      <c r="T264" s="343"/>
      <c r="U264" s="167"/>
      <c r="V264" s="167"/>
      <c r="W264" s="167"/>
      <c r="X264" s="343"/>
      <c r="Y264" s="168"/>
      <c r="Z264" s="168"/>
      <c r="AA264" s="168"/>
      <c r="AB264" s="166"/>
      <c r="AC264" s="166"/>
      <c r="AD264" s="343"/>
      <c r="AE264" s="343"/>
      <c r="AF264" s="343"/>
      <c r="AG264" s="343"/>
      <c r="AH264" s="343"/>
      <c r="AI264" s="343"/>
      <c r="AJ264" s="343"/>
      <c r="AK264" s="343"/>
      <c r="AL264" s="343"/>
      <c r="AM264" s="343"/>
      <c r="AN264" s="343"/>
      <c r="AO264" s="343"/>
      <c r="AP264" s="343"/>
      <c r="AQ264" s="343"/>
      <c r="AR264" s="343"/>
      <c r="AS264" s="343"/>
      <c r="AT264" s="343"/>
    </row>
    <row r="265" spans="1:46" ht="18" customHeight="1">
      <c r="A265" s="164"/>
      <c r="B265" s="343"/>
      <c r="C265" s="343"/>
      <c r="D265" s="343"/>
      <c r="E265" s="343"/>
      <c r="F265" s="343"/>
      <c r="G265" s="343"/>
      <c r="H265" s="343"/>
      <c r="I265" s="343" t="s">
        <v>523</v>
      </c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  <c r="T265" s="343"/>
      <c r="U265" s="167"/>
      <c r="V265" s="167"/>
      <c r="W265" s="167"/>
      <c r="X265" s="343"/>
      <c r="Y265" s="168"/>
      <c r="Z265" s="168"/>
      <c r="AA265" s="168"/>
      <c r="AB265" s="166"/>
      <c r="AC265" s="166"/>
      <c r="AD265" s="343"/>
      <c r="AE265" s="343"/>
      <c r="AF265" s="343"/>
      <c r="AG265" s="343"/>
      <c r="AH265" s="343"/>
      <c r="AI265" s="343"/>
      <c r="AJ265" s="343"/>
      <c r="AK265" s="343"/>
      <c r="AL265" s="343"/>
      <c r="AM265" s="343"/>
      <c r="AN265" s="343"/>
      <c r="AO265" s="343"/>
      <c r="AP265" s="343"/>
      <c r="AQ265" s="343"/>
      <c r="AR265" s="343"/>
      <c r="AS265" s="343"/>
      <c r="AT265" s="343"/>
    </row>
    <row r="266" spans="1:46" ht="18" customHeight="1">
      <c r="A266" s="164"/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167"/>
      <c r="V266" s="167"/>
      <c r="W266" s="167"/>
      <c r="X266" s="343"/>
      <c r="Y266" s="168"/>
      <c r="Z266" s="176"/>
      <c r="AA266" s="176"/>
      <c r="AB266" s="176"/>
      <c r="AC266" s="176"/>
      <c r="AD266" s="176"/>
      <c r="AE266" s="343"/>
      <c r="AF266" s="343"/>
      <c r="AG266" s="168"/>
      <c r="AH266" s="168"/>
      <c r="AI266" s="166"/>
      <c r="AJ266" s="343"/>
      <c r="AK266" s="343"/>
      <c r="AL266" s="343"/>
      <c r="AM266" s="343"/>
      <c r="AN266" s="343"/>
      <c r="AO266" s="343"/>
      <c r="AP266" s="343"/>
      <c r="AQ266" s="343"/>
      <c r="AR266" s="343"/>
      <c r="AS266" s="343"/>
      <c r="AT266" s="343"/>
    </row>
    <row r="267" spans="1:46" ht="18" customHeight="1">
      <c r="A267" s="164"/>
      <c r="B267" s="343"/>
      <c r="C267" s="343"/>
      <c r="D267" s="343"/>
      <c r="E267" s="343"/>
      <c r="F267" s="343"/>
      <c r="G267" s="343"/>
      <c r="H267" s="343"/>
      <c r="I267" s="343"/>
      <c r="J267" s="343"/>
      <c r="K267" s="347" t="s">
        <v>67</v>
      </c>
      <c r="L267" s="823" t="e">
        <f ca="1">AF182</f>
        <v>#N/A</v>
      </c>
      <c r="M267" s="823"/>
      <c r="N267" s="823"/>
      <c r="O267" s="823"/>
      <c r="P267" s="823">
        <f>AF181</f>
        <v>0</v>
      </c>
      <c r="Q267" s="823"/>
      <c r="R267" s="823"/>
      <c r="S267" s="823"/>
      <c r="T267" s="343"/>
      <c r="U267" s="167"/>
      <c r="V267" s="343"/>
      <c r="W267" s="343"/>
      <c r="X267" s="343"/>
      <c r="Y267" s="168"/>
      <c r="Z267" s="176"/>
      <c r="AA267" s="176"/>
      <c r="AB267" s="176"/>
      <c r="AC267" s="176"/>
      <c r="AD267" s="176"/>
      <c r="AE267" s="343"/>
      <c r="AF267" s="343"/>
      <c r="AG267" s="168"/>
      <c r="AH267" s="168"/>
      <c r="AI267" s="166"/>
      <c r="AJ267" s="343"/>
      <c r="AK267" s="343"/>
      <c r="AL267" s="343"/>
      <c r="AM267" s="343"/>
      <c r="AN267" s="343"/>
      <c r="AO267" s="343"/>
      <c r="AP267" s="343"/>
      <c r="AQ267" s="343"/>
      <c r="AR267" s="343"/>
      <c r="AS267" s="343"/>
      <c r="AT267" s="343"/>
    </row>
    <row r="268" spans="1:46" ht="18" customHeight="1">
      <c r="A268" s="164"/>
      <c r="B268" s="343"/>
      <c r="C268" s="343"/>
      <c r="D268" s="343"/>
      <c r="E268" s="343"/>
      <c r="F268" s="343"/>
      <c r="G268" s="343"/>
      <c r="H268" s="343"/>
      <c r="I268" s="343" t="s">
        <v>165</v>
      </c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  <c r="T268" s="343"/>
      <c r="U268" s="167"/>
      <c r="V268" s="167"/>
      <c r="W268" s="167"/>
      <c r="X268" s="343"/>
      <c r="Y268" s="168"/>
      <c r="Z268" s="168"/>
      <c r="AA268" s="168"/>
      <c r="AB268" s="166"/>
      <c r="AC268" s="166"/>
      <c r="AD268" s="343"/>
      <c r="AE268" s="343"/>
      <c r="AF268" s="343"/>
      <c r="AG268" s="343"/>
      <c r="AH268" s="343"/>
      <c r="AI268" s="343"/>
      <c r="AJ268" s="343"/>
      <c r="AK268" s="343"/>
      <c r="AL268" s="343"/>
      <c r="AM268" s="343"/>
      <c r="AN268" s="343"/>
      <c r="AO268" s="343"/>
      <c r="AP268" s="343"/>
      <c r="AQ268" s="343"/>
      <c r="AR268" s="343"/>
      <c r="AS268" s="343"/>
      <c r="AT268" s="343"/>
    </row>
    <row r="269" spans="1:46" ht="18" customHeight="1">
      <c r="A269" s="164"/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167"/>
      <c r="V269" s="167"/>
      <c r="W269" s="167"/>
      <c r="X269" s="343"/>
      <c r="Y269" s="168"/>
      <c r="Z269" s="176"/>
      <c r="AA269" s="176"/>
      <c r="AB269" s="176"/>
      <c r="AC269" s="176"/>
      <c r="AD269" s="176"/>
      <c r="AE269" s="343"/>
      <c r="AF269" s="343"/>
      <c r="AG269" s="168"/>
      <c r="AH269" s="168"/>
      <c r="AI269" s="166"/>
      <c r="AJ269" s="343"/>
      <c r="AK269" s="343"/>
      <c r="AL269" s="343"/>
      <c r="AM269" s="343"/>
      <c r="AN269" s="343"/>
      <c r="AO269" s="343"/>
      <c r="AP269" s="343"/>
      <c r="AQ269" s="343"/>
      <c r="AR269" s="343"/>
      <c r="AS269" s="343"/>
      <c r="AT269" s="343"/>
    </row>
    <row r="270" spans="1:46" ht="18" customHeight="1">
      <c r="A270" s="164"/>
      <c r="B270" s="343"/>
      <c r="C270" s="343"/>
      <c r="D270" s="343"/>
      <c r="E270" s="343"/>
      <c r="F270" s="343"/>
      <c r="G270" s="343"/>
      <c r="H270" s="343"/>
      <c r="I270" s="343"/>
      <c r="J270" s="343"/>
      <c r="K270" s="347" t="s">
        <v>67</v>
      </c>
      <c r="L270" s="823" t="e">
        <f ca="1">AF183</f>
        <v>#N/A</v>
      </c>
      <c r="M270" s="823"/>
      <c r="N270" s="823"/>
      <c r="O270" s="823"/>
      <c r="P270" s="823">
        <f>AF181</f>
        <v>0</v>
      </c>
      <c r="Q270" s="823"/>
      <c r="R270" s="823"/>
      <c r="S270" s="823"/>
      <c r="T270" s="343"/>
      <c r="U270" s="167"/>
      <c r="V270" s="343"/>
      <c r="W270" s="168"/>
      <c r="X270" s="343"/>
      <c r="Y270" s="168"/>
      <c r="Z270" s="176"/>
      <c r="AA270" s="176"/>
      <c r="AB270" s="176"/>
      <c r="AC270" s="176"/>
      <c r="AD270" s="176"/>
      <c r="AE270" s="343"/>
      <c r="AF270" s="343"/>
      <c r="AG270" s="168"/>
      <c r="AH270" s="168"/>
      <c r="AI270" s="166"/>
      <c r="AJ270" s="343"/>
      <c r="AK270" s="343"/>
      <c r="AL270" s="343"/>
      <c r="AM270" s="343"/>
      <c r="AN270" s="343"/>
      <c r="AO270" s="343"/>
      <c r="AP270" s="343"/>
      <c r="AQ270" s="343"/>
      <c r="AR270" s="343"/>
      <c r="AS270" s="343"/>
      <c r="AT270" s="343"/>
    </row>
    <row r="271" spans="1:46" ht="18" customHeight="1">
      <c r="A271" s="164"/>
      <c r="B271" s="343"/>
      <c r="C271" s="343"/>
      <c r="D271" s="343"/>
      <c r="E271" s="343"/>
      <c r="F271" s="343"/>
      <c r="G271" s="343"/>
      <c r="H271" s="343"/>
      <c r="I271" s="343" t="s">
        <v>166</v>
      </c>
      <c r="J271" s="343"/>
      <c r="K271" s="347"/>
      <c r="L271" s="176"/>
      <c r="M271" s="176"/>
      <c r="N271" s="176"/>
      <c r="O271" s="343"/>
      <c r="P271" s="343"/>
      <c r="Q271" s="343"/>
      <c r="R271" s="343"/>
      <c r="S271" s="343"/>
      <c r="T271" s="343"/>
      <c r="U271" s="167"/>
      <c r="V271" s="167"/>
      <c r="W271" s="167"/>
      <c r="X271" s="343"/>
      <c r="Y271" s="168"/>
      <c r="Z271" s="176"/>
      <c r="AA271" s="176"/>
      <c r="AB271" s="176"/>
      <c r="AC271" s="176"/>
      <c r="AD271" s="176"/>
      <c r="AE271" s="343"/>
      <c r="AF271" s="343"/>
      <c r="AG271" s="168"/>
      <c r="AH271" s="168"/>
      <c r="AI271" s="166"/>
      <c r="AJ271" s="343"/>
      <c r="AK271" s="343"/>
      <c r="AL271" s="343"/>
      <c r="AM271" s="343"/>
      <c r="AN271" s="343"/>
      <c r="AO271" s="343"/>
      <c r="AP271" s="343"/>
      <c r="AQ271" s="343"/>
      <c r="AR271" s="343"/>
      <c r="AS271" s="343"/>
      <c r="AT271" s="343"/>
    </row>
    <row r="272" spans="1:46" ht="18" customHeight="1">
      <c r="A272" s="164"/>
      <c r="B272" s="343"/>
      <c r="C272" s="343"/>
      <c r="D272" s="343"/>
      <c r="E272" s="343"/>
      <c r="F272" s="343"/>
      <c r="G272" s="343"/>
      <c r="H272" s="343"/>
      <c r="I272" s="343"/>
      <c r="J272" s="343"/>
      <c r="K272" s="347"/>
      <c r="L272" s="176"/>
      <c r="M272" s="176"/>
      <c r="N272" s="176"/>
      <c r="O272" s="343"/>
      <c r="P272" s="343"/>
      <c r="Q272" s="343"/>
      <c r="R272" s="823" t="e">
        <f ca="1">MAX(L267,L270)</f>
        <v>#N/A</v>
      </c>
      <c r="S272" s="823"/>
      <c r="T272" s="823"/>
      <c r="U272" s="823"/>
      <c r="V272" s="823">
        <f>P267</f>
        <v>0</v>
      </c>
      <c r="W272" s="823"/>
      <c r="X272" s="823"/>
      <c r="Y272" s="823"/>
      <c r="Z272" s="343"/>
      <c r="AA272" s="167"/>
      <c r="AB272" s="343"/>
      <c r="AC272" s="168"/>
      <c r="AD272" s="343"/>
      <c r="AE272" s="168"/>
      <c r="AF272" s="176"/>
      <c r="AG272" s="176"/>
      <c r="AH272" s="168"/>
      <c r="AI272" s="166"/>
      <c r="AJ272" s="343"/>
      <c r="AK272" s="343"/>
      <c r="AL272" s="343"/>
      <c r="AM272" s="343"/>
      <c r="AN272" s="343"/>
      <c r="AO272" s="343"/>
      <c r="AP272" s="343"/>
      <c r="AQ272" s="343"/>
      <c r="AR272" s="343"/>
      <c r="AS272" s="343"/>
      <c r="AT272" s="343"/>
    </row>
    <row r="273" spans="1:46" ht="18" customHeight="1">
      <c r="A273" s="164"/>
      <c r="B273" s="343"/>
      <c r="C273" s="343"/>
      <c r="D273" s="343"/>
      <c r="E273" s="343"/>
      <c r="F273" s="343"/>
      <c r="G273" s="343"/>
      <c r="H273" s="343"/>
      <c r="I273" s="343"/>
      <c r="J273" s="343"/>
      <c r="K273" s="343"/>
      <c r="L273" s="343"/>
      <c r="M273" s="343"/>
      <c r="N273" s="343"/>
      <c r="O273" s="343"/>
      <c r="P273" s="178"/>
      <c r="Q273" s="836" t="e">
        <f>TEXT($AJ$57,"0.000 000 0 ")&amp;$AJ$58</f>
        <v>#DIV/0!</v>
      </c>
      <c r="R273" s="836"/>
      <c r="S273" s="836"/>
      <c r="T273" s="836"/>
      <c r="U273" s="836"/>
      <c r="V273" s="836"/>
      <c r="W273" s="836"/>
      <c r="X273" s="836"/>
      <c r="Y273" s="836"/>
      <c r="Z273" s="836"/>
      <c r="AA273" s="836"/>
      <c r="AB273" s="829" t="s">
        <v>512</v>
      </c>
      <c r="AC273" s="838" t="e">
        <f ca="1">R272</f>
        <v>#N/A</v>
      </c>
      <c r="AD273" s="838"/>
      <c r="AE273" s="838"/>
      <c r="AF273" s="838"/>
      <c r="AG273" s="829" t="s">
        <v>67</v>
      </c>
      <c r="AH273" s="822" t="e">
        <f ca="1">P193</f>
        <v>#N/A</v>
      </c>
      <c r="AI273" s="822"/>
      <c r="AJ273" s="822"/>
      <c r="AK273" s="822"/>
      <c r="AL273" s="823">
        <f>V193</f>
        <v>0</v>
      </c>
      <c r="AM273" s="823"/>
      <c r="AN273" s="823"/>
      <c r="AO273" s="343"/>
      <c r="AP273" s="343"/>
      <c r="AQ273" s="343"/>
      <c r="AR273" s="343"/>
      <c r="AS273" s="343"/>
      <c r="AT273" s="343"/>
    </row>
    <row r="274" spans="1:46" ht="18" customHeight="1">
      <c r="A274" s="164"/>
      <c r="B274" s="343"/>
      <c r="C274" s="343"/>
      <c r="D274" s="343"/>
      <c r="E274" s="343"/>
      <c r="F274" s="343"/>
      <c r="G274" s="343"/>
      <c r="H274" s="343"/>
      <c r="I274" s="343"/>
      <c r="J274" s="343"/>
      <c r="K274" s="343"/>
      <c r="L274" s="343"/>
      <c r="M274" s="343"/>
      <c r="N274" s="343"/>
      <c r="O274" s="343"/>
      <c r="P274" s="178"/>
      <c r="Q274" s="836"/>
      <c r="R274" s="836"/>
      <c r="S274" s="836"/>
      <c r="T274" s="836"/>
      <c r="U274" s="836"/>
      <c r="V274" s="836"/>
      <c r="W274" s="836"/>
      <c r="X274" s="836"/>
      <c r="Y274" s="836"/>
      <c r="Z274" s="836"/>
      <c r="AA274" s="836"/>
      <c r="AB274" s="829"/>
      <c r="AC274" s="177"/>
      <c r="AD274" s="177"/>
      <c r="AE274" s="177"/>
      <c r="AF274" s="177"/>
      <c r="AG274" s="829"/>
      <c r="AH274" s="822"/>
      <c r="AI274" s="822"/>
      <c r="AJ274" s="822"/>
      <c r="AK274" s="822"/>
      <c r="AL274" s="823"/>
      <c r="AM274" s="823"/>
      <c r="AN274" s="823"/>
      <c r="AO274" s="343"/>
      <c r="AP274" s="343"/>
      <c r="AQ274" s="343"/>
      <c r="AR274" s="343"/>
      <c r="AS274" s="343"/>
      <c r="AT274" s="343"/>
    </row>
    <row r="275" spans="1:46" ht="18" customHeight="1">
      <c r="A275" s="164"/>
      <c r="B275" s="343" t="s">
        <v>524</v>
      </c>
      <c r="C275" s="343"/>
      <c r="D275" s="343"/>
      <c r="E275" s="343"/>
      <c r="F275" s="343"/>
      <c r="G275" s="343"/>
      <c r="H275" s="826" t="str">
        <f>X193</f>
        <v>직사각형</v>
      </c>
      <c r="I275" s="826"/>
      <c r="J275" s="826"/>
      <c r="K275" s="826"/>
      <c r="L275" s="826"/>
      <c r="M275" s="343"/>
      <c r="N275" s="343"/>
      <c r="O275" s="343"/>
      <c r="P275" s="343"/>
      <c r="Q275" s="343"/>
      <c r="R275" s="343"/>
      <c r="S275" s="343"/>
      <c r="T275" s="343"/>
      <c r="U275" s="343"/>
      <c r="V275" s="343"/>
      <c r="W275" s="343"/>
      <c r="X275" s="343"/>
      <c r="Y275" s="343"/>
      <c r="Z275" s="343"/>
      <c r="AA275" s="343"/>
      <c r="AB275" s="343"/>
      <c r="AC275" s="343"/>
      <c r="AD275" s="343"/>
      <c r="AE275" s="343"/>
      <c r="AF275" s="343"/>
      <c r="AG275" s="343"/>
      <c r="AH275" s="343"/>
      <c r="AI275" s="343"/>
      <c r="AJ275" s="343"/>
      <c r="AK275" s="343"/>
      <c r="AL275" s="343"/>
      <c r="AM275" s="343"/>
      <c r="AN275" s="343"/>
      <c r="AO275" s="343"/>
      <c r="AP275" s="343"/>
      <c r="AQ275" s="343"/>
      <c r="AR275" s="343"/>
      <c r="AS275" s="343"/>
      <c r="AT275" s="343"/>
    </row>
    <row r="276" spans="1:46" ht="18" customHeight="1">
      <c r="A276" s="164"/>
      <c r="B276" s="826" t="s">
        <v>525</v>
      </c>
      <c r="C276" s="826"/>
      <c r="D276" s="826"/>
      <c r="E276" s="826"/>
      <c r="F276" s="826"/>
      <c r="G276" s="826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  <c r="T276" s="343"/>
      <c r="U276" s="343"/>
      <c r="V276" s="343"/>
      <c r="W276" s="343"/>
      <c r="X276" s="343"/>
      <c r="Y276" s="343"/>
      <c r="Z276" s="343"/>
      <c r="AA276" s="343"/>
      <c r="AB276" s="343"/>
      <c r="AC276" s="343"/>
      <c r="AD276" s="343"/>
      <c r="AE276" s="343"/>
      <c r="AF276" s="343"/>
      <c r="AG276" s="343"/>
      <c r="AH276" s="343"/>
      <c r="AI276" s="343"/>
      <c r="AJ276" s="343"/>
      <c r="AK276" s="343"/>
      <c r="AL276" s="343"/>
      <c r="AM276" s="343"/>
      <c r="AN276" s="343"/>
      <c r="AO276" s="343"/>
      <c r="AP276" s="343"/>
      <c r="AQ276" s="343"/>
      <c r="AR276" s="343"/>
      <c r="AS276" s="343"/>
      <c r="AT276" s="343"/>
    </row>
    <row r="277" spans="1:46" ht="18" customHeight="1">
      <c r="A277" s="164"/>
      <c r="B277" s="826"/>
      <c r="C277" s="826"/>
      <c r="D277" s="826"/>
      <c r="E277" s="826"/>
      <c r="F277" s="826"/>
      <c r="G277" s="826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  <c r="T277" s="343"/>
      <c r="U277" s="343"/>
      <c r="V277" s="343"/>
      <c r="W277" s="343"/>
      <c r="X277" s="343"/>
      <c r="Y277" s="343"/>
      <c r="Z277" s="343"/>
      <c r="AA277" s="343"/>
      <c r="AB277" s="343"/>
      <c r="AC277" s="343"/>
      <c r="AD277" s="343"/>
      <c r="AE277" s="343"/>
      <c r="AF277" s="343"/>
      <c r="AG277" s="343"/>
      <c r="AH277" s="343"/>
      <c r="AI277" s="343"/>
      <c r="AJ277" s="343"/>
      <c r="AK277" s="343"/>
      <c r="AL277" s="343"/>
      <c r="AM277" s="343"/>
      <c r="AN277" s="343"/>
      <c r="AO277" s="343"/>
      <c r="AP277" s="343"/>
      <c r="AQ277" s="343"/>
      <c r="AR277" s="343"/>
      <c r="AS277" s="343"/>
      <c r="AT277" s="343"/>
    </row>
    <row r="278" spans="1:46" ht="18" customHeight="1">
      <c r="A278" s="164"/>
      <c r="B278" s="343" t="s">
        <v>526</v>
      </c>
      <c r="C278" s="343"/>
      <c r="D278" s="343"/>
      <c r="E278" s="343"/>
      <c r="F278" s="343"/>
      <c r="G278" s="343"/>
      <c r="H278" s="343"/>
      <c r="I278" s="343"/>
      <c r="J278" s="343"/>
      <c r="K278" s="169" t="s">
        <v>527</v>
      </c>
      <c r="L278" s="823" t="e">
        <f ca="1">AH273</f>
        <v>#N/A</v>
      </c>
      <c r="M278" s="823"/>
      <c r="N278" s="823"/>
      <c r="O278" s="823"/>
      <c r="P278" s="822">
        <f>AL273</f>
        <v>0</v>
      </c>
      <c r="Q278" s="822"/>
      <c r="R278" s="170" t="s">
        <v>528</v>
      </c>
      <c r="S278" s="823" t="e">
        <f ca="1">1*L278</f>
        <v>#N/A</v>
      </c>
      <c r="T278" s="823"/>
      <c r="U278" s="823"/>
      <c r="V278" s="823"/>
      <c r="W278" s="822">
        <f>P278</f>
        <v>0</v>
      </c>
      <c r="X278" s="822"/>
      <c r="Y278" s="344"/>
      <c r="Z278" s="286"/>
      <c r="AA278" s="343"/>
      <c r="AB278" s="343"/>
      <c r="AC278" s="343"/>
      <c r="AD278" s="343"/>
      <c r="AE278" s="343"/>
      <c r="AF278" s="343"/>
      <c r="AG278" s="343"/>
      <c r="AH278" s="343"/>
      <c r="AI278" s="343"/>
      <c r="AJ278" s="343"/>
      <c r="AK278" s="343"/>
      <c r="AL278" s="343"/>
      <c r="AM278" s="343"/>
      <c r="AN278" s="343"/>
      <c r="AO278" s="343"/>
      <c r="AP278" s="343"/>
      <c r="AQ278" s="343"/>
      <c r="AR278" s="343"/>
      <c r="AS278" s="343"/>
      <c r="AT278" s="343"/>
    </row>
    <row r="279" spans="1:46" ht="18" customHeight="1">
      <c r="A279" s="164"/>
      <c r="B279" s="343" t="s">
        <v>529</v>
      </c>
      <c r="C279" s="343"/>
      <c r="D279" s="343"/>
      <c r="E279" s="343"/>
      <c r="F279" s="343"/>
      <c r="G279" s="343"/>
      <c r="H279" s="343"/>
      <c r="I279" s="343"/>
      <c r="J279" s="343"/>
      <c r="K279" s="171"/>
      <c r="P279" s="831">
        <f>AP193</f>
        <v>12.5</v>
      </c>
      <c r="Q279" s="831"/>
      <c r="R279" s="831"/>
      <c r="S279" s="831"/>
      <c r="T279" s="831"/>
      <c r="U279" s="343"/>
      <c r="V279" s="343"/>
      <c r="W279" s="343"/>
      <c r="X279" s="343"/>
      <c r="Y279" s="343"/>
      <c r="Z279" s="343"/>
      <c r="AA279" s="343"/>
      <c r="AB279" s="343"/>
      <c r="AC279" s="343"/>
      <c r="AD279" s="343"/>
      <c r="AE279" s="343"/>
      <c r="AK279" s="343"/>
      <c r="AL279" s="343"/>
      <c r="AM279" s="343"/>
      <c r="AN279" s="343"/>
      <c r="AO279" s="343"/>
      <c r="AP279" s="343"/>
      <c r="AQ279" s="343"/>
      <c r="AR279" s="343"/>
      <c r="AS279" s="343"/>
      <c r="AT279" s="343"/>
    </row>
    <row r="280" spans="1:46" ht="18" customHeight="1">
      <c r="A280" s="164"/>
      <c r="B280" s="343"/>
      <c r="C280" s="343"/>
      <c r="D280" s="343"/>
      <c r="E280" s="343"/>
      <c r="F280" s="343"/>
      <c r="G280" s="343"/>
      <c r="H280" s="343"/>
      <c r="I280" s="343"/>
      <c r="J280" s="343"/>
      <c r="K280" s="171"/>
      <c r="L280" s="346"/>
      <c r="M280" s="346"/>
      <c r="N280" s="346"/>
      <c r="O280" s="346"/>
      <c r="P280" s="831"/>
      <c r="Q280" s="831"/>
      <c r="R280" s="831"/>
      <c r="S280" s="831"/>
      <c r="T280" s="831"/>
      <c r="U280" s="343"/>
      <c r="V280" s="343"/>
      <c r="W280" s="343"/>
      <c r="X280" s="343"/>
      <c r="Y280" s="343"/>
      <c r="Z280" s="343"/>
      <c r="AA280" s="343"/>
      <c r="AB280" s="343"/>
      <c r="AC280" s="343"/>
      <c r="AD280" s="343"/>
      <c r="AE280" s="343"/>
      <c r="AF280" s="343"/>
      <c r="AG280" s="343"/>
      <c r="AH280" s="343"/>
      <c r="AI280" s="343"/>
      <c r="AJ280" s="343"/>
      <c r="AK280" s="343"/>
      <c r="AL280" s="343"/>
      <c r="AM280" s="343"/>
      <c r="AN280" s="343"/>
      <c r="AO280" s="343"/>
      <c r="AP280" s="343"/>
      <c r="AQ280" s="343"/>
      <c r="AR280" s="343"/>
      <c r="AS280" s="343"/>
      <c r="AT280" s="343"/>
    </row>
    <row r="281" spans="1:46" ht="18" customHeight="1">
      <c r="A281" s="164"/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  <c r="T281" s="343"/>
      <c r="U281" s="343"/>
      <c r="V281" s="343"/>
      <c r="W281" s="343"/>
      <c r="X281" s="343"/>
      <c r="Y281" s="343"/>
      <c r="Z281" s="343"/>
      <c r="AA281" s="343"/>
      <c r="AB281" s="343"/>
      <c r="AC281" s="343"/>
      <c r="AD281" s="343"/>
      <c r="AE281" s="343"/>
      <c r="AF281" s="343"/>
      <c r="AG281" s="343"/>
      <c r="AH281" s="343"/>
      <c r="AI281" s="343"/>
      <c r="AJ281" s="343"/>
      <c r="AK281" s="343"/>
      <c r="AL281" s="343"/>
      <c r="AM281" s="343"/>
      <c r="AN281" s="343"/>
      <c r="AO281" s="343"/>
      <c r="AP281" s="343"/>
      <c r="AQ281" s="343"/>
      <c r="AR281" s="343"/>
      <c r="AS281" s="343"/>
      <c r="AT281" s="343"/>
    </row>
    <row r="282" spans="1:46" ht="18" customHeight="1">
      <c r="A282" s="164"/>
      <c r="B282" s="164" t="s">
        <v>530</v>
      </c>
      <c r="C282" s="343"/>
      <c r="D282" s="343"/>
      <c r="E282" s="343"/>
      <c r="F282" s="343"/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  <c r="T282" s="343"/>
      <c r="U282" s="343"/>
      <c r="V282" s="343"/>
      <c r="W282" s="343"/>
      <c r="X282" s="343"/>
      <c r="Y282" s="343"/>
      <c r="Z282" s="343"/>
      <c r="AA282" s="343"/>
      <c r="AB282" s="343"/>
      <c r="AC282" s="343"/>
      <c r="AD282" s="343"/>
      <c r="AE282" s="343"/>
      <c r="AF282" s="343"/>
      <c r="AG282" s="343"/>
      <c r="AH282" s="343"/>
      <c r="AI282" s="343"/>
      <c r="AJ282" s="343"/>
      <c r="AK282" s="343"/>
      <c r="AL282" s="343"/>
      <c r="AM282" s="343"/>
      <c r="AN282" s="343"/>
      <c r="AO282" s="343"/>
      <c r="AP282" s="343"/>
      <c r="AQ282" s="343"/>
      <c r="AR282" s="343"/>
      <c r="AS282" s="343"/>
      <c r="AT282" s="343"/>
    </row>
    <row r="283" spans="1:46" ht="18" customHeight="1">
      <c r="A283" s="164"/>
      <c r="B283" s="343" t="s">
        <v>167</v>
      </c>
      <c r="C283" s="343"/>
      <c r="D283" s="343"/>
      <c r="E283" s="343"/>
      <c r="F283" s="343"/>
      <c r="G283" s="831">
        <f>I231</f>
        <v>0</v>
      </c>
      <c r="H283" s="831"/>
      <c r="I283" s="831"/>
      <c r="J283" s="831"/>
      <c r="K283" s="831"/>
      <c r="L283" s="825"/>
      <c r="M283" s="825"/>
      <c r="N283" s="825"/>
      <c r="O283" s="825"/>
      <c r="P283" s="825"/>
      <c r="Q283" s="825"/>
      <c r="R283" s="343"/>
      <c r="S283" s="343"/>
      <c r="T283" s="343"/>
      <c r="U283" s="343"/>
      <c r="V283" s="343"/>
      <c r="W283" s="343"/>
      <c r="X283" s="343"/>
      <c r="Y283" s="343"/>
      <c r="Z283" s="343"/>
      <c r="AA283" s="343"/>
      <c r="AB283" s="343"/>
      <c r="AC283" s="343"/>
      <c r="AD283" s="343"/>
      <c r="AE283" s="343"/>
      <c r="AF283" s="343"/>
      <c r="AG283" s="343"/>
      <c r="AH283" s="343"/>
      <c r="AI283" s="343"/>
      <c r="AJ283" s="343"/>
      <c r="AK283" s="343"/>
      <c r="AL283" s="343"/>
      <c r="AM283" s="343"/>
      <c r="AN283" s="343"/>
      <c r="AO283" s="343"/>
      <c r="AP283" s="343"/>
      <c r="AQ283" s="343"/>
      <c r="AR283" s="343"/>
      <c r="AS283" s="343"/>
      <c r="AT283" s="343"/>
    </row>
    <row r="284" spans="1:46" ht="18" customHeight="1">
      <c r="A284" s="164"/>
      <c r="B284" s="343" t="s">
        <v>168</v>
      </c>
      <c r="C284" s="343"/>
      <c r="D284" s="343"/>
      <c r="E284" s="343"/>
      <c r="F284" s="343"/>
      <c r="G284" s="343"/>
      <c r="H284" s="343"/>
      <c r="I284" s="343" t="s">
        <v>169</v>
      </c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  <c r="T284" s="343"/>
      <c r="U284" s="167"/>
      <c r="V284" s="167"/>
      <c r="W284" s="167"/>
      <c r="X284" s="343"/>
      <c r="Y284" s="168"/>
      <c r="Z284" s="168"/>
      <c r="AA284" s="168"/>
      <c r="AB284" s="166"/>
      <c r="AC284" s="166"/>
      <c r="AD284" s="343"/>
      <c r="AE284" s="343"/>
      <c r="AF284" s="343"/>
      <c r="AG284" s="343"/>
      <c r="AH284" s="343"/>
      <c r="AI284" s="343"/>
      <c r="AJ284" s="343"/>
      <c r="AK284" s="343"/>
      <c r="AL284" s="343"/>
      <c r="AM284" s="343"/>
      <c r="AN284" s="343"/>
      <c r="AO284" s="343"/>
      <c r="AP284" s="343"/>
      <c r="AQ284" s="343"/>
      <c r="AR284" s="343"/>
      <c r="AS284" s="343"/>
      <c r="AT284" s="343"/>
    </row>
    <row r="285" spans="1:46" ht="18" customHeight="1">
      <c r="A285" s="164"/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167"/>
      <c r="V285" s="167"/>
      <c r="W285" s="167"/>
      <c r="X285" s="343"/>
      <c r="Y285" s="168"/>
      <c r="Z285" s="168"/>
      <c r="AA285" s="822" t="e">
        <f ca="1">Z6</f>
        <v>#N/A</v>
      </c>
      <c r="AB285" s="822"/>
      <c r="AC285" s="822"/>
      <c r="AD285" s="822"/>
      <c r="AE285" s="823">
        <f>Calcu!J44</f>
        <v>0</v>
      </c>
      <c r="AF285" s="823"/>
      <c r="AG285" s="823"/>
      <c r="AH285" s="343"/>
      <c r="AI285" s="343"/>
      <c r="AJ285" s="343"/>
      <c r="AK285" s="343"/>
      <c r="AL285" s="343"/>
      <c r="AM285" s="343"/>
      <c r="AN285" s="343"/>
      <c r="AO285" s="343"/>
      <c r="AP285" s="343"/>
      <c r="AQ285" s="343"/>
      <c r="AR285" s="343"/>
      <c r="AS285" s="343"/>
      <c r="AT285" s="343"/>
    </row>
    <row r="286" spans="1:46" ht="18" customHeight="1">
      <c r="A286" s="164"/>
      <c r="B286" s="343"/>
      <c r="C286" s="343"/>
      <c r="D286" s="343"/>
      <c r="E286" s="343"/>
      <c r="F286" s="343"/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  <c r="T286" s="343"/>
      <c r="U286" s="167"/>
      <c r="V286" s="167"/>
      <c r="W286" s="167"/>
      <c r="X286" s="343"/>
      <c r="Y286" s="168"/>
      <c r="Z286" s="168"/>
      <c r="AA286" s="822"/>
      <c r="AB286" s="822"/>
      <c r="AC286" s="822"/>
      <c r="AD286" s="822"/>
      <c r="AE286" s="823"/>
      <c r="AF286" s="823"/>
      <c r="AG286" s="823"/>
      <c r="AH286" s="343"/>
      <c r="AI286" s="343"/>
      <c r="AJ286" s="343"/>
      <c r="AK286" s="343"/>
      <c r="AL286" s="343"/>
      <c r="AM286" s="343"/>
      <c r="AN286" s="343"/>
      <c r="AO286" s="343"/>
      <c r="AP286" s="343"/>
      <c r="AQ286" s="343"/>
      <c r="AR286" s="343"/>
      <c r="AS286" s="343"/>
      <c r="AT286" s="343"/>
    </row>
    <row r="287" spans="1:46" ht="18" customHeight="1">
      <c r="A287" s="164"/>
      <c r="B287" s="343"/>
      <c r="C287" s="343"/>
      <c r="D287" s="343"/>
      <c r="E287" s="343"/>
      <c r="F287" s="343"/>
      <c r="G287" s="343"/>
      <c r="H287" s="343"/>
      <c r="I287" s="343"/>
      <c r="J287" s="343"/>
      <c r="K287" s="343"/>
      <c r="L287" s="343"/>
      <c r="M287" s="343"/>
      <c r="N287" s="343"/>
      <c r="O287" s="343"/>
      <c r="P287" s="178"/>
      <c r="Q287" s="836" t="e">
        <f>TEXT($AJ$57,"0.000 000 0 ")&amp;$AJ$58</f>
        <v>#DIV/0!</v>
      </c>
      <c r="R287" s="836"/>
      <c r="S287" s="836"/>
      <c r="T287" s="836"/>
      <c r="U287" s="836"/>
      <c r="V287" s="836"/>
      <c r="W287" s="836"/>
      <c r="X287" s="836"/>
      <c r="Y287" s="836"/>
      <c r="Z287" s="836"/>
      <c r="AA287" s="836"/>
      <c r="AB287" s="829" t="s">
        <v>531</v>
      </c>
      <c r="AC287" s="838" t="e">
        <f ca="1">ABS(AA285)</f>
        <v>#N/A</v>
      </c>
      <c r="AD287" s="838"/>
      <c r="AE287" s="838"/>
      <c r="AF287" s="838"/>
      <c r="AG287" s="829" t="s">
        <v>532</v>
      </c>
      <c r="AH287" s="822" t="e">
        <f ca="1">P194</f>
        <v>#N/A</v>
      </c>
      <c r="AI287" s="822"/>
      <c r="AJ287" s="822"/>
      <c r="AK287" s="822"/>
      <c r="AL287" s="823">
        <f>V194</f>
        <v>0</v>
      </c>
      <c r="AM287" s="823"/>
      <c r="AN287" s="823"/>
      <c r="AO287" s="343"/>
      <c r="AP287" s="343"/>
      <c r="AQ287" s="343"/>
      <c r="AR287" s="343"/>
      <c r="AS287" s="343"/>
      <c r="AT287" s="343"/>
    </row>
    <row r="288" spans="1:46" ht="18" customHeight="1">
      <c r="A288" s="164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43"/>
      <c r="P288" s="178"/>
      <c r="Q288" s="836"/>
      <c r="R288" s="836"/>
      <c r="S288" s="836"/>
      <c r="T288" s="836"/>
      <c r="U288" s="836"/>
      <c r="V288" s="836"/>
      <c r="W288" s="836"/>
      <c r="X288" s="836"/>
      <c r="Y288" s="836"/>
      <c r="Z288" s="836"/>
      <c r="AA288" s="836"/>
      <c r="AB288" s="829"/>
      <c r="AC288" s="177"/>
      <c r="AD288" s="177"/>
      <c r="AE288" s="177"/>
      <c r="AF288" s="177"/>
      <c r="AG288" s="829"/>
      <c r="AH288" s="822"/>
      <c r="AI288" s="822"/>
      <c r="AJ288" s="822"/>
      <c r="AK288" s="822"/>
      <c r="AL288" s="823"/>
      <c r="AM288" s="823"/>
      <c r="AN288" s="823"/>
      <c r="AO288" s="343"/>
      <c r="AP288" s="343"/>
      <c r="AQ288" s="343"/>
      <c r="AR288" s="343"/>
      <c r="AS288" s="343"/>
      <c r="AT288" s="343"/>
    </row>
    <row r="289" spans="1:46" ht="18" customHeight="1">
      <c r="A289" s="164"/>
      <c r="B289" s="343" t="s">
        <v>533</v>
      </c>
      <c r="C289" s="343"/>
      <c r="D289" s="343"/>
      <c r="E289" s="343"/>
      <c r="F289" s="343"/>
      <c r="G289" s="343"/>
      <c r="H289" s="826" t="str">
        <f>X194</f>
        <v>직사각형</v>
      </c>
      <c r="I289" s="826"/>
      <c r="J289" s="826"/>
      <c r="K289" s="826"/>
      <c r="L289" s="826"/>
      <c r="M289" s="343"/>
      <c r="N289" s="343"/>
      <c r="O289" s="343"/>
      <c r="P289" s="343"/>
      <c r="Q289" s="343"/>
      <c r="R289" s="343"/>
      <c r="S289" s="343"/>
      <c r="T289" s="343"/>
      <c r="U289" s="343"/>
      <c r="V289" s="343"/>
      <c r="W289" s="343"/>
      <c r="X289" s="343"/>
      <c r="Y289" s="343"/>
      <c r="Z289" s="343"/>
      <c r="AA289" s="343"/>
      <c r="AB289" s="343"/>
      <c r="AC289" s="343"/>
      <c r="AD289" s="343"/>
      <c r="AE289" s="343"/>
      <c r="AF289" s="343"/>
      <c r="AG289" s="343"/>
      <c r="AH289" s="343"/>
      <c r="AI289" s="343"/>
      <c r="AJ289" s="343"/>
      <c r="AK289" s="343"/>
      <c r="AL289" s="343"/>
      <c r="AM289" s="343"/>
      <c r="AN289" s="343"/>
      <c r="AO289" s="343"/>
      <c r="AP289" s="343"/>
      <c r="AQ289" s="343"/>
      <c r="AR289" s="343"/>
      <c r="AS289" s="343"/>
      <c r="AT289" s="343"/>
    </row>
    <row r="290" spans="1:46" ht="18" customHeight="1">
      <c r="A290" s="164"/>
      <c r="B290" s="826" t="s">
        <v>170</v>
      </c>
      <c r="C290" s="826"/>
      <c r="D290" s="826"/>
      <c r="E290" s="826"/>
      <c r="F290" s="826"/>
      <c r="G290" s="826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  <c r="T290" s="343"/>
      <c r="U290" s="343"/>
      <c r="V290" s="343"/>
      <c r="W290" s="343"/>
      <c r="X290" s="343"/>
      <c r="Y290" s="343"/>
      <c r="Z290" s="343"/>
      <c r="AA290" s="343"/>
      <c r="AB290" s="343"/>
      <c r="AC290" s="343"/>
      <c r="AD290" s="343"/>
      <c r="AE290" s="343"/>
      <c r="AF290" s="343"/>
      <c r="AG290" s="343"/>
      <c r="AH290" s="343"/>
      <c r="AI290" s="343"/>
      <c r="AJ290" s="343"/>
      <c r="AK290" s="343"/>
      <c r="AL290" s="343"/>
      <c r="AM290" s="343"/>
      <c r="AN290" s="343"/>
      <c r="AO290" s="343"/>
      <c r="AP290" s="343"/>
      <c r="AQ290" s="343"/>
      <c r="AR290" s="343"/>
      <c r="AS290" s="343"/>
      <c r="AT290" s="343"/>
    </row>
    <row r="291" spans="1:46" ht="18" customHeight="1">
      <c r="A291" s="164"/>
      <c r="B291" s="826"/>
      <c r="C291" s="826"/>
      <c r="D291" s="826"/>
      <c r="E291" s="826"/>
      <c r="F291" s="826"/>
      <c r="G291" s="826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  <c r="T291" s="343"/>
      <c r="U291" s="343"/>
      <c r="V291" s="343"/>
      <c r="W291" s="343"/>
      <c r="X291" s="343"/>
      <c r="Y291" s="343"/>
      <c r="Z291" s="343"/>
      <c r="AA291" s="343"/>
      <c r="AB291" s="343"/>
      <c r="AC291" s="343"/>
      <c r="AD291" s="343"/>
      <c r="AE291" s="343"/>
      <c r="AF291" s="343"/>
      <c r="AG291" s="343"/>
      <c r="AH291" s="343"/>
      <c r="AI291" s="343"/>
      <c r="AJ291" s="343"/>
      <c r="AK291" s="343"/>
      <c r="AL291" s="343"/>
      <c r="AM291" s="343"/>
      <c r="AN291" s="343"/>
      <c r="AO291" s="343"/>
      <c r="AP291" s="343"/>
      <c r="AQ291" s="343"/>
      <c r="AR291" s="343"/>
      <c r="AS291" s="343"/>
      <c r="AT291" s="343"/>
    </row>
    <row r="292" spans="1:46" ht="18" customHeight="1">
      <c r="A292" s="164"/>
      <c r="B292" s="343" t="s">
        <v>534</v>
      </c>
      <c r="C292" s="343"/>
      <c r="D292" s="343"/>
      <c r="E292" s="343"/>
      <c r="F292" s="343"/>
      <c r="G292" s="343"/>
      <c r="H292" s="343"/>
      <c r="I292" s="343"/>
      <c r="J292" s="343"/>
      <c r="K292" s="169" t="s">
        <v>162</v>
      </c>
      <c r="L292" s="823" t="e">
        <f ca="1">AH287</f>
        <v>#N/A</v>
      </c>
      <c r="M292" s="823"/>
      <c r="N292" s="823"/>
      <c r="O292" s="823"/>
      <c r="P292" s="822">
        <f>AL287</f>
        <v>0</v>
      </c>
      <c r="Q292" s="822"/>
      <c r="R292" s="170" t="s">
        <v>67</v>
      </c>
      <c r="S292" s="823" t="e">
        <f ca="1">1*L292</f>
        <v>#N/A</v>
      </c>
      <c r="T292" s="823"/>
      <c r="U292" s="823"/>
      <c r="V292" s="823"/>
      <c r="W292" s="822">
        <f>P292</f>
        <v>0</v>
      </c>
      <c r="X292" s="822"/>
      <c r="Y292" s="344"/>
      <c r="Z292" s="286"/>
      <c r="AA292" s="343"/>
      <c r="AB292" s="343"/>
      <c r="AC292" s="343"/>
      <c r="AD292" s="343"/>
      <c r="AE292" s="343"/>
      <c r="AF292" s="343"/>
      <c r="AG292" s="343"/>
      <c r="AH292" s="343"/>
      <c r="AI292" s="343"/>
      <c r="AJ292" s="343"/>
      <c r="AK292" s="343"/>
      <c r="AL292" s="343"/>
      <c r="AM292" s="343"/>
      <c r="AN292" s="343"/>
      <c r="AO292" s="343"/>
      <c r="AP292" s="343"/>
      <c r="AQ292" s="343"/>
      <c r="AR292" s="343"/>
      <c r="AS292" s="343"/>
      <c r="AT292" s="343"/>
    </row>
    <row r="293" spans="1:46" ht="18" customHeight="1">
      <c r="A293" s="164"/>
      <c r="B293" s="343" t="s">
        <v>535</v>
      </c>
      <c r="C293" s="343"/>
      <c r="D293" s="343"/>
      <c r="E293" s="343"/>
      <c r="F293" s="343"/>
      <c r="G293" s="343"/>
      <c r="H293" s="343"/>
      <c r="I293" s="343"/>
      <c r="J293" s="343"/>
      <c r="K293" s="171"/>
      <c r="P293" s="831">
        <f>AP194</f>
        <v>12.5</v>
      </c>
      <c r="Q293" s="831"/>
      <c r="R293" s="831"/>
      <c r="S293" s="831"/>
      <c r="T293" s="831"/>
      <c r="U293" s="343"/>
      <c r="V293" s="343"/>
      <c r="W293" s="343"/>
      <c r="X293" s="343"/>
      <c r="Y293" s="343"/>
      <c r="Z293" s="343"/>
      <c r="AA293" s="343"/>
      <c r="AB293" s="343"/>
      <c r="AC293" s="343"/>
      <c r="AD293" s="343"/>
      <c r="AE293" s="343"/>
      <c r="AF293" s="343"/>
      <c r="AG293" s="343"/>
      <c r="AH293" s="343"/>
      <c r="AI293" s="343"/>
      <c r="AJ293" s="343"/>
      <c r="AK293" s="343"/>
      <c r="AL293" s="343"/>
      <c r="AM293" s="343"/>
      <c r="AN293" s="343"/>
      <c r="AO293" s="343"/>
      <c r="AP293" s="343"/>
      <c r="AQ293" s="343"/>
      <c r="AR293" s="343"/>
      <c r="AS293" s="343"/>
      <c r="AT293" s="343"/>
    </row>
    <row r="294" spans="1:46" ht="18" customHeight="1">
      <c r="A294" s="164"/>
      <c r="B294" s="343"/>
      <c r="C294" s="343"/>
      <c r="D294" s="343"/>
      <c r="E294" s="343"/>
      <c r="F294" s="343"/>
      <c r="G294" s="343"/>
      <c r="H294" s="343"/>
      <c r="I294" s="343"/>
      <c r="J294" s="343"/>
      <c r="K294" s="171"/>
      <c r="L294" s="346"/>
      <c r="M294" s="346"/>
      <c r="N294" s="346"/>
      <c r="O294" s="346"/>
      <c r="P294" s="831"/>
      <c r="Q294" s="831"/>
      <c r="R294" s="831"/>
      <c r="S294" s="831"/>
      <c r="T294" s="831"/>
      <c r="U294" s="343"/>
      <c r="V294" s="343"/>
      <c r="W294" s="343"/>
      <c r="X294" s="343"/>
      <c r="Y294" s="343"/>
      <c r="Z294" s="343"/>
      <c r="AA294" s="343"/>
      <c r="AB294" s="343"/>
      <c r="AC294" s="343"/>
      <c r="AD294" s="343"/>
      <c r="AE294" s="343"/>
      <c r="AF294" s="343"/>
      <c r="AG294" s="343"/>
      <c r="AH294" s="343"/>
      <c r="AI294" s="343"/>
      <c r="AJ294" s="343"/>
      <c r="AK294" s="343"/>
      <c r="AL294" s="343"/>
      <c r="AM294" s="343"/>
      <c r="AN294" s="343"/>
      <c r="AO294" s="343"/>
      <c r="AP294" s="343"/>
      <c r="AQ294" s="343"/>
      <c r="AR294" s="343"/>
      <c r="AS294" s="343"/>
      <c r="AT294" s="343"/>
    </row>
    <row r="295" spans="1:46" ht="18" customHeight="1">
      <c r="A295" s="164"/>
      <c r="B295" s="164"/>
      <c r="C295" s="343"/>
      <c r="D295" s="343"/>
      <c r="E295" s="343"/>
      <c r="F295" s="343"/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  <c r="T295" s="343"/>
      <c r="U295" s="343"/>
      <c r="V295" s="343"/>
      <c r="W295" s="343"/>
      <c r="X295" s="343"/>
      <c r="Y295" s="343"/>
      <c r="Z295" s="343"/>
      <c r="AA295" s="343"/>
      <c r="AB295" s="343"/>
      <c r="AC295" s="343"/>
      <c r="AD295" s="343"/>
      <c r="AE295" s="343"/>
      <c r="AF295" s="343"/>
      <c r="AG295" s="343"/>
      <c r="AH295" s="343"/>
      <c r="AI295" s="343"/>
      <c r="AJ295" s="343"/>
      <c r="AK295" s="343"/>
      <c r="AL295" s="343"/>
      <c r="AM295" s="343"/>
      <c r="AN295" s="343"/>
      <c r="AO295" s="343"/>
      <c r="AP295" s="343"/>
      <c r="AQ295" s="343"/>
      <c r="AR295" s="343"/>
      <c r="AS295" s="343"/>
      <c r="AT295" s="343"/>
    </row>
    <row r="296" spans="1:46" s="180" customFormat="1" ht="18" customHeight="1">
      <c r="A296" s="164" t="s">
        <v>536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179"/>
      <c r="V296" s="160"/>
      <c r="W296" s="160"/>
      <c r="X296" s="160"/>
      <c r="Y296" s="160"/>
      <c r="Z296" s="160"/>
      <c r="AA296" s="160"/>
      <c r="AB296" s="160"/>
      <c r="AC296" s="160"/>
      <c r="AD296" s="160"/>
      <c r="AE296" s="160"/>
      <c r="AK296" s="160"/>
      <c r="AL296" s="160"/>
      <c r="AM296" s="160"/>
      <c r="AN296" s="160"/>
      <c r="AO296" s="354"/>
      <c r="AP296" s="354"/>
      <c r="AQ296" s="354"/>
      <c r="AR296" s="354"/>
      <c r="AS296" s="354"/>
      <c r="AT296" s="354"/>
    </row>
    <row r="297" spans="1:46" s="180" customFormat="1" ht="18" customHeight="1">
      <c r="A297" s="354"/>
      <c r="B297" s="354"/>
      <c r="C297" s="354"/>
      <c r="D297" s="354"/>
      <c r="E297" s="354"/>
      <c r="F297" s="354"/>
      <c r="G297" s="354"/>
      <c r="H297" s="354"/>
      <c r="I297" s="354"/>
      <c r="J297" s="354"/>
      <c r="K297" s="354"/>
      <c r="L297" s="354"/>
      <c r="M297" s="354"/>
      <c r="N297" s="354"/>
      <c r="O297" s="354"/>
      <c r="P297" s="354"/>
      <c r="Q297" s="354"/>
      <c r="R297" s="354"/>
      <c r="S297" s="354"/>
      <c r="T297" s="354"/>
      <c r="U297" s="354"/>
      <c r="V297" s="354"/>
      <c r="W297" s="354"/>
      <c r="X297" s="354"/>
      <c r="Y297" s="354"/>
      <c r="Z297" s="354"/>
      <c r="AA297" s="354"/>
      <c r="AB297" s="354"/>
      <c r="AC297" s="354"/>
      <c r="AD297" s="354"/>
      <c r="AE297" s="354"/>
      <c r="AF297" s="354"/>
      <c r="AG297" s="160"/>
      <c r="AH297" s="354"/>
      <c r="AI297" s="354"/>
      <c r="AJ297" s="354"/>
      <c r="AK297" s="354"/>
      <c r="AL297" s="354"/>
      <c r="AM297" s="354"/>
      <c r="AN297" s="354"/>
      <c r="AO297" s="354"/>
      <c r="AP297" s="354"/>
      <c r="AQ297" s="354"/>
      <c r="AR297" s="354"/>
      <c r="AS297" s="354"/>
      <c r="AT297" s="354"/>
    </row>
    <row r="298" spans="1:46" s="180" customFormat="1" ht="18" customHeight="1">
      <c r="A298" s="160"/>
      <c r="B298" s="160"/>
      <c r="C298" s="160"/>
      <c r="D298" s="160"/>
      <c r="E298" s="354" t="s">
        <v>67</v>
      </c>
      <c r="F298" s="160"/>
      <c r="G298" s="839" t="e">
        <f ca="1">S219</f>
        <v>#N/A</v>
      </c>
      <c r="H298" s="839"/>
      <c r="I298" s="839"/>
      <c r="J298" s="839"/>
      <c r="K298" s="839"/>
      <c r="L298" s="193"/>
      <c r="M298" s="834" t="s">
        <v>537</v>
      </c>
      <c r="N298" s="834"/>
      <c r="O298" s="839" t="e">
        <f ca="1">S230</f>
        <v>#N/A</v>
      </c>
      <c r="P298" s="839"/>
      <c r="Q298" s="839"/>
      <c r="R298" s="839"/>
      <c r="S298" s="839"/>
      <c r="T298" s="193"/>
      <c r="U298" s="160"/>
      <c r="V298" s="181"/>
      <c r="W298" s="181"/>
      <c r="X298" s="160"/>
      <c r="Y298" s="182"/>
      <c r="Z298" s="193"/>
      <c r="AA298" s="193"/>
      <c r="AB298" s="193"/>
      <c r="AC298" s="193"/>
      <c r="AD298" s="193"/>
      <c r="AE298" s="181"/>
      <c r="AF298" s="181"/>
      <c r="AG298" s="181"/>
      <c r="AH298" s="181"/>
      <c r="AI298" s="181"/>
      <c r="AJ298" s="181"/>
      <c r="AK298" s="182"/>
      <c r="AL298" s="181"/>
      <c r="AM298" s="181"/>
      <c r="AN298" s="181"/>
      <c r="AO298" s="181"/>
      <c r="AP298" s="181"/>
      <c r="AQ298" s="181"/>
      <c r="AR298" s="181"/>
      <c r="AS298" s="183"/>
      <c r="AT298" s="160"/>
    </row>
    <row r="299" spans="1:46" s="184" customFormat="1" ht="18" customHeight="1">
      <c r="A299" s="160"/>
      <c r="B299" s="160"/>
      <c r="C299" s="160"/>
      <c r="D299" s="160"/>
      <c r="E299" s="354" t="s">
        <v>532</v>
      </c>
      <c r="F299" s="160"/>
      <c r="G299" s="839" t="e">
        <f ca="1">SQRT(SUMSQ(G298,O298))</f>
        <v>#N/A</v>
      </c>
      <c r="H299" s="839"/>
      <c r="I299" s="839"/>
      <c r="J299" s="839"/>
      <c r="K299" s="839"/>
      <c r="L299" s="193"/>
      <c r="M299" s="160"/>
      <c r="N299" s="354"/>
      <c r="O299" s="354"/>
      <c r="P299" s="354"/>
      <c r="Q299" s="354"/>
      <c r="R299" s="354"/>
      <c r="S299" s="354"/>
      <c r="T299" s="354"/>
      <c r="U299" s="354"/>
      <c r="V299" s="354"/>
      <c r="W299" s="354"/>
      <c r="X299" s="354"/>
      <c r="Y299" s="160"/>
      <c r="Z299" s="160"/>
      <c r="AA299" s="160"/>
      <c r="AB299" s="160"/>
      <c r="AC299" s="160"/>
      <c r="AD299" s="160"/>
      <c r="AE299" s="354"/>
      <c r="AF299" s="160"/>
      <c r="AG299" s="160"/>
      <c r="AH299" s="160"/>
      <c r="AI299" s="160"/>
      <c r="AJ299" s="160"/>
      <c r="AK299" s="160"/>
      <c r="AL299" s="160"/>
      <c r="AM299" s="160"/>
      <c r="AN299" s="160"/>
      <c r="AO299" s="160"/>
      <c r="AP299" s="160"/>
      <c r="AQ299" s="160"/>
      <c r="AR299" s="160"/>
      <c r="AS299" s="160"/>
      <c r="AT299" s="160"/>
    </row>
    <row r="300" spans="1:46" s="160" customFormat="1" ht="18" customHeight="1">
      <c r="E300" s="354"/>
      <c r="F300" s="185"/>
      <c r="G300" s="185"/>
      <c r="H300" s="185"/>
      <c r="I300" s="185"/>
    </row>
    <row r="301" spans="1:46" s="160" customFormat="1" ht="18" customHeight="1">
      <c r="E301" s="186" t="s">
        <v>538</v>
      </c>
      <c r="F301" s="840" t="e">
        <f ca="1">G299</f>
        <v>#N/A</v>
      </c>
      <c r="G301" s="840"/>
      <c r="H301" s="840"/>
      <c r="I301" s="840"/>
      <c r="J301" s="822">
        <f>AM195</f>
        <v>0</v>
      </c>
      <c r="K301" s="822"/>
      <c r="L301" s="353"/>
      <c r="M301" s="353"/>
      <c r="P301" s="344"/>
      <c r="Q301" s="286"/>
      <c r="R301" s="343"/>
      <c r="S301" s="343"/>
      <c r="T301" s="343"/>
      <c r="U301" s="343"/>
      <c r="V301" s="343"/>
      <c r="AN301" s="187"/>
      <c r="AO301" s="187"/>
      <c r="AP301" s="187"/>
      <c r="AQ301" s="187"/>
      <c r="AR301" s="187"/>
      <c r="AS301" s="187"/>
    </row>
    <row r="302" spans="1:46" s="160" customFormat="1" ht="18" customHeight="1">
      <c r="E302" s="186"/>
      <c r="F302" s="188"/>
      <c r="G302" s="188"/>
      <c r="H302" s="188"/>
      <c r="I302" s="188"/>
      <c r="J302" s="188"/>
      <c r="K302" s="188"/>
      <c r="L302" s="188"/>
      <c r="M302" s="188"/>
      <c r="AN302" s="187"/>
      <c r="AO302" s="187"/>
      <c r="AP302" s="187"/>
      <c r="AQ302" s="187"/>
      <c r="AR302" s="187"/>
      <c r="AS302" s="187"/>
    </row>
    <row r="303" spans="1:46" ht="18" customHeight="1">
      <c r="A303" s="194" t="s">
        <v>618</v>
      </c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  <c r="AI303" s="343"/>
      <c r="AJ303" s="343"/>
      <c r="AK303" s="343"/>
      <c r="AL303" s="343"/>
      <c r="AM303" s="343"/>
      <c r="AN303" s="343"/>
      <c r="AO303" s="343"/>
      <c r="AP303" s="343"/>
      <c r="AQ303" s="343"/>
      <c r="AR303" s="343"/>
      <c r="AS303" s="343"/>
      <c r="AT303" s="343"/>
    </row>
    <row r="304" spans="1:46" ht="18" customHeight="1">
      <c r="A304" s="343"/>
      <c r="B304" s="847" t="s">
        <v>137</v>
      </c>
      <c r="C304" s="848"/>
      <c r="D304" s="625" t="s">
        <v>626</v>
      </c>
      <c r="E304" s="711"/>
      <c r="F304" s="711"/>
      <c r="G304" s="711"/>
      <c r="H304" s="711"/>
      <c r="I304" s="711"/>
      <c r="J304" s="711"/>
      <c r="K304" s="711"/>
      <c r="L304" s="711"/>
      <c r="M304" s="712"/>
      <c r="N304" s="720" t="s">
        <v>627</v>
      </c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720"/>
      <c r="AB304" s="720"/>
      <c r="AC304" s="720"/>
      <c r="AD304" s="720"/>
      <c r="AE304" s="720"/>
      <c r="AF304" s="720"/>
      <c r="AG304" s="720"/>
      <c r="AH304" s="720"/>
      <c r="AI304" s="720"/>
      <c r="AJ304" s="720"/>
      <c r="AK304" s="720"/>
      <c r="AL304" s="720"/>
      <c r="AM304" s="720" t="s">
        <v>628</v>
      </c>
      <c r="AN304" s="720"/>
      <c r="AO304" s="720"/>
      <c r="AP304" s="720"/>
      <c r="AQ304" s="720"/>
      <c r="AR304" s="720"/>
      <c r="AS304" s="720"/>
    </row>
    <row r="305" spans="1:45" ht="18" customHeight="1">
      <c r="A305" s="343"/>
      <c r="B305" s="658"/>
      <c r="C305" s="709"/>
      <c r="D305" s="849" t="s">
        <v>629</v>
      </c>
      <c r="E305" s="850"/>
      <c r="F305" s="850"/>
      <c r="G305" s="850"/>
      <c r="H305" s="851"/>
      <c r="I305" s="847" t="s">
        <v>630</v>
      </c>
      <c r="J305" s="850"/>
      <c r="K305" s="850"/>
      <c r="L305" s="850"/>
      <c r="M305" s="851"/>
      <c r="N305" s="625" t="s">
        <v>621</v>
      </c>
      <c r="O305" s="711"/>
      <c r="P305" s="711"/>
      <c r="Q305" s="711"/>
      <c r="R305" s="711"/>
      <c r="S305" s="711"/>
      <c r="T305" s="711"/>
      <c r="U305" s="711"/>
      <c r="V305" s="711"/>
      <c r="W305" s="711"/>
      <c r="X305" s="711"/>
      <c r="Y305" s="711"/>
      <c r="Z305" s="711"/>
      <c r="AA305" s="711"/>
      <c r="AB305" s="711"/>
      <c r="AC305" s="711"/>
      <c r="AD305" s="711"/>
      <c r="AE305" s="711"/>
      <c r="AF305" s="711"/>
      <c r="AG305" s="712"/>
      <c r="AH305" s="841" t="s">
        <v>620</v>
      </c>
      <c r="AI305" s="842"/>
      <c r="AJ305" s="842"/>
      <c r="AK305" s="842"/>
      <c r="AL305" s="843"/>
      <c r="AM305" s="847" t="s">
        <v>619</v>
      </c>
      <c r="AN305" s="858"/>
      <c r="AO305" s="858"/>
      <c r="AP305" s="858"/>
      <c r="AQ305" s="848"/>
      <c r="AR305" s="841" t="s">
        <v>631</v>
      </c>
      <c r="AS305" s="843"/>
    </row>
    <row r="306" spans="1:45" ht="18" customHeight="1">
      <c r="A306" s="343"/>
      <c r="B306" s="658"/>
      <c r="C306" s="709"/>
      <c r="D306" s="767"/>
      <c r="E306" s="834"/>
      <c r="F306" s="834"/>
      <c r="G306" s="834"/>
      <c r="H306" s="768"/>
      <c r="I306" s="767"/>
      <c r="J306" s="834"/>
      <c r="K306" s="834"/>
      <c r="L306" s="834"/>
      <c r="M306" s="768"/>
      <c r="N306" s="841" t="s">
        <v>632</v>
      </c>
      <c r="O306" s="842"/>
      <c r="P306" s="842"/>
      <c r="Q306" s="842"/>
      <c r="R306" s="843"/>
      <c r="S306" s="841" t="s">
        <v>362</v>
      </c>
      <c r="T306" s="842"/>
      <c r="U306" s="842"/>
      <c r="V306" s="842"/>
      <c r="W306" s="843"/>
      <c r="X306" s="841" t="s">
        <v>633</v>
      </c>
      <c r="Y306" s="842"/>
      <c r="Z306" s="842"/>
      <c r="AA306" s="842"/>
      <c r="AB306" s="843"/>
      <c r="AC306" s="841" t="s">
        <v>70</v>
      </c>
      <c r="AD306" s="842"/>
      <c r="AE306" s="842"/>
      <c r="AF306" s="842"/>
      <c r="AG306" s="843"/>
      <c r="AH306" s="855"/>
      <c r="AI306" s="856"/>
      <c r="AJ306" s="856"/>
      <c r="AK306" s="856"/>
      <c r="AL306" s="857"/>
      <c r="AM306" s="658"/>
      <c r="AN306" s="681"/>
      <c r="AO306" s="681"/>
      <c r="AP306" s="681"/>
      <c r="AQ306" s="709"/>
      <c r="AR306" s="855"/>
      <c r="AS306" s="857"/>
    </row>
    <row r="307" spans="1:45" ht="18" customHeight="1">
      <c r="A307" s="343"/>
      <c r="B307" s="658"/>
      <c r="C307" s="709"/>
      <c r="D307" s="852"/>
      <c r="E307" s="853"/>
      <c r="F307" s="853"/>
      <c r="G307" s="853"/>
      <c r="H307" s="854"/>
      <c r="I307" s="852"/>
      <c r="J307" s="853"/>
      <c r="K307" s="853"/>
      <c r="L307" s="853"/>
      <c r="M307" s="854"/>
      <c r="N307" s="844"/>
      <c r="O307" s="845"/>
      <c r="P307" s="845"/>
      <c r="Q307" s="845"/>
      <c r="R307" s="846"/>
      <c r="S307" s="844"/>
      <c r="T307" s="845"/>
      <c r="U307" s="845"/>
      <c r="V307" s="845"/>
      <c r="W307" s="846"/>
      <c r="X307" s="844"/>
      <c r="Y307" s="845"/>
      <c r="Z307" s="845"/>
      <c r="AA307" s="845"/>
      <c r="AB307" s="846"/>
      <c r="AC307" s="844"/>
      <c r="AD307" s="845"/>
      <c r="AE307" s="845"/>
      <c r="AF307" s="845"/>
      <c r="AG307" s="846"/>
      <c r="AH307" s="844"/>
      <c r="AI307" s="845"/>
      <c r="AJ307" s="845"/>
      <c r="AK307" s="845"/>
      <c r="AL307" s="846"/>
      <c r="AM307" s="672"/>
      <c r="AN307" s="688"/>
      <c r="AO307" s="688"/>
      <c r="AP307" s="688"/>
      <c r="AQ307" s="710"/>
      <c r="AR307" s="844"/>
      <c r="AS307" s="846"/>
    </row>
    <row r="308" spans="1:45" ht="18" customHeight="1">
      <c r="A308" s="343"/>
      <c r="B308" s="672"/>
      <c r="C308" s="710"/>
      <c r="D308" s="628">
        <f>E117</f>
        <v>0</v>
      </c>
      <c r="E308" s="631"/>
      <c r="F308" s="631"/>
      <c r="G308" s="631"/>
      <c r="H308" s="632"/>
      <c r="I308" s="650">
        <f>D308</f>
        <v>0</v>
      </c>
      <c r="J308" s="651"/>
      <c r="K308" s="651"/>
      <c r="L308" s="651"/>
      <c r="M308" s="652"/>
      <c r="N308" s="650">
        <f t="shared" ref="N308" si="16">I308</f>
        <v>0</v>
      </c>
      <c r="O308" s="651"/>
      <c r="P308" s="651"/>
      <c r="Q308" s="651"/>
      <c r="R308" s="652"/>
      <c r="S308" s="650">
        <f t="shared" ref="S308" si="17">N308</f>
        <v>0</v>
      </c>
      <c r="T308" s="651"/>
      <c r="U308" s="651"/>
      <c r="V308" s="651"/>
      <c r="W308" s="652"/>
      <c r="X308" s="650">
        <f t="shared" ref="X308" si="18">S308</f>
        <v>0</v>
      </c>
      <c r="Y308" s="651"/>
      <c r="Z308" s="651"/>
      <c r="AA308" s="651"/>
      <c r="AB308" s="652"/>
      <c r="AC308" s="650">
        <f t="shared" ref="AC308" si="19">X308</f>
        <v>0</v>
      </c>
      <c r="AD308" s="651"/>
      <c r="AE308" s="651"/>
      <c r="AF308" s="651"/>
      <c r="AG308" s="652"/>
      <c r="AH308" s="650">
        <f t="shared" ref="AH308" si="20">AC308</f>
        <v>0</v>
      </c>
      <c r="AI308" s="651"/>
      <c r="AJ308" s="651"/>
      <c r="AK308" s="651"/>
      <c r="AL308" s="652"/>
      <c r="AM308" s="650">
        <f t="shared" ref="AM308" si="21">AH308</f>
        <v>0</v>
      </c>
      <c r="AN308" s="651"/>
      <c r="AO308" s="651"/>
      <c r="AP308" s="651"/>
      <c r="AQ308" s="652"/>
      <c r="AR308" s="650" t="s">
        <v>634</v>
      </c>
      <c r="AS308" s="652"/>
    </row>
    <row r="309" spans="1:45" ht="18" customHeight="1">
      <c r="A309" s="343"/>
      <c r="B309" s="625">
        <v>1</v>
      </c>
      <c r="C309" s="712"/>
      <c r="D309" s="743" t="str">
        <f>Calcu!D45</f>
        <v/>
      </c>
      <c r="E309" s="744"/>
      <c r="F309" s="744"/>
      <c r="G309" s="744"/>
      <c r="H309" s="745"/>
      <c r="I309" s="743" t="str">
        <f>Calcu!L45</f>
        <v/>
      </c>
      <c r="J309" s="744"/>
      <c r="K309" s="744"/>
      <c r="L309" s="744"/>
      <c r="M309" s="745"/>
      <c r="N309" s="743" t="str">
        <f>Calcu!M45</f>
        <v/>
      </c>
      <c r="O309" s="744"/>
      <c r="P309" s="744"/>
      <c r="Q309" s="744"/>
      <c r="R309" s="745"/>
      <c r="S309" s="743" t="str">
        <f>Calcu!N45</f>
        <v/>
      </c>
      <c r="T309" s="744"/>
      <c r="U309" s="744"/>
      <c r="V309" s="744"/>
      <c r="W309" s="745"/>
      <c r="X309" s="743" t="str">
        <f>Calcu!O45</f>
        <v/>
      </c>
      <c r="Y309" s="744"/>
      <c r="Z309" s="744"/>
      <c r="AA309" s="744"/>
      <c r="AB309" s="745"/>
      <c r="AC309" s="743" t="str">
        <f>Calcu!P45</f>
        <v/>
      </c>
      <c r="AD309" s="744"/>
      <c r="AE309" s="744"/>
      <c r="AF309" s="744"/>
      <c r="AG309" s="745"/>
      <c r="AH309" s="743" t="str">
        <f>Calcu!Q45</f>
        <v/>
      </c>
      <c r="AI309" s="744"/>
      <c r="AJ309" s="744"/>
      <c r="AK309" s="744"/>
      <c r="AL309" s="745"/>
      <c r="AM309" s="743" t="str">
        <f>Calcu!R45</f>
        <v/>
      </c>
      <c r="AN309" s="744"/>
      <c r="AO309" s="744"/>
      <c r="AP309" s="744"/>
      <c r="AQ309" s="745"/>
      <c r="AR309" s="650" t="str">
        <f>IF(AM309="","",IF(N309/AH309*100&gt;70,"∞",AM309^4/SUM(S309^4/12.5,X309^4/12.5,AC309^4/12.5)))</f>
        <v/>
      </c>
      <c r="AS309" s="652"/>
    </row>
    <row r="310" spans="1:45" ht="18" customHeight="1">
      <c r="A310" s="343"/>
      <c r="B310" s="625">
        <v>2</v>
      </c>
      <c r="C310" s="712"/>
      <c r="D310" s="743" t="str">
        <f>Calcu!D46</f>
        <v/>
      </c>
      <c r="E310" s="744"/>
      <c r="F310" s="744"/>
      <c r="G310" s="744"/>
      <c r="H310" s="745"/>
      <c r="I310" s="743" t="str">
        <f>Calcu!L46</f>
        <v/>
      </c>
      <c r="J310" s="744"/>
      <c r="K310" s="744"/>
      <c r="L310" s="744"/>
      <c r="M310" s="745"/>
      <c r="N310" s="743" t="str">
        <f>Calcu!M46</f>
        <v/>
      </c>
      <c r="O310" s="744"/>
      <c r="P310" s="744"/>
      <c r="Q310" s="744"/>
      <c r="R310" s="745"/>
      <c r="S310" s="743" t="str">
        <f>Calcu!N46</f>
        <v/>
      </c>
      <c r="T310" s="744"/>
      <c r="U310" s="744"/>
      <c r="V310" s="744"/>
      <c r="W310" s="745"/>
      <c r="X310" s="743" t="str">
        <f>Calcu!O46</f>
        <v/>
      </c>
      <c r="Y310" s="744"/>
      <c r="Z310" s="744"/>
      <c r="AA310" s="744"/>
      <c r="AB310" s="745"/>
      <c r="AC310" s="743" t="str">
        <f>Calcu!P46</f>
        <v/>
      </c>
      <c r="AD310" s="744"/>
      <c r="AE310" s="744"/>
      <c r="AF310" s="744"/>
      <c r="AG310" s="745"/>
      <c r="AH310" s="743" t="str">
        <f>Calcu!Q46</f>
        <v/>
      </c>
      <c r="AI310" s="744"/>
      <c r="AJ310" s="744"/>
      <c r="AK310" s="744"/>
      <c r="AL310" s="745"/>
      <c r="AM310" s="743" t="str">
        <f>Calcu!R46</f>
        <v/>
      </c>
      <c r="AN310" s="744"/>
      <c r="AO310" s="744"/>
      <c r="AP310" s="744"/>
      <c r="AQ310" s="745"/>
      <c r="AR310" s="650" t="str">
        <f t="shared" ref="AR310:AR323" si="22">IF(AM310="","",IF(N310/AH310*100&gt;70,"∞",AM310^4/SUM(S310^4/12.5,X310^4/12.5,AC310^4/12.5)))</f>
        <v/>
      </c>
      <c r="AS310" s="652"/>
    </row>
    <row r="311" spans="1:45" ht="18" customHeight="1">
      <c r="A311" s="343"/>
      <c r="B311" s="625">
        <v>3</v>
      </c>
      <c r="C311" s="712"/>
      <c r="D311" s="743" t="str">
        <f>Calcu!D47</f>
        <v/>
      </c>
      <c r="E311" s="744"/>
      <c r="F311" s="744"/>
      <c r="G311" s="744"/>
      <c r="H311" s="745"/>
      <c r="I311" s="743" t="str">
        <f>Calcu!L47</f>
        <v/>
      </c>
      <c r="J311" s="744"/>
      <c r="K311" s="744"/>
      <c r="L311" s="744"/>
      <c r="M311" s="745"/>
      <c r="N311" s="743" t="str">
        <f>Calcu!M47</f>
        <v/>
      </c>
      <c r="O311" s="744"/>
      <c r="P311" s="744"/>
      <c r="Q311" s="744"/>
      <c r="R311" s="745"/>
      <c r="S311" s="743" t="str">
        <f>Calcu!N47</f>
        <v/>
      </c>
      <c r="T311" s="744"/>
      <c r="U311" s="744"/>
      <c r="V311" s="744"/>
      <c r="W311" s="745"/>
      <c r="X311" s="743" t="str">
        <f>Calcu!O47</f>
        <v/>
      </c>
      <c r="Y311" s="744"/>
      <c r="Z311" s="744"/>
      <c r="AA311" s="744"/>
      <c r="AB311" s="745"/>
      <c r="AC311" s="743" t="str">
        <f>Calcu!P47</f>
        <v/>
      </c>
      <c r="AD311" s="744"/>
      <c r="AE311" s="744"/>
      <c r="AF311" s="744"/>
      <c r="AG311" s="745"/>
      <c r="AH311" s="743" t="str">
        <f>Calcu!Q47</f>
        <v/>
      </c>
      <c r="AI311" s="744"/>
      <c r="AJ311" s="744"/>
      <c r="AK311" s="744"/>
      <c r="AL311" s="745"/>
      <c r="AM311" s="743" t="str">
        <f>Calcu!R47</f>
        <v/>
      </c>
      <c r="AN311" s="744"/>
      <c r="AO311" s="744"/>
      <c r="AP311" s="744"/>
      <c r="AQ311" s="745"/>
      <c r="AR311" s="650" t="str">
        <f t="shared" si="22"/>
        <v/>
      </c>
      <c r="AS311" s="652"/>
    </row>
    <row r="312" spans="1:45" ht="18" customHeight="1">
      <c r="A312" s="343"/>
      <c r="B312" s="625">
        <v>4</v>
      </c>
      <c r="C312" s="712"/>
      <c r="D312" s="743" t="str">
        <f>Calcu!D48</f>
        <v/>
      </c>
      <c r="E312" s="744"/>
      <c r="F312" s="744"/>
      <c r="G312" s="744"/>
      <c r="H312" s="745"/>
      <c r="I312" s="743" t="str">
        <f>Calcu!L48</f>
        <v/>
      </c>
      <c r="J312" s="744"/>
      <c r="K312" s="744"/>
      <c r="L312" s="744"/>
      <c r="M312" s="745"/>
      <c r="N312" s="743" t="str">
        <f>Calcu!M48</f>
        <v/>
      </c>
      <c r="O312" s="744"/>
      <c r="P312" s="744"/>
      <c r="Q312" s="744"/>
      <c r="R312" s="745"/>
      <c r="S312" s="743" t="str">
        <f>Calcu!N48</f>
        <v/>
      </c>
      <c r="T312" s="744"/>
      <c r="U312" s="744"/>
      <c r="V312" s="744"/>
      <c r="W312" s="745"/>
      <c r="X312" s="743" t="str">
        <f>Calcu!O48</f>
        <v/>
      </c>
      <c r="Y312" s="744"/>
      <c r="Z312" s="744"/>
      <c r="AA312" s="744"/>
      <c r="AB312" s="745"/>
      <c r="AC312" s="743" t="str">
        <f>Calcu!P48</f>
        <v/>
      </c>
      <c r="AD312" s="744"/>
      <c r="AE312" s="744"/>
      <c r="AF312" s="744"/>
      <c r="AG312" s="745"/>
      <c r="AH312" s="743" t="str">
        <f>Calcu!Q48</f>
        <v/>
      </c>
      <c r="AI312" s="744"/>
      <c r="AJ312" s="744"/>
      <c r="AK312" s="744"/>
      <c r="AL312" s="745"/>
      <c r="AM312" s="743" t="str">
        <f>Calcu!R48</f>
        <v/>
      </c>
      <c r="AN312" s="744"/>
      <c r="AO312" s="744"/>
      <c r="AP312" s="744"/>
      <c r="AQ312" s="745"/>
      <c r="AR312" s="650" t="str">
        <f t="shared" si="22"/>
        <v/>
      </c>
      <c r="AS312" s="652"/>
    </row>
    <row r="313" spans="1:45" ht="18" customHeight="1">
      <c r="A313" s="343"/>
      <c r="B313" s="625">
        <v>5</v>
      </c>
      <c r="C313" s="712"/>
      <c r="D313" s="743" t="str">
        <f>Calcu!D49</f>
        <v/>
      </c>
      <c r="E313" s="744"/>
      <c r="F313" s="744"/>
      <c r="G313" s="744"/>
      <c r="H313" s="745"/>
      <c r="I313" s="743" t="str">
        <f>Calcu!L49</f>
        <v/>
      </c>
      <c r="J313" s="744"/>
      <c r="K313" s="744"/>
      <c r="L313" s="744"/>
      <c r="M313" s="745"/>
      <c r="N313" s="743" t="str">
        <f>Calcu!M49</f>
        <v/>
      </c>
      <c r="O313" s="744"/>
      <c r="P313" s="744"/>
      <c r="Q313" s="744"/>
      <c r="R313" s="745"/>
      <c r="S313" s="743" t="str">
        <f>Calcu!N49</f>
        <v/>
      </c>
      <c r="T313" s="744"/>
      <c r="U313" s="744"/>
      <c r="V313" s="744"/>
      <c r="W313" s="745"/>
      <c r="X313" s="743" t="str">
        <f>Calcu!O49</f>
        <v/>
      </c>
      <c r="Y313" s="744"/>
      <c r="Z313" s="744"/>
      <c r="AA313" s="744"/>
      <c r="AB313" s="745"/>
      <c r="AC313" s="743" t="str">
        <f>Calcu!P49</f>
        <v/>
      </c>
      <c r="AD313" s="744"/>
      <c r="AE313" s="744"/>
      <c r="AF313" s="744"/>
      <c r="AG313" s="745"/>
      <c r="AH313" s="743" t="str">
        <f>Calcu!Q49</f>
        <v/>
      </c>
      <c r="AI313" s="744"/>
      <c r="AJ313" s="744"/>
      <c r="AK313" s="744"/>
      <c r="AL313" s="745"/>
      <c r="AM313" s="743" t="str">
        <f>Calcu!R49</f>
        <v/>
      </c>
      <c r="AN313" s="744"/>
      <c r="AO313" s="744"/>
      <c r="AP313" s="744"/>
      <c r="AQ313" s="745"/>
      <c r="AR313" s="650" t="str">
        <f t="shared" si="22"/>
        <v/>
      </c>
      <c r="AS313" s="652"/>
    </row>
    <row r="314" spans="1:45" ht="18" customHeight="1">
      <c r="A314" s="343"/>
      <c r="B314" s="625">
        <v>6</v>
      </c>
      <c r="C314" s="712"/>
      <c r="D314" s="743" t="str">
        <f>Calcu!D50</f>
        <v/>
      </c>
      <c r="E314" s="744"/>
      <c r="F314" s="744"/>
      <c r="G314" s="744"/>
      <c r="H314" s="745"/>
      <c r="I314" s="743" t="str">
        <f>Calcu!L50</f>
        <v/>
      </c>
      <c r="J314" s="744"/>
      <c r="K314" s="744"/>
      <c r="L314" s="744"/>
      <c r="M314" s="745"/>
      <c r="N314" s="743" t="str">
        <f>Calcu!M50</f>
        <v/>
      </c>
      <c r="O314" s="744"/>
      <c r="P314" s="744"/>
      <c r="Q314" s="744"/>
      <c r="R314" s="745"/>
      <c r="S314" s="743" t="str">
        <f>Calcu!N50</f>
        <v/>
      </c>
      <c r="T314" s="744"/>
      <c r="U314" s="744"/>
      <c r="V314" s="744"/>
      <c r="W314" s="745"/>
      <c r="X314" s="743" t="str">
        <f>Calcu!O50</f>
        <v/>
      </c>
      <c r="Y314" s="744"/>
      <c r="Z314" s="744"/>
      <c r="AA314" s="744"/>
      <c r="AB314" s="745"/>
      <c r="AC314" s="743" t="str">
        <f>Calcu!P50</f>
        <v/>
      </c>
      <c r="AD314" s="744"/>
      <c r="AE314" s="744"/>
      <c r="AF314" s="744"/>
      <c r="AG314" s="745"/>
      <c r="AH314" s="743" t="str">
        <f>Calcu!Q50</f>
        <v/>
      </c>
      <c r="AI314" s="744"/>
      <c r="AJ314" s="744"/>
      <c r="AK314" s="744"/>
      <c r="AL314" s="745"/>
      <c r="AM314" s="743" t="str">
        <f>Calcu!R50</f>
        <v/>
      </c>
      <c r="AN314" s="744"/>
      <c r="AO314" s="744"/>
      <c r="AP314" s="744"/>
      <c r="AQ314" s="745"/>
      <c r="AR314" s="650" t="str">
        <f t="shared" si="22"/>
        <v/>
      </c>
      <c r="AS314" s="652"/>
    </row>
    <row r="315" spans="1:45" ht="18" customHeight="1">
      <c r="A315" s="343"/>
      <c r="B315" s="625">
        <v>7</v>
      </c>
      <c r="C315" s="712"/>
      <c r="D315" s="743" t="str">
        <f>Calcu!D51</f>
        <v/>
      </c>
      <c r="E315" s="744"/>
      <c r="F315" s="744"/>
      <c r="G315" s="744"/>
      <c r="H315" s="745"/>
      <c r="I315" s="743" t="str">
        <f>Calcu!L51</f>
        <v/>
      </c>
      <c r="J315" s="744"/>
      <c r="K315" s="744"/>
      <c r="L315" s="744"/>
      <c r="M315" s="745"/>
      <c r="N315" s="743" t="str">
        <f>Calcu!M51</f>
        <v/>
      </c>
      <c r="O315" s="744"/>
      <c r="P315" s="744"/>
      <c r="Q315" s="744"/>
      <c r="R315" s="745"/>
      <c r="S315" s="743" t="str">
        <f>Calcu!N51</f>
        <v/>
      </c>
      <c r="T315" s="744"/>
      <c r="U315" s="744"/>
      <c r="V315" s="744"/>
      <c r="W315" s="745"/>
      <c r="X315" s="743" t="str">
        <f>Calcu!O51</f>
        <v/>
      </c>
      <c r="Y315" s="744"/>
      <c r="Z315" s="744"/>
      <c r="AA315" s="744"/>
      <c r="AB315" s="745"/>
      <c r="AC315" s="743" t="str">
        <f>Calcu!P51</f>
        <v/>
      </c>
      <c r="AD315" s="744"/>
      <c r="AE315" s="744"/>
      <c r="AF315" s="744"/>
      <c r="AG315" s="745"/>
      <c r="AH315" s="743" t="str">
        <f>Calcu!Q51</f>
        <v/>
      </c>
      <c r="AI315" s="744"/>
      <c r="AJ315" s="744"/>
      <c r="AK315" s="744"/>
      <c r="AL315" s="745"/>
      <c r="AM315" s="743" t="str">
        <f>Calcu!R51</f>
        <v/>
      </c>
      <c r="AN315" s="744"/>
      <c r="AO315" s="744"/>
      <c r="AP315" s="744"/>
      <c r="AQ315" s="745"/>
      <c r="AR315" s="650" t="str">
        <f t="shared" si="22"/>
        <v/>
      </c>
      <c r="AS315" s="652"/>
    </row>
    <row r="316" spans="1:45" ht="18" customHeight="1">
      <c r="A316" s="343"/>
      <c r="B316" s="625">
        <v>8</v>
      </c>
      <c r="C316" s="712"/>
      <c r="D316" s="743" t="str">
        <f>Calcu!D52</f>
        <v/>
      </c>
      <c r="E316" s="744"/>
      <c r="F316" s="744"/>
      <c r="G316" s="744"/>
      <c r="H316" s="745"/>
      <c r="I316" s="743" t="str">
        <f>Calcu!L52</f>
        <v/>
      </c>
      <c r="J316" s="744"/>
      <c r="K316" s="744"/>
      <c r="L316" s="744"/>
      <c r="M316" s="745"/>
      <c r="N316" s="743" t="str">
        <f>Calcu!M52</f>
        <v/>
      </c>
      <c r="O316" s="744"/>
      <c r="P316" s="744"/>
      <c r="Q316" s="744"/>
      <c r="R316" s="745"/>
      <c r="S316" s="743" t="str">
        <f>Calcu!N52</f>
        <v/>
      </c>
      <c r="T316" s="744"/>
      <c r="U316" s="744"/>
      <c r="V316" s="744"/>
      <c r="W316" s="745"/>
      <c r="X316" s="743" t="str">
        <f>Calcu!O52</f>
        <v/>
      </c>
      <c r="Y316" s="744"/>
      <c r="Z316" s="744"/>
      <c r="AA316" s="744"/>
      <c r="AB316" s="745"/>
      <c r="AC316" s="743" t="str">
        <f>Calcu!P52</f>
        <v/>
      </c>
      <c r="AD316" s="744"/>
      <c r="AE316" s="744"/>
      <c r="AF316" s="744"/>
      <c r="AG316" s="745"/>
      <c r="AH316" s="743" t="str">
        <f>Calcu!Q52</f>
        <v/>
      </c>
      <c r="AI316" s="744"/>
      <c r="AJ316" s="744"/>
      <c r="AK316" s="744"/>
      <c r="AL316" s="745"/>
      <c r="AM316" s="743" t="str">
        <f>Calcu!R52</f>
        <v/>
      </c>
      <c r="AN316" s="744"/>
      <c r="AO316" s="744"/>
      <c r="AP316" s="744"/>
      <c r="AQ316" s="745"/>
      <c r="AR316" s="650" t="str">
        <f t="shared" si="22"/>
        <v/>
      </c>
      <c r="AS316" s="652"/>
    </row>
    <row r="317" spans="1:45" ht="18" customHeight="1">
      <c r="A317" s="343"/>
      <c r="B317" s="625">
        <v>9</v>
      </c>
      <c r="C317" s="712"/>
      <c r="D317" s="743" t="str">
        <f>Calcu!D53</f>
        <v/>
      </c>
      <c r="E317" s="744"/>
      <c r="F317" s="744"/>
      <c r="G317" s="744"/>
      <c r="H317" s="745"/>
      <c r="I317" s="743" t="str">
        <f>Calcu!L53</f>
        <v/>
      </c>
      <c r="J317" s="744"/>
      <c r="K317" s="744"/>
      <c r="L317" s="744"/>
      <c r="M317" s="745"/>
      <c r="N317" s="743" t="str">
        <f>Calcu!M53</f>
        <v/>
      </c>
      <c r="O317" s="744"/>
      <c r="P317" s="744"/>
      <c r="Q317" s="744"/>
      <c r="R317" s="745"/>
      <c r="S317" s="743" t="str">
        <f>Calcu!N53</f>
        <v/>
      </c>
      <c r="T317" s="744"/>
      <c r="U317" s="744"/>
      <c r="V317" s="744"/>
      <c r="W317" s="745"/>
      <c r="X317" s="743" t="str">
        <f>Calcu!O53</f>
        <v/>
      </c>
      <c r="Y317" s="744"/>
      <c r="Z317" s="744"/>
      <c r="AA317" s="744"/>
      <c r="AB317" s="745"/>
      <c r="AC317" s="743" t="str">
        <f>Calcu!P53</f>
        <v/>
      </c>
      <c r="AD317" s="744"/>
      <c r="AE317" s="744"/>
      <c r="AF317" s="744"/>
      <c r="AG317" s="745"/>
      <c r="AH317" s="743" t="str">
        <f>Calcu!Q53</f>
        <v/>
      </c>
      <c r="AI317" s="744"/>
      <c r="AJ317" s="744"/>
      <c r="AK317" s="744"/>
      <c r="AL317" s="745"/>
      <c r="AM317" s="743" t="str">
        <f>Calcu!R53</f>
        <v/>
      </c>
      <c r="AN317" s="744"/>
      <c r="AO317" s="744"/>
      <c r="AP317" s="744"/>
      <c r="AQ317" s="745"/>
      <c r="AR317" s="650" t="str">
        <f t="shared" si="22"/>
        <v/>
      </c>
      <c r="AS317" s="652"/>
    </row>
    <row r="318" spans="1:45" ht="18" customHeight="1">
      <c r="A318" s="343"/>
      <c r="B318" s="625">
        <v>10</v>
      </c>
      <c r="C318" s="712"/>
      <c r="D318" s="743" t="str">
        <f>Calcu!D54</f>
        <v/>
      </c>
      <c r="E318" s="744"/>
      <c r="F318" s="744"/>
      <c r="G318" s="744"/>
      <c r="H318" s="745"/>
      <c r="I318" s="743" t="str">
        <f>Calcu!L54</f>
        <v/>
      </c>
      <c r="J318" s="744"/>
      <c r="K318" s="744"/>
      <c r="L318" s="744"/>
      <c r="M318" s="745"/>
      <c r="N318" s="743" t="str">
        <f>Calcu!M54</f>
        <v/>
      </c>
      <c r="O318" s="744"/>
      <c r="P318" s="744"/>
      <c r="Q318" s="744"/>
      <c r="R318" s="745"/>
      <c r="S318" s="743" t="str">
        <f>Calcu!N54</f>
        <v/>
      </c>
      <c r="T318" s="744"/>
      <c r="U318" s="744"/>
      <c r="V318" s="744"/>
      <c r="W318" s="745"/>
      <c r="X318" s="743" t="str">
        <f>Calcu!O54</f>
        <v/>
      </c>
      <c r="Y318" s="744"/>
      <c r="Z318" s="744"/>
      <c r="AA318" s="744"/>
      <c r="AB318" s="745"/>
      <c r="AC318" s="743" t="str">
        <f>Calcu!P54</f>
        <v/>
      </c>
      <c r="AD318" s="744"/>
      <c r="AE318" s="744"/>
      <c r="AF318" s="744"/>
      <c r="AG318" s="745"/>
      <c r="AH318" s="743" t="str">
        <f>Calcu!Q54</f>
        <v/>
      </c>
      <c r="AI318" s="744"/>
      <c r="AJ318" s="744"/>
      <c r="AK318" s="744"/>
      <c r="AL318" s="745"/>
      <c r="AM318" s="743" t="str">
        <f>Calcu!R54</f>
        <v/>
      </c>
      <c r="AN318" s="744"/>
      <c r="AO318" s="744"/>
      <c r="AP318" s="744"/>
      <c r="AQ318" s="745"/>
      <c r="AR318" s="650" t="str">
        <f t="shared" si="22"/>
        <v/>
      </c>
      <c r="AS318" s="652"/>
    </row>
    <row r="319" spans="1:45" ht="18" customHeight="1">
      <c r="A319" s="343"/>
      <c r="B319" s="625">
        <v>11</v>
      </c>
      <c r="C319" s="712"/>
      <c r="D319" s="743" t="str">
        <f>Calcu!D55</f>
        <v/>
      </c>
      <c r="E319" s="744"/>
      <c r="F319" s="744"/>
      <c r="G319" s="744"/>
      <c r="H319" s="745"/>
      <c r="I319" s="743" t="str">
        <f>Calcu!L55</f>
        <v/>
      </c>
      <c r="J319" s="744"/>
      <c r="K319" s="744"/>
      <c r="L319" s="744"/>
      <c r="M319" s="745"/>
      <c r="N319" s="743" t="str">
        <f>Calcu!M55</f>
        <v/>
      </c>
      <c r="O319" s="744"/>
      <c r="P319" s="744"/>
      <c r="Q319" s="744"/>
      <c r="R319" s="745"/>
      <c r="S319" s="743" t="str">
        <f>Calcu!N55</f>
        <v/>
      </c>
      <c r="T319" s="744"/>
      <c r="U319" s="744"/>
      <c r="V319" s="744"/>
      <c r="W319" s="745"/>
      <c r="X319" s="743" t="str">
        <f>Calcu!O55</f>
        <v/>
      </c>
      <c r="Y319" s="744"/>
      <c r="Z319" s="744"/>
      <c r="AA319" s="744"/>
      <c r="AB319" s="745"/>
      <c r="AC319" s="743" t="str">
        <f>Calcu!P55</f>
        <v/>
      </c>
      <c r="AD319" s="744"/>
      <c r="AE319" s="744"/>
      <c r="AF319" s="744"/>
      <c r="AG319" s="745"/>
      <c r="AH319" s="743" t="str">
        <f>Calcu!Q55</f>
        <v/>
      </c>
      <c r="AI319" s="744"/>
      <c r="AJ319" s="744"/>
      <c r="AK319" s="744"/>
      <c r="AL319" s="745"/>
      <c r="AM319" s="743" t="str">
        <f>Calcu!R55</f>
        <v/>
      </c>
      <c r="AN319" s="744"/>
      <c r="AO319" s="744"/>
      <c r="AP319" s="744"/>
      <c r="AQ319" s="745"/>
      <c r="AR319" s="650" t="str">
        <f t="shared" si="22"/>
        <v/>
      </c>
      <c r="AS319" s="652"/>
    </row>
    <row r="320" spans="1:45" ht="18" customHeight="1">
      <c r="A320" s="343"/>
      <c r="B320" s="625">
        <v>12</v>
      </c>
      <c r="C320" s="712"/>
      <c r="D320" s="743" t="str">
        <f>Calcu!D56</f>
        <v/>
      </c>
      <c r="E320" s="744"/>
      <c r="F320" s="744"/>
      <c r="G320" s="744"/>
      <c r="H320" s="745"/>
      <c r="I320" s="743" t="str">
        <f>Calcu!L56</f>
        <v/>
      </c>
      <c r="J320" s="744"/>
      <c r="K320" s="744"/>
      <c r="L320" s="744"/>
      <c r="M320" s="745"/>
      <c r="N320" s="743" t="str">
        <f>Calcu!M56</f>
        <v/>
      </c>
      <c r="O320" s="744"/>
      <c r="P320" s="744"/>
      <c r="Q320" s="744"/>
      <c r="R320" s="745"/>
      <c r="S320" s="743" t="str">
        <f>Calcu!N56</f>
        <v/>
      </c>
      <c r="T320" s="744"/>
      <c r="U320" s="744"/>
      <c r="V320" s="744"/>
      <c r="W320" s="745"/>
      <c r="X320" s="743" t="str">
        <f>Calcu!O56</f>
        <v/>
      </c>
      <c r="Y320" s="744"/>
      <c r="Z320" s="744"/>
      <c r="AA320" s="744"/>
      <c r="AB320" s="745"/>
      <c r="AC320" s="743" t="str">
        <f>Calcu!P56</f>
        <v/>
      </c>
      <c r="AD320" s="744"/>
      <c r="AE320" s="744"/>
      <c r="AF320" s="744"/>
      <c r="AG320" s="745"/>
      <c r="AH320" s="743" t="str">
        <f>Calcu!Q56</f>
        <v/>
      </c>
      <c r="AI320" s="744"/>
      <c r="AJ320" s="744"/>
      <c r="AK320" s="744"/>
      <c r="AL320" s="745"/>
      <c r="AM320" s="743" t="str">
        <f>Calcu!R56</f>
        <v/>
      </c>
      <c r="AN320" s="744"/>
      <c r="AO320" s="744"/>
      <c r="AP320" s="744"/>
      <c r="AQ320" s="745"/>
      <c r="AR320" s="650" t="str">
        <f t="shared" si="22"/>
        <v/>
      </c>
      <c r="AS320" s="652"/>
    </row>
    <row r="321" spans="1:46" ht="18" customHeight="1">
      <c r="A321" s="343"/>
      <c r="B321" s="625">
        <v>13</v>
      </c>
      <c r="C321" s="712"/>
      <c r="D321" s="743" t="str">
        <f>Calcu!D57</f>
        <v/>
      </c>
      <c r="E321" s="744"/>
      <c r="F321" s="744"/>
      <c r="G321" s="744"/>
      <c r="H321" s="745"/>
      <c r="I321" s="743" t="str">
        <f>Calcu!L57</f>
        <v/>
      </c>
      <c r="J321" s="744"/>
      <c r="K321" s="744"/>
      <c r="L321" s="744"/>
      <c r="M321" s="745"/>
      <c r="N321" s="743" t="str">
        <f>Calcu!M57</f>
        <v/>
      </c>
      <c r="O321" s="744"/>
      <c r="P321" s="744"/>
      <c r="Q321" s="744"/>
      <c r="R321" s="745"/>
      <c r="S321" s="743" t="str">
        <f>Calcu!N57</f>
        <v/>
      </c>
      <c r="T321" s="744"/>
      <c r="U321" s="744"/>
      <c r="V321" s="744"/>
      <c r="W321" s="745"/>
      <c r="X321" s="743" t="str">
        <f>Calcu!O57</f>
        <v/>
      </c>
      <c r="Y321" s="744"/>
      <c r="Z321" s="744"/>
      <c r="AA321" s="744"/>
      <c r="AB321" s="745"/>
      <c r="AC321" s="743" t="str">
        <f>Calcu!P57</f>
        <v/>
      </c>
      <c r="AD321" s="744"/>
      <c r="AE321" s="744"/>
      <c r="AF321" s="744"/>
      <c r="AG321" s="745"/>
      <c r="AH321" s="743" t="str">
        <f>Calcu!Q57</f>
        <v/>
      </c>
      <c r="AI321" s="744"/>
      <c r="AJ321" s="744"/>
      <c r="AK321" s="744"/>
      <c r="AL321" s="745"/>
      <c r="AM321" s="743" t="str">
        <f>Calcu!R57</f>
        <v/>
      </c>
      <c r="AN321" s="744"/>
      <c r="AO321" s="744"/>
      <c r="AP321" s="744"/>
      <c r="AQ321" s="745"/>
      <c r="AR321" s="650" t="str">
        <f t="shared" si="22"/>
        <v/>
      </c>
      <c r="AS321" s="652"/>
    </row>
    <row r="322" spans="1:46" ht="18" customHeight="1">
      <c r="A322" s="343"/>
      <c r="B322" s="625">
        <v>14</v>
      </c>
      <c r="C322" s="712"/>
      <c r="D322" s="743" t="str">
        <f>Calcu!D58</f>
        <v/>
      </c>
      <c r="E322" s="744"/>
      <c r="F322" s="744"/>
      <c r="G322" s="744"/>
      <c r="H322" s="745"/>
      <c r="I322" s="743" t="str">
        <f>Calcu!L58</f>
        <v/>
      </c>
      <c r="J322" s="744"/>
      <c r="K322" s="744"/>
      <c r="L322" s="744"/>
      <c r="M322" s="745"/>
      <c r="N322" s="743" t="str">
        <f>Calcu!M58</f>
        <v/>
      </c>
      <c r="O322" s="744"/>
      <c r="P322" s="744"/>
      <c r="Q322" s="744"/>
      <c r="R322" s="745"/>
      <c r="S322" s="743" t="str">
        <f>Calcu!N58</f>
        <v/>
      </c>
      <c r="T322" s="744"/>
      <c r="U322" s="744"/>
      <c r="V322" s="744"/>
      <c r="W322" s="745"/>
      <c r="X322" s="743" t="str">
        <f>Calcu!O58</f>
        <v/>
      </c>
      <c r="Y322" s="744"/>
      <c r="Z322" s="744"/>
      <c r="AA322" s="744"/>
      <c r="AB322" s="745"/>
      <c r="AC322" s="743" t="str">
        <f>Calcu!P58</f>
        <v/>
      </c>
      <c r="AD322" s="744"/>
      <c r="AE322" s="744"/>
      <c r="AF322" s="744"/>
      <c r="AG322" s="745"/>
      <c r="AH322" s="743" t="str">
        <f>Calcu!Q58</f>
        <v/>
      </c>
      <c r="AI322" s="744"/>
      <c r="AJ322" s="744"/>
      <c r="AK322" s="744"/>
      <c r="AL322" s="745"/>
      <c r="AM322" s="743" t="str">
        <f>Calcu!R58</f>
        <v/>
      </c>
      <c r="AN322" s="744"/>
      <c r="AO322" s="744"/>
      <c r="AP322" s="744"/>
      <c r="AQ322" s="745"/>
      <c r="AR322" s="650" t="str">
        <f t="shared" si="22"/>
        <v/>
      </c>
      <c r="AS322" s="652"/>
    </row>
    <row r="323" spans="1:46" ht="18" customHeight="1">
      <c r="A323" s="343"/>
      <c r="B323" s="625">
        <v>15</v>
      </c>
      <c r="C323" s="712"/>
      <c r="D323" s="743" t="str">
        <f>Calcu!D59</f>
        <v/>
      </c>
      <c r="E323" s="744"/>
      <c r="F323" s="744"/>
      <c r="G323" s="744"/>
      <c r="H323" s="745"/>
      <c r="I323" s="743" t="str">
        <f>Calcu!L59</f>
        <v/>
      </c>
      <c r="J323" s="744"/>
      <c r="K323" s="744"/>
      <c r="L323" s="744"/>
      <c r="M323" s="745"/>
      <c r="N323" s="743" t="str">
        <f>Calcu!M59</f>
        <v/>
      </c>
      <c r="O323" s="744"/>
      <c r="P323" s="744"/>
      <c r="Q323" s="744"/>
      <c r="R323" s="745"/>
      <c r="S323" s="743" t="str">
        <f>Calcu!N59</f>
        <v/>
      </c>
      <c r="T323" s="744"/>
      <c r="U323" s="744"/>
      <c r="V323" s="744"/>
      <c r="W323" s="745"/>
      <c r="X323" s="743" t="str">
        <f>Calcu!O59</f>
        <v/>
      </c>
      <c r="Y323" s="744"/>
      <c r="Z323" s="744"/>
      <c r="AA323" s="744"/>
      <c r="AB323" s="745"/>
      <c r="AC323" s="743" t="str">
        <f>Calcu!P59</f>
        <v/>
      </c>
      <c r="AD323" s="744"/>
      <c r="AE323" s="744"/>
      <c r="AF323" s="744"/>
      <c r="AG323" s="745"/>
      <c r="AH323" s="743" t="str">
        <f>Calcu!Q59</f>
        <v/>
      </c>
      <c r="AI323" s="744"/>
      <c r="AJ323" s="744"/>
      <c r="AK323" s="744"/>
      <c r="AL323" s="745"/>
      <c r="AM323" s="743" t="str">
        <f>Calcu!R59</f>
        <v/>
      </c>
      <c r="AN323" s="744"/>
      <c r="AO323" s="744"/>
      <c r="AP323" s="744"/>
      <c r="AQ323" s="745"/>
      <c r="AR323" s="650" t="str">
        <f t="shared" si="22"/>
        <v/>
      </c>
      <c r="AS323" s="652"/>
    </row>
    <row r="324" spans="1:46" s="343" customFormat="1" ht="18" customHeight="1">
      <c r="B324" s="278"/>
      <c r="C324" s="278"/>
      <c r="D324" s="278"/>
      <c r="E324" s="278"/>
      <c r="F324" s="278"/>
      <c r="G324" s="278"/>
      <c r="H324" s="278"/>
      <c r="I324" s="278"/>
      <c r="J324" s="278"/>
      <c r="K324" s="278"/>
      <c r="L324" s="278"/>
      <c r="M324" s="278"/>
      <c r="N324" s="278"/>
      <c r="O324" s="278"/>
      <c r="P324" s="278"/>
      <c r="Q324" s="278"/>
      <c r="R324" s="278"/>
      <c r="S324" s="278"/>
      <c r="T324" s="278"/>
      <c r="U324" s="278"/>
      <c r="V324" s="278"/>
      <c r="W324" s="278"/>
      <c r="X324" s="278"/>
      <c r="Y324" s="278"/>
      <c r="Z324" s="278"/>
      <c r="AA324" s="278"/>
      <c r="AB324" s="278"/>
      <c r="AC324" s="278"/>
      <c r="AD324" s="278"/>
      <c r="AE324" s="278"/>
      <c r="AF324" s="278"/>
      <c r="AG324" s="278"/>
      <c r="AH324" s="278"/>
      <c r="AI324" s="278"/>
      <c r="AJ324" s="278"/>
      <c r="AK324" s="278"/>
      <c r="AL324" s="278"/>
      <c r="AM324" s="278"/>
      <c r="AN324" s="278"/>
      <c r="AO324" s="278"/>
      <c r="AP324" s="278"/>
      <c r="AQ324" s="278"/>
      <c r="AR324" s="154"/>
      <c r="AS324" s="154"/>
    </row>
    <row r="325" spans="1:46" s="157" customFormat="1" ht="18" customHeight="1">
      <c r="A325" s="164" t="s">
        <v>539</v>
      </c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60"/>
      <c r="V325" s="160"/>
      <c r="W325" s="160"/>
      <c r="X325" s="160"/>
      <c r="Y325" s="160"/>
      <c r="Z325" s="160"/>
      <c r="AA325" s="160"/>
      <c r="AB325" s="160"/>
      <c r="AC325" s="160"/>
      <c r="AD325" s="160"/>
      <c r="AE325" s="160"/>
      <c r="AF325" s="160"/>
      <c r="AG325" s="160"/>
      <c r="AH325" s="160"/>
      <c r="AI325" s="160"/>
      <c r="AJ325" s="160"/>
      <c r="AK325" s="160"/>
      <c r="AL325" s="160"/>
      <c r="AM325" s="156"/>
      <c r="AN325" s="156"/>
      <c r="AO325" s="156"/>
      <c r="AP325" s="156"/>
      <c r="AQ325" s="156"/>
      <c r="AR325" s="156"/>
      <c r="AS325" s="156"/>
      <c r="AT325" s="156"/>
    </row>
    <row r="326" spans="1:46" s="157" customFormat="1" ht="18" customHeight="1">
      <c r="A326" s="156"/>
      <c r="B326" s="156"/>
      <c r="C326" s="156"/>
      <c r="D326" s="156"/>
      <c r="E326" s="156"/>
      <c r="F326" s="156"/>
      <c r="G326" s="156"/>
      <c r="H326" s="156"/>
      <c r="I326" s="156"/>
      <c r="J326" s="835" t="e">
        <f ca="1">F301</f>
        <v>#N/A</v>
      </c>
      <c r="K326" s="835"/>
      <c r="L326" s="835"/>
      <c r="M326" s="835"/>
      <c r="N326" s="835"/>
      <c r="O326" s="835"/>
      <c r="P326" s="835"/>
      <c r="Q326" s="835"/>
      <c r="R326" s="835"/>
      <c r="S326" s="835"/>
      <c r="T326" s="835"/>
      <c r="U326" s="834" t="s">
        <v>532</v>
      </c>
      <c r="V326" s="859" t="s">
        <v>540</v>
      </c>
      <c r="W326" s="859"/>
      <c r="X326" s="859"/>
      <c r="Y326" s="859"/>
      <c r="Z326" s="859"/>
      <c r="AA326" s="859"/>
      <c r="AB326" s="160"/>
      <c r="AC326" s="160"/>
      <c r="AD326" s="160"/>
      <c r="AE326" s="160"/>
      <c r="AF326" s="160"/>
      <c r="AG326" s="160"/>
      <c r="AH326" s="160"/>
      <c r="AI326" s="160"/>
      <c r="AJ326" s="160"/>
      <c r="AK326" s="160"/>
      <c r="AL326" s="160"/>
      <c r="AM326" s="156"/>
      <c r="AN326" s="156"/>
      <c r="AO326" s="156"/>
      <c r="AP326" s="156"/>
      <c r="AQ326" s="156"/>
      <c r="AR326" s="156"/>
      <c r="AS326" s="156"/>
      <c r="AT326" s="156"/>
    </row>
    <row r="327" spans="1:46" s="157" customFormat="1" ht="18" customHeight="1">
      <c r="A327" s="156"/>
      <c r="B327" s="156"/>
      <c r="C327" s="156"/>
      <c r="D327" s="156"/>
      <c r="E327" s="156"/>
      <c r="F327" s="156"/>
      <c r="G327" s="156"/>
      <c r="H327" s="156"/>
      <c r="I327" s="156"/>
      <c r="J327" s="832" t="e">
        <f ca="1">G298</f>
        <v>#N/A</v>
      </c>
      <c r="K327" s="832"/>
      <c r="L327" s="832"/>
      <c r="M327" s="832"/>
      <c r="N327" s="832"/>
      <c r="O327" s="833" t="s">
        <v>537</v>
      </c>
      <c r="P327" s="832" t="e">
        <f ca="1">O298</f>
        <v>#N/A</v>
      </c>
      <c r="Q327" s="832"/>
      <c r="R327" s="832"/>
      <c r="S327" s="832"/>
      <c r="T327" s="832"/>
      <c r="U327" s="834"/>
      <c r="V327" s="859"/>
      <c r="W327" s="859"/>
      <c r="X327" s="859"/>
      <c r="Y327" s="859"/>
      <c r="Z327" s="859"/>
      <c r="AA327" s="859"/>
      <c r="AB327" s="160"/>
      <c r="AC327" s="160"/>
      <c r="AD327" s="160"/>
      <c r="AE327" s="160"/>
      <c r="AF327" s="160"/>
      <c r="AG327" s="160"/>
      <c r="AH327" s="160"/>
      <c r="AI327" s="160"/>
      <c r="AJ327" s="160"/>
      <c r="AK327" s="160"/>
      <c r="AL327" s="160"/>
      <c r="AM327" s="156"/>
      <c r="AN327" s="156"/>
      <c r="AO327" s="156"/>
      <c r="AP327" s="156"/>
      <c r="AQ327" s="156"/>
      <c r="AR327" s="156"/>
      <c r="AS327" s="156"/>
      <c r="AT327" s="156"/>
    </row>
    <row r="328" spans="1:46" s="157" customFormat="1" ht="18" customHeight="1">
      <c r="A328" s="156"/>
      <c r="B328" s="156"/>
      <c r="C328" s="156"/>
      <c r="D328" s="156"/>
      <c r="E328" s="156"/>
      <c r="F328" s="156"/>
      <c r="G328" s="156"/>
      <c r="H328" s="156"/>
      <c r="I328" s="156"/>
      <c r="J328" s="834" t="str">
        <f>AP189</f>
        <v>∞</v>
      </c>
      <c r="K328" s="834"/>
      <c r="L328" s="834"/>
      <c r="M328" s="834"/>
      <c r="N328" s="834"/>
      <c r="O328" s="834"/>
      <c r="P328" s="834" t="e">
        <f ca="1">AP190</f>
        <v>#N/A</v>
      </c>
      <c r="Q328" s="834"/>
      <c r="R328" s="834"/>
      <c r="S328" s="834"/>
      <c r="T328" s="834"/>
      <c r="U328" s="160"/>
      <c r="V328" s="160"/>
      <c r="W328" s="160"/>
      <c r="X328" s="160"/>
      <c r="Y328" s="160"/>
      <c r="Z328" s="160"/>
      <c r="AA328" s="160"/>
      <c r="AB328" s="160"/>
      <c r="AC328" s="160"/>
      <c r="AD328" s="160"/>
      <c r="AE328" s="160"/>
      <c r="AF328" s="160"/>
      <c r="AG328" s="160"/>
      <c r="AH328" s="160"/>
      <c r="AI328" s="160"/>
      <c r="AJ328" s="160"/>
      <c r="AK328" s="160"/>
      <c r="AL328" s="160"/>
      <c r="AM328" s="156"/>
      <c r="AN328" s="156"/>
      <c r="AO328" s="156"/>
      <c r="AP328" s="156"/>
      <c r="AQ328" s="156"/>
      <c r="AR328" s="156"/>
      <c r="AS328" s="156"/>
      <c r="AT328" s="156"/>
    </row>
    <row r="329" spans="1:46" s="157" customFormat="1" ht="18" customHeight="1">
      <c r="A329" s="156"/>
      <c r="B329" s="156"/>
      <c r="C329" s="156"/>
      <c r="D329" s="189"/>
      <c r="E329" s="354"/>
      <c r="F329" s="189"/>
      <c r="G329" s="189"/>
      <c r="H329" s="354"/>
      <c r="I329" s="190"/>
      <c r="J329" s="190"/>
      <c r="K329" s="191"/>
      <c r="L329" s="156"/>
      <c r="M329" s="156"/>
      <c r="N329" s="156"/>
      <c r="O329" s="156"/>
      <c r="P329" s="156"/>
      <c r="Q329" s="156"/>
      <c r="R329" s="156"/>
      <c r="S329" s="156"/>
      <c r="T329" s="156"/>
      <c r="U329" s="160"/>
      <c r="V329" s="160"/>
      <c r="W329" s="160"/>
      <c r="X329" s="160"/>
      <c r="Y329" s="160"/>
      <c r="Z329" s="160"/>
      <c r="AA329" s="160"/>
      <c r="AB329" s="160"/>
      <c r="AC329" s="160"/>
      <c r="AD329" s="160"/>
      <c r="AE329" s="160"/>
      <c r="AF329" s="160"/>
      <c r="AG329" s="160"/>
      <c r="AH329" s="160"/>
      <c r="AI329" s="160"/>
      <c r="AJ329" s="160"/>
      <c r="AK329" s="160"/>
      <c r="AL329" s="160"/>
      <c r="AM329" s="156"/>
      <c r="AN329" s="156"/>
      <c r="AO329" s="156"/>
      <c r="AP329" s="156"/>
      <c r="AQ329" s="156"/>
      <c r="AR329" s="156"/>
      <c r="AS329" s="156"/>
      <c r="AT329" s="156"/>
    </row>
    <row r="330" spans="1:46" s="157" customFormat="1" ht="18" customHeight="1">
      <c r="A330" s="164" t="s">
        <v>675</v>
      </c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  <c r="AB330" s="156"/>
      <c r="AC330" s="156"/>
      <c r="AD330" s="156"/>
      <c r="AE330" s="156"/>
      <c r="AF330" s="156"/>
      <c r="AG330" s="156"/>
      <c r="AH330" s="156"/>
      <c r="AI330" s="156"/>
      <c r="AJ330" s="156"/>
      <c r="AK330" s="156"/>
      <c r="AL330" s="156"/>
      <c r="AM330" s="156"/>
      <c r="AN330" s="156"/>
      <c r="AO330" s="156"/>
      <c r="AP330" s="156"/>
      <c r="AQ330" s="156"/>
      <c r="AR330" s="156"/>
      <c r="AS330" s="156"/>
      <c r="AT330" s="156"/>
    </row>
    <row r="331" spans="1:46" s="157" customFormat="1" ht="18" customHeight="1">
      <c r="B331" s="160" t="s">
        <v>677</v>
      </c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  <c r="AB331" s="156"/>
      <c r="AC331" s="156"/>
      <c r="AD331" s="156"/>
      <c r="AE331" s="156"/>
      <c r="AF331" s="156"/>
      <c r="AG331" s="156"/>
      <c r="AH331" s="156"/>
      <c r="AI331" s="156"/>
      <c r="AJ331" s="156"/>
      <c r="AK331" s="156"/>
      <c r="AL331" s="156"/>
      <c r="AM331" s="156"/>
      <c r="AN331" s="156"/>
      <c r="AO331" s="156"/>
      <c r="AP331" s="156"/>
      <c r="AQ331" s="156"/>
      <c r="AR331" s="156"/>
      <c r="AS331" s="156"/>
      <c r="AT331" s="156"/>
    </row>
    <row r="332" spans="1:46" s="157" customFormat="1" ht="18" customHeight="1">
      <c r="A332" s="156"/>
      <c r="B332" s="156"/>
      <c r="C332" s="354"/>
      <c r="D332" s="156"/>
      <c r="E332" s="192"/>
      <c r="F332" s="156"/>
      <c r="G332" s="186" t="s">
        <v>541</v>
      </c>
      <c r="H332" s="866" t="s">
        <v>171</v>
      </c>
      <c r="I332" s="866"/>
      <c r="J332" s="840" t="e">
        <f ca="1">F301</f>
        <v>#N/A</v>
      </c>
      <c r="K332" s="840"/>
      <c r="L332" s="840"/>
      <c r="M332" s="840"/>
      <c r="N332" s="353">
        <f>J301</f>
        <v>0</v>
      </c>
      <c r="O332" s="344"/>
      <c r="P332" s="345" t="s">
        <v>542</v>
      </c>
      <c r="Q332" s="840" t="e">
        <f ca="1">J332*2</f>
        <v>#N/A</v>
      </c>
      <c r="R332" s="840"/>
      <c r="S332" s="840"/>
      <c r="T332" s="840"/>
      <c r="U332" s="353">
        <f>N332</f>
        <v>0</v>
      </c>
      <c r="V332" s="343"/>
      <c r="W332" s="343"/>
      <c r="X332" s="343"/>
      <c r="Y332" s="343"/>
      <c r="Z332" s="156"/>
      <c r="AA332" s="156"/>
      <c r="AB332" s="156"/>
      <c r="AC332" s="156"/>
      <c r="AD332" s="156"/>
      <c r="AE332" s="156"/>
      <c r="AF332" s="156"/>
      <c r="AG332" s="156"/>
      <c r="AH332" s="156"/>
      <c r="AI332" s="156"/>
      <c r="AJ332" s="156"/>
      <c r="AK332" s="156"/>
      <c r="AL332" s="156"/>
      <c r="AM332" s="156"/>
      <c r="AN332" s="156"/>
      <c r="AO332" s="156"/>
      <c r="AP332" s="156"/>
      <c r="AQ332" s="156"/>
      <c r="AR332" s="156"/>
      <c r="AS332" s="156"/>
      <c r="AT332" s="156"/>
    </row>
    <row r="333" spans="1:46" ht="18" customHeight="1">
      <c r="A333" s="343"/>
      <c r="B333" s="343"/>
      <c r="C333" s="343"/>
      <c r="D333" s="343"/>
      <c r="E333" s="343"/>
      <c r="F333" s="343"/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  <c r="T333" s="343"/>
      <c r="U333" s="343"/>
      <c r="V333" s="343"/>
      <c r="W333" s="343"/>
      <c r="X333" s="343"/>
      <c r="Y333" s="343"/>
      <c r="Z333" s="343"/>
      <c r="AA333" s="343"/>
      <c r="AB333" s="343"/>
      <c r="AC333" s="343"/>
      <c r="AD333" s="343"/>
      <c r="AE333" s="343"/>
      <c r="AF333" s="343"/>
      <c r="AG333" s="343"/>
      <c r="AH333" s="343"/>
      <c r="AI333" s="343"/>
      <c r="AJ333" s="343"/>
      <c r="AK333" s="343"/>
      <c r="AL333" s="343"/>
      <c r="AM333" s="343"/>
      <c r="AN333" s="343"/>
      <c r="AO333" s="343"/>
      <c r="AP333" s="343"/>
      <c r="AQ333" s="343"/>
      <c r="AR333" s="343"/>
      <c r="AS333" s="343"/>
      <c r="AT333" s="343"/>
    </row>
    <row r="334" spans="1:46" ht="18" customHeight="1">
      <c r="A334" s="194" t="s">
        <v>622</v>
      </c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  <c r="T334" s="343"/>
      <c r="U334" s="343"/>
      <c r="V334" s="343"/>
      <c r="W334" s="343"/>
      <c r="X334" s="343"/>
      <c r="Y334" s="343"/>
      <c r="Z334" s="343"/>
      <c r="AA334" s="343"/>
      <c r="AB334" s="343"/>
      <c r="AC334" s="343"/>
      <c r="AD334" s="343"/>
      <c r="AE334" s="343"/>
      <c r="AF334" s="343"/>
      <c r="AG334" s="343"/>
      <c r="AH334" s="343"/>
      <c r="AI334" s="343"/>
      <c r="AJ334" s="343"/>
      <c r="AK334" s="343"/>
      <c r="AL334" s="343"/>
      <c r="AM334" s="343"/>
      <c r="AN334" s="343"/>
      <c r="AO334" s="343"/>
      <c r="AP334" s="343"/>
      <c r="AQ334" s="343"/>
      <c r="AR334" s="343"/>
      <c r="AS334" s="343"/>
      <c r="AT334" s="343"/>
    </row>
    <row r="335" spans="1:46" ht="18" customHeight="1">
      <c r="A335" s="343"/>
      <c r="B335" s="847" t="s">
        <v>57</v>
      </c>
      <c r="C335" s="858"/>
      <c r="D335" s="858"/>
      <c r="E335" s="848"/>
      <c r="F335" s="625" t="s">
        <v>69</v>
      </c>
      <c r="G335" s="711"/>
      <c r="H335" s="711"/>
      <c r="I335" s="711"/>
      <c r="J335" s="711"/>
      <c r="K335" s="712"/>
      <c r="L335" s="625" t="e">
        <f>Calcu!J103</f>
        <v>#N/A</v>
      </c>
      <c r="M335" s="711"/>
      <c r="N335" s="711"/>
      <c r="O335" s="711"/>
      <c r="P335" s="711"/>
      <c r="Q335" s="711"/>
      <c r="R335" s="711"/>
      <c r="S335" s="711"/>
      <c r="T335" s="711"/>
      <c r="U335" s="711"/>
      <c r="V335" s="711"/>
      <c r="W335" s="711"/>
      <c r="X335" s="711"/>
      <c r="Y335" s="711"/>
      <c r="Z335" s="711"/>
      <c r="AA335" s="711"/>
      <c r="AB335" s="711"/>
      <c r="AC335" s="711"/>
      <c r="AD335" s="711"/>
      <c r="AE335" s="711"/>
      <c r="AF335" s="711"/>
      <c r="AG335" s="711"/>
      <c r="AH335" s="711"/>
      <c r="AI335" s="712"/>
      <c r="AJ335" s="343"/>
      <c r="AK335" s="343"/>
      <c r="AL335" s="343"/>
      <c r="AM335" s="343"/>
      <c r="AN335" s="343"/>
      <c r="AO335" s="343"/>
      <c r="AP335" s="343"/>
      <c r="AQ335" s="343"/>
      <c r="AR335" s="343"/>
      <c r="AS335" s="343"/>
    </row>
    <row r="336" spans="1:46" ht="18" customHeight="1">
      <c r="A336" s="343"/>
      <c r="B336" s="658"/>
      <c r="C336" s="681"/>
      <c r="D336" s="681"/>
      <c r="E336" s="709"/>
      <c r="F336" s="847" t="s">
        <v>625</v>
      </c>
      <c r="G336" s="858"/>
      <c r="H336" s="858"/>
      <c r="I336" s="858"/>
      <c r="J336" s="858"/>
      <c r="K336" s="848"/>
      <c r="L336" s="847" t="s">
        <v>623</v>
      </c>
      <c r="M336" s="858"/>
      <c r="N336" s="858"/>
      <c r="O336" s="858"/>
      <c r="P336" s="858"/>
      <c r="Q336" s="858"/>
      <c r="R336" s="858"/>
      <c r="S336" s="858"/>
      <c r="T336" s="858"/>
      <c r="U336" s="858"/>
      <c r="V336" s="858"/>
      <c r="W336" s="848"/>
      <c r="X336" s="847" t="s">
        <v>121</v>
      </c>
      <c r="Y336" s="858"/>
      <c r="Z336" s="858"/>
      <c r="AA336" s="858"/>
      <c r="AB336" s="858"/>
      <c r="AC336" s="848"/>
      <c r="AD336" s="847" t="s">
        <v>624</v>
      </c>
      <c r="AE336" s="858"/>
      <c r="AF336" s="858"/>
      <c r="AG336" s="858"/>
      <c r="AH336" s="858"/>
      <c r="AI336" s="848"/>
      <c r="AJ336" s="343"/>
      <c r="AK336" s="343"/>
      <c r="AL336" s="343"/>
      <c r="AM336" s="343"/>
      <c r="AN336" s="343"/>
      <c r="AO336" s="343"/>
      <c r="AP336" s="343"/>
      <c r="AQ336" s="343"/>
      <c r="AR336" s="343"/>
      <c r="AS336" s="343"/>
    </row>
    <row r="337" spans="1:45" ht="18" customHeight="1">
      <c r="A337" s="343"/>
      <c r="B337" s="658"/>
      <c r="C337" s="681"/>
      <c r="D337" s="681"/>
      <c r="E337" s="709"/>
      <c r="F337" s="658"/>
      <c r="G337" s="681"/>
      <c r="H337" s="681"/>
      <c r="I337" s="681"/>
      <c r="J337" s="681"/>
      <c r="K337" s="709"/>
      <c r="L337" s="658"/>
      <c r="M337" s="681"/>
      <c r="N337" s="681"/>
      <c r="O337" s="681"/>
      <c r="P337" s="681"/>
      <c r="Q337" s="681"/>
      <c r="R337" s="681"/>
      <c r="S337" s="681"/>
      <c r="T337" s="681"/>
      <c r="U337" s="681"/>
      <c r="V337" s="681"/>
      <c r="W337" s="709"/>
      <c r="X337" s="658"/>
      <c r="Y337" s="681"/>
      <c r="Z337" s="681"/>
      <c r="AA337" s="681"/>
      <c r="AB337" s="681"/>
      <c r="AC337" s="709"/>
      <c r="AD337" s="658"/>
      <c r="AE337" s="681"/>
      <c r="AF337" s="681"/>
      <c r="AG337" s="681"/>
      <c r="AH337" s="681"/>
      <c r="AI337" s="709"/>
      <c r="AJ337" s="343"/>
      <c r="AK337" s="343"/>
      <c r="AL337" s="343"/>
      <c r="AM337" s="343"/>
      <c r="AN337" s="343"/>
      <c r="AO337" s="343"/>
      <c r="AP337" s="343"/>
      <c r="AQ337" s="343"/>
      <c r="AR337" s="343"/>
      <c r="AS337" s="343"/>
    </row>
    <row r="338" spans="1:45" ht="18" customHeight="1">
      <c r="A338" s="343"/>
      <c r="B338" s="658"/>
      <c r="C338" s="681"/>
      <c r="D338" s="681"/>
      <c r="E338" s="709"/>
      <c r="F338" s="658"/>
      <c r="G338" s="681"/>
      <c r="H338" s="681"/>
      <c r="I338" s="681"/>
      <c r="J338" s="681"/>
      <c r="K338" s="709"/>
      <c r="L338" s="658"/>
      <c r="M338" s="681"/>
      <c r="N338" s="681"/>
      <c r="O338" s="681"/>
      <c r="P338" s="681"/>
      <c r="Q338" s="681"/>
      <c r="R338" s="681"/>
      <c r="S338" s="681"/>
      <c r="T338" s="681"/>
      <c r="U338" s="681"/>
      <c r="V338" s="681"/>
      <c r="W338" s="709"/>
      <c r="X338" s="658"/>
      <c r="Y338" s="681"/>
      <c r="Z338" s="681"/>
      <c r="AA338" s="681"/>
      <c r="AB338" s="681"/>
      <c r="AC338" s="709"/>
      <c r="AD338" s="658"/>
      <c r="AE338" s="681"/>
      <c r="AF338" s="681"/>
      <c r="AG338" s="681"/>
      <c r="AH338" s="681"/>
      <c r="AI338" s="709"/>
      <c r="AJ338" s="343"/>
      <c r="AK338" s="343"/>
      <c r="AL338" s="343"/>
      <c r="AM338" s="343"/>
      <c r="AN338" s="343"/>
      <c r="AO338" s="343"/>
      <c r="AP338" s="343"/>
      <c r="AQ338" s="343"/>
      <c r="AR338" s="343"/>
      <c r="AS338" s="343"/>
    </row>
    <row r="339" spans="1:45" ht="18" customHeight="1">
      <c r="A339" s="343"/>
      <c r="B339" s="658"/>
      <c r="C339" s="681"/>
      <c r="D339" s="681"/>
      <c r="E339" s="709"/>
      <c r="F339" s="658"/>
      <c r="G339" s="681"/>
      <c r="H339" s="681"/>
      <c r="I339" s="681"/>
      <c r="J339" s="681"/>
      <c r="K339" s="709"/>
      <c r="L339" s="372"/>
      <c r="N339" s="860" t="e">
        <f>TEXT($AJ$57,"0.000 000 0 ")&amp;$AJ$58</f>
        <v>#DIV/0!</v>
      </c>
      <c r="O339" s="860"/>
      <c r="P339" s="860"/>
      <c r="Q339" s="860"/>
      <c r="R339" s="860"/>
      <c r="S339" s="860"/>
      <c r="T339" s="860"/>
      <c r="U339" s="860"/>
      <c r="V339" s="860"/>
      <c r="W339" s="861"/>
      <c r="X339" s="658"/>
      <c r="Y339" s="681"/>
      <c r="Z339" s="681"/>
      <c r="AA339" s="681"/>
      <c r="AB339" s="681"/>
      <c r="AC339" s="709"/>
      <c r="AD339" s="658"/>
      <c r="AE339" s="681"/>
      <c r="AF339" s="681"/>
      <c r="AG339" s="681"/>
      <c r="AH339" s="681"/>
      <c r="AI339" s="709"/>
      <c r="AJ339" s="343"/>
      <c r="AK339" s="343"/>
      <c r="AL339" s="343"/>
      <c r="AM339" s="343"/>
      <c r="AN339" s="343"/>
      <c r="AO339" s="343"/>
      <c r="AP339" s="343"/>
      <c r="AQ339" s="343"/>
      <c r="AR339" s="343"/>
      <c r="AS339" s="343"/>
    </row>
    <row r="340" spans="1:45" ht="18" customHeight="1">
      <c r="A340" s="343"/>
      <c r="B340" s="658"/>
      <c r="C340" s="681"/>
      <c r="D340" s="681"/>
      <c r="E340" s="709"/>
      <c r="F340" s="658"/>
      <c r="G340" s="681"/>
      <c r="H340" s="681"/>
      <c r="I340" s="681"/>
      <c r="J340" s="681"/>
      <c r="K340" s="709"/>
      <c r="L340" s="371"/>
      <c r="M340" s="373"/>
      <c r="N340" s="862"/>
      <c r="O340" s="862"/>
      <c r="P340" s="862"/>
      <c r="Q340" s="862"/>
      <c r="R340" s="862"/>
      <c r="S340" s="862"/>
      <c r="T340" s="862"/>
      <c r="U340" s="862"/>
      <c r="V340" s="862"/>
      <c r="W340" s="863"/>
      <c r="X340" s="658"/>
      <c r="Y340" s="681"/>
      <c r="Z340" s="681"/>
      <c r="AA340" s="681"/>
      <c r="AB340" s="681"/>
      <c r="AC340" s="709"/>
      <c r="AD340" s="658"/>
      <c r="AE340" s="681"/>
      <c r="AF340" s="681"/>
      <c r="AG340" s="681"/>
      <c r="AH340" s="681"/>
      <c r="AI340" s="709"/>
      <c r="AJ340" s="343"/>
      <c r="AK340" s="343"/>
      <c r="AL340" s="343"/>
      <c r="AM340" s="343"/>
      <c r="AN340" s="343"/>
      <c r="AO340" s="343"/>
      <c r="AP340" s="343"/>
      <c r="AQ340" s="343"/>
    </row>
    <row r="341" spans="1:45" ht="18" customHeight="1">
      <c r="A341" s="343"/>
      <c r="B341" s="658"/>
      <c r="C341" s="681"/>
      <c r="D341" s="681"/>
      <c r="E341" s="709"/>
      <c r="F341" s="672"/>
      <c r="G341" s="688"/>
      <c r="H341" s="688"/>
      <c r="I341" s="688"/>
      <c r="J341" s="688"/>
      <c r="K341" s="710"/>
      <c r="L341" s="625"/>
      <c r="M341" s="711"/>
      <c r="N341" s="711"/>
      <c r="O341" s="711"/>
      <c r="P341" s="711"/>
      <c r="Q341" s="712"/>
      <c r="R341" s="644" t="s">
        <v>439</v>
      </c>
      <c r="S341" s="864"/>
      <c r="T341" s="864"/>
      <c r="U341" s="864"/>
      <c r="V341" s="864"/>
      <c r="W341" s="865"/>
      <c r="X341" s="672"/>
      <c r="Y341" s="688"/>
      <c r="Z341" s="688"/>
      <c r="AA341" s="688"/>
      <c r="AB341" s="688"/>
      <c r="AC341" s="710"/>
      <c r="AD341" s="672"/>
      <c r="AE341" s="688"/>
      <c r="AF341" s="688"/>
      <c r="AG341" s="688"/>
      <c r="AH341" s="688"/>
      <c r="AI341" s="710"/>
      <c r="AJ341" s="343"/>
      <c r="AK341" s="343"/>
      <c r="AL341" s="343"/>
      <c r="AM341" s="343"/>
      <c r="AN341" s="343"/>
      <c r="AO341" s="343"/>
      <c r="AP341" s="343"/>
      <c r="AQ341" s="343"/>
    </row>
    <row r="342" spans="1:45" ht="18" customHeight="1">
      <c r="A342" s="343"/>
      <c r="B342" s="672"/>
      <c r="C342" s="688"/>
      <c r="D342" s="688"/>
      <c r="E342" s="710"/>
      <c r="F342" s="625">
        <f>D308</f>
        <v>0</v>
      </c>
      <c r="G342" s="711"/>
      <c r="H342" s="711"/>
      <c r="I342" s="711"/>
      <c r="J342" s="711"/>
      <c r="K342" s="712"/>
      <c r="L342" s="625">
        <f>P11</f>
        <v>0</v>
      </c>
      <c r="M342" s="711"/>
      <c r="N342" s="711"/>
      <c r="O342" s="711"/>
      <c r="P342" s="711"/>
      <c r="Q342" s="712"/>
      <c r="R342" s="625">
        <f>F342</f>
        <v>0</v>
      </c>
      <c r="S342" s="711"/>
      <c r="T342" s="711"/>
      <c r="U342" s="711"/>
      <c r="V342" s="711"/>
      <c r="W342" s="712"/>
      <c r="X342" s="625">
        <f>R342</f>
        <v>0</v>
      </c>
      <c r="Y342" s="711"/>
      <c r="Z342" s="711"/>
      <c r="AA342" s="711"/>
      <c r="AB342" s="711"/>
      <c r="AC342" s="712"/>
      <c r="AD342" s="625">
        <f>X342</f>
        <v>0</v>
      </c>
      <c r="AE342" s="711"/>
      <c r="AF342" s="711"/>
      <c r="AG342" s="711"/>
      <c r="AH342" s="711"/>
      <c r="AI342" s="712"/>
      <c r="AJ342" s="343"/>
      <c r="AK342" s="343"/>
      <c r="AL342" s="343"/>
      <c r="AM342" s="343"/>
      <c r="AN342" s="343"/>
      <c r="AO342" s="343"/>
      <c r="AP342" s="343"/>
      <c r="AQ342" s="343"/>
      <c r="AR342" s="343"/>
      <c r="AS342" s="343"/>
    </row>
    <row r="343" spans="1:45" ht="18" customHeight="1">
      <c r="A343" s="343"/>
      <c r="B343" s="720">
        <v>1</v>
      </c>
      <c r="C343" s="720"/>
      <c r="D343" s="720"/>
      <c r="E343" s="720"/>
      <c r="F343" s="743" t="str">
        <f>D309</f>
        <v/>
      </c>
      <c r="G343" s="711"/>
      <c r="H343" s="711"/>
      <c r="I343" s="711"/>
      <c r="J343" s="711"/>
      <c r="K343" s="712"/>
      <c r="L343" s="625" t="str">
        <f>Calcu!G45</f>
        <v/>
      </c>
      <c r="M343" s="711"/>
      <c r="N343" s="711"/>
      <c r="O343" s="711"/>
      <c r="P343" s="711"/>
      <c r="Q343" s="712"/>
      <c r="R343" s="625" t="str">
        <f>Calcu!H45</f>
        <v/>
      </c>
      <c r="S343" s="711"/>
      <c r="T343" s="711"/>
      <c r="U343" s="711"/>
      <c r="V343" s="711"/>
      <c r="W343" s="712"/>
      <c r="X343" s="625" t="str">
        <f>Calcu!I45</f>
        <v/>
      </c>
      <c r="Y343" s="711"/>
      <c r="Z343" s="711"/>
      <c r="AA343" s="711"/>
      <c r="AB343" s="711"/>
      <c r="AC343" s="712"/>
      <c r="AD343" s="625" t="str">
        <f>Calcu!S45</f>
        <v/>
      </c>
      <c r="AE343" s="711"/>
      <c r="AF343" s="711"/>
      <c r="AG343" s="711"/>
      <c r="AH343" s="711"/>
      <c r="AI343" s="712"/>
      <c r="AJ343" s="343"/>
      <c r="AK343" s="343"/>
      <c r="AL343" s="343"/>
      <c r="AM343" s="343"/>
      <c r="AN343" s="343"/>
      <c r="AO343" s="343"/>
      <c r="AP343" s="343"/>
      <c r="AQ343" s="343"/>
      <c r="AR343" s="343"/>
      <c r="AS343" s="343"/>
    </row>
    <row r="344" spans="1:45" ht="18" customHeight="1">
      <c r="A344" s="343"/>
      <c r="B344" s="720">
        <v>2</v>
      </c>
      <c r="C344" s="720"/>
      <c r="D344" s="720"/>
      <c r="E344" s="720"/>
      <c r="F344" s="743" t="str">
        <f t="shared" ref="F344:F357" si="23">D310</f>
        <v/>
      </c>
      <c r="G344" s="711"/>
      <c r="H344" s="711"/>
      <c r="I344" s="711"/>
      <c r="J344" s="711"/>
      <c r="K344" s="712"/>
      <c r="L344" s="625" t="str">
        <f>Calcu!G46</f>
        <v/>
      </c>
      <c r="M344" s="711"/>
      <c r="N344" s="711"/>
      <c r="O344" s="711"/>
      <c r="P344" s="711"/>
      <c r="Q344" s="712"/>
      <c r="R344" s="625" t="str">
        <f>Calcu!H46</f>
        <v/>
      </c>
      <c r="S344" s="711"/>
      <c r="T344" s="711"/>
      <c r="U344" s="711"/>
      <c r="V344" s="711"/>
      <c r="W344" s="712"/>
      <c r="X344" s="625" t="str">
        <f>Calcu!I46</f>
        <v/>
      </c>
      <c r="Y344" s="711"/>
      <c r="Z344" s="711"/>
      <c r="AA344" s="711"/>
      <c r="AB344" s="711"/>
      <c r="AC344" s="712"/>
      <c r="AD344" s="625" t="str">
        <f>Calcu!S46</f>
        <v/>
      </c>
      <c r="AE344" s="711"/>
      <c r="AF344" s="711"/>
      <c r="AG344" s="711"/>
      <c r="AH344" s="711"/>
      <c r="AI344" s="712"/>
      <c r="AJ344" s="343"/>
      <c r="AK344" s="343"/>
      <c r="AL344" s="343"/>
      <c r="AM344" s="343"/>
      <c r="AN344" s="343"/>
      <c r="AO344" s="343"/>
      <c r="AP344" s="343"/>
      <c r="AQ344" s="343"/>
      <c r="AR344" s="343"/>
      <c r="AS344" s="343"/>
    </row>
    <row r="345" spans="1:45" ht="18" customHeight="1">
      <c r="A345" s="343"/>
      <c r="B345" s="720">
        <v>3</v>
      </c>
      <c r="C345" s="720"/>
      <c r="D345" s="720"/>
      <c r="E345" s="720"/>
      <c r="F345" s="743" t="str">
        <f t="shared" si="23"/>
        <v/>
      </c>
      <c r="G345" s="711"/>
      <c r="H345" s="711"/>
      <c r="I345" s="711"/>
      <c r="J345" s="711"/>
      <c r="K345" s="712"/>
      <c r="L345" s="625" t="str">
        <f>Calcu!G47</f>
        <v/>
      </c>
      <c r="M345" s="711"/>
      <c r="N345" s="711"/>
      <c r="O345" s="711"/>
      <c r="P345" s="711"/>
      <c r="Q345" s="712"/>
      <c r="R345" s="625" t="str">
        <f>Calcu!H47</f>
        <v/>
      </c>
      <c r="S345" s="711"/>
      <c r="T345" s="711"/>
      <c r="U345" s="711"/>
      <c r="V345" s="711"/>
      <c r="W345" s="712"/>
      <c r="X345" s="625" t="str">
        <f>Calcu!I47</f>
        <v/>
      </c>
      <c r="Y345" s="711"/>
      <c r="Z345" s="711"/>
      <c r="AA345" s="711"/>
      <c r="AB345" s="711"/>
      <c r="AC345" s="712"/>
      <c r="AD345" s="625" t="str">
        <f>Calcu!S47</f>
        <v/>
      </c>
      <c r="AE345" s="711"/>
      <c r="AF345" s="711"/>
      <c r="AG345" s="711"/>
      <c r="AH345" s="711"/>
      <c r="AI345" s="712"/>
      <c r="AJ345" s="343"/>
      <c r="AK345" s="343"/>
      <c r="AL345" s="343"/>
      <c r="AM345" s="343"/>
      <c r="AN345" s="343"/>
      <c r="AO345" s="343"/>
      <c r="AP345" s="343"/>
      <c r="AQ345" s="343"/>
      <c r="AR345" s="343"/>
      <c r="AS345" s="343"/>
    </row>
    <row r="346" spans="1:45" ht="18" customHeight="1">
      <c r="A346" s="343"/>
      <c r="B346" s="720">
        <v>4</v>
      </c>
      <c r="C346" s="720"/>
      <c r="D346" s="720"/>
      <c r="E346" s="720"/>
      <c r="F346" s="743" t="str">
        <f t="shared" si="23"/>
        <v/>
      </c>
      <c r="G346" s="711"/>
      <c r="H346" s="711"/>
      <c r="I346" s="711"/>
      <c r="J346" s="711"/>
      <c r="K346" s="712"/>
      <c r="L346" s="625" t="str">
        <f>Calcu!G48</f>
        <v/>
      </c>
      <c r="M346" s="711"/>
      <c r="N346" s="711"/>
      <c r="O346" s="711"/>
      <c r="P346" s="711"/>
      <c r="Q346" s="712"/>
      <c r="R346" s="625" t="str">
        <f>Calcu!H48</f>
        <v/>
      </c>
      <c r="S346" s="711"/>
      <c r="T346" s="711"/>
      <c r="U346" s="711"/>
      <c r="V346" s="711"/>
      <c r="W346" s="712"/>
      <c r="X346" s="625" t="str">
        <f>Calcu!I48</f>
        <v/>
      </c>
      <c r="Y346" s="711"/>
      <c r="Z346" s="711"/>
      <c r="AA346" s="711"/>
      <c r="AB346" s="711"/>
      <c r="AC346" s="712"/>
      <c r="AD346" s="625" t="str">
        <f>Calcu!S48</f>
        <v/>
      </c>
      <c r="AE346" s="711"/>
      <c r="AF346" s="711"/>
      <c r="AG346" s="711"/>
      <c r="AH346" s="711"/>
      <c r="AI346" s="712"/>
      <c r="AJ346" s="343"/>
      <c r="AK346" s="343"/>
      <c r="AL346" s="343"/>
      <c r="AM346" s="343"/>
      <c r="AN346" s="343"/>
      <c r="AO346" s="343"/>
      <c r="AP346" s="343"/>
      <c r="AQ346" s="343"/>
      <c r="AR346" s="343"/>
      <c r="AS346" s="343"/>
    </row>
    <row r="347" spans="1:45" ht="18" customHeight="1">
      <c r="A347" s="343"/>
      <c r="B347" s="720">
        <v>5</v>
      </c>
      <c r="C347" s="720"/>
      <c r="D347" s="720"/>
      <c r="E347" s="720"/>
      <c r="F347" s="743" t="str">
        <f t="shared" si="23"/>
        <v/>
      </c>
      <c r="G347" s="711"/>
      <c r="H347" s="711"/>
      <c r="I347" s="711"/>
      <c r="J347" s="711"/>
      <c r="K347" s="712"/>
      <c r="L347" s="625" t="str">
        <f>Calcu!G49</f>
        <v/>
      </c>
      <c r="M347" s="711"/>
      <c r="N347" s="711"/>
      <c r="O347" s="711"/>
      <c r="P347" s="711"/>
      <c r="Q347" s="712"/>
      <c r="R347" s="625" t="str">
        <f>Calcu!H49</f>
        <v/>
      </c>
      <c r="S347" s="711"/>
      <c r="T347" s="711"/>
      <c r="U347" s="711"/>
      <c r="V347" s="711"/>
      <c r="W347" s="712"/>
      <c r="X347" s="625" t="str">
        <f>Calcu!I49</f>
        <v/>
      </c>
      <c r="Y347" s="711"/>
      <c r="Z347" s="711"/>
      <c r="AA347" s="711"/>
      <c r="AB347" s="711"/>
      <c r="AC347" s="712"/>
      <c r="AD347" s="625" t="str">
        <f>Calcu!S49</f>
        <v/>
      </c>
      <c r="AE347" s="711"/>
      <c r="AF347" s="711"/>
      <c r="AG347" s="711"/>
      <c r="AH347" s="711"/>
      <c r="AI347" s="712"/>
      <c r="AJ347" s="343"/>
      <c r="AK347" s="343"/>
      <c r="AL347" s="343"/>
      <c r="AM347" s="343"/>
      <c r="AN347" s="343"/>
      <c r="AO347" s="343"/>
      <c r="AP347" s="343"/>
      <c r="AQ347" s="343"/>
      <c r="AR347" s="343"/>
      <c r="AS347" s="343"/>
    </row>
    <row r="348" spans="1:45" ht="18" customHeight="1">
      <c r="A348" s="343"/>
      <c r="B348" s="720">
        <v>6</v>
      </c>
      <c r="C348" s="720"/>
      <c r="D348" s="720"/>
      <c r="E348" s="720"/>
      <c r="F348" s="743" t="str">
        <f t="shared" si="23"/>
        <v/>
      </c>
      <c r="G348" s="711"/>
      <c r="H348" s="711"/>
      <c r="I348" s="711"/>
      <c r="J348" s="711"/>
      <c r="K348" s="712"/>
      <c r="L348" s="625" t="str">
        <f>Calcu!G50</f>
        <v/>
      </c>
      <c r="M348" s="711"/>
      <c r="N348" s="711"/>
      <c r="O348" s="711"/>
      <c r="P348" s="711"/>
      <c r="Q348" s="712"/>
      <c r="R348" s="625" t="str">
        <f>Calcu!H50</f>
        <v/>
      </c>
      <c r="S348" s="711"/>
      <c r="T348" s="711"/>
      <c r="U348" s="711"/>
      <c r="V348" s="711"/>
      <c r="W348" s="712"/>
      <c r="X348" s="625" t="str">
        <f>Calcu!I50</f>
        <v/>
      </c>
      <c r="Y348" s="711"/>
      <c r="Z348" s="711"/>
      <c r="AA348" s="711"/>
      <c r="AB348" s="711"/>
      <c r="AC348" s="712"/>
      <c r="AD348" s="625" t="str">
        <f>Calcu!S50</f>
        <v/>
      </c>
      <c r="AE348" s="711"/>
      <c r="AF348" s="711"/>
      <c r="AG348" s="711"/>
      <c r="AH348" s="711"/>
      <c r="AI348" s="712"/>
      <c r="AJ348" s="343"/>
      <c r="AK348" s="343"/>
      <c r="AL348" s="343"/>
      <c r="AM348" s="343"/>
      <c r="AN348" s="343"/>
      <c r="AO348" s="343"/>
      <c r="AP348" s="343"/>
      <c r="AQ348" s="343"/>
      <c r="AR348" s="343"/>
      <c r="AS348" s="343"/>
    </row>
    <row r="349" spans="1:45" ht="18" customHeight="1">
      <c r="A349" s="343"/>
      <c r="B349" s="720">
        <v>7</v>
      </c>
      <c r="C349" s="720"/>
      <c r="D349" s="720"/>
      <c r="E349" s="720"/>
      <c r="F349" s="743" t="str">
        <f t="shared" si="23"/>
        <v/>
      </c>
      <c r="G349" s="711"/>
      <c r="H349" s="711"/>
      <c r="I349" s="711"/>
      <c r="J349" s="711"/>
      <c r="K349" s="712"/>
      <c r="L349" s="625" t="str">
        <f>Calcu!G51</f>
        <v/>
      </c>
      <c r="M349" s="711"/>
      <c r="N349" s="711"/>
      <c r="O349" s="711"/>
      <c r="P349" s="711"/>
      <c r="Q349" s="712"/>
      <c r="R349" s="625" t="str">
        <f>Calcu!H51</f>
        <v/>
      </c>
      <c r="S349" s="711"/>
      <c r="T349" s="711"/>
      <c r="U349" s="711"/>
      <c r="V349" s="711"/>
      <c r="W349" s="712"/>
      <c r="X349" s="625" t="str">
        <f>Calcu!I51</f>
        <v/>
      </c>
      <c r="Y349" s="711"/>
      <c r="Z349" s="711"/>
      <c r="AA349" s="711"/>
      <c r="AB349" s="711"/>
      <c r="AC349" s="712"/>
      <c r="AD349" s="625" t="str">
        <f>Calcu!S51</f>
        <v/>
      </c>
      <c r="AE349" s="711"/>
      <c r="AF349" s="711"/>
      <c r="AG349" s="711"/>
      <c r="AH349" s="711"/>
      <c r="AI349" s="712"/>
      <c r="AJ349" s="343"/>
      <c r="AK349" s="343"/>
      <c r="AL349" s="343"/>
      <c r="AM349" s="343"/>
      <c r="AN349" s="343"/>
      <c r="AO349" s="343"/>
      <c r="AP349" s="343"/>
      <c r="AQ349" s="343"/>
      <c r="AR349" s="343"/>
      <c r="AS349" s="343"/>
    </row>
    <row r="350" spans="1:45" ht="18" customHeight="1">
      <c r="A350" s="343"/>
      <c r="B350" s="720">
        <v>8</v>
      </c>
      <c r="C350" s="720"/>
      <c r="D350" s="720"/>
      <c r="E350" s="720"/>
      <c r="F350" s="743" t="str">
        <f t="shared" si="23"/>
        <v/>
      </c>
      <c r="G350" s="711"/>
      <c r="H350" s="711"/>
      <c r="I350" s="711"/>
      <c r="J350" s="711"/>
      <c r="K350" s="712"/>
      <c r="L350" s="625" t="str">
        <f>Calcu!G52</f>
        <v/>
      </c>
      <c r="M350" s="711"/>
      <c r="N350" s="711"/>
      <c r="O350" s="711"/>
      <c r="P350" s="711"/>
      <c r="Q350" s="712"/>
      <c r="R350" s="625" t="str">
        <f>Calcu!H52</f>
        <v/>
      </c>
      <c r="S350" s="711"/>
      <c r="T350" s="711"/>
      <c r="U350" s="711"/>
      <c r="V350" s="711"/>
      <c r="W350" s="712"/>
      <c r="X350" s="625" t="str">
        <f>Calcu!I52</f>
        <v/>
      </c>
      <c r="Y350" s="711"/>
      <c r="Z350" s="711"/>
      <c r="AA350" s="711"/>
      <c r="AB350" s="711"/>
      <c r="AC350" s="712"/>
      <c r="AD350" s="625" t="str">
        <f>Calcu!S52</f>
        <v/>
      </c>
      <c r="AE350" s="711"/>
      <c r="AF350" s="711"/>
      <c r="AG350" s="711"/>
      <c r="AH350" s="711"/>
      <c r="AI350" s="712"/>
      <c r="AJ350" s="343"/>
      <c r="AK350" s="343"/>
      <c r="AL350" s="343"/>
      <c r="AM350" s="343"/>
      <c r="AN350" s="343"/>
      <c r="AO350" s="343"/>
      <c r="AP350" s="343"/>
      <c r="AQ350" s="343"/>
      <c r="AR350" s="343"/>
      <c r="AS350" s="343"/>
    </row>
    <row r="351" spans="1:45" ht="18" customHeight="1">
      <c r="A351" s="343"/>
      <c r="B351" s="720">
        <v>9</v>
      </c>
      <c r="C351" s="720"/>
      <c r="D351" s="720"/>
      <c r="E351" s="720"/>
      <c r="F351" s="743" t="str">
        <f t="shared" si="23"/>
        <v/>
      </c>
      <c r="G351" s="711"/>
      <c r="H351" s="711"/>
      <c r="I351" s="711"/>
      <c r="J351" s="711"/>
      <c r="K351" s="712"/>
      <c r="L351" s="625" t="str">
        <f>Calcu!G53</f>
        <v/>
      </c>
      <c r="M351" s="711"/>
      <c r="N351" s="711"/>
      <c r="O351" s="711"/>
      <c r="P351" s="711"/>
      <c r="Q351" s="712"/>
      <c r="R351" s="625" t="str">
        <f>Calcu!H53</f>
        <v/>
      </c>
      <c r="S351" s="711"/>
      <c r="T351" s="711"/>
      <c r="U351" s="711"/>
      <c r="V351" s="711"/>
      <c r="W351" s="712"/>
      <c r="X351" s="625" t="str">
        <f>Calcu!I53</f>
        <v/>
      </c>
      <c r="Y351" s="711"/>
      <c r="Z351" s="711"/>
      <c r="AA351" s="711"/>
      <c r="AB351" s="711"/>
      <c r="AC351" s="712"/>
      <c r="AD351" s="625" t="str">
        <f>Calcu!S53</f>
        <v/>
      </c>
      <c r="AE351" s="711"/>
      <c r="AF351" s="711"/>
      <c r="AG351" s="711"/>
      <c r="AH351" s="711"/>
      <c r="AI351" s="712"/>
      <c r="AJ351" s="343"/>
      <c r="AK351" s="343"/>
      <c r="AL351" s="343"/>
      <c r="AM351" s="343"/>
      <c r="AN351" s="343"/>
      <c r="AO351" s="343"/>
      <c r="AP351" s="343"/>
      <c r="AQ351" s="343"/>
      <c r="AR351" s="343"/>
      <c r="AS351" s="343"/>
    </row>
    <row r="352" spans="1:45" ht="18" customHeight="1">
      <c r="A352" s="343"/>
      <c r="B352" s="720">
        <v>10</v>
      </c>
      <c r="C352" s="720"/>
      <c r="D352" s="720"/>
      <c r="E352" s="720"/>
      <c r="F352" s="743" t="str">
        <f t="shared" si="23"/>
        <v/>
      </c>
      <c r="G352" s="711"/>
      <c r="H352" s="711"/>
      <c r="I352" s="711"/>
      <c r="J352" s="711"/>
      <c r="K352" s="712"/>
      <c r="L352" s="625" t="str">
        <f>Calcu!G54</f>
        <v/>
      </c>
      <c r="M352" s="711"/>
      <c r="N352" s="711"/>
      <c r="O352" s="711"/>
      <c r="P352" s="711"/>
      <c r="Q352" s="712"/>
      <c r="R352" s="625" t="str">
        <f>Calcu!H54</f>
        <v/>
      </c>
      <c r="S352" s="711"/>
      <c r="T352" s="711"/>
      <c r="U352" s="711"/>
      <c r="V352" s="711"/>
      <c r="W352" s="712"/>
      <c r="X352" s="625" t="str">
        <f>Calcu!I54</f>
        <v/>
      </c>
      <c r="Y352" s="711"/>
      <c r="Z352" s="711"/>
      <c r="AA352" s="711"/>
      <c r="AB352" s="711"/>
      <c r="AC352" s="712"/>
      <c r="AD352" s="625" t="str">
        <f>Calcu!S54</f>
        <v/>
      </c>
      <c r="AE352" s="711"/>
      <c r="AF352" s="711"/>
      <c r="AG352" s="711"/>
      <c r="AH352" s="711"/>
      <c r="AI352" s="712"/>
      <c r="AJ352" s="343"/>
      <c r="AK352" s="343"/>
      <c r="AL352" s="343"/>
      <c r="AM352" s="343"/>
      <c r="AN352" s="343"/>
      <c r="AO352" s="343"/>
      <c r="AP352" s="343"/>
      <c r="AQ352" s="343"/>
      <c r="AR352" s="343"/>
      <c r="AS352" s="343"/>
    </row>
    <row r="353" spans="1:61" ht="18" customHeight="1">
      <c r="A353" s="343"/>
      <c r="B353" s="720">
        <v>11</v>
      </c>
      <c r="C353" s="720"/>
      <c r="D353" s="720"/>
      <c r="E353" s="720"/>
      <c r="F353" s="743" t="str">
        <f t="shared" si="23"/>
        <v/>
      </c>
      <c r="G353" s="711"/>
      <c r="H353" s="711"/>
      <c r="I353" s="711"/>
      <c r="J353" s="711"/>
      <c r="K353" s="712"/>
      <c r="L353" s="625" t="str">
        <f>Calcu!G55</f>
        <v/>
      </c>
      <c r="M353" s="711"/>
      <c r="N353" s="711"/>
      <c r="O353" s="711"/>
      <c r="P353" s="711"/>
      <c r="Q353" s="712"/>
      <c r="R353" s="625" t="str">
        <f>Calcu!H55</f>
        <v/>
      </c>
      <c r="S353" s="711"/>
      <c r="T353" s="711"/>
      <c r="U353" s="711"/>
      <c r="V353" s="711"/>
      <c r="W353" s="712"/>
      <c r="X353" s="625" t="str">
        <f>Calcu!I55</f>
        <v/>
      </c>
      <c r="Y353" s="711"/>
      <c r="Z353" s="711"/>
      <c r="AA353" s="711"/>
      <c r="AB353" s="711"/>
      <c r="AC353" s="712"/>
      <c r="AD353" s="625" t="str">
        <f>Calcu!S55</f>
        <v/>
      </c>
      <c r="AE353" s="711"/>
      <c r="AF353" s="711"/>
      <c r="AG353" s="711"/>
      <c r="AH353" s="711"/>
      <c r="AI353" s="712"/>
      <c r="AJ353" s="343"/>
      <c r="AK353" s="343"/>
      <c r="AL353" s="343"/>
      <c r="AM353" s="343"/>
      <c r="AN353" s="343"/>
      <c r="AO353" s="343"/>
      <c r="AP353" s="343"/>
      <c r="AQ353" s="343"/>
      <c r="AR353" s="343"/>
      <c r="AS353" s="343"/>
    </row>
    <row r="354" spans="1:61" ht="18" customHeight="1">
      <c r="B354" s="720">
        <v>12</v>
      </c>
      <c r="C354" s="720"/>
      <c r="D354" s="720"/>
      <c r="E354" s="720"/>
      <c r="F354" s="743" t="str">
        <f t="shared" si="23"/>
        <v/>
      </c>
      <c r="G354" s="711"/>
      <c r="H354" s="711"/>
      <c r="I354" s="711"/>
      <c r="J354" s="711"/>
      <c r="K354" s="712"/>
      <c r="L354" s="625" t="str">
        <f>Calcu!G56</f>
        <v/>
      </c>
      <c r="M354" s="711"/>
      <c r="N354" s="711"/>
      <c r="O354" s="711"/>
      <c r="P354" s="711"/>
      <c r="Q354" s="712"/>
      <c r="R354" s="625" t="str">
        <f>Calcu!H56</f>
        <v/>
      </c>
      <c r="S354" s="711"/>
      <c r="T354" s="711"/>
      <c r="U354" s="711"/>
      <c r="V354" s="711"/>
      <c r="W354" s="712"/>
      <c r="X354" s="625" t="str">
        <f>Calcu!I56</f>
        <v/>
      </c>
      <c r="Y354" s="711"/>
      <c r="Z354" s="711"/>
      <c r="AA354" s="711"/>
      <c r="AB354" s="711"/>
      <c r="AC354" s="712"/>
      <c r="AD354" s="625" t="str">
        <f>Calcu!S56</f>
        <v/>
      </c>
      <c r="AE354" s="711"/>
      <c r="AF354" s="711"/>
      <c r="AG354" s="711"/>
      <c r="AH354" s="711"/>
      <c r="AI354" s="712"/>
      <c r="AJ354" s="343"/>
      <c r="AK354" s="343"/>
      <c r="AL354" s="343"/>
      <c r="AM354" s="343"/>
      <c r="AN354" s="343"/>
      <c r="AO354" s="343"/>
      <c r="AP354" s="343"/>
      <c r="AQ354" s="343"/>
      <c r="AR354" s="343"/>
      <c r="AS354" s="343"/>
    </row>
    <row r="355" spans="1:61" ht="18" customHeight="1">
      <c r="B355" s="720">
        <v>13</v>
      </c>
      <c r="C355" s="720"/>
      <c r="D355" s="720"/>
      <c r="E355" s="720"/>
      <c r="F355" s="743" t="str">
        <f t="shared" si="23"/>
        <v/>
      </c>
      <c r="G355" s="711"/>
      <c r="H355" s="711"/>
      <c r="I355" s="711"/>
      <c r="J355" s="711"/>
      <c r="K355" s="712"/>
      <c r="L355" s="625" t="str">
        <f>Calcu!G57</f>
        <v/>
      </c>
      <c r="M355" s="711"/>
      <c r="N355" s="711"/>
      <c r="O355" s="711"/>
      <c r="P355" s="711"/>
      <c r="Q355" s="712"/>
      <c r="R355" s="625" t="str">
        <f>Calcu!H57</f>
        <v/>
      </c>
      <c r="S355" s="711"/>
      <c r="T355" s="711"/>
      <c r="U355" s="711"/>
      <c r="V355" s="711"/>
      <c r="W355" s="712"/>
      <c r="X355" s="625" t="str">
        <f>Calcu!I57</f>
        <v/>
      </c>
      <c r="Y355" s="711"/>
      <c r="Z355" s="711"/>
      <c r="AA355" s="711"/>
      <c r="AB355" s="711"/>
      <c r="AC355" s="712"/>
      <c r="AD355" s="625" t="str">
        <f>Calcu!S57</f>
        <v/>
      </c>
      <c r="AE355" s="711"/>
      <c r="AF355" s="711"/>
      <c r="AG355" s="711"/>
      <c r="AH355" s="711"/>
      <c r="AI355" s="712"/>
    </row>
    <row r="356" spans="1:61" ht="18" customHeight="1">
      <c r="B356" s="720">
        <v>14</v>
      </c>
      <c r="C356" s="720"/>
      <c r="D356" s="720"/>
      <c r="E356" s="720"/>
      <c r="F356" s="743" t="str">
        <f t="shared" si="23"/>
        <v/>
      </c>
      <c r="G356" s="711"/>
      <c r="H356" s="711"/>
      <c r="I356" s="711"/>
      <c r="J356" s="711"/>
      <c r="K356" s="712"/>
      <c r="L356" s="625" t="str">
        <f>Calcu!G58</f>
        <v/>
      </c>
      <c r="M356" s="711"/>
      <c r="N356" s="711"/>
      <c r="O356" s="711"/>
      <c r="P356" s="711"/>
      <c r="Q356" s="712"/>
      <c r="R356" s="625" t="str">
        <f>Calcu!H58</f>
        <v/>
      </c>
      <c r="S356" s="711"/>
      <c r="T356" s="711"/>
      <c r="U356" s="711"/>
      <c r="V356" s="711"/>
      <c r="W356" s="712"/>
      <c r="X356" s="625" t="str">
        <f>Calcu!I58</f>
        <v/>
      </c>
      <c r="Y356" s="711"/>
      <c r="Z356" s="711"/>
      <c r="AA356" s="711"/>
      <c r="AB356" s="711"/>
      <c r="AC356" s="712"/>
      <c r="AD356" s="625" t="str">
        <f>Calcu!S58</f>
        <v/>
      </c>
      <c r="AE356" s="711"/>
      <c r="AF356" s="711"/>
      <c r="AG356" s="711"/>
      <c r="AH356" s="711"/>
      <c r="AI356" s="712"/>
    </row>
    <row r="357" spans="1:61" ht="18" customHeight="1">
      <c r="B357" s="720">
        <v>15</v>
      </c>
      <c r="C357" s="720"/>
      <c r="D357" s="720"/>
      <c r="E357" s="720"/>
      <c r="F357" s="743" t="str">
        <f t="shared" si="23"/>
        <v/>
      </c>
      <c r="G357" s="711"/>
      <c r="H357" s="711"/>
      <c r="I357" s="711"/>
      <c r="J357" s="711"/>
      <c r="K357" s="712"/>
      <c r="L357" s="625" t="str">
        <f>Calcu!G59</f>
        <v/>
      </c>
      <c r="M357" s="711"/>
      <c r="N357" s="711"/>
      <c r="O357" s="711"/>
      <c r="P357" s="711"/>
      <c r="Q357" s="712"/>
      <c r="R357" s="625" t="str">
        <f>Calcu!H59</f>
        <v/>
      </c>
      <c r="S357" s="711"/>
      <c r="T357" s="711"/>
      <c r="U357" s="711"/>
      <c r="V357" s="711"/>
      <c r="W357" s="712"/>
      <c r="X357" s="625" t="str">
        <f>Calcu!I59</f>
        <v/>
      </c>
      <c r="Y357" s="711"/>
      <c r="Z357" s="711"/>
      <c r="AA357" s="711"/>
      <c r="AB357" s="711"/>
      <c r="AC357" s="712"/>
      <c r="AD357" s="625" t="str">
        <f>Calcu!S59</f>
        <v/>
      </c>
      <c r="AE357" s="711"/>
      <c r="AF357" s="711"/>
      <c r="AG357" s="711"/>
      <c r="AH357" s="711"/>
      <c r="AI357" s="712"/>
    </row>
    <row r="363" spans="1:61" ht="31.5">
      <c r="A363" s="196" t="s">
        <v>731</v>
      </c>
    </row>
    <row r="364" spans="1:61" s="157" customFormat="1" ht="18.75" customHeight="1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  <c r="AB364" s="156"/>
      <c r="AC364" s="156"/>
      <c r="AD364" s="156"/>
      <c r="AE364" s="156"/>
      <c r="AF364" s="156"/>
      <c r="AG364" s="156"/>
      <c r="AH364" s="156"/>
      <c r="AI364" s="156"/>
      <c r="AJ364" s="156"/>
      <c r="AK364" s="156"/>
      <c r="AL364" s="156"/>
      <c r="AM364" s="156"/>
      <c r="AN364" s="156"/>
      <c r="AO364" s="156"/>
      <c r="AP364" s="156"/>
      <c r="AQ364" s="156"/>
      <c r="AR364" s="156"/>
      <c r="AS364" s="156"/>
      <c r="AT364" s="156"/>
    </row>
    <row r="365" spans="1:61" s="157" customFormat="1" ht="18.75" customHeight="1">
      <c r="A365" s="281" t="s">
        <v>136</v>
      </c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  <c r="AB365" s="156"/>
      <c r="AC365" s="156"/>
      <c r="AD365" s="156"/>
      <c r="AE365" s="156"/>
      <c r="AF365" s="156"/>
      <c r="AG365" s="156"/>
      <c r="AH365" s="156"/>
      <c r="AI365" s="156"/>
      <c r="AJ365" s="156"/>
      <c r="AK365" s="156"/>
      <c r="AL365" s="156"/>
      <c r="AM365" s="156"/>
      <c r="AN365" s="156"/>
      <c r="AO365" s="156"/>
      <c r="AP365" s="156"/>
      <c r="AQ365" s="156"/>
      <c r="AR365" s="156"/>
      <c r="AS365" s="156"/>
      <c r="AT365" s="156"/>
    </row>
    <row r="366" spans="1:61" ht="18.75" customHeight="1">
      <c r="A366" s="194" t="s">
        <v>398</v>
      </c>
    </row>
    <row r="367" spans="1:61" ht="18.75" customHeight="1">
      <c r="B367" s="654" t="s">
        <v>399</v>
      </c>
      <c r="C367" s="654"/>
      <c r="D367" s="654"/>
      <c r="E367" s="654"/>
      <c r="F367" s="654"/>
      <c r="G367" s="654"/>
      <c r="H367" s="648" t="s">
        <v>71</v>
      </c>
      <c r="I367" s="648"/>
      <c r="J367" s="648"/>
      <c r="K367" s="648"/>
      <c r="L367" s="648"/>
      <c r="M367" s="648"/>
      <c r="N367" s="654" t="s">
        <v>400</v>
      </c>
      <c r="O367" s="654"/>
      <c r="P367" s="654"/>
      <c r="Q367" s="654"/>
      <c r="R367" s="654"/>
      <c r="S367" s="654"/>
      <c r="T367" s="648" t="s">
        <v>401</v>
      </c>
      <c r="U367" s="648"/>
      <c r="V367" s="648"/>
      <c r="W367" s="648"/>
      <c r="X367" s="648"/>
      <c r="Y367" s="648"/>
      <c r="Z367" s="648" t="s">
        <v>70</v>
      </c>
      <c r="AA367" s="648"/>
      <c r="AB367" s="648"/>
      <c r="AC367" s="648"/>
      <c r="AD367" s="648"/>
      <c r="AE367" s="648"/>
      <c r="AF367" s="655" t="s">
        <v>676</v>
      </c>
      <c r="AG367" s="656"/>
      <c r="AH367" s="656"/>
      <c r="AI367" s="656"/>
      <c r="AJ367" s="656"/>
      <c r="AK367" s="656"/>
      <c r="AL367" s="656"/>
      <c r="AM367" s="656"/>
      <c r="AN367" s="656"/>
      <c r="AO367" s="656"/>
      <c r="AP367" s="656"/>
      <c r="AQ367" s="657"/>
      <c r="AR367" s="647" t="s">
        <v>402</v>
      </c>
      <c r="AS367" s="647"/>
      <c r="AT367" s="647"/>
      <c r="AU367" s="647"/>
      <c r="AV367" s="647"/>
      <c r="AW367" s="647"/>
      <c r="AX367" s="648" t="s">
        <v>47</v>
      </c>
      <c r="AY367" s="648"/>
      <c r="AZ367" s="648"/>
      <c r="BA367" s="648"/>
      <c r="BB367" s="648"/>
      <c r="BC367" s="648"/>
      <c r="BD367" s="648" t="s">
        <v>369</v>
      </c>
      <c r="BE367" s="648"/>
      <c r="BF367" s="648"/>
      <c r="BG367" s="648"/>
      <c r="BH367" s="648"/>
      <c r="BI367" s="648"/>
    </row>
    <row r="368" spans="1:61" ht="18.75" customHeight="1">
      <c r="B368" s="649" t="e">
        <f ca="1">OFFSET(Calcu_ADJ!D8,AX368,0)</f>
        <v>#N/A</v>
      </c>
      <c r="C368" s="649"/>
      <c r="D368" s="649"/>
      <c r="E368" s="649"/>
      <c r="F368" s="649"/>
      <c r="G368" s="649"/>
      <c r="H368" s="634">
        <f>Calcu_ADJ!D8</f>
        <v>0</v>
      </c>
      <c r="I368" s="634"/>
      <c r="J368" s="634"/>
      <c r="K368" s="634"/>
      <c r="L368" s="634"/>
      <c r="M368" s="634"/>
      <c r="N368" s="650" t="e">
        <f ca="1">OFFSET(Pressure_2_R1!F135,AX368,0)</f>
        <v>#N/A</v>
      </c>
      <c r="O368" s="651"/>
      <c r="P368" s="651"/>
      <c r="Q368" s="651"/>
      <c r="R368" s="651" t="e">
        <f ca="1">OFFSET(Pressure_2_R1!G135,AX368,0)</f>
        <v>#N/A</v>
      </c>
      <c r="S368" s="652"/>
      <c r="T368" s="653" t="e">
        <f ca="1">MAX(ABS(Calcu_ADJ!V$24-Calcu_ADJ!V$9),ABS(Calcu_ADJ!W$24-Calcu_ADJ!W$9),ABS(Calcu_ADJ!X$24-Calcu_ADJ!X$9))*AJ419</f>
        <v>#VALUE!</v>
      </c>
      <c r="U368" s="634"/>
      <c r="V368" s="634"/>
      <c r="W368" s="634"/>
      <c r="X368" s="634"/>
      <c r="Y368" s="634"/>
      <c r="Z368" s="634" t="e">
        <f ca="1">((M538-M537)+(R538-R537)+(W538-W537))/3*AJ419</f>
        <v>#N/A</v>
      </c>
      <c r="AA368" s="634"/>
      <c r="AB368" s="634"/>
      <c r="AC368" s="634"/>
      <c r="AD368" s="634"/>
      <c r="AE368" s="634"/>
      <c r="AF368" s="633" t="e">
        <f ca="1">OFFSET(표준압력!F13,AX368,0)</f>
        <v>#N/A</v>
      </c>
      <c r="AG368" s="633"/>
      <c r="AH368" s="633"/>
      <c r="AI368" s="633"/>
      <c r="AJ368" s="633"/>
      <c r="AK368" s="633"/>
      <c r="AL368" s="633">
        <f>표준압력!F13</f>
        <v>0</v>
      </c>
      <c r="AM368" s="633"/>
      <c r="AN368" s="633"/>
      <c r="AO368" s="633"/>
      <c r="AP368" s="633"/>
      <c r="AQ368" s="633"/>
      <c r="AR368" s="634">
        <v>2</v>
      </c>
      <c r="AS368" s="634"/>
      <c r="AT368" s="634"/>
      <c r="AU368" s="634"/>
      <c r="AV368" s="634"/>
      <c r="AW368" s="634"/>
      <c r="AX368" s="634" t="e">
        <f>MATCH(TRUE,Calcu_ADJ!I9:I38,0)</f>
        <v>#N/A</v>
      </c>
      <c r="AY368" s="634"/>
      <c r="AZ368" s="634"/>
      <c r="BA368" s="634"/>
      <c r="BB368" s="634"/>
      <c r="BC368" s="634"/>
      <c r="BD368" s="634">
        <f>COUNT(I374:O403)/2</f>
        <v>0</v>
      </c>
      <c r="BE368" s="634"/>
      <c r="BF368" s="634"/>
      <c r="BG368" s="634"/>
      <c r="BH368" s="634"/>
      <c r="BI368" s="634"/>
    </row>
    <row r="369" spans="1:46" ht="18" customHeight="1">
      <c r="A369" s="469"/>
      <c r="B369" s="469"/>
      <c r="C369" s="469"/>
      <c r="D369" s="469"/>
      <c r="E369" s="469"/>
      <c r="F369" s="469"/>
      <c r="G369" s="469"/>
      <c r="H369" s="469"/>
      <c r="I369" s="469"/>
      <c r="J369" s="469"/>
      <c r="K369" s="469"/>
      <c r="L369" s="469"/>
      <c r="M369" s="469"/>
      <c r="N369" s="469"/>
      <c r="O369" s="469"/>
      <c r="P369" s="469"/>
      <c r="Q369" s="469"/>
      <c r="R369" s="469"/>
      <c r="S369" s="469"/>
      <c r="T369" s="469"/>
      <c r="U369" s="469"/>
      <c r="V369" s="469"/>
      <c r="W369" s="469"/>
      <c r="X369" s="469"/>
      <c r="Y369" s="469"/>
      <c r="Z369" s="469"/>
      <c r="AA369" s="469"/>
      <c r="AB369" s="469"/>
      <c r="AC369" s="469"/>
      <c r="AD369" s="469"/>
      <c r="AE369" s="469"/>
      <c r="AF369" s="469"/>
      <c r="AG369" s="469"/>
      <c r="AH369" s="469"/>
      <c r="AI369" s="469"/>
      <c r="AJ369" s="469"/>
      <c r="AK369" s="469"/>
      <c r="AL369" s="469"/>
      <c r="AM369" s="469"/>
      <c r="AN369" s="469"/>
      <c r="AO369" s="469"/>
      <c r="AP369" s="469"/>
      <c r="AQ369" s="469"/>
      <c r="AR369" s="469"/>
      <c r="AS369" s="469"/>
      <c r="AT369" s="469"/>
    </row>
    <row r="370" spans="1:46" ht="18" customHeight="1">
      <c r="A370" s="194" t="s">
        <v>403</v>
      </c>
      <c r="B370" s="469"/>
      <c r="C370" s="469"/>
      <c r="D370" s="469"/>
      <c r="E370" s="469"/>
      <c r="F370" s="469"/>
      <c r="G370" s="469"/>
      <c r="H370" s="469"/>
      <c r="I370" s="469"/>
      <c r="J370" s="469"/>
      <c r="K370" s="469"/>
      <c r="L370" s="469"/>
      <c r="M370" s="469"/>
      <c r="N370" s="469"/>
      <c r="O370" s="469"/>
      <c r="P370" s="469"/>
      <c r="Q370" s="469"/>
      <c r="R370" s="469"/>
      <c r="S370" s="469"/>
      <c r="T370" s="469"/>
      <c r="U370" s="469"/>
      <c r="V370" s="469"/>
      <c r="W370" s="469"/>
      <c r="X370" s="469"/>
      <c r="Y370" s="469"/>
      <c r="Z370" s="469"/>
      <c r="AA370" s="469"/>
      <c r="AB370" s="469"/>
      <c r="AC370" s="469"/>
      <c r="AD370" s="469"/>
      <c r="AE370" s="469"/>
      <c r="AF370" s="469"/>
      <c r="AG370" s="469"/>
      <c r="AH370" s="469"/>
      <c r="AI370" s="469"/>
      <c r="AJ370" s="469"/>
      <c r="AK370" s="469"/>
      <c r="AL370" s="469"/>
      <c r="AM370" s="469"/>
      <c r="AN370" s="469"/>
      <c r="AO370" s="469"/>
      <c r="AP370" s="469"/>
      <c r="AQ370" s="469"/>
      <c r="AR370" s="469"/>
      <c r="AS370" s="469"/>
      <c r="AT370" s="469"/>
    </row>
    <row r="371" spans="1:46" ht="18" customHeight="1">
      <c r="A371" s="469"/>
      <c r="B371" s="635" t="s">
        <v>137</v>
      </c>
      <c r="C371" s="636"/>
      <c r="D371" s="636"/>
      <c r="E371" s="636"/>
      <c r="F371" s="636"/>
      <c r="G371" s="636"/>
      <c r="H371" s="637"/>
      <c r="I371" s="635" t="s">
        <v>404</v>
      </c>
      <c r="J371" s="636"/>
      <c r="K371" s="636"/>
      <c r="L371" s="636"/>
      <c r="M371" s="636"/>
      <c r="N371" s="636"/>
      <c r="O371" s="637"/>
      <c r="P371" s="644" t="s">
        <v>405</v>
      </c>
      <c r="Q371" s="645"/>
      <c r="R371" s="645"/>
      <c r="S371" s="645"/>
      <c r="T371" s="645"/>
      <c r="U371" s="645"/>
      <c r="V371" s="645"/>
      <c r="W371" s="645"/>
      <c r="X371" s="645"/>
      <c r="Y371" s="645"/>
      <c r="Z371" s="645"/>
      <c r="AA371" s="645"/>
      <c r="AB371" s="645"/>
      <c r="AC371" s="645"/>
      <c r="AD371" s="645"/>
      <c r="AE371" s="645"/>
      <c r="AF371" s="645"/>
      <c r="AG371" s="645"/>
      <c r="AH371" s="645"/>
      <c r="AI371" s="645"/>
      <c r="AJ371" s="645"/>
      <c r="AK371" s="645"/>
      <c r="AL371" s="645"/>
      <c r="AM371" s="645"/>
      <c r="AN371" s="645"/>
      <c r="AO371" s="645"/>
      <c r="AP371" s="645"/>
      <c r="AQ371" s="646"/>
      <c r="AR371" s="154"/>
      <c r="AS371" s="154"/>
      <c r="AT371" s="469"/>
    </row>
    <row r="372" spans="1:46" ht="18" customHeight="1">
      <c r="A372" s="469"/>
      <c r="B372" s="638"/>
      <c r="C372" s="639"/>
      <c r="D372" s="639"/>
      <c r="E372" s="639"/>
      <c r="F372" s="639"/>
      <c r="G372" s="639"/>
      <c r="H372" s="640"/>
      <c r="I372" s="641"/>
      <c r="J372" s="642"/>
      <c r="K372" s="642"/>
      <c r="L372" s="642"/>
      <c r="M372" s="642"/>
      <c r="N372" s="642"/>
      <c r="O372" s="643"/>
      <c r="P372" s="625" t="s">
        <v>406</v>
      </c>
      <c r="Q372" s="626"/>
      <c r="R372" s="626"/>
      <c r="S372" s="626"/>
      <c r="T372" s="626"/>
      <c r="U372" s="626"/>
      <c r="V372" s="627"/>
      <c r="W372" s="625" t="s">
        <v>407</v>
      </c>
      <c r="X372" s="626"/>
      <c r="Y372" s="626"/>
      <c r="Z372" s="626"/>
      <c r="AA372" s="626"/>
      <c r="AB372" s="626"/>
      <c r="AC372" s="627"/>
      <c r="AD372" s="625" t="s">
        <v>94</v>
      </c>
      <c r="AE372" s="626"/>
      <c r="AF372" s="626"/>
      <c r="AG372" s="626"/>
      <c r="AH372" s="626"/>
      <c r="AI372" s="626"/>
      <c r="AJ372" s="627"/>
      <c r="AK372" s="625" t="s">
        <v>410</v>
      </c>
      <c r="AL372" s="626"/>
      <c r="AM372" s="626"/>
      <c r="AN372" s="626"/>
      <c r="AO372" s="626"/>
      <c r="AP372" s="626"/>
      <c r="AQ372" s="627"/>
      <c r="AR372" s="154"/>
      <c r="AS372" s="154"/>
      <c r="AT372" s="469"/>
    </row>
    <row r="373" spans="1:46" ht="18" customHeight="1">
      <c r="A373" s="469"/>
      <c r="B373" s="641"/>
      <c r="C373" s="642"/>
      <c r="D373" s="642"/>
      <c r="E373" s="642"/>
      <c r="F373" s="642"/>
      <c r="G373" s="642"/>
      <c r="H373" s="643"/>
      <c r="I373" s="628">
        <f>Calcu_ADJ!E8</f>
        <v>0</v>
      </c>
      <c r="J373" s="629"/>
      <c r="K373" s="629"/>
      <c r="L373" s="629"/>
      <c r="M373" s="629"/>
      <c r="N373" s="629"/>
      <c r="O373" s="630"/>
      <c r="P373" s="628">
        <f>Calcu_ADJ!K8</f>
        <v>0</v>
      </c>
      <c r="Q373" s="631"/>
      <c r="R373" s="631"/>
      <c r="S373" s="631"/>
      <c r="T373" s="631"/>
      <c r="U373" s="631"/>
      <c r="V373" s="632"/>
      <c r="W373" s="628">
        <f>Calcu_ADJ!L8</f>
        <v>0</v>
      </c>
      <c r="X373" s="631"/>
      <c r="Y373" s="631"/>
      <c r="Z373" s="631"/>
      <c r="AA373" s="631"/>
      <c r="AB373" s="631"/>
      <c r="AC373" s="632"/>
      <c r="AD373" s="628">
        <f>Calcu_ADJ!M8</f>
        <v>0</v>
      </c>
      <c r="AE373" s="631"/>
      <c r="AF373" s="631"/>
      <c r="AG373" s="631"/>
      <c r="AH373" s="631"/>
      <c r="AI373" s="631"/>
      <c r="AJ373" s="632"/>
      <c r="AK373" s="628">
        <f>Calcu_ADJ!Y8</f>
        <v>0</v>
      </c>
      <c r="AL373" s="631"/>
      <c r="AM373" s="631"/>
      <c r="AN373" s="631"/>
      <c r="AO373" s="631"/>
      <c r="AP373" s="631"/>
      <c r="AQ373" s="632"/>
      <c r="AR373" s="154"/>
      <c r="AS373" s="154"/>
      <c r="AT373" s="469"/>
    </row>
    <row r="374" spans="1:46" ht="18" customHeight="1">
      <c r="A374" s="469"/>
      <c r="B374" s="664">
        <v>1</v>
      </c>
      <c r="C374" s="665"/>
      <c r="D374" s="665"/>
      <c r="E374" s="665"/>
      <c r="F374" s="665"/>
      <c r="G374" s="665"/>
      <c r="H374" s="666"/>
      <c r="I374" s="667" t="str">
        <f>Calcu_ADJ!E9</f>
        <v/>
      </c>
      <c r="J374" s="668"/>
      <c r="K374" s="668"/>
      <c r="L374" s="668"/>
      <c r="M374" s="668"/>
      <c r="N374" s="668"/>
      <c r="O374" s="669"/>
      <c r="P374" s="667" t="str">
        <f>Calcu_ADJ!K9</f>
        <v/>
      </c>
      <c r="Q374" s="670"/>
      <c r="R374" s="670"/>
      <c r="S374" s="670"/>
      <c r="T374" s="670"/>
      <c r="U374" s="670"/>
      <c r="V374" s="671"/>
      <c r="W374" s="667" t="str">
        <f>Calcu_ADJ!L9</f>
        <v/>
      </c>
      <c r="X374" s="670"/>
      <c r="Y374" s="670"/>
      <c r="Z374" s="670"/>
      <c r="AA374" s="670"/>
      <c r="AB374" s="670"/>
      <c r="AC374" s="671"/>
      <c r="AD374" s="667" t="str">
        <f>Calcu_ADJ!M9</f>
        <v/>
      </c>
      <c r="AE374" s="670"/>
      <c r="AF374" s="670"/>
      <c r="AG374" s="670"/>
      <c r="AH374" s="670"/>
      <c r="AI374" s="670"/>
      <c r="AJ374" s="671"/>
      <c r="AK374" s="667" t="str">
        <f t="shared" ref="AK374:AK403" si="24">IF(I374="","",AVERAGE(P374:AJ374))</f>
        <v/>
      </c>
      <c r="AL374" s="670"/>
      <c r="AM374" s="670"/>
      <c r="AN374" s="670"/>
      <c r="AO374" s="670"/>
      <c r="AP374" s="670"/>
      <c r="AQ374" s="671"/>
      <c r="AR374" s="154"/>
      <c r="AS374" s="154"/>
      <c r="AT374" s="469"/>
    </row>
    <row r="375" spans="1:46" ht="18" customHeight="1">
      <c r="A375" s="469"/>
      <c r="B375" s="658">
        <v>2</v>
      </c>
      <c r="C375" s="639"/>
      <c r="D375" s="639"/>
      <c r="E375" s="639"/>
      <c r="F375" s="639"/>
      <c r="G375" s="639"/>
      <c r="H375" s="640"/>
      <c r="I375" s="659" t="str">
        <f>Calcu_ADJ!E10</f>
        <v/>
      </c>
      <c r="J375" s="660"/>
      <c r="K375" s="660"/>
      <c r="L375" s="660"/>
      <c r="M375" s="660"/>
      <c r="N375" s="660"/>
      <c r="O375" s="661"/>
      <c r="P375" s="659" t="str">
        <f>Calcu_ADJ!K10</f>
        <v/>
      </c>
      <c r="Q375" s="662"/>
      <c r="R375" s="662"/>
      <c r="S375" s="662"/>
      <c r="T375" s="662"/>
      <c r="U375" s="662"/>
      <c r="V375" s="663"/>
      <c r="W375" s="659" t="str">
        <f>Calcu_ADJ!L10</f>
        <v/>
      </c>
      <c r="X375" s="662"/>
      <c r="Y375" s="662"/>
      <c r="Z375" s="662"/>
      <c r="AA375" s="662"/>
      <c r="AB375" s="662"/>
      <c r="AC375" s="663"/>
      <c r="AD375" s="659" t="str">
        <f>Calcu_ADJ!M10</f>
        <v/>
      </c>
      <c r="AE375" s="662"/>
      <c r="AF375" s="662"/>
      <c r="AG375" s="662"/>
      <c r="AH375" s="662"/>
      <c r="AI375" s="662"/>
      <c r="AJ375" s="663"/>
      <c r="AK375" s="659" t="str">
        <f t="shared" si="24"/>
        <v/>
      </c>
      <c r="AL375" s="662"/>
      <c r="AM375" s="662"/>
      <c r="AN375" s="662"/>
      <c r="AO375" s="662"/>
      <c r="AP375" s="662"/>
      <c r="AQ375" s="663"/>
      <c r="AR375" s="154"/>
      <c r="AS375" s="154"/>
      <c r="AT375" s="469"/>
    </row>
    <row r="376" spans="1:46" ht="18" customHeight="1">
      <c r="A376" s="469"/>
      <c r="B376" s="658">
        <v>3</v>
      </c>
      <c r="C376" s="639"/>
      <c r="D376" s="639"/>
      <c r="E376" s="639"/>
      <c r="F376" s="639"/>
      <c r="G376" s="639"/>
      <c r="H376" s="640"/>
      <c r="I376" s="659" t="str">
        <f>Calcu_ADJ!E11</f>
        <v/>
      </c>
      <c r="J376" s="660"/>
      <c r="K376" s="660"/>
      <c r="L376" s="660"/>
      <c r="M376" s="660"/>
      <c r="N376" s="660"/>
      <c r="O376" s="661"/>
      <c r="P376" s="659" t="str">
        <f>Calcu_ADJ!K11</f>
        <v/>
      </c>
      <c r="Q376" s="662"/>
      <c r="R376" s="662"/>
      <c r="S376" s="662"/>
      <c r="T376" s="662"/>
      <c r="U376" s="662"/>
      <c r="V376" s="663"/>
      <c r="W376" s="659" t="str">
        <f>Calcu_ADJ!L11</f>
        <v/>
      </c>
      <c r="X376" s="662"/>
      <c r="Y376" s="662"/>
      <c r="Z376" s="662"/>
      <c r="AA376" s="662"/>
      <c r="AB376" s="662"/>
      <c r="AC376" s="663"/>
      <c r="AD376" s="659" t="str">
        <f>Calcu_ADJ!M11</f>
        <v/>
      </c>
      <c r="AE376" s="662"/>
      <c r="AF376" s="662"/>
      <c r="AG376" s="662"/>
      <c r="AH376" s="662"/>
      <c r="AI376" s="662"/>
      <c r="AJ376" s="663"/>
      <c r="AK376" s="659" t="str">
        <f t="shared" si="24"/>
        <v/>
      </c>
      <c r="AL376" s="662"/>
      <c r="AM376" s="662"/>
      <c r="AN376" s="662"/>
      <c r="AO376" s="662"/>
      <c r="AP376" s="662"/>
      <c r="AQ376" s="663"/>
      <c r="AR376" s="154"/>
      <c r="AS376" s="154"/>
      <c r="AT376" s="469"/>
    </row>
    <row r="377" spans="1:46" ht="18" customHeight="1">
      <c r="A377" s="469"/>
      <c r="B377" s="658">
        <v>4</v>
      </c>
      <c r="C377" s="639"/>
      <c r="D377" s="639"/>
      <c r="E377" s="639"/>
      <c r="F377" s="639"/>
      <c r="G377" s="639"/>
      <c r="H377" s="640"/>
      <c r="I377" s="659" t="str">
        <f>Calcu_ADJ!E12</f>
        <v/>
      </c>
      <c r="J377" s="660"/>
      <c r="K377" s="660"/>
      <c r="L377" s="660"/>
      <c r="M377" s="660"/>
      <c r="N377" s="660"/>
      <c r="O377" s="661"/>
      <c r="P377" s="659" t="str">
        <f>Calcu_ADJ!K12</f>
        <v/>
      </c>
      <c r="Q377" s="662"/>
      <c r="R377" s="662"/>
      <c r="S377" s="662"/>
      <c r="T377" s="662"/>
      <c r="U377" s="662"/>
      <c r="V377" s="663"/>
      <c r="W377" s="659" t="str">
        <f>Calcu_ADJ!L12</f>
        <v/>
      </c>
      <c r="X377" s="662"/>
      <c r="Y377" s="662"/>
      <c r="Z377" s="662"/>
      <c r="AA377" s="662"/>
      <c r="AB377" s="662"/>
      <c r="AC377" s="663"/>
      <c r="AD377" s="659" t="str">
        <f>Calcu_ADJ!M12</f>
        <v/>
      </c>
      <c r="AE377" s="662"/>
      <c r="AF377" s="662"/>
      <c r="AG377" s="662"/>
      <c r="AH377" s="662"/>
      <c r="AI377" s="662"/>
      <c r="AJ377" s="663"/>
      <c r="AK377" s="659" t="str">
        <f t="shared" si="24"/>
        <v/>
      </c>
      <c r="AL377" s="662"/>
      <c r="AM377" s="662"/>
      <c r="AN377" s="662"/>
      <c r="AO377" s="662"/>
      <c r="AP377" s="662"/>
      <c r="AQ377" s="663"/>
      <c r="AR377" s="154"/>
      <c r="AS377" s="154"/>
      <c r="AT377" s="469"/>
    </row>
    <row r="378" spans="1:46" ht="18" customHeight="1">
      <c r="A378" s="469"/>
      <c r="B378" s="658">
        <v>5</v>
      </c>
      <c r="C378" s="639"/>
      <c r="D378" s="639"/>
      <c r="E378" s="639"/>
      <c r="F378" s="639"/>
      <c r="G378" s="639"/>
      <c r="H378" s="640"/>
      <c r="I378" s="659" t="str">
        <f>Calcu_ADJ!E13</f>
        <v/>
      </c>
      <c r="J378" s="660"/>
      <c r="K378" s="660"/>
      <c r="L378" s="660"/>
      <c r="M378" s="660"/>
      <c r="N378" s="660"/>
      <c r="O378" s="661"/>
      <c r="P378" s="659" t="str">
        <f>Calcu_ADJ!K13</f>
        <v/>
      </c>
      <c r="Q378" s="662"/>
      <c r="R378" s="662"/>
      <c r="S378" s="662"/>
      <c r="T378" s="662"/>
      <c r="U378" s="662"/>
      <c r="V378" s="663"/>
      <c r="W378" s="659" t="str">
        <f>Calcu_ADJ!L13</f>
        <v/>
      </c>
      <c r="X378" s="662"/>
      <c r="Y378" s="662"/>
      <c r="Z378" s="662"/>
      <c r="AA378" s="662"/>
      <c r="AB378" s="662"/>
      <c r="AC378" s="663"/>
      <c r="AD378" s="659" t="str">
        <f>Calcu_ADJ!M13</f>
        <v/>
      </c>
      <c r="AE378" s="662"/>
      <c r="AF378" s="662"/>
      <c r="AG378" s="662"/>
      <c r="AH378" s="662"/>
      <c r="AI378" s="662"/>
      <c r="AJ378" s="663"/>
      <c r="AK378" s="659" t="str">
        <f t="shared" si="24"/>
        <v/>
      </c>
      <c r="AL378" s="662"/>
      <c r="AM378" s="662"/>
      <c r="AN378" s="662"/>
      <c r="AO378" s="662"/>
      <c r="AP378" s="662"/>
      <c r="AQ378" s="663"/>
      <c r="AR378" s="154"/>
      <c r="AS378" s="154"/>
      <c r="AT378" s="469"/>
    </row>
    <row r="379" spans="1:46" ht="18" customHeight="1">
      <c r="A379" s="469"/>
      <c r="B379" s="658">
        <v>6</v>
      </c>
      <c r="C379" s="639"/>
      <c r="D379" s="639"/>
      <c r="E379" s="639"/>
      <c r="F379" s="639"/>
      <c r="G379" s="639"/>
      <c r="H379" s="640"/>
      <c r="I379" s="659" t="str">
        <f>Calcu_ADJ!E14</f>
        <v/>
      </c>
      <c r="J379" s="660"/>
      <c r="K379" s="660"/>
      <c r="L379" s="660"/>
      <c r="M379" s="660"/>
      <c r="N379" s="660"/>
      <c r="O379" s="661"/>
      <c r="P379" s="659" t="str">
        <f>Calcu_ADJ!K14</f>
        <v/>
      </c>
      <c r="Q379" s="662"/>
      <c r="R379" s="662"/>
      <c r="S379" s="662"/>
      <c r="T379" s="662"/>
      <c r="U379" s="662"/>
      <c r="V379" s="663"/>
      <c r="W379" s="659" t="str">
        <f>Calcu_ADJ!L14</f>
        <v/>
      </c>
      <c r="X379" s="662"/>
      <c r="Y379" s="662"/>
      <c r="Z379" s="662"/>
      <c r="AA379" s="662"/>
      <c r="AB379" s="662"/>
      <c r="AC379" s="663"/>
      <c r="AD379" s="659" t="str">
        <f>Calcu_ADJ!M14</f>
        <v/>
      </c>
      <c r="AE379" s="662"/>
      <c r="AF379" s="662"/>
      <c r="AG379" s="662"/>
      <c r="AH379" s="662"/>
      <c r="AI379" s="662"/>
      <c r="AJ379" s="663"/>
      <c r="AK379" s="659" t="str">
        <f t="shared" si="24"/>
        <v/>
      </c>
      <c r="AL379" s="662"/>
      <c r="AM379" s="662"/>
      <c r="AN379" s="662"/>
      <c r="AO379" s="662"/>
      <c r="AP379" s="662"/>
      <c r="AQ379" s="663"/>
      <c r="AR379" s="154"/>
      <c r="AS379" s="154"/>
      <c r="AT379" s="469"/>
    </row>
    <row r="380" spans="1:46" ht="18" customHeight="1">
      <c r="A380" s="469"/>
      <c r="B380" s="658">
        <v>7</v>
      </c>
      <c r="C380" s="639"/>
      <c r="D380" s="639"/>
      <c r="E380" s="639"/>
      <c r="F380" s="639"/>
      <c r="G380" s="639"/>
      <c r="H380" s="640"/>
      <c r="I380" s="659" t="str">
        <f>Calcu_ADJ!E15</f>
        <v/>
      </c>
      <c r="J380" s="660"/>
      <c r="K380" s="660"/>
      <c r="L380" s="660"/>
      <c r="M380" s="660"/>
      <c r="N380" s="660"/>
      <c r="O380" s="661"/>
      <c r="P380" s="659" t="str">
        <f>Calcu_ADJ!K15</f>
        <v/>
      </c>
      <c r="Q380" s="662"/>
      <c r="R380" s="662"/>
      <c r="S380" s="662"/>
      <c r="T380" s="662"/>
      <c r="U380" s="662"/>
      <c r="V380" s="663"/>
      <c r="W380" s="659" t="str">
        <f>Calcu_ADJ!L15</f>
        <v/>
      </c>
      <c r="X380" s="662"/>
      <c r="Y380" s="662"/>
      <c r="Z380" s="662"/>
      <c r="AA380" s="662"/>
      <c r="AB380" s="662"/>
      <c r="AC380" s="663"/>
      <c r="AD380" s="659" t="str">
        <f>Calcu_ADJ!M15</f>
        <v/>
      </c>
      <c r="AE380" s="662"/>
      <c r="AF380" s="662"/>
      <c r="AG380" s="662"/>
      <c r="AH380" s="662"/>
      <c r="AI380" s="662"/>
      <c r="AJ380" s="663"/>
      <c r="AK380" s="659" t="str">
        <f t="shared" si="24"/>
        <v/>
      </c>
      <c r="AL380" s="662"/>
      <c r="AM380" s="662"/>
      <c r="AN380" s="662"/>
      <c r="AO380" s="662"/>
      <c r="AP380" s="662"/>
      <c r="AQ380" s="663"/>
      <c r="AR380" s="154"/>
      <c r="AS380" s="154"/>
      <c r="AT380" s="469"/>
    </row>
    <row r="381" spans="1:46" ht="18" customHeight="1">
      <c r="A381" s="469"/>
      <c r="B381" s="658">
        <v>8</v>
      </c>
      <c r="C381" s="639"/>
      <c r="D381" s="639"/>
      <c r="E381" s="639"/>
      <c r="F381" s="639"/>
      <c r="G381" s="639"/>
      <c r="H381" s="640"/>
      <c r="I381" s="659" t="str">
        <f>Calcu_ADJ!E16</f>
        <v/>
      </c>
      <c r="J381" s="660"/>
      <c r="K381" s="660"/>
      <c r="L381" s="660"/>
      <c r="M381" s="660"/>
      <c r="N381" s="660"/>
      <c r="O381" s="661"/>
      <c r="P381" s="659" t="str">
        <f>Calcu_ADJ!K16</f>
        <v/>
      </c>
      <c r="Q381" s="662"/>
      <c r="R381" s="662"/>
      <c r="S381" s="662"/>
      <c r="T381" s="662"/>
      <c r="U381" s="662"/>
      <c r="V381" s="663"/>
      <c r="W381" s="659" t="str">
        <f>Calcu_ADJ!L16</f>
        <v/>
      </c>
      <c r="X381" s="662"/>
      <c r="Y381" s="662"/>
      <c r="Z381" s="662"/>
      <c r="AA381" s="662"/>
      <c r="AB381" s="662"/>
      <c r="AC381" s="663"/>
      <c r="AD381" s="659" t="str">
        <f>Calcu_ADJ!M16</f>
        <v/>
      </c>
      <c r="AE381" s="662"/>
      <c r="AF381" s="662"/>
      <c r="AG381" s="662"/>
      <c r="AH381" s="662"/>
      <c r="AI381" s="662"/>
      <c r="AJ381" s="663"/>
      <c r="AK381" s="659" t="str">
        <f t="shared" si="24"/>
        <v/>
      </c>
      <c r="AL381" s="662"/>
      <c r="AM381" s="662"/>
      <c r="AN381" s="662"/>
      <c r="AO381" s="662"/>
      <c r="AP381" s="662"/>
      <c r="AQ381" s="663"/>
      <c r="AR381" s="154"/>
      <c r="AS381" s="154"/>
      <c r="AT381" s="469"/>
    </row>
    <row r="382" spans="1:46" ht="18" customHeight="1">
      <c r="A382" s="469"/>
      <c r="B382" s="658">
        <v>9</v>
      </c>
      <c r="C382" s="639"/>
      <c r="D382" s="639"/>
      <c r="E382" s="639"/>
      <c r="F382" s="639"/>
      <c r="G382" s="639"/>
      <c r="H382" s="640"/>
      <c r="I382" s="659" t="str">
        <f>Calcu_ADJ!E17</f>
        <v/>
      </c>
      <c r="J382" s="660"/>
      <c r="K382" s="660"/>
      <c r="L382" s="660"/>
      <c r="M382" s="660"/>
      <c r="N382" s="660"/>
      <c r="O382" s="661"/>
      <c r="P382" s="659" t="str">
        <f>Calcu_ADJ!K17</f>
        <v/>
      </c>
      <c r="Q382" s="662"/>
      <c r="R382" s="662"/>
      <c r="S382" s="662"/>
      <c r="T382" s="662"/>
      <c r="U382" s="662"/>
      <c r="V382" s="663"/>
      <c r="W382" s="659" t="str">
        <f>Calcu_ADJ!L17</f>
        <v/>
      </c>
      <c r="X382" s="662"/>
      <c r="Y382" s="662"/>
      <c r="Z382" s="662"/>
      <c r="AA382" s="662"/>
      <c r="AB382" s="662"/>
      <c r="AC382" s="663"/>
      <c r="AD382" s="659" t="str">
        <f>Calcu_ADJ!M17</f>
        <v/>
      </c>
      <c r="AE382" s="662"/>
      <c r="AF382" s="662"/>
      <c r="AG382" s="662"/>
      <c r="AH382" s="662"/>
      <c r="AI382" s="662"/>
      <c r="AJ382" s="663"/>
      <c r="AK382" s="659" t="str">
        <f t="shared" si="24"/>
        <v/>
      </c>
      <c r="AL382" s="662"/>
      <c r="AM382" s="662"/>
      <c r="AN382" s="662"/>
      <c r="AO382" s="662"/>
      <c r="AP382" s="662"/>
      <c r="AQ382" s="663"/>
      <c r="AR382" s="154"/>
      <c r="AS382" s="154"/>
      <c r="AT382" s="469"/>
    </row>
    <row r="383" spans="1:46" ht="18" customHeight="1">
      <c r="A383" s="469"/>
      <c r="B383" s="658">
        <v>10</v>
      </c>
      <c r="C383" s="639"/>
      <c r="D383" s="639"/>
      <c r="E383" s="639"/>
      <c r="F383" s="639"/>
      <c r="G383" s="639"/>
      <c r="H383" s="640"/>
      <c r="I383" s="659" t="str">
        <f>Calcu_ADJ!E18</f>
        <v/>
      </c>
      <c r="J383" s="660"/>
      <c r="K383" s="660"/>
      <c r="L383" s="660"/>
      <c r="M383" s="660"/>
      <c r="N383" s="660"/>
      <c r="O383" s="661"/>
      <c r="P383" s="659" t="str">
        <f>Calcu_ADJ!K18</f>
        <v/>
      </c>
      <c r="Q383" s="662"/>
      <c r="R383" s="662"/>
      <c r="S383" s="662"/>
      <c r="T383" s="662"/>
      <c r="U383" s="662"/>
      <c r="V383" s="663"/>
      <c r="W383" s="659" t="str">
        <f>Calcu_ADJ!L18</f>
        <v/>
      </c>
      <c r="X383" s="662"/>
      <c r="Y383" s="662"/>
      <c r="Z383" s="662"/>
      <c r="AA383" s="662"/>
      <c r="AB383" s="662"/>
      <c r="AC383" s="663"/>
      <c r="AD383" s="659" t="str">
        <f>Calcu_ADJ!M18</f>
        <v/>
      </c>
      <c r="AE383" s="662"/>
      <c r="AF383" s="662"/>
      <c r="AG383" s="662"/>
      <c r="AH383" s="662"/>
      <c r="AI383" s="662"/>
      <c r="AJ383" s="663"/>
      <c r="AK383" s="659" t="str">
        <f t="shared" si="24"/>
        <v/>
      </c>
      <c r="AL383" s="662"/>
      <c r="AM383" s="662"/>
      <c r="AN383" s="662"/>
      <c r="AO383" s="662"/>
      <c r="AP383" s="662"/>
      <c r="AQ383" s="663"/>
      <c r="AR383" s="154"/>
      <c r="AS383" s="154"/>
      <c r="AT383" s="469"/>
    </row>
    <row r="384" spans="1:46" ht="18" customHeight="1">
      <c r="A384" s="469"/>
      <c r="B384" s="658">
        <v>11</v>
      </c>
      <c r="C384" s="639"/>
      <c r="D384" s="639"/>
      <c r="E384" s="639"/>
      <c r="F384" s="639"/>
      <c r="G384" s="639"/>
      <c r="H384" s="640"/>
      <c r="I384" s="659" t="str">
        <f>Calcu_ADJ!E19</f>
        <v/>
      </c>
      <c r="J384" s="660"/>
      <c r="K384" s="660"/>
      <c r="L384" s="660"/>
      <c r="M384" s="660"/>
      <c r="N384" s="660"/>
      <c r="O384" s="661"/>
      <c r="P384" s="659" t="str">
        <f>Calcu_ADJ!K19</f>
        <v/>
      </c>
      <c r="Q384" s="662"/>
      <c r="R384" s="662"/>
      <c r="S384" s="662"/>
      <c r="T384" s="662"/>
      <c r="U384" s="662"/>
      <c r="V384" s="663"/>
      <c r="W384" s="659" t="str">
        <f>Calcu_ADJ!L19</f>
        <v/>
      </c>
      <c r="X384" s="662"/>
      <c r="Y384" s="662"/>
      <c r="Z384" s="662"/>
      <c r="AA384" s="662"/>
      <c r="AB384" s="662"/>
      <c r="AC384" s="663"/>
      <c r="AD384" s="659" t="str">
        <f>Calcu_ADJ!M19</f>
        <v/>
      </c>
      <c r="AE384" s="662"/>
      <c r="AF384" s="662"/>
      <c r="AG384" s="662"/>
      <c r="AH384" s="662"/>
      <c r="AI384" s="662"/>
      <c r="AJ384" s="663"/>
      <c r="AK384" s="659" t="str">
        <f t="shared" si="24"/>
        <v/>
      </c>
      <c r="AL384" s="662"/>
      <c r="AM384" s="662"/>
      <c r="AN384" s="662"/>
      <c r="AO384" s="662"/>
      <c r="AP384" s="662"/>
      <c r="AQ384" s="663"/>
      <c r="AR384" s="154"/>
      <c r="AS384" s="154"/>
      <c r="AT384" s="469"/>
    </row>
    <row r="385" spans="1:46" ht="18" customHeight="1">
      <c r="A385" s="469"/>
      <c r="B385" s="658">
        <v>12</v>
      </c>
      <c r="C385" s="639"/>
      <c r="D385" s="639"/>
      <c r="E385" s="639"/>
      <c r="F385" s="639"/>
      <c r="G385" s="639"/>
      <c r="H385" s="640"/>
      <c r="I385" s="659" t="str">
        <f>Calcu_ADJ!E20</f>
        <v/>
      </c>
      <c r="J385" s="660"/>
      <c r="K385" s="660"/>
      <c r="L385" s="660"/>
      <c r="M385" s="660"/>
      <c r="N385" s="660"/>
      <c r="O385" s="661"/>
      <c r="P385" s="659" t="str">
        <f>Calcu_ADJ!K20</f>
        <v/>
      </c>
      <c r="Q385" s="662"/>
      <c r="R385" s="662"/>
      <c r="S385" s="662"/>
      <c r="T385" s="662"/>
      <c r="U385" s="662"/>
      <c r="V385" s="663"/>
      <c r="W385" s="659" t="str">
        <f>Calcu_ADJ!L20</f>
        <v/>
      </c>
      <c r="X385" s="662"/>
      <c r="Y385" s="662"/>
      <c r="Z385" s="662"/>
      <c r="AA385" s="662"/>
      <c r="AB385" s="662"/>
      <c r="AC385" s="663"/>
      <c r="AD385" s="659" t="str">
        <f>Calcu_ADJ!M20</f>
        <v/>
      </c>
      <c r="AE385" s="662"/>
      <c r="AF385" s="662"/>
      <c r="AG385" s="662"/>
      <c r="AH385" s="662"/>
      <c r="AI385" s="662"/>
      <c r="AJ385" s="663"/>
      <c r="AK385" s="659" t="str">
        <f t="shared" si="24"/>
        <v/>
      </c>
      <c r="AL385" s="662"/>
      <c r="AM385" s="662"/>
      <c r="AN385" s="662"/>
      <c r="AO385" s="662"/>
      <c r="AP385" s="662"/>
      <c r="AQ385" s="663"/>
      <c r="AR385" s="154"/>
      <c r="AS385" s="154"/>
      <c r="AT385" s="469"/>
    </row>
    <row r="386" spans="1:46" ht="18" customHeight="1">
      <c r="A386" s="469"/>
      <c r="B386" s="658">
        <v>13</v>
      </c>
      <c r="C386" s="639"/>
      <c r="D386" s="639"/>
      <c r="E386" s="639"/>
      <c r="F386" s="639"/>
      <c r="G386" s="639"/>
      <c r="H386" s="640"/>
      <c r="I386" s="659" t="str">
        <f>Calcu_ADJ!E21</f>
        <v/>
      </c>
      <c r="J386" s="660"/>
      <c r="K386" s="660"/>
      <c r="L386" s="660"/>
      <c r="M386" s="660"/>
      <c r="N386" s="660"/>
      <c r="O386" s="661"/>
      <c r="P386" s="659" t="str">
        <f>Calcu_ADJ!K21</f>
        <v/>
      </c>
      <c r="Q386" s="662"/>
      <c r="R386" s="662"/>
      <c r="S386" s="662"/>
      <c r="T386" s="662"/>
      <c r="U386" s="662"/>
      <c r="V386" s="663"/>
      <c r="W386" s="659" t="str">
        <f>Calcu_ADJ!L21</f>
        <v/>
      </c>
      <c r="X386" s="662"/>
      <c r="Y386" s="662"/>
      <c r="Z386" s="662"/>
      <c r="AA386" s="662"/>
      <c r="AB386" s="662"/>
      <c r="AC386" s="663"/>
      <c r="AD386" s="659" t="str">
        <f>Calcu_ADJ!M21</f>
        <v/>
      </c>
      <c r="AE386" s="662"/>
      <c r="AF386" s="662"/>
      <c r="AG386" s="662"/>
      <c r="AH386" s="662"/>
      <c r="AI386" s="662"/>
      <c r="AJ386" s="663"/>
      <c r="AK386" s="659" t="str">
        <f t="shared" si="24"/>
        <v/>
      </c>
      <c r="AL386" s="662"/>
      <c r="AM386" s="662"/>
      <c r="AN386" s="662"/>
      <c r="AO386" s="662"/>
      <c r="AP386" s="662"/>
      <c r="AQ386" s="663"/>
      <c r="AR386" s="154"/>
      <c r="AS386" s="154"/>
      <c r="AT386" s="469"/>
    </row>
    <row r="387" spans="1:46" ht="18" customHeight="1">
      <c r="A387" s="469"/>
      <c r="B387" s="658">
        <v>14</v>
      </c>
      <c r="C387" s="639"/>
      <c r="D387" s="639"/>
      <c r="E387" s="639"/>
      <c r="F387" s="639"/>
      <c r="G387" s="639"/>
      <c r="H387" s="640"/>
      <c r="I387" s="659" t="str">
        <f>Calcu_ADJ!E22</f>
        <v/>
      </c>
      <c r="J387" s="660"/>
      <c r="K387" s="660"/>
      <c r="L387" s="660"/>
      <c r="M387" s="660"/>
      <c r="N387" s="660"/>
      <c r="O387" s="661"/>
      <c r="P387" s="659" t="str">
        <f>Calcu_ADJ!K22</f>
        <v/>
      </c>
      <c r="Q387" s="662"/>
      <c r="R387" s="662"/>
      <c r="S387" s="662"/>
      <c r="T387" s="662"/>
      <c r="U387" s="662"/>
      <c r="V387" s="663"/>
      <c r="W387" s="659" t="str">
        <f>Calcu_ADJ!L22</f>
        <v/>
      </c>
      <c r="X387" s="662"/>
      <c r="Y387" s="662"/>
      <c r="Z387" s="662"/>
      <c r="AA387" s="662"/>
      <c r="AB387" s="662"/>
      <c r="AC387" s="663"/>
      <c r="AD387" s="659" t="str">
        <f>Calcu_ADJ!M22</f>
        <v/>
      </c>
      <c r="AE387" s="662"/>
      <c r="AF387" s="662"/>
      <c r="AG387" s="662"/>
      <c r="AH387" s="662"/>
      <c r="AI387" s="662"/>
      <c r="AJ387" s="663"/>
      <c r="AK387" s="659" t="str">
        <f t="shared" si="24"/>
        <v/>
      </c>
      <c r="AL387" s="662"/>
      <c r="AM387" s="662"/>
      <c r="AN387" s="662"/>
      <c r="AO387" s="662"/>
      <c r="AP387" s="662"/>
      <c r="AQ387" s="663"/>
      <c r="AR387" s="154"/>
      <c r="AS387" s="154"/>
      <c r="AT387" s="469"/>
    </row>
    <row r="388" spans="1:46" ht="18" customHeight="1">
      <c r="A388" s="469"/>
      <c r="B388" s="658">
        <v>15</v>
      </c>
      <c r="C388" s="639"/>
      <c r="D388" s="639"/>
      <c r="E388" s="639"/>
      <c r="F388" s="639"/>
      <c r="G388" s="639"/>
      <c r="H388" s="640"/>
      <c r="I388" s="659" t="str">
        <f>Calcu_ADJ!E23</f>
        <v/>
      </c>
      <c r="J388" s="660"/>
      <c r="K388" s="660"/>
      <c r="L388" s="660"/>
      <c r="M388" s="660"/>
      <c r="N388" s="660"/>
      <c r="O388" s="661"/>
      <c r="P388" s="659" t="str">
        <f>Calcu_ADJ!K23</f>
        <v/>
      </c>
      <c r="Q388" s="662"/>
      <c r="R388" s="662"/>
      <c r="S388" s="662"/>
      <c r="T388" s="662"/>
      <c r="U388" s="662"/>
      <c r="V388" s="663"/>
      <c r="W388" s="659" t="str">
        <f>Calcu_ADJ!L23</f>
        <v/>
      </c>
      <c r="X388" s="662"/>
      <c r="Y388" s="662"/>
      <c r="Z388" s="662"/>
      <c r="AA388" s="662"/>
      <c r="AB388" s="662"/>
      <c r="AC388" s="663"/>
      <c r="AD388" s="659" t="str">
        <f>Calcu_ADJ!M23</f>
        <v/>
      </c>
      <c r="AE388" s="662"/>
      <c r="AF388" s="662"/>
      <c r="AG388" s="662"/>
      <c r="AH388" s="662"/>
      <c r="AI388" s="662"/>
      <c r="AJ388" s="663"/>
      <c r="AK388" s="659" t="str">
        <f t="shared" si="24"/>
        <v/>
      </c>
      <c r="AL388" s="662"/>
      <c r="AM388" s="662"/>
      <c r="AN388" s="662"/>
      <c r="AO388" s="662"/>
      <c r="AP388" s="662"/>
      <c r="AQ388" s="663"/>
      <c r="AR388" s="154"/>
      <c r="AS388" s="154"/>
      <c r="AT388" s="469"/>
    </row>
    <row r="389" spans="1:46" ht="18" customHeight="1">
      <c r="A389" s="469"/>
      <c r="B389" s="658">
        <v>16</v>
      </c>
      <c r="C389" s="639"/>
      <c r="D389" s="639"/>
      <c r="E389" s="639"/>
      <c r="F389" s="639"/>
      <c r="G389" s="639"/>
      <c r="H389" s="640"/>
      <c r="I389" s="659" t="str">
        <f>Calcu_ADJ!E24</f>
        <v/>
      </c>
      <c r="J389" s="660"/>
      <c r="K389" s="660"/>
      <c r="L389" s="660"/>
      <c r="M389" s="660"/>
      <c r="N389" s="660"/>
      <c r="O389" s="661"/>
      <c r="P389" s="659" t="str">
        <f>Calcu_ADJ!K24</f>
        <v/>
      </c>
      <c r="Q389" s="662"/>
      <c r="R389" s="662"/>
      <c r="S389" s="662"/>
      <c r="T389" s="662"/>
      <c r="U389" s="662"/>
      <c r="V389" s="663"/>
      <c r="W389" s="659" t="str">
        <f>Calcu_ADJ!L24</f>
        <v/>
      </c>
      <c r="X389" s="662"/>
      <c r="Y389" s="662"/>
      <c r="Z389" s="662"/>
      <c r="AA389" s="662"/>
      <c r="AB389" s="662"/>
      <c r="AC389" s="663"/>
      <c r="AD389" s="659" t="str">
        <f>Calcu_ADJ!M24</f>
        <v/>
      </c>
      <c r="AE389" s="662"/>
      <c r="AF389" s="662"/>
      <c r="AG389" s="662"/>
      <c r="AH389" s="662"/>
      <c r="AI389" s="662"/>
      <c r="AJ389" s="663"/>
      <c r="AK389" s="659" t="str">
        <f t="shared" si="24"/>
        <v/>
      </c>
      <c r="AL389" s="662"/>
      <c r="AM389" s="662"/>
      <c r="AN389" s="662"/>
      <c r="AO389" s="662"/>
      <c r="AP389" s="662"/>
      <c r="AQ389" s="663"/>
      <c r="AR389" s="154"/>
      <c r="AS389" s="154"/>
      <c r="AT389" s="469"/>
    </row>
    <row r="390" spans="1:46" ht="18" customHeight="1">
      <c r="A390" s="469"/>
      <c r="B390" s="658">
        <v>17</v>
      </c>
      <c r="C390" s="639"/>
      <c r="D390" s="639"/>
      <c r="E390" s="639"/>
      <c r="F390" s="639"/>
      <c r="G390" s="639"/>
      <c r="H390" s="640"/>
      <c r="I390" s="659" t="str">
        <f>Calcu_ADJ!E25</f>
        <v/>
      </c>
      <c r="J390" s="660"/>
      <c r="K390" s="660"/>
      <c r="L390" s="660"/>
      <c r="M390" s="660"/>
      <c r="N390" s="660"/>
      <c r="O390" s="661"/>
      <c r="P390" s="659" t="str">
        <f>Calcu_ADJ!K25</f>
        <v/>
      </c>
      <c r="Q390" s="662"/>
      <c r="R390" s="662"/>
      <c r="S390" s="662"/>
      <c r="T390" s="662"/>
      <c r="U390" s="662"/>
      <c r="V390" s="663"/>
      <c r="W390" s="659" t="str">
        <f>Calcu_ADJ!L25</f>
        <v/>
      </c>
      <c r="X390" s="662"/>
      <c r="Y390" s="662"/>
      <c r="Z390" s="662"/>
      <c r="AA390" s="662"/>
      <c r="AB390" s="662"/>
      <c r="AC390" s="663"/>
      <c r="AD390" s="659" t="str">
        <f>Calcu_ADJ!M25</f>
        <v/>
      </c>
      <c r="AE390" s="662"/>
      <c r="AF390" s="662"/>
      <c r="AG390" s="662"/>
      <c r="AH390" s="662"/>
      <c r="AI390" s="662"/>
      <c r="AJ390" s="663"/>
      <c r="AK390" s="659" t="str">
        <f t="shared" si="24"/>
        <v/>
      </c>
      <c r="AL390" s="662"/>
      <c r="AM390" s="662"/>
      <c r="AN390" s="662"/>
      <c r="AO390" s="662"/>
      <c r="AP390" s="662"/>
      <c r="AQ390" s="663"/>
      <c r="AR390" s="154"/>
      <c r="AS390" s="154"/>
      <c r="AT390" s="469"/>
    </row>
    <row r="391" spans="1:46" ht="18" customHeight="1">
      <c r="A391" s="469"/>
      <c r="B391" s="658">
        <v>18</v>
      </c>
      <c r="C391" s="639"/>
      <c r="D391" s="639"/>
      <c r="E391" s="639"/>
      <c r="F391" s="639"/>
      <c r="G391" s="639"/>
      <c r="H391" s="640"/>
      <c r="I391" s="659" t="str">
        <f>Calcu_ADJ!E26</f>
        <v/>
      </c>
      <c r="J391" s="660"/>
      <c r="K391" s="660"/>
      <c r="L391" s="660"/>
      <c r="M391" s="660"/>
      <c r="N391" s="660"/>
      <c r="O391" s="661"/>
      <c r="P391" s="659" t="str">
        <f>Calcu_ADJ!K26</f>
        <v/>
      </c>
      <c r="Q391" s="662"/>
      <c r="R391" s="662"/>
      <c r="S391" s="662"/>
      <c r="T391" s="662"/>
      <c r="U391" s="662"/>
      <c r="V391" s="663"/>
      <c r="W391" s="659" t="str">
        <f>Calcu_ADJ!L26</f>
        <v/>
      </c>
      <c r="X391" s="662"/>
      <c r="Y391" s="662"/>
      <c r="Z391" s="662"/>
      <c r="AA391" s="662"/>
      <c r="AB391" s="662"/>
      <c r="AC391" s="663"/>
      <c r="AD391" s="659" t="str">
        <f>Calcu_ADJ!M26</f>
        <v/>
      </c>
      <c r="AE391" s="662"/>
      <c r="AF391" s="662"/>
      <c r="AG391" s="662"/>
      <c r="AH391" s="662"/>
      <c r="AI391" s="662"/>
      <c r="AJ391" s="663"/>
      <c r="AK391" s="659" t="str">
        <f t="shared" si="24"/>
        <v/>
      </c>
      <c r="AL391" s="662"/>
      <c r="AM391" s="662"/>
      <c r="AN391" s="662"/>
      <c r="AO391" s="662"/>
      <c r="AP391" s="662"/>
      <c r="AQ391" s="663"/>
      <c r="AR391" s="154"/>
      <c r="AS391" s="154"/>
      <c r="AT391" s="469"/>
    </row>
    <row r="392" spans="1:46" ht="18" customHeight="1">
      <c r="A392" s="469"/>
      <c r="B392" s="658">
        <v>19</v>
      </c>
      <c r="C392" s="639"/>
      <c r="D392" s="639"/>
      <c r="E392" s="639"/>
      <c r="F392" s="639"/>
      <c r="G392" s="639"/>
      <c r="H392" s="640"/>
      <c r="I392" s="659" t="str">
        <f>Calcu_ADJ!E27</f>
        <v/>
      </c>
      <c r="J392" s="660"/>
      <c r="K392" s="660"/>
      <c r="L392" s="660"/>
      <c r="M392" s="660"/>
      <c r="N392" s="660"/>
      <c r="O392" s="661"/>
      <c r="P392" s="659" t="str">
        <f>Calcu_ADJ!K27</f>
        <v/>
      </c>
      <c r="Q392" s="662"/>
      <c r="R392" s="662"/>
      <c r="S392" s="662"/>
      <c r="T392" s="662"/>
      <c r="U392" s="662"/>
      <c r="V392" s="663"/>
      <c r="W392" s="659" t="str">
        <f>Calcu_ADJ!L27</f>
        <v/>
      </c>
      <c r="X392" s="662"/>
      <c r="Y392" s="662"/>
      <c r="Z392" s="662"/>
      <c r="AA392" s="662"/>
      <c r="AB392" s="662"/>
      <c r="AC392" s="663"/>
      <c r="AD392" s="659" t="str">
        <f>Calcu_ADJ!M27</f>
        <v/>
      </c>
      <c r="AE392" s="662"/>
      <c r="AF392" s="662"/>
      <c r="AG392" s="662"/>
      <c r="AH392" s="662"/>
      <c r="AI392" s="662"/>
      <c r="AJ392" s="663"/>
      <c r="AK392" s="659" t="str">
        <f t="shared" si="24"/>
        <v/>
      </c>
      <c r="AL392" s="662"/>
      <c r="AM392" s="662"/>
      <c r="AN392" s="662"/>
      <c r="AO392" s="662"/>
      <c r="AP392" s="662"/>
      <c r="AQ392" s="663"/>
      <c r="AR392" s="154"/>
      <c r="AS392" s="154"/>
      <c r="AT392" s="469"/>
    </row>
    <row r="393" spans="1:46" ht="18" customHeight="1">
      <c r="A393" s="469"/>
      <c r="B393" s="658">
        <v>20</v>
      </c>
      <c r="C393" s="639"/>
      <c r="D393" s="639"/>
      <c r="E393" s="639"/>
      <c r="F393" s="639"/>
      <c r="G393" s="639"/>
      <c r="H393" s="640"/>
      <c r="I393" s="659" t="str">
        <f>Calcu_ADJ!E28</f>
        <v/>
      </c>
      <c r="J393" s="660"/>
      <c r="K393" s="660"/>
      <c r="L393" s="660"/>
      <c r="M393" s="660"/>
      <c r="N393" s="660"/>
      <c r="O393" s="661"/>
      <c r="P393" s="659" t="str">
        <f>Calcu_ADJ!K28</f>
        <v/>
      </c>
      <c r="Q393" s="662"/>
      <c r="R393" s="662"/>
      <c r="S393" s="662"/>
      <c r="T393" s="662"/>
      <c r="U393" s="662"/>
      <c r="V393" s="663"/>
      <c r="W393" s="659" t="str">
        <f>Calcu_ADJ!L28</f>
        <v/>
      </c>
      <c r="X393" s="662"/>
      <c r="Y393" s="662"/>
      <c r="Z393" s="662"/>
      <c r="AA393" s="662"/>
      <c r="AB393" s="662"/>
      <c r="AC393" s="663"/>
      <c r="AD393" s="659" t="str">
        <f>Calcu_ADJ!M28</f>
        <v/>
      </c>
      <c r="AE393" s="662"/>
      <c r="AF393" s="662"/>
      <c r="AG393" s="662"/>
      <c r="AH393" s="662"/>
      <c r="AI393" s="662"/>
      <c r="AJ393" s="663"/>
      <c r="AK393" s="659" t="str">
        <f t="shared" si="24"/>
        <v/>
      </c>
      <c r="AL393" s="662"/>
      <c r="AM393" s="662"/>
      <c r="AN393" s="662"/>
      <c r="AO393" s="662"/>
      <c r="AP393" s="662"/>
      <c r="AQ393" s="663"/>
      <c r="AR393" s="154"/>
      <c r="AS393" s="154"/>
      <c r="AT393" s="469"/>
    </row>
    <row r="394" spans="1:46" ht="18" customHeight="1">
      <c r="A394" s="469"/>
      <c r="B394" s="658">
        <v>21</v>
      </c>
      <c r="C394" s="639"/>
      <c r="D394" s="639"/>
      <c r="E394" s="639"/>
      <c r="F394" s="639"/>
      <c r="G394" s="639"/>
      <c r="H394" s="640"/>
      <c r="I394" s="659" t="str">
        <f>Calcu_ADJ!E29</f>
        <v/>
      </c>
      <c r="J394" s="660"/>
      <c r="K394" s="660"/>
      <c r="L394" s="660"/>
      <c r="M394" s="660"/>
      <c r="N394" s="660"/>
      <c r="O394" s="661"/>
      <c r="P394" s="659" t="str">
        <f>Calcu_ADJ!K29</f>
        <v/>
      </c>
      <c r="Q394" s="662"/>
      <c r="R394" s="662"/>
      <c r="S394" s="662"/>
      <c r="T394" s="662"/>
      <c r="U394" s="662"/>
      <c r="V394" s="663"/>
      <c r="W394" s="659" t="str">
        <f>Calcu_ADJ!L29</f>
        <v/>
      </c>
      <c r="X394" s="662"/>
      <c r="Y394" s="662"/>
      <c r="Z394" s="662"/>
      <c r="AA394" s="662"/>
      <c r="AB394" s="662"/>
      <c r="AC394" s="663"/>
      <c r="AD394" s="659" t="str">
        <f>Calcu_ADJ!M29</f>
        <v/>
      </c>
      <c r="AE394" s="662"/>
      <c r="AF394" s="662"/>
      <c r="AG394" s="662"/>
      <c r="AH394" s="662"/>
      <c r="AI394" s="662"/>
      <c r="AJ394" s="663"/>
      <c r="AK394" s="659" t="str">
        <f t="shared" si="24"/>
        <v/>
      </c>
      <c r="AL394" s="662"/>
      <c r="AM394" s="662"/>
      <c r="AN394" s="662"/>
      <c r="AO394" s="662"/>
      <c r="AP394" s="662"/>
      <c r="AQ394" s="663"/>
      <c r="AR394" s="154"/>
      <c r="AS394" s="154"/>
      <c r="AT394" s="469"/>
    </row>
    <row r="395" spans="1:46" ht="18" customHeight="1">
      <c r="A395" s="469"/>
      <c r="B395" s="658">
        <v>22</v>
      </c>
      <c r="C395" s="639"/>
      <c r="D395" s="639"/>
      <c r="E395" s="639"/>
      <c r="F395" s="639"/>
      <c r="G395" s="639"/>
      <c r="H395" s="640"/>
      <c r="I395" s="659" t="str">
        <f>Calcu_ADJ!E30</f>
        <v/>
      </c>
      <c r="J395" s="660"/>
      <c r="K395" s="660"/>
      <c r="L395" s="660"/>
      <c r="M395" s="660"/>
      <c r="N395" s="660"/>
      <c r="O395" s="661"/>
      <c r="P395" s="659" t="str">
        <f>Calcu_ADJ!K30</f>
        <v/>
      </c>
      <c r="Q395" s="662"/>
      <c r="R395" s="662"/>
      <c r="S395" s="662"/>
      <c r="T395" s="662"/>
      <c r="U395" s="662"/>
      <c r="V395" s="663"/>
      <c r="W395" s="659" t="str">
        <f>Calcu_ADJ!L30</f>
        <v/>
      </c>
      <c r="X395" s="662"/>
      <c r="Y395" s="662"/>
      <c r="Z395" s="662"/>
      <c r="AA395" s="662"/>
      <c r="AB395" s="662"/>
      <c r="AC395" s="663"/>
      <c r="AD395" s="659" t="str">
        <f>Calcu_ADJ!M30</f>
        <v/>
      </c>
      <c r="AE395" s="662"/>
      <c r="AF395" s="662"/>
      <c r="AG395" s="662"/>
      <c r="AH395" s="662"/>
      <c r="AI395" s="662"/>
      <c r="AJ395" s="663"/>
      <c r="AK395" s="659" t="str">
        <f t="shared" si="24"/>
        <v/>
      </c>
      <c r="AL395" s="662"/>
      <c r="AM395" s="662"/>
      <c r="AN395" s="662"/>
      <c r="AO395" s="662"/>
      <c r="AP395" s="662"/>
      <c r="AQ395" s="663"/>
      <c r="AR395" s="154"/>
      <c r="AS395" s="154"/>
      <c r="AT395" s="469"/>
    </row>
    <row r="396" spans="1:46" ht="18" customHeight="1">
      <c r="A396" s="469"/>
      <c r="B396" s="658">
        <v>23</v>
      </c>
      <c r="C396" s="639"/>
      <c r="D396" s="639"/>
      <c r="E396" s="639"/>
      <c r="F396" s="639"/>
      <c r="G396" s="639"/>
      <c r="H396" s="640"/>
      <c r="I396" s="659" t="str">
        <f>Calcu_ADJ!E31</f>
        <v/>
      </c>
      <c r="J396" s="660"/>
      <c r="K396" s="660"/>
      <c r="L396" s="660"/>
      <c r="M396" s="660"/>
      <c r="N396" s="660"/>
      <c r="O396" s="661"/>
      <c r="P396" s="659" t="str">
        <f>Calcu_ADJ!K31</f>
        <v/>
      </c>
      <c r="Q396" s="662"/>
      <c r="R396" s="662"/>
      <c r="S396" s="662"/>
      <c r="T396" s="662"/>
      <c r="U396" s="662"/>
      <c r="V396" s="663"/>
      <c r="W396" s="659" t="str">
        <f>Calcu_ADJ!L31</f>
        <v/>
      </c>
      <c r="X396" s="662"/>
      <c r="Y396" s="662"/>
      <c r="Z396" s="662"/>
      <c r="AA396" s="662"/>
      <c r="AB396" s="662"/>
      <c r="AC396" s="663"/>
      <c r="AD396" s="659" t="str">
        <f>Calcu_ADJ!M31</f>
        <v/>
      </c>
      <c r="AE396" s="662"/>
      <c r="AF396" s="662"/>
      <c r="AG396" s="662"/>
      <c r="AH396" s="662"/>
      <c r="AI396" s="662"/>
      <c r="AJ396" s="663"/>
      <c r="AK396" s="659" t="str">
        <f t="shared" si="24"/>
        <v/>
      </c>
      <c r="AL396" s="662"/>
      <c r="AM396" s="662"/>
      <c r="AN396" s="662"/>
      <c r="AO396" s="662"/>
      <c r="AP396" s="662"/>
      <c r="AQ396" s="663"/>
      <c r="AR396" s="154"/>
      <c r="AS396" s="154"/>
      <c r="AT396" s="469"/>
    </row>
    <row r="397" spans="1:46" ht="18" customHeight="1">
      <c r="A397" s="469"/>
      <c r="B397" s="658">
        <v>24</v>
      </c>
      <c r="C397" s="639"/>
      <c r="D397" s="639"/>
      <c r="E397" s="639"/>
      <c r="F397" s="639"/>
      <c r="G397" s="639"/>
      <c r="H397" s="640"/>
      <c r="I397" s="659" t="str">
        <f>Calcu_ADJ!E32</f>
        <v/>
      </c>
      <c r="J397" s="660"/>
      <c r="K397" s="660"/>
      <c r="L397" s="660"/>
      <c r="M397" s="660"/>
      <c r="N397" s="660"/>
      <c r="O397" s="661"/>
      <c r="P397" s="659" t="str">
        <f>Calcu_ADJ!K32</f>
        <v/>
      </c>
      <c r="Q397" s="662"/>
      <c r="R397" s="662"/>
      <c r="S397" s="662"/>
      <c r="T397" s="662"/>
      <c r="U397" s="662"/>
      <c r="V397" s="663"/>
      <c r="W397" s="659" t="str">
        <f>Calcu_ADJ!L32</f>
        <v/>
      </c>
      <c r="X397" s="662"/>
      <c r="Y397" s="662"/>
      <c r="Z397" s="662"/>
      <c r="AA397" s="662"/>
      <c r="AB397" s="662"/>
      <c r="AC397" s="663"/>
      <c r="AD397" s="659" t="str">
        <f>Calcu_ADJ!M32</f>
        <v/>
      </c>
      <c r="AE397" s="662"/>
      <c r="AF397" s="662"/>
      <c r="AG397" s="662"/>
      <c r="AH397" s="662"/>
      <c r="AI397" s="662"/>
      <c r="AJ397" s="663"/>
      <c r="AK397" s="659" t="str">
        <f t="shared" si="24"/>
        <v/>
      </c>
      <c r="AL397" s="662"/>
      <c r="AM397" s="662"/>
      <c r="AN397" s="662"/>
      <c r="AO397" s="662"/>
      <c r="AP397" s="662"/>
      <c r="AQ397" s="663"/>
      <c r="AR397" s="154"/>
      <c r="AS397" s="154"/>
      <c r="AT397" s="469"/>
    </row>
    <row r="398" spans="1:46" ht="18" customHeight="1">
      <c r="A398" s="469"/>
      <c r="B398" s="658">
        <v>25</v>
      </c>
      <c r="C398" s="639"/>
      <c r="D398" s="639"/>
      <c r="E398" s="639"/>
      <c r="F398" s="639"/>
      <c r="G398" s="639"/>
      <c r="H398" s="640"/>
      <c r="I398" s="659" t="str">
        <f>Calcu_ADJ!E33</f>
        <v/>
      </c>
      <c r="J398" s="660"/>
      <c r="K398" s="660"/>
      <c r="L398" s="660"/>
      <c r="M398" s="660"/>
      <c r="N398" s="660"/>
      <c r="O398" s="661"/>
      <c r="P398" s="659" t="str">
        <f>Calcu_ADJ!K33</f>
        <v/>
      </c>
      <c r="Q398" s="662"/>
      <c r="R398" s="662"/>
      <c r="S398" s="662"/>
      <c r="T398" s="662"/>
      <c r="U398" s="662"/>
      <c r="V398" s="663"/>
      <c r="W398" s="659" t="str">
        <f>Calcu_ADJ!L33</f>
        <v/>
      </c>
      <c r="X398" s="662"/>
      <c r="Y398" s="662"/>
      <c r="Z398" s="662"/>
      <c r="AA398" s="662"/>
      <c r="AB398" s="662"/>
      <c r="AC398" s="663"/>
      <c r="AD398" s="659" t="str">
        <f>Calcu_ADJ!M33</f>
        <v/>
      </c>
      <c r="AE398" s="662"/>
      <c r="AF398" s="662"/>
      <c r="AG398" s="662"/>
      <c r="AH398" s="662"/>
      <c r="AI398" s="662"/>
      <c r="AJ398" s="663"/>
      <c r="AK398" s="659" t="str">
        <f t="shared" si="24"/>
        <v/>
      </c>
      <c r="AL398" s="662"/>
      <c r="AM398" s="662"/>
      <c r="AN398" s="662"/>
      <c r="AO398" s="662"/>
      <c r="AP398" s="662"/>
      <c r="AQ398" s="663"/>
      <c r="AR398" s="154"/>
      <c r="AS398" s="154"/>
      <c r="AT398" s="469"/>
    </row>
    <row r="399" spans="1:46" ht="18" customHeight="1">
      <c r="A399" s="469"/>
      <c r="B399" s="658">
        <v>26</v>
      </c>
      <c r="C399" s="639"/>
      <c r="D399" s="639"/>
      <c r="E399" s="639"/>
      <c r="F399" s="639"/>
      <c r="G399" s="639"/>
      <c r="H399" s="640"/>
      <c r="I399" s="659" t="str">
        <f>Calcu_ADJ!E34</f>
        <v/>
      </c>
      <c r="J399" s="660"/>
      <c r="K399" s="660"/>
      <c r="L399" s="660"/>
      <c r="M399" s="660"/>
      <c r="N399" s="660"/>
      <c r="O399" s="661"/>
      <c r="P399" s="659" t="str">
        <f>Calcu_ADJ!K34</f>
        <v/>
      </c>
      <c r="Q399" s="662"/>
      <c r="R399" s="662"/>
      <c r="S399" s="662"/>
      <c r="T399" s="662"/>
      <c r="U399" s="662"/>
      <c r="V399" s="663"/>
      <c r="W399" s="659" t="str">
        <f>Calcu_ADJ!L34</f>
        <v/>
      </c>
      <c r="X399" s="662"/>
      <c r="Y399" s="662"/>
      <c r="Z399" s="662"/>
      <c r="AA399" s="662"/>
      <c r="AB399" s="662"/>
      <c r="AC399" s="663"/>
      <c r="AD399" s="659" t="str">
        <f>Calcu_ADJ!M34</f>
        <v/>
      </c>
      <c r="AE399" s="662"/>
      <c r="AF399" s="662"/>
      <c r="AG399" s="662"/>
      <c r="AH399" s="662"/>
      <c r="AI399" s="662"/>
      <c r="AJ399" s="663"/>
      <c r="AK399" s="659" t="str">
        <f t="shared" si="24"/>
        <v/>
      </c>
      <c r="AL399" s="662"/>
      <c r="AM399" s="662"/>
      <c r="AN399" s="662"/>
      <c r="AO399" s="662"/>
      <c r="AP399" s="662"/>
      <c r="AQ399" s="663"/>
      <c r="AR399" s="154"/>
      <c r="AS399" s="154"/>
      <c r="AT399" s="469"/>
    </row>
    <row r="400" spans="1:46" ht="18" customHeight="1">
      <c r="A400" s="469"/>
      <c r="B400" s="658">
        <v>27</v>
      </c>
      <c r="C400" s="639"/>
      <c r="D400" s="639"/>
      <c r="E400" s="639"/>
      <c r="F400" s="639"/>
      <c r="G400" s="639"/>
      <c r="H400" s="640"/>
      <c r="I400" s="659" t="str">
        <f>Calcu_ADJ!E35</f>
        <v/>
      </c>
      <c r="J400" s="660"/>
      <c r="K400" s="660"/>
      <c r="L400" s="660"/>
      <c r="M400" s="660"/>
      <c r="N400" s="660"/>
      <c r="O400" s="661"/>
      <c r="P400" s="659" t="str">
        <f>Calcu_ADJ!K35</f>
        <v/>
      </c>
      <c r="Q400" s="662"/>
      <c r="R400" s="662"/>
      <c r="S400" s="662"/>
      <c r="T400" s="662"/>
      <c r="U400" s="662"/>
      <c r="V400" s="663"/>
      <c r="W400" s="659" t="str">
        <f>Calcu_ADJ!L35</f>
        <v/>
      </c>
      <c r="X400" s="662"/>
      <c r="Y400" s="662"/>
      <c r="Z400" s="662"/>
      <c r="AA400" s="662"/>
      <c r="AB400" s="662"/>
      <c r="AC400" s="663"/>
      <c r="AD400" s="659" t="str">
        <f>Calcu_ADJ!M35</f>
        <v/>
      </c>
      <c r="AE400" s="662"/>
      <c r="AF400" s="662"/>
      <c r="AG400" s="662"/>
      <c r="AH400" s="662"/>
      <c r="AI400" s="662"/>
      <c r="AJ400" s="663"/>
      <c r="AK400" s="659" t="str">
        <f t="shared" si="24"/>
        <v/>
      </c>
      <c r="AL400" s="662"/>
      <c r="AM400" s="662"/>
      <c r="AN400" s="662"/>
      <c r="AO400" s="662"/>
      <c r="AP400" s="662"/>
      <c r="AQ400" s="663"/>
      <c r="AR400" s="154"/>
      <c r="AS400" s="154"/>
      <c r="AT400" s="469"/>
    </row>
    <row r="401" spans="1:46" ht="18" customHeight="1">
      <c r="A401" s="469"/>
      <c r="B401" s="658">
        <v>28</v>
      </c>
      <c r="C401" s="639"/>
      <c r="D401" s="639"/>
      <c r="E401" s="639"/>
      <c r="F401" s="639"/>
      <c r="G401" s="639"/>
      <c r="H401" s="640"/>
      <c r="I401" s="659" t="str">
        <f>Calcu_ADJ!E36</f>
        <v/>
      </c>
      <c r="J401" s="660"/>
      <c r="K401" s="660"/>
      <c r="L401" s="660"/>
      <c r="M401" s="660"/>
      <c r="N401" s="660"/>
      <c r="O401" s="661"/>
      <c r="P401" s="659" t="str">
        <f>Calcu_ADJ!K36</f>
        <v/>
      </c>
      <c r="Q401" s="662"/>
      <c r="R401" s="662"/>
      <c r="S401" s="662"/>
      <c r="T401" s="662"/>
      <c r="U401" s="662"/>
      <c r="V401" s="663"/>
      <c r="W401" s="659" t="str">
        <f>Calcu_ADJ!L36</f>
        <v/>
      </c>
      <c r="X401" s="662"/>
      <c r="Y401" s="662"/>
      <c r="Z401" s="662"/>
      <c r="AA401" s="662"/>
      <c r="AB401" s="662"/>
      <c r="AC401" s="663"/>
      <c r="AD401" s="659" t="str">
        <f>Calcu_ADJ!M36</f>
        <v/>
      </c>
      <c r="AE401" s="662"/>
      <c r="AF401" s="662"/>
      <c r="AG401" s="662"/>
      <c r="AH401" s="662"/>
      <c r="AI401" s="662"/>
      <c r="AJ401" s="663"/>
      <c r="AK401" s="659" t="str">
        <f t="shared" si="24"/>
        <v/>
      </c>
      <c r="AL401" s="662"/>
      <c r="AM401" s="662"/>
      <c r="AN401" s="662"/>
      <c r="AO401" s="662"/>
      <c r="AP401" s="662"/>
      <c r="AQ401" s="663"/>
      <c r="AR401" s="154"/>
      <c r="AS401" s="154"/>
      <c r="AT401" s="469"/>
    </row>
    <row r="402" spans="1:46" ht="18" customHeight="1">
      <c r="A402" s="469"/>
      <c r="B402" s="658">
        <v>29</v>
      </c>
      <c r="C402" s="639"/>
      <c r="D402" s="639"/>
      <c r="E402" s="639"/>
      <c r="F402" s="639"/>
      <c r="G402" s="639"/>
      <c r="H402" s="640"/>
      <c r="I402" s="659" t="str">
        <f>Calcu_ADJ!E37</f>
        <v/>
      </c>
      <c r="J402" s="660"/>
      <c r="K402" s="660"/>
      <c r="L402" s="660"/>
      <c r="M402" s="660"/>
      <c r="N402" s="660"/>
      <c r="O402" s="661"/>
      <c r="P402" s="659" t="str">
        <f>Calcu_ADJ!K37</f>
        <v/>
      </c>
      <c r="Q402" s="662"/>
      <c r="R402" s="662"/>
      <c r="S402" s="662"/>
      <c r="T402" s="662"/>
      <c r="U402" s="662"/>
      <c r="V402" s="663"/>
      <c r="W402" s="659" t="str">
        <f>Calcu_ADJ!L37</f>
        <v/>
      </c>
      <c r="X402" s="662"/>
      <c r="Y402" s="662"/>
      <c r="Z402" s="662"/>
      <c r="AA402" s="662"/>
      <c r="AB402" s="662"/>
      <c r="AC402" s="663"/>
      <c r="AD402" s="659" t="str">
        <f>Calcu_ADJ!M37</f>
        <v/>
      </c>
      <c r="AE402" s="662"/>
      <c r="AF402" s="662"/>
      <c r="AG402" s="662"/>
      <c r="AH402" s="662"/>
      <c r="AI402" s="662"/>
      <c r="AJ402" s="663"/>
      <c r="AK402" s="659" t="str">
        <f t="shared" si="24"/>
        <v/>
      </c>
      <c r="AL402" s="662"/>
      <c r="AM402" s="662"/>
      <c r="AN402" s="662"/>
      <c r="AO402" s="662"/>
      <c r="AP402" s="662"/>
      <c r="AQ402" s="663"/>
      <c r="AR402" s="154"/>
      <c r="AS402" s="154"/>
      <c r="AT402" s="469"/>
    </row>
    <row r="403" spans="1:46" ht="18" customHeight="1">
      <c r="A403" s="469"/>
      <c r="B403" s="672">
        <v>30</v>
      </c>
      <c r="C403" s="642"/>
      <c r="D403" s="642"/>
      <c r="E403" s="642"/>
      <c r="F403" s="642"/>
      <c r="G403" s="642"/>
      <c r="H403" s="643"/>
      <c r="I403" s="673" t="str">
        <f>Calcu_ADJ!E38</f>
        <v/>
      </c>
      <c r="J403" s="674"/>
      <c r="K403" s="674"/>
      <c r="L403" s="674"/>
      <c r="M403" s="674"/>
      <c r="N403" s="674"/>
      <c r="O403" s="675"/>
      <c r="P403" s="673" t="str">
        <f>Calcu_ADJ!K38</f>
        <v/>
      </c>
      <c r="Q403" s="676"/>
      <c r="R403" s="676"/>
      <c r="S403" s="676"/>
      <c r="T403" s="676"/>
      <c r="U403" s="676"/>
      <c r="V403" s="677"/>
      <c r="W403" s="673" t="str">
        <f>Calcu_ADJ!L38</f>
        <v/>
      </c>
      <c r="X403" s="676"/>
      <c r="Y403" s="676"/>
      <c r="Z403" s="676"/>
      <c r="AA403" s="676"/>
      <c r="AB403" s="676"/>
      <c r="AC403" s="677"/>
      <c r="AD403" s="673" t="str">
        <f>Calcu_ADJ!M38</f>
        <v/>
      </c>
      <c r="AE403" s="676"/>
      <c r="AF403" s="676"/>
      <c r="AG403" s="676"/>
      <c r="AH403" s="676"/>
      <c r="AI403" s="676"/>
      <c r="AJ403" s="677"/>
      <c r="AK403" s="673" t="str">
        <f t="shared" si="24"/>
        <v/>
      </c>
      <c r="AL403" s="676"/>
      <c r="AM403" s="676"/>
      <c r="AN403" s="676"/>
      <c r="AO403" s="676"/>
      <c r="AP403" s="676"/>
      <c r="AQ403" s="677"/>
      <c r="AR403" s="154"/>
      <c r="AS403" s="154"/>
      <c r="AT403" s="469"/>
    </row>
    <row r="404" spans="1:46" s="469" customFormat="1" ht="18" customHeight="1">
      <c r="B404" s="461"/>
      <c r="C404" s="461"/>
      <c r="D404" s="461"/>
      <c r="E404" s="461"/>
      <c r="F404" s="461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/>
      <c r="Q404" s="461"/>
      <c r="R404" s="461"/>
      <c r="S404" s="461"/>
      <c r="T404" s="461"/>
      <c r="U404" s="461"/>
      <c r="V404" s="461"/>
      <c r="W404" s="461"/>
      <c r="X404" s="461"/>
      <c r="Y404" s="461"/>
      <c r="Z404" s="461"/>
      <c r="AA404" s="461"/>
      <c r="AB404" s="461"/>
      <c r="AC404" s="461"/>
      <c r="AD404" s="461"/>
      <c r="AE404" s="461"/>
      <c r="AF404" s="461"/>
      <c r="AG404" s="461"/>
      <c r="AH404" s="461"/>
      <c r="AI404" s="461"/>
      <c r="AJ404" s="461"/>
      <c r="AK404" s="461"/>
      <c r="AL404" s="461"/>
      <c r="AM404" s="461"/>
      <c r="AN404" s="461"/>
      <c r="AO404" s="461"/>
      <c r="AP404" s="461"/>
      <c r="AQ404" s="461"/>
      <c r="AR404" s="154"/>
      <c r="AS404" s="154"/>
    </row>
    <row r="405" spans="1:46" ht="18" customHeight="1">
      <c r="A405" s="194" t="s">
        <v>411</v>
      </c>
      <c r="B405" s="469"/>
      <c r="C405" s="469"/>
      <c r="D405" s="469"/>
      <c r="E405" s="469"/>
      <c r="F405" s="469"/>
      <c r="G405" s="469"/>
      <c r="H405" s="469"/>
      <c r="I405" s="469"/>
      <c r="J405" s="469"/>
      <c r="K405" s="469"/>
      <c r="L405" s="469"/>
      <c r="M405" s="469"/>
      <c r="N405" s="469"/>
      <c r="O405" s="469"/>
      <c r="P405" s="469"/>
      <c r="Q405" s="469"/>
      <c r="R405" s="469"/>
      <c r="S405" s="469"/>
      <c r="T405" s="469"/>
      <c r="U405" s="469"/>
      <c r="V405" s="469"/>
      <c r="W405" s="469"/>
      <c r="X405" s="469"/>
      <c r="Y405" s="469"/>
      <c r="Z405" s="469"/>
      <c r="AA405" s="469"/>
      <c r="AB405" s="469"/>
      <c r="AC405" s="469"/>
      <c r="AD405" s="469"/>
      <c r="AE405" s="469"/>
      <c r="AF405" s="469"/>
      <c r="AG405" s="469"/>
      <c r="AH405" s="469"/>
      <c r="AI405" s="469"/>
      <c r="AJ405" s="469"/>
      <c r="AK405" s="469"/>
      <c r="AL405" s="469"/>
      <c r="AM405" s="469"/>
      <c r="AN405" s="469"/>
      <c r="AO405" s="469"/>
      <c r="AP405" s="469"/>
      <c r="AQ405" s="469"/>
      <c r="AR405" s="469"/>
      <c r="AS405" s="469"/>
      <c r="AT405" s="469"/>
    </row>
    <row r="406" spans="1:46" ht="18" customHeight="1">
      <c r="A406" s="469"/>
      <c r="B406" s="635" t="s">
        <v>412</v>
      </c>
      <c r="C406" s="687"/>
      <c r="D406" s="687"/>
      <c r="E406" s="635" t="s">
        <v>404</v>
      </c>
      <c r="F406" s="636"/>
      <c r="G406" s="636"/>
      <c r="H406" s="636"/>
      <c r="I406" s="636"/>
      <c r="J406" s="636"/>
      <c r="K406" s="637"/>
      <c r="L406" s="689" t="s">
        <v>413</v>
      </c>
      <c r="M406" s="689"/>
      <c r="N406" s="689"/>
      <c r="O406" s="689"/>
      <c r="P406" s="689"/>
      <c r="Q406" s="689"/>
      <c r="R406" s="689"/>
      <c r="S406" s="689"/>
      <c r="T406" s="689"/>
      <c r="U406" s="689"/>
      <c r="V406" s="689"/>
      <c r="W406" s="689"/>
      <c r="X406" s="689"/>
      <c r="Y406" s="689"/>
      <c r="Z406" s="689"/>
      <c r="AA406" s="689"/>
      <c r="AB406" s="689"/>
      <c r="AC406" s="689"/>
      <c r="AD406" s="689"/>
      <c r="AE406" s="689"/>
      <c r="AF406" s="689"/>
      <c r="AG406" s="689"/>
      <c r="AH406" s="689"/>
      <c r="AI406" s="689"/>
      <c r="AJ406" s="689"/>
      <c r="AK406" s="689"/>
      <c r="AL406" s="689"/>
      <c r="AM406" s="689"/>
      <c r="AN406" s="689"/>
      <c r="AO406" s="689"/>
      <c r="AP406" s="689"/>
      <c r="AQ406" s="689"/>
      <c r="AR406" s="154"/>
      <c r="AS406" s="154"/>
      <c r="AT406" s="469"/>
    </row>
    <row r="407" spans="1:46" ht="18" customHeight="1">
      <c r="A407" s="469"/>
      <c r="B407" s="658"/>
      <c r="C407" s="681"/>
      <c r="D407" s="681"/>
      <c r="E407" s="641"/>
      <c r="F407" s="642"/>
      <c r="G407" s="642"/>
      <c r="H407" s="642"/>
      <c r="I407" s="642"/>
      <c r="J407" s="642"/>
      <c r="K407" s="643"/>
      <c r="L407" s="672" t="s">
        <v>406</v>
      </c>
      <c r="M407" s="642"/>
      <c r="N407" s="642"/>
      <c r="O407" s="642"/>
      <c r="P407" s="642"/>
      <c r="Q407" s="642"/>
      <c r="R407" s="643"/>
      <c r="S407" s="672" t="s">
        <v>66</v>
      </c>
      <c r="T407" s="642"/>
      <c r="U407" s="642"/>
      <c r="V407" s="642"/>
      <c r="W407" s="642"/>
      <c r="X407" s="642"/>
      <c r="Y407" s="643"/>
      <c r="Z407" s="672" t="s">
        <v>94</v>
      </c>
      <c r="AA407" s="642"/>
      <c r="AB407" s="642"/>
      <c r="AC407" s="642"/>
      <c r="AD407" s="642"/>
      <c r="AE407" s="642"/>
      <c r="AF407" s="643"/>
      <c r="AG407" s="690" t="s">
        <v>416</v>
      </c>
      <c r="AH407" s="691"/>
      <c r="AI407" s="691"/>
      <c r="AJ407" s="691"/>
      <c r="AK407" s="691"/>
      <c r="AL407" s="691"/>
      <c r="AM407" s="691"/>
      <c r="AN407" s="691"/>
      <c r="AO407" s="691"/>
      <c r="AP407" s="691"/>
      <c r="AQ407" s="692"/>
      <c r="AR407" s="154"/>
      <c r="AS407" s="154"/>
      <c r="AT407" s="469"/>
    </row>
    <row r="408" spans="1:46" ht="18" customHeight="1">
      <c r="A408" s="469"/>
      <c r="B408" s="672"/>
      <c r="C408" s="688"/>
      <c r="D408" s="688"/>
      <c r="E408" s="628">
        <f t="shared" ref="E408:E438" si="25">I373</f>
        <v>0</v>
      </c>
      <c r="F408" s="629"/>
      <c r="G408" s="629"/>
      <c r="H408" s="629"/>
      <c r="I408" s="629"/>
      <c r="J408" s="629"/>
      <c r="K408" s="630"/>
      <c r="L408" s="628">
        <f>P373</f>
        <v>0</v>
      </c>
      <c r="M408" s="631"/>
      <c r="N408" s="631"/>
      <c r="O408" s="631"/>
      <c r="P408" s="631"/>
      <c r="Q408" s="631"/>
      <c r="R408" s="632"/>
      <c r="S408" s="628">
        <f t="shared" ref="S408:S438" si="26">W373</f>
        <v>0</v>
      </c>
      <c r="T408" s="631"/>
      <c r="U408" s="631"/>
      <c r="V408" s="631"/>
      <c r="W408" s="631"/>
      <c r="X408" s="631"/>
      <c r="Y408" s="632"/>
      <c r="Z408" s="628">
        <f t="shared" ref="Z408:Z438" si="27">AD373</f>
        <v>0</v>
      </c>
      <c r="AA408" s="631"/>
      <c r="AB408" s="631"/>
      <c r="AC408" s="631"/>
      <c r="AD408" s="631"/>
      <c r="AE408" s="631"/>
      <c r="AF408" s="632"/>
      <c r="AG408" s="693"/>
      <c r="AH408" s="694"/>
      <c r="AI408" s="694"/>
      <c r="AJ408" s="694"/>
      <c r="AK408" s="694"/>
      <c r="AL408" s="694"/>
      <c r="AM408" s="694"/>
      <c r="AN408" s="694"/>
      <c r="AO408" s="694"/>
      <c r="AP408" s="694"/>
      <c r="AQ408" s="695"/>
      <c r="AR408" s="154"/>
      <c r="AS408" s="154"/>
      <c r="AT408" s="469"/>
    </row>
    <row r="409" spans="1:46" ht="18" customHeight="1">
      <c r="A409" s="469"/>
      <c r="B409" s="664">
        <v>1</v>
      </c>
      <c r="C409" s="686"/>
      <c r="D409" s="686"/>
      <c r="E409" s="667" t="str">
        <f t="shared" si="25"/>
        <v/>
      </c>
      <c r="F409" s="668"/>
      <c r="G409" s="668"/>
      <c r="H409" s="668"/>
      <c r="I409" s="668"/>
      <c r="J409" s="668"/>
      <c r="K409" s="669"/>
      <c r="L409" s="667" t="str">
        <f>Calcu_ADJ!K9</f>
        <v/>
      </c>
      <c r="M409" s="670"/>
      <c r="N409" s="670"/>
      <c r="O409" s="670"/>
      <c r="P409" s="670"/>
      <c r="Q409" s="670"/>
      <c r="R409" s="671"/>
      <c r="S409" s="667" t="str">
        <f t="shared" si="26"/>
        <v/>
      </c>
      <c r="T409" s="670"/>
      <c r="U409" s="670"/>
      <c r="V409" s="670"/>
      <c r="W409" s="670"/>
      <c r="X409" s="670"/>
      <c r="Y409" s="671"/>
      <c r="Z409" s="667" t="str">
        <f t="shared" si="27"/>
        <v/>
      </c>
      <c r="AA409" s="670"/>
      <c r="AB409" s="670"/>
      <c r="AC409" s="670"/>
      <c r="AD409" s="670"/>
      <c r="AE409" s="670"/>
      <c r="AF409" s="671"/>
      <c r="AG409" s="678"/>
      <c r="AH409" s="679"/>
      <c r="AI409" s="679"/>
      <c r="AJ409" s="679"/>
      <c r="AK409" s="679"/>
      <c r="AL409" s="679"/>
      <c r="AM409" s="679"/>
      <c r="AN409" s="679"/>
      <c r="AO409" s="679"/>
      <c r="AP409" s="679"/>
      <c r="AQ409" s="680"/>
      <c r="AR409" s="154"/>
      <c r="AS409" s="154"/>
      <c r="AT409" s="469"/>
    </row>
    <row r="410" spans="1:46" ht="18" customHeight="1">
      <c r="A410" s="469"/>
      <c r="B410" s="658">
        <v>2</v>
      </c>
      <c r="C410" s="681"/>
      <c r="D410" s="681"/>
      <c r="E410" s="659" t="str">
        <f t="shared" si="25"/>
        <v/>
      </c>
      <c r="F410" s="660"/>
      <c r="G410" s="660"/>
      <c r="H410" s="660"/>
      <c r="I410" s="660"/>
      <c r="J410" s="660"/>
      <c r="K410" s="661"/>
      <c r="L410" s="659" t="str">
        <f t="shared" ref="L410:L438" si="28">P375</f>
        <v/>
      </c>
      <c r="M410" s="662"/>
      <c r="N410" s="662"/>
      <c r="O410" s="662"/>
      <c r="P410" s="662"/>
      <c r="Q410" s="662"/>
      <c r="R410" s="663"/>
      <c r="S410" s="659" t="str">
        <f t="shared" si="26"/>
        <v/>
      </c>
      <c r="T410" s="662"/>
      <c r="U410" s="662"/>
      <c r="V410" s="662"/>
      <c r="W410" s="662"/>
      <c r="X410" s="662"/>
      <c r="Y410" s="663"/>
      <c r="Z410" s="659" t="str">
        <f t="shared" si="27"/>
        <v/>
      </c>
      <c r="AA410" s="662"/>
      <c r="AB410" s="662"/>
      <c r="AC410" s="662"/>
      <c r="AD410" s="662"/>
      <c r="AE410" s="662"/>
      <c r="AF410" s="663"/>
      <c r="AG410" s="682" t="s">
        <v>417</v>
      </c>
      <c r="AH410" s="683"/>
      <c r="AI410" s="683"/>
      <c r="AJ410" s="683"/>
      <c r="AK410" s="683"/>
      <c r="AL410" s="684">
        <f>SUM(Calcu_ADJ!O9:Q38)</f>
        <v>0</v>
      </c>
      <c r="AM410" s="684"/>
      <c r="AN410" s="684"/>
      <c r="AO410" s="684"/>
      <c r="AP410" s="684"/>
      <c r="AQ410" s="685"/>
      <c r="AR410" s="154"/>
      <c r="AS410" s="154"/>
      <c r="AT410" s="469"/>
    </row>
    <row r="411" spans="1:46" ht="18" customHeight="1">
      <c r="A411" s="469"/>
      <c r="B411" s="658">
        <v>3</v>
      </c>
      <c r="C411" s="681"/>
      <c r="D411" s="681"/>
      <c r="E411" s="659" t="str">
        <f t="shared" si="25"/>
        <v/>
      </c>
      <c r="F411" s="660"/>
      <c r="G411" s="660"/>
      <c r="H411" s="660"/>
      <c r="I411" s="660"/>
      <c r="J411" s="660"/>
      <c r="K411" s="661"/>
      <c r="L411" s="659" t="str">
        <f t="shared" si="28"/>
        <v/>
      </c>
      <c r="M411" s="662"/>
      <c r="N411" s="662"/>
      <c r="O411" s="662"/>
      <c r="P411" s="662"/>
      <c r="Q411" s="662"/>
      <c r="R411" s="663"/>
      <c r="S411" s="659" t="str">
        <f t="shared" si="26"/>
        <v/>
      </c>
      <c r="T411" s="662"/>
      <c r="U411" s="662"/>
      <c r="V411" s="662"/>
      <c r="W411" s="662"/>
      <c r="X411" s="662"/>
      <c r="Y411" s="663"/>
      <c r="Z411" s="659" t="str">
        <f t="shared" si="27"/>
        <v/>
      </c>
      <c r="AA411" s="662"/>
      <c r="AB411" s="662"/>
      <c r="AC411" s="662"/>
      <c r="AD411" s="662"/>
      <c r="AE411" s="662"/>
      <c r="AF411" s="663"/>
      <c r="AG411" s="682" t="s">
        <v>418</v>
      </c>
      <c r="AH411" s="683"/>
      <c r="AI411" s="683"/>
      <c r="AJ411" s="683"/>
      <c r="AK411" s="683"/>
      <c r="AL411" s="684">
        <f>SUM(Calcu_ADJ!N9:N38)</f>
        <v>0</v>
      </c>
      <c r="AM411" s="684"/>
      <c r="AN411" s="684"/>
      <c r="AO411" s="684"/>
      <c r="AP411" s="684"/>
      <c r="AQ411" s="685"/>
      <c r="AR411" s="154"/>
      <c r="AS411" s="154"/>
      <c r="AT411" s="469"/>
    </row>
    <row r="412" spans="1:46" ht="18" customHeight="1">
      <c r="A412" s="469"/>
      <c r="B412" s="658">
        <v>4</v>
      </c>
      <c r="C412" s="681"/>
      <c r="D412" s="681"/>
      <c r="E412" s="659" t="str">
        <f t="shared" si="25"/>
        <v/>
      </c>
      <c r="F412" s="660"/>
      <c r="G412" s="660"/>
      <c r="H412" s="660"/>
      <c r="I412" s="660"/>
      <c r="J412" s="660"/>
      <c r="K412" s="661"/>
      <c r="L412" s="659" t="str">
        <f t="shared" si="28"/>
        <v/>
      </c>
      <c r="M412" s="662"/>
      <c r="N412" s="662"/>
      <c r="O412" s="662"/>
      <c r="P412" s="662"/>
      <c r="Q412" s="662"/>
      <c r="R412" s="663"/>
      <c r="S412" s="659" t="str">
        <f t="shared" si="26"/>
        <v/>
      </c>
      <c r="T412" s="662"/>
      <c r="U412" s="662"/>
      <c r="V412" s="662"/>
      <c r="W412" s="662"/>
      <c r="X412" s="662"/>
      <c r="Y412" s="663"/>
      <c r="Z412" s="659" t="str">
        <f t="shared" si="27"/>
        <v/>
      </c>
      <c r="AA412" s="662"/>
      <c r="AB412" s="662"/>
      <c r="AC412" s="662"/>
      <c r="AD412" s="662"/>
      <c r="AE412" s="662"/>
      <c r="AF412" s="663"/>
      <c r="AG412" s="699" t="s">
        <v>419</v>
      </c>
      <c r="AH412" s="700"/>
      <c r="AI412" s="700"/>
      <c r="AJ412" s="700"/>
      <c r="AK412" s="700"/>
      <c r="AL412" s="700"/>
      <c r="AM412" s="700"/>
      <c r="AN412" s="700"/>
      <c r="AO412" s="700"/>
      <c r="AP412" s="700"/>
      <c r="AQ412" s="701"/>
      <c r="AR412" s="154"/>
      <c r="AS412" s="154"/>
      <c r="AT412" s="469"/>
    </row>
    <row r="413" spans="1:46" ht="18" customHeight="1">
      <c r="A413" s="469"/>
      <c r="B413" s="658">
        <v>5</v>
      </c>
      <c r="C413" s="681"/>
      <c r="D413" s="681"/>
      <c r="E413" s="659" t="str">
        <f t="shared" si="25"/>
        <v/>
      </c>
      <c r="F413" s="660"/>
      <c r="G413" s="660"/>
      <c r="H413" s="660"/>
      <c r="I413" s="660"/>
      <c r="J413" s="660"/>
      <c r="K413" s="661"/>
      <c r="L413" s="659" t="str">
        <f t="shared" si="28"/>
        <v/>
      </c>
      <c r="M413" s="662"/>
      <c r="N413" s="662"/>
      <c r="O413" s="662"/>
      <c r="P413" s="662"/>
      <c r="Q413" s="662"/>
      <c r="R413" s="663"/>
      <c r="S413" s="659" t="str">
        <f t="shared" si="26"/>
        <v/>
      </c>
      <c r="T413" s="662"/>
      <c r="U413" s="662"/>
      <c r="V413" s="662"/>
      <c r="W413" s="662"/>
      <c r="X413" s="662"/>
      <c r="Y413" s="663"/>
      <c r="Z413" s="659" t="str">
        <f t="shared" si="27"/>
        <v/>
      </c>
      <c r="AA413" s="662"/>
      <c r="AB413" s="662"/>
      <c r="AC413" s="662"/>
      <c r="AD413" s="662"/>
      <c r="AE413" s="662"/>
      <c r="AF413" s="663"/>
      <c r="AG413" s="696"/>
      <c r="AH413" s="697"/>
      <c r="AI413" s="697"/>
      <c r="AJ413" s="697"/>
      <c r="AK413" s="697"/>
      <c r="AL413" s="697"/>
      <c r="AM413" s="697"/>
      <c r="AN413" s="697"/>
      <c r="AO413" s="697"/>
      <c r="AP413" s="697"/>
      <c r="AQ413" s="698"/>
      <c r="AR413" s="154"/>
      <c r="AS413" s="154"/>
      <c r="AT413" s="469"/>
    </row>
    <row r="414" spans="1:46" ht="18" customHeight="1">
      <c r="A414" s="469"/>
      <c r="B414" s="658">
        <v>6</v>
      </c>
      <c r="C414" s="681"/>
      <c r="D414" s="681"/>
      <c r="E414" s="659" t="str">
        <f t="shared" si="25"/>
        <v/>
      </c>
      <c r="F414" s="660"/>
      <c r="G414" s="660"/>
      <c r="H414" s="660"/>
      <c r="I414" s="660"/>
      <c r="J414" s="660"/>
      <c r="K414" s="661"/>
      <c r="L414" s="659" t="str">
        <f t="shared" si="28"/>
        <v/>
      </c>
      <c r="M414" s="662"/>
      <c r="N414" s="662"/>
      <c r="O414" s="662"/>
      <c r="P414" s="662"/>
      <c r="Q414" s="662"/>
      <c r="R414" s="663"/>
      <c r="S414" s="659" t="str">
        <f t="shared" si="26"/>
        <v/>
      </c>
      <c r="T414" s="662"/>
      <c r="U414" s="662"/>
      <c r="V414" s="662"/>
      <c r="W414" s="662"/>
      <c r="X414" s="662"/>
      <c r="Y414" s="663"/>
      <c r="Z414" s="659" t="str">
        <f t="shared" si="27"/>
        <v/>
      </c>
      <c r="AA414" s="662"/>
      <c r="AB414" s="662"/>
      <c r="AC414" s="662"/>
      <c r="AD414" s="662"/>
      <c r="AE414" s="662"/>
      <c r="AF414" s="663"/>
      <c r="AG414" s="696"/>
      <c r="AH414" s="697"/>
      <c r="AI414" s="697"/>
      <c r="AJ414" s="697"/>
      <c r="AK414" s="697"/>
      <c r="AL414" s="697"/>
      <c r="AM414" s="697"/>
      <c r="AN414" s="697"/>
      <c r="AO414" s="697"/>
      <c r="AP414" s="697"/>
      <c r="AQ414" s="698"/>
      <c r="AR414" s="154"/>
      <c r="AS414" s="154"/>
      <c r="AT414" s="469"/>
    </row>
    <row r="415" spans="1:46" ht="18" customHeight="1">
      <c r="A415" s="469"/>
      <c r="B415" s="658">
        <v>7</v>
      </c>
      <c r="C415" s="681"/>
      <c r="D415" s="681"/>
      <c r="E415" s="659" t="str">
        <f t="shared" si="25"/>
        <v/>
      </c>
      <c r="F415" s="660"/>
      <c r="G415" s="660"/>
      <c r="H415" s="660"/>
      <c r="I415" s="660"/>
      <c r="J415" s="660"/>
      <c r="K415" s="661"/>
      <c r="L415" s="659" t="str">
        <f t="shared" si="28"/>
        <v/>
      </c>
      <c r="M415" s="662"/>
      <c r="N415" s="662"/>
      <c r="O415" s="662"/>
      <c r="P415" s="662"/>
      <c r="Q415" s="662"/>
      <c r="R415" s="663"/>
      <c r="S415" s="659" t="str">
        <f t="shared" si="26"/>
        <v/>
      </c>
      <c r="T415" s="662"/>
      <c r="U415" s="662"/>
      <c r="V415" s="662"/>
      <c r="W415" s="662"/>
      <c r="X415" s="662"/>
      <c r="Y415" s="663"/>
      <c r="Z415" s="659" t="str">
        <f t="shared" si="27"/>
        <v/>
      </c>
      <c r="AA415" s="662"/>
      <c r="AB415" s="662"/>
      <c r="AC415" s="662"/>
      <c r="AD415" s="662"/>
      <c r="AE415" s="662"/>
      <c r="AF415" s="663"/>
      <c r="AG415" s="706" t="s">
        <v>420</v>
      </c>
      <c r="AH415" s="707"/>
      <c r="AI415" s="707"/>
      <c r="AJ415" s="702" t="e">
        <f>Calcu_ADJ!O7</f>
        <v>#DIV/0!</v>
      </c>
      <c r="AK415" s="702"/>
      <c r="AL415" s="702"/>
      <c r="AM415" s="702"/>
      <c r="AN415" s="702"/>
      <c r="AO415" s="702"/>
      <c r="AP415" s="702"/>
      <c r="AQ415" s="703"/>
      <c r="AR415" s="154"/>
      <c r="AS415" s="154"/>
      <c r="AT415" s="469"/>
    </row>
    <row r="416" spans="1:46" ht="18" customHeight="1">
      <c r="A416" s="469"/>
      <c r="B416" s="658">
        <v>8</v>
      </c>
      <c r="C416" s="681"/>
      <c r="D416" s="681"/>
      <c r="E416" s="659" t="str">
        <f t="shared" si="25"/>
        <v/>
      </c>
      <c r="F416" s="660"/>
      <c r="G416" s="660"/>
      <c r="H416" s="660"/>
      <c r="I416" s="660"/>
      <c r="J416" s="660"/>
      <c r="K416" s="661"/>
      <c r="L416" s="659" t="str">
        <f t="shared" si="28"/>
        <v/>
      </c>
      <c r="M416" s="662"/>
      <c r="N416" s="662"/>
      <c r="O416" s="662"/>
      <c r="P416" s="662"/>
      <c r="Q416" s="662"/>
      <c r="R416" s="663"/>
      <c r="S416" s="659" t="str">
        <f t="shared" si="26"/>
        <v/>
      </c>
      <c r="T416" s="662"/>
      <c r="U416" s="662"/>
      <c r="V416" s="662"/>
      <c r="W416" s="662"/>
      <c r="X416" s="662"/>
      <c r="Y416" s="663"/>
      <c r="Z416" s="659" t="str">
        <f t="shared" si="27"/>
        <v/>
      </c>
      <c r="AA416" s="662"/>
      <c r="AB416" s="662"/>
      <c r="AC416" s="662"/>
      <c r="AD416" s="662"/>
      <c r="AE416" s="662"/>
      <c r="AF416" s="663"/>
      <c r="AG416" s="370"/>
      <c r="AH416" s="286"/>
      <c r="AI416" s="286"/>
      <c r="AJ416" s="704" t="str">
        <f>"("&amp;L408&amp;")/"&amp;E408</f>
        <v>(0)/0</v>
      </c>
      <c r="AK416" s="704"/>
      <c r="AL416" s="704"/>
      <c r="AM416" s="704"/>
      <c r="AN416" s="704"/>
      <c r="AO416" s="704"/>
      <c r="AP416" s="704"/>
      <c r="AQ416" s="705"/>
      <c r="AR416" s="154"/>
      <c r="AS416" s="154"/>
      <c r="AT416" s="469"/>
    </row>
    <row r="417" spans="1:46" ht="18" customHeight="1">
      <c r="A417" s="469"/>
      <c r="B417" s="658">
        <v>9</v>
      </c>
      <c r="C417" s="681"/>
      <c r="D417" s="681"/>
      <c r="E417" s="659" t="str">
        <f t="shared" si="25"/>
        <v/>
      </c>
      <c r="F417" s="660"/>
      <c r="G417" s="660"/>
      <c r="H417" s="660"/>
      <c r="I417" s="660"/>
      <c r="J417" s="660"/>
      <c r="K417" s="661"/>
      <c r="L417" s="659" t="str">
        <f t="shared" si="28"/>
        <v/>
      </c>
      <c r="M417" s="662"/>
      <c r="N417" s="662"/>
      <c r="O417" s="662"/>
      <c r="P417" s="662"/>
      <c r="Q417" s="662"/>
      <c r="R417" s="663"/>
      <c r="S417" s="659" t="str">
        <f t="shared" si="26"/>
        <v/>
      </c>
      <c r="T417" s="662"/>
      <c r="U417" s="662"/>
      <c r="V417" s="662"/>
      <c r="W417" s="662"/>
      <c r="X417" s="662"/>
      <c r="Y417" s="663"/>
      <c r="Z417" s="659" t="str">
        <f t="shared" si="27"/>
        <v/>
      </c>
      <c r="AA417" s="662"/>
      <c r="AB417" s="662"/>
      <c r="AC417" s="662"/>
      <c r="AD417" s="662"/>
      <c r="AE417" s="662"/>
      <c r="AF417" s="663"/>
      <c r="AG417" s="696"/>
      <c r="AH417" s="697"/>
      <c r="AI417" s="697"/>
      <c r="AJ417" s="697"/>
      <c r="AK417" s="697"/>
      <c r="AL417" s="697"/>
      <c r="AM417" s="697"/>
      <c r="AN417" s="697"/>
      <c r="AO417" s="697"/>
      <c r="AP417" s="697"/>
      <c r="AQ417" s="698"/>
      <c r="AR417" s="154"/>
      <c r="AS417" s="154"/>
      <c r="AT417" s="469"/>
    </row>
    <row r="418" spans="1:46" ht="18" customHeight="1">
      <c r="A418" s="469"/>
      <c r="B418" s="658">
        <v>10</v>
      </c>
      <c r="C418" s="681"/>
      <c r="D418" s="681"/>
      <c r="E418" s="659" t="str">
        <f t="shared" si="25"/>
        <v/>
      </c>
      <c r="F418" s="660"/>
      <c r="G418" s="660"/>
      <c r="H418" s="660"/>
      <c r="I418" s="660"/>
      <c r="J418" s="660"/>
      <c r="K418" s="661"/>
      <c r="L418" s="659" t="str">
        <f t="shared" si="28"/>
        <v/>
      </c>
      <c r="M418" s="662"/>
      <c r="N418" s="662"/>
      <c r="O418" s="662"/>
      <c r="P418" s="662"/>
      <c r="Q418" s="662"/>
      <c r="R418" s="663"/>
      <c r="S418" s="659" t="str">
        <f t="shared" si="26"/>
        <v/>
      </c>
      <c r="T418" s="662"/>
      <c r="U418" s="662"/>
      <c r="V418" s="662"/>
      <c r="W418" s="662"/>
      <c r="X418" s="662"/>
      <c r="Y418" s="663"/>
      <c r="Z418" s="659" t="str">
        <f t="shared" si="27"/>
        <v/>
      </c>
      <c r="AA418" s="662"/>
      <c r="AB418" s="662"/>
      <c r="AC418" s="662"/>
      <c r="AD418" s="662"/>
      <c r="AE418" s="662"/>
      <c r="AF418" s="663"/>
      <c r="AG418" s="699" t="s">
        <v>421</v>
      </c>
      <c r="AH418" s="700"/>
      <c r="AI418" s="700"/>
      <c r="AJ418" s="700"/>
      <c r="AK418" s="700"/>
      <c r="AL418" s="700"/>
      <c r="AM418" s="700"/>
      <c r="AN418" s="700"/>
      <c r="AO418" s="700"/>
      <c r="AP418" s="700"/>
      <c r="AQ418" s="701"/>
      <c r="AR418" s="154"/>
      <c r="AS418" s="154"/>
      <c r="AT418" s="469"/>
    </row>
    <row r="419" spans="1:46" ht="18" customHeight="1">
      <c r="A419" s="469"/>
      <c r="B419" s="658">
        <v>11</v>
      </c>
      <c r="C419" s="681"/>
      <c r="D419" s="681"/>
      <c r="E419" s="659" t="str">
        <f t="shared" si="25"/>
        <v/>
      </c>
      <c r="F419" s="660"/>
      <c r="G419" s="660"/>
      <c r="H419" s="660"/>
      <c r="I419" s="660"/>
      <c r="J419" s="660"/>
      <c r="K419" s="661"/>
      <c r="L419" s="659" t="str">
        <f t="shared" si="28"/>
        <v/>
      </c>
      <c r="M419" s="662"/>
      <c r="N419" s="662"/>
      <c r="O419" s="662"/>
      <c r="P419" s="662"/>
      <c r="Q419" s="662"/>
      <c r="R419" s="663"/>
      <c r="S419" s="659" t="str">
        <f t="shared" si="26"/>
        <v/>
      </c>
      <c r="T419" s="662"/>
      <c r="U419" s="662"/>
      <c r="V419" s="662"/>
      <c r="W419" s="662"/>
      <c r="X419" s="662"/>
      <c r="Y419" s="663"/>
      <c r="Z419" s="659" t="str">
        <f t="shared" si="27"/>
        <v/>
      </c>
      <c r="AA419" s="662"/>
      <c r="AB419" s="662"/>
      <c r="AC419" s="662"/>
      <c r="AD419" s="662"/>
      <c r="AE419" s="662"/>
      <c r="AF419" s="663"/>
      <c r="AG419" s="706"/>
      <c r="AH419" s="707"/>
      <c r="AI419" s="707"/>
      <c r="AJ419" s="702" t="e">
        <f>Calcu_ADJ!Q7</f>
        <v>#DIV/0!</v>
      </c>
      <c r="AK419" s="702"/>
      <c r="AL419" s="702"/>
      <c r="AM419" s="702"/>
      <c r="AN419" s="702"/>
      <c r="AO419" s="702"/>
      <c r="AP419" s="702"/>
      <c r="AQ419" s="703"/>
      <c r="AR419" s="154"/>
      <c r="AS419" s="154"/>
      <c r="AT419" s="469"/>
    </row>
    <row r="420" spans="1:46" ht="18" customHeight="1">
      <c r="A420" s="469"/>
      <c r="B420" s="658">
        <v>12</v>
      </c>
      <c r="C420" s="681"/>
      <c r="D420" s="681"/>
      <c r="E420" s="659" t="str">
        <f t="shared" si="25"/>
        <v/>
      </c>
      <c r="F420" s="660"/>
      <c r="G420" s="660"/>
      <c r="H420" s="660"/>
      <c r="I420" s="660"/>
      <c r="J420" s="660"/>
      <c r="K420" s="661"/>
      <c r="L420" s="659" t="str">
        <f t="shared" si="28"/>
        <v/>
      </c>
      <c r="M420" s="662"/>
      <c r="N420" s="662"/>
      <c r="O420" s="662"/>
      <c r="P420" s="662"/>
      <c r="Q420" s="662"/>
      <c r="R420" s="663"/>
      <c r="S420" s="659" t="str">
        <f t="shared" si="26"/>
        <v/>
      </c>
      <c r="T420" s="662"/>
      <c r="U420" s="662"/>
      <c r="V420" s="662"/>
      <c r="W420" s="662"/>
      <c r="X420" s="662"/>
      <c r="Y420" s="663"/>
      <c r="Z420" s="659" t="str">
        <f t="shared" si="27"/>
        <v/>
      </c>
      <c r="AA420" s="662"/>
      <c r="AB420" s="662"/>
      <c r="AC420" s="662"/>
      <c r="AD420" s="662"/>
      <c r="AE420" s="662"/>
      <c r="AF420" s="663"/>
      <c r="AG420" s="370"/>
      <c r="AH420" s="286"/>
      <c r="AI420" s="286"/>
      <c r="AJ420" s="704" t="str">
        <f>E408&amp;"/("&amp;L408&amp;")"</f>
        <v>0/(0)</v>
      </c>
      <c r="AK420" s="704"/>
      <c r="AL420" s="704"/>
      <c r="AM420" s="704"/>
      <c r="AN420" s="704"/>
      <c r="AO420" s="704"/>
      <c r="AP420" s="704"/>
      <c r="AQ420" s="705"/>
      <c r="AR420" s="154"/>
      <c r="AS420" s="154"/>
      <c r="AT420" s="469"/>
    </row>
    <row r="421" spans="1:46" ht="18" customHeight="1">
      <c r="A421" s="469"/>
      <c r="B421" s="658">
        <v>13</v>
      </c>
      <c r="C421" s="681"/>
      <c r="D421" s="681"/>
      <c r="E421" s="659" t="str">
        <f t="shared" si="25"/>
        <v/>
      </c>
      <c r="F421" s="660"/>
      <c r="G421" s="660"/>
      <c r="H421" s="660"/>
      <c r="I421" s="660"/>
      <c r="J421" s="660"/>
      <c r="K421" s="661"/>
      <c r="L421" s="659" t="str">
        <f t="shared" si="28"/>
        <v/>
      </c>
      <c r="M421" s="662"/>
      <c r="N421" s="662"/>
      <c r="O421" s="662"/>
      <c r="P421" s="662"/>
      <c r="Q421" s="662"/>
      <c r="R421" s="663"/>
      <c r="S421" s="659" t="str">
        <f t="shared" si="26"/>
        <v/>
      </c>
      <c r="T421" s="662"/>
      <c r="U421" s="662"/>
      <c r="V421" s="662"/>
      <c r="W421" s="662"/>
      <c r="X421" s="662"/>
      <c r="Y421" s="663"/>
      <c r="Z421" s="659" t="str">
        <f t="shared" si="27"/>
        <v/>
      </c>
      <c r="AA421" s="662"/>
      <c r="AB421" s="662"/>
      <c r="AC421" s="662"/>
      <c r="AD421" s="662"/>
      <c r="AE421" s="662"/>
      <c r="AF421" s="663"/>
      <c r="AG421" s="696"/>
      <c r="AH421" s="697"/>
      <c r="AI421" s="697"/>
      <c r="AJ421" s="697"/>
      <c r="AK421" s="697"/>
      <c r="AL421" s="697"/>
      <c r="AM421" s="697"/>
      <c r="AN421" s="697"/>
      <c r="AO421" s="697"/>
      <c r="AP421" s="697"/>
      <c r="AQ421" s="698"/>
      <c r="AR421" s="154"/>
      <c r="AS421" s="154"/>
      <c r="AT421" s="469"/>
    </row>
    <row r="422" spans="1:46" ht="18" customHeight="1">
      <c r="A422" s="469"/>
      <c r="B422" s="658">
        <v>14</v>
      </c>
      <c r="C422" s="681"/>
      <c r="D422" s="681"/>
      <c r="E422" s="659" t="str">
        <f t="shared" si="25"/>
        <v/>
      </c>
      <c r="F422" s="660"/>
      <c r="G422" s="660"/>
      <c r="H422" s="660"/>
      <c r="I422" s="660"/>
      <c r="J422" s="660"/>
      <c r="K422" s="661"/>
      <c r="L422" s="659" t="str">
        <f t="shared" si="28"/>
        <v/>
      </c>
      <c r="M422" s="662"/>
      <c r="N422" s="662"/>
      <c r="O422" s="662"/>
      <c r="P422" s="662"/>
      <c r="Q422" s="662"/>
      <c r="R422" s="663"/>
      <c r="S422" s="659" t="str">
        <f t="shared" si="26"/>
        <v/>
      </c>
      <c r="T422" s="662"/>
      <c r="U422" s="662"/>
      <c r="V422" s="662"/>
      <c r="W422" s="662"/>
      <c r="X422" s="662"/>
      <c r="Y422" s="663"/>
      <c r="Z422" s="659" t="str">
        <f t="shared" si="27"/>
        <v/>
      </c>
      <c r="AA422" s="662"/>
      <c r="AB422" s="662"/>
      <c r="AC422" s="662"/>
      <c r="AD422" s="662"/>
      <c r="AE422" s="662"/>
      <c r="AF422" s="663"/>
      <c r="AG422" s="696"/>
      <c r="AH422" s="697"/>
      <c r="AI422" s="697"/>
      <c r="AJ422" s="697"/>
      <c r="AK422" s="697"/>
      <c r="AL422" s="697"/>
      <c r="AM422" s="697"/>
      <c r="AN422" s="697"/>
      <c r="AO422" s="697"/>
      <c r="AP422" s="697"/>
      <c r="AQ422" s="698"/>
      <c r="AR422" s="154"/>
      <c r="AS422" s="154"/>
      <c r="AT422" s="469"/>
    </row>
    <row r="423" spans="1:46" ht="18" customHeight="1">
      <c r="A423" s="469"/>
      <c r="B423" s="658">
        <v>15</v>
      </c>
      <c r="C423" s="681"/>
      <c r="D423" s="681"/>
      <c r="E423" s="659" t="str">
        <f t="shared" si="25"/>
        <v/>
      </c>
      <c r="F423" s="660"/>
      <c r="G423" s="660"/>
      <c r="H423" s="660"/>
      <c r="I423" s="660"/>
      <c r="J423" s="660"/>
      <c r="K423" s="661"/>
      <c r="L423" s="659" t="str">
        <f t="shared" si="28"/>
        <v/>
      </c>
      <c r="M423" s="662"/>
      <c r="N423" s="662"/>
      <c r="O423" s="662"/>
      <c r="P423" s="662"/>
      <c r="Q423" s="662"/>
      <c r="R423" s="663"/>
      <c r="S423" s="659" t="str">
        <f t="shared" si="26"/>
        <v/>
      </c>
      <c r="T423" s="662"/>
      <c r="U423" s="662"/>
      <c r="V423" s="662"/>
      <c r="W423" s="662"/>
      <c r="X423" s="662"/>
      <c r="Y423" s="663"/>
      <c r="Z423" s="659" t="str">
        <f t="shared" si="27"/>
        <v/>
      </c>
      <c r="AA423" s="662"/>
      <c r="AB423" s="662"/>
      <c r="AC423" s="662"/>
      <c r="AD423" s="662"/>
      <c r="AE423" s="662"/>
      <c r="AF423" s="663"/>
      <c r="AG423" s="696"/>
      <c r="AH423" s="697"/>
      <c r="AI423" s="697"/>
      <c r="AJ423" s="697"/>
      <c r="AK423" s="697"/>
      <c r="AL423" s="697"/>
      <c r="AM423" s="697"/>
      <c r="AN423" s="697"/>
      <c r="AO423" s="697"/>
      <c r="AP423" s="697"/>
      <c r="AQ423" s="698"/>
      <c r="AR423" s="154"/>
      <c r="AS423" s="154"/>
      <c r="AT423" s="469"/>
    </row>
    <row r="424" spans="1:46" ht="18" customHeight="1">
      <c r="A424" s="469"/>
      <c r="B424" s="658">
        <v>16</v>
      </c>
      <c r="C424" s="681"/>
      <c r="D424" s="681"/>
      <c r="E424" s="659" t="str">
        <f t="shared" si="25"/>
        <v/>
      </c>
      <c r="F424" s="660"/>
      <c r="G424" s="660"/>
      <c r="H424" s="660"/>
      <c r="I424" s="660"/>
      <c r="J424" s="660"/>
      <c r="K424" s="661"/>
      <c r="L424" s="659" t="str">
        <f t="shared" si="28"/>
        <v/>
      </c>
      <c r="M424" s="662"/>
      <c r="N424" s="662"/>
      <c r="O424" s="662"/>
      <c r="P424" s="662"/>
      <c r="Q424" s="662"/>
      <c r="R424" s="663"/>
      <c r="S424" s="659" t="str">
        <f t="shared" si="26"/>
        <v/>
      </c>
      <c r="T424" s="662"/>
      <c r="U424" s="662"/>
      <c r="V424" s="662"/>
      <c r="W424" s="662"/>
      <c r="X424" s="662"/>
      <c r="Y424" s="663"/>
      <c r="Z424" s="659" t="str">
        <f t="shared" si="27"/>
        <v/>
      </c>
      <c r="AA424" s="662"/>
      <c r="AB424" s="662"/>
      <c r="AC424" s="662"/>
      <c r="AD424" s="662"/>
      <c r="AE424" s="662"/>
      <c r="AF424" s="663"/>
      <c r="AG424" s="696"/>
      <c r="AH424" s="697"/>
      <c r="AI424" s="697"/>
      <c r="AJ424" s="697"/>
      <c r="AK424" s="697"/>
      <c r="AL424" s="697"/>
      <c r="AM424" s="697"/>
      <c r="AN424" s="697"/>
      <c r="AO424" s="697"/>
      <c r="AP424" s="697"/>
      <c r="AQ424" s="698"/>
      <c r="AR424" s="154"/>
      <c r="AS424" s="154"/>
      <c r="AT424" s="469"/>
    </row>
    <row r="425" spans="1:46" ht="18" customHeight="1">
      <c r="A425" s="469"/>
      <c r="B425" s="658">
        <v>17</v>
      </c>
      <c r="C425" s="681"/>
      <c r="D425" s="681"/>
      <c r="E425" s="659" t="str">
        <f t="shared" si="25"/>
        <v/>
      </c>
      <c r="F425" s="660"/>
      <c r="G425" s="660"/>
      <c r="H425" s="660"/>
      <c r="I425" s="660"/>
      <c r="J425" s="660"/>
      <c r="K425" s="661"/>
      <c r="L425" s="659" t="str">
        <f t="shared" si="28"/>
        <v/>
      </c>
      <c r="M425" s="662"/>
      <c r="N425" s="662"/>
      <c r="O425" s="662"/>
      <c r="P425" s="662"/>
      <c r="Q425" s="662"/>
      <c r="R425" s="663"/>
      <c r="S425" s="659" t="str">
        <f t="shared" si="26"/>
        <v/>
      </c>
      <c r="T425" s="662"/>
      <c r="U425" s="662"/>
      <c r="V425" s="662"/>
      <c r="W425" s="662"/>
      <c r="X425" s="662"/>
      <c r="Y425" s="663"/>
      <c r="Z425" s="659" t="str">
        <f t="shared" si="27"/>
        <v/>
      </c>
      <c r="AA425" s="662"/>
      <c r="AB425" s="662"/>
      <c r="AC425" s="662"/>
      <c r="AD425" s="662"/>
      <c r="AE425" s="662"/>
      <c r="AF425" s="663"/>
      <c r="AG425" s="696"/>
      <c r="AH425" s="697"/>
      <c r="AI425" s="697"/>
      <c r="AJ425" s="697"/>
      <c r="AK425" s="697"/>
      <c r="AL425" s="697"/>
      <c r="AM425" s="697"/>
      <c r="AN425" s="697"/>
      <c r="AO425" s="697"/>
      <c r="AP425" s="697"/>
      <c r="AQ425" s="698"/>
      <c r="AR425" s="154"/>
      <c r="AS425" s="154"/>
      <c r="AT425" s="469"/>
    </row>
    <row r="426" spans="1:46" ht="18" customHeight="1">
      <c r="A426" s="469"/>
      <c r="B426" s="658">
        <v>18</v>
      </c>
      <c r="C426" s="681"/>
      <c r="D426" s="681"/>
      <c r="E426" s="659" t="str">
        <f t="shared" si="25"/>
        <v/>
      </c>
      <c r="F426" s="660"/>
      <c r="G426" s="660"/>
      <c r="H426" s="660"/>
      <c r="I426" s="660"/>
      <c r="J426" s="660"/>
      <c r="K426" s="661"/>
      <c r="L426" s="659" t="str">
        <f t="shared" si="28"/>
        <v/>
      </c>
      <c r="M426" s="662"/>
      <c r="N426" s="662"/>
      <c r="O426" s="662"/>
      <c r="P426" s="662"/>
      <c r="Q426" s="662"/>
      <c r="R426" s="663"/>
      <c r="S426" s="659" t="str">
        <f t="shared" si="26"/>
        <v/>
      </c>
      <c r="T426" s="662"/>
      <c r="U426" s="662"/>
      <c r="V426" s="662"/>
      <c r="W426" s="662"/>
      <c r="X426" s="662"/>
      <c r="Y426" s="663"/>
      <c r="Z426" s="659" t="str">
        <f t="shared" si="27"/>
        <v/>
      </c>
      <c r="AA426" s="662"/>
      <c r="AB426" s="662"/>
      <c r="AC426" s="662"/>
      <c r="AD426" s="662"/>
      <c r="AE426" s="662"/>
      <c r="AF426" s="663"/>
      <c r="AG426" s="696"/>
      <c r="AH426" s="697"/>
      <c r="AI426" s="697"/>
      <c r="AJ426" s="697"/>
      <c r="AK426" s="697"/>
      <c r="AL426" s="697"/>
      <c r="AM426" s="697"/>
      <c r="AN426" s="697"/>
      <c r="AO426" s="697"/>
      <c r="AP426" s="697"/>
      <c r="AQ426" s="698"/>
      <c r="AR426" s="154"/>
      <c r="AS426" s="154"/>
      <c r="AT426" s="469"/>
    </row>
    <row r="427" spans="1:46" ht="18" customHeight="1">
      <c r="A427" s="469"/>
      <c r="B427" s="658">
        <v>19</v>
      </c>
      <c r="C427" s="681"/>
      <c r="D427" s="681"/>
      <c r="E427" s="659" t="str">
        <f t="shared" si="25"/>
        <v/>
      </c>
      <c r="F427" s="660"/>
      <c r="G427" s="660"/>
      <c r="H427" s="660"/>
      <c r="I427" s="660"/>
      <c r="J427" s="660"/>
      <c r="K427" s="661"/>
      <c r="L427" s="659" t="str">
        <f t="shared" si="28"/>
        <v/>
      </c>
      <c r="M427" s="662"/>
      <c r="N427" s="662"/>
      <c r="O427" s="662"/>
      <c r="P427" s="662"/>
      <c r="Q427" s="662"/>
      <c r="R427" s="663"/>
      <c r="S427" s="659" t="str">
        <f t="shared" si="26"/>
        <v/>
      </c>
      <c r="T427" s="662"/>
      <c r="U427" s="662"/>
      <c r="V427" s="662"/>
      <c r="W427" s="662"/>
      <c r="X427" s="662"/>
      <c r="Y427" s="663"/>
      <c r="Z427" s="659" t="str">
        <f t="shared" si="27"/>
        <v/>
      </c>
      <c r="AA427" s="662"/>
      <c r="AB427" s="662"/>
      <c r="AC427" s="662"/>
      <c r="AD427" s="662"/>
      <c r="AE427" s="662"/>
      <c r="AF427" s="663"/>
      <c r="AG427" s="696"/>
      <c r="AH427" s="697"/>
      <c r="AI427" s="697"/>
      <c r="AJ427" s="697"/>
      <c r="AK427" s="697"/>
      <c r="AL427" s="697"/>
      <c r="AM427" s="697"/>
      <c r="AN427" s="697"/>
      <c r="AO427" s="697"/>
      <c r="AP427" s="697"/>
      <c r="AQ427" s="698"/>
      <c r="AR427" s="154"/>
      <c r="AS427" s="154"/>
      <c r="AT427" s="469"/>
    </row>
    <row r="428" spans="1:46" ht="18" customHeight="1">
      <c r="A428" s="469"/>
      <c r="B428" s="658">
        <v>20</v>
      </c>
      <c r="C428" s="681"/>
      <c r="D428" s="681"/>
      <c r="E428" s="659" t="str">
        <f t="shared" si="25"/>
        <v/>
      </c>
      <c r="F428" s="660"/>
      <c r="G428" s="660"/>
      <c r="H428" s="660"/>
      <c r="I428" s="660"/>
      <c r="J428" s="660"/>
      <c r="K428" s="661"/>
      <c r="L428" s="659" t="str">
        <f t="shared" si="28"/>
        <v/>
      </c>
      <c r="M428" s="662"/>
      <c r="N428" s="662"/>
      <c r="O428" s="662"/>
      <c r="P428" s="662"/>
      <c r="Q428" s="662"/>
      <c r="R428" s="663"/>
      <c r="S428" s="659" t="str">
        <f t="shared" si="26"/>
        <v/>
      </c>
      <c r="T428" s="662"/>
      <c r="U428" s="662"/>
      <c r="V428" s="662"/>
      <c r="W428" s="662"/>
      <c r="X428" s="662"/>
      <c r="Y428" s="663"/>
      <c r="Z428" s="659" t="str">
        <f t="shared" si="27"/>
        <v/>
      </c>
      <c r="AA428" s="662"/>
      <c r="AB428" s="662"/>
      <c r="AC428" s="662"/>
      <c r="AD428" s="662"/>
      <c r="AE428" s="662"/>
      <c r="AF428" s="663"/>
      <c r="AG428" s="696"/>
      <c r="AH428" s="697"/>
      <c r="AI428" s="697"/>
      <c r="AJ428" s="697"/>
      <c r="AK428" s="697"/>
      <c r="AL428" s="697"/>
      <c r="AM428" s="697"/>
      <c r="AN428" s="697"/>
      <c r="AO428" s="697"/>
      <c r="AP428" s="697"/>
      <c r="AQ428" s="698"/>
      <c r="AR428" s="154"/>
      <c r="AS428" s="154"/>
      <c r="AT428" s="469"/>
    </row>
    <row r="429" spans="1:46" ht="18" customHeight="1">
      <c r="A429" s="469"/>
      <c r="B429" s="658">
        <v>21</v>
      </c>
      <c r="C429" s="681"/>
      <c r="D429" s="681"/>
      <c r="E429" s="659" t="str">
        <f t="shared" si="25"/>
        <v/>
      </c>
      <c r="F429" s="660"/>
      <c r="G429" s="660"/>
      <c r="H429" s="660"/>
      <c r="I429" s="660"/>
      <c r="J429" s="660"/>
      <c r="K429" s="661"/>
      <c r="L429" s="659" t="str">
        <f t="shared" si="28"/>
        <v/>
      </c>
      <c r="M429" s="662"/>
      <c r="N429" s="662"/>
      <c r="O429" s="662"/>
      <c r="P429" s="662"/>
      <c r="Q429" s="662"/>
      <c r="R429" s="663"/>
      <c r="S429" s="659" t="str">
        <f t="shared" si="26"/>
        <v/>
      </c>
      <c r="T429" s="662"/>
      <c r="U429" s="662"/>
      <c r="V429" s="662"/>
      <c r="W429" s="662"/>
      <c r="X429" s="662"/>
      <c r="Y429" s="663"/>
      <c r="Z429" s="659" t="str">
        <f t="shared" si="27"/>
        <v/>
      </c>
      <c r="AA429" s="662"/>
      <c r="AB429" s="662"/>
      <c r="AC429" s="662"/>
      <c r="AD429" s="662"/>
      <c r="AE429" s="662"/>
      <c r="AF429" s="663"/>
      <c r="AG429" s="696"/>
      <c r="AH429" s="697"/>
      <c r="AI429" s="697"/>
      <c r="AJ429" s="697"/>
      <c r="AK429" s="697"/>
      <c r="AL429" s="697"/>
      <c r="AM429" s="697"/>
      <c r="AN429" s="697"/>
      <c r="AO429" s="697"/>
      <c r="AP429" s="697"/>
      <c r="AQ429" s="698"/>
      <c r="AR429" s="154"/>
      <c r="AS429" s="154"/>
      <c r="AT429" s="469"/>
    </row>
    <row r="430" spans="1:46" ht="18" customHeight="1">
      <c r="A430" s="469"/>
      <c r="B430" s="658">
        <v>22</v>
      </c>
      <c r="C430" s="681"/>
      <c r="D430" s="681"/>
      <c r="E430" s="659" t="str">
        <f t="shared" si="25"/>
        <v/>
      </c>
      <c r="F430" s="660"/>
      <c r="G430" s="660"/>
      <c r="H430" s="660"/>
      <c r="I430" s="660"/>
      <c r="J430" s="660"/>
      <c r="K430" s="661"/>
      <c r="L430" s="659" t="str">
        <f t="shared" si="28"/>
        <v/>
      </c>
      <c r="M430" s="662"/>
      <c r="N430" s="662"/>
      <c r="O430" s="662"/>
      <c r="P430" s="662"/>
      <c r="Q430" s="662"/>
      <c r="R430" s="663"/>
      <c r="S430" s="659" t="str">
        <f t="shared" si="26"/>
        <v/>
      </c>
      <c r="T430" s="662"/>
      <c r="U430" s="662"/>
      <c r="V430" s="662"/>
      <c r="W430" s="662"/>
      <c r="X430" s="662"/>
      <c r="Y430" s="663"/>
      <c r="Z430" s="659" t="str">
        <f t="shared" si="27"/>
        <v/>
      </c>
      <c r="AA430" s="662"/>
      <c r="AB430" s="662"/>
      <c r="AC430" s="662"/>
      <c r="AD430" s="662"/>
      <c r="AE430" s="662"/>
      <c r="AF430" s="663"/>
      <c r="AG430" s="696"/>
      <c r="AH430" s="697"/>
      <c r="AI430" s="697"/>
      <c r="AJ430" s="697"/>
      <c r="AK430" s="697"/>
      <c r="AL430" s="697"/>
      <c r="AM430" s="697"/>
      <c r="AN430" s="697"/>
      <c r="AO430" s="697"/>
      <c r="AP430" s="697"/>
      <c r="AQ430" s="698"/>
      <c r="AR430" s="154"/>
      <c r="AS430" s="154"/>
      <c r="AT430" s="469"/>
    </row>
    <row r="431" spans="1:46" ht="18" customHeight="1">
      <c r="A431" s="469"/>
      <c r="B431" s="658">
        <v>23</v>
      </c>
      <c r="C431" s="681"/>
      <c r="D431" s="681"/>
      <c r="E431" s="659" t="str">
        <f t="shared" si="25"/>
        <v/>
      </c>
      <c r="F431" s="660"/>
      <c r="G431" s="660"/>
      <c r="H431" s="660"/>
      <c r="I431" s="660"/>
      <c r="J431" s="660"/>
      <c r="K431" s="661"/>
      <c r="L431" s="659" t="str">
        <f t="shared" si="28"/>
        <v/>
      </c>
      <c r="M431" s="662"/>
      <c r="N431" s="662"/>
      <c r="O431" s="662"/>
      <c r="P431" s="662"/>
      <c r="Q431" s="662"/>
      <c r="R431" s="663"/>
      <c r="S431" s="659" t="str">
        <f t="shared" si="26"/>
        <v/>
      </c>
      <c r="T431" s="662"/>
      <c r="U431" s="662"/>
      <c r="V431" s="662"/>
      <c r="W431" s="662"/>
      <c r="X431" s="662"/>
      <c r="Y431" s="663"/>
      <c r="Z431" s="659" t="str">
        <f t="shared" si="27"/>
        <v/>
      </c>
      <c r="AA431" s="662"/>
      <c r="AB431" s="662"/>
      <c r="AC431" s="662"/>
      <c r="AD431" s="662"/>
      <c r="AE431" s="662"/>
      <c r="AF431" s="663"/>
      <c r="AG431" s="696"/>
      <c r="AH431" s="697"/>
      <c r="AI431" s="697"/>
      <c r="AJ431" s="697"/>
      <c r="AK431" s="697"/>
      <c r="AL431" s="697"/>
      <c r="AM431" s="697"/>
      <c r="AN431" s="697"/>
      <c r="AO431" s="697"/>
      <c r="AP431" s="697"/>
      <c r="AQ431" s="698"/>
      <c r="AR431" s="154"/>
      <c r="AS431" s="154"/>
      <c r="AT431" s="469"/>
    </row>
    <row r="432" spans="1:46" ht="18" customHeight="1">
      <c r="A432" s="469"/>
      <c r="B432" s="658">
        <v>24</v>
      </c>
      <c r="C432" s="681"/>
      <c r="D432" s="681"/>
      <c r="E432" s="659" t="str">
        <f t="shared" si="25"/>
        <v/>
      </c>
      <c r="F432" s="660"/>
      <c r="G432" s="660"/>
      <c r="H432" s="660"/>
      <c r="I432" s="660"/>
      <c r="J432" s="660"/>
      <c r="K432" s="661"/>
      <c r="L432" s="659" t="str">
        <f t="shared" si="28"/>
        <v/>
      </c>
      <c r="M432" s="662"/>
      <c r="N432" s="662"/>
      <c r="O432" s="662"/>
      <c r="P432" s="662"/>
      <c r="Q432" s="662"/>
      <c r="R432" s="663"/>
      <c r="S432" s="659" t="str">
        <f t="shared" si="26"/>
        <v/>
      </c>
      <c r="T432" s="662"/>
      <c r="U432" s="662"/>
      <c r="V432" s="662"/>
      <c r="W432" s="662"/>
      <c r="X432" s="662"/>
      <c r="Y432" s="663"/>
      <c r="Z432" s="659" t="str">
        <f t="shared" si="27"/>
        <v/>
      </c>
      <c r="AA432" s="662"/>
      <c r="AB432" s="662"/>
      <c r="AC432" s="662"/>
      <c r="AD432" s="662"/>
      <c r="AE432" s="662"/>
      <c r="AF432" s="663"/>
      <c r="AG432" s="696"/>
      <c r="AH432" s="697"/>
      <c r="AI432" s="697"/>
      <c r="AJ432" s="697"/>
      <c r="AK432" s="697"/>
      <c r="AL432" s="697"/>
      <c r="AM432" s="697"/>
      <c r="AN432" s="697"/>
      <c r="AO432" s="697"/>
      <c r="AP432" s="697"/>
      <c r="AQ432" s="698"/>
      <c r="AR432" s="154"/>
      <c r="AS432" s="154"/>
      <c r="AT432" s="469"/>
    </row>
    <row r="433" spans="1:46" ht="18" customHeight="1">
      <c r="A433" s="469"/>
      <c r="B433" s="658">
        <v>25</v>
      </c>
      <c r="C433" s="681"/>
      <c r="D433" s="681"/>
      <c r="E433" s="659" t="str">
        <f t="shared" si="25"/>
        <v/>
      </c>
      <c r="F433" s="660"/>
      <c r="G433" s="660"/>
      <c r="H433" s="660"/>
      <c r="I433" s="660"/>
      <c r="J433" s="660"/>
      <c r="K433" s="661"/>
      <c r="L433" s="659" t="str">
        <f t="shared" si="28"/>
        <v/>
      </c>
      <c r="M433" s="662"/>
      <c r="N433" s="662"/>
      <c r="O433" s="662"/>
      <c r="P433" s="662"/>
      <c r="Q433" s="662"/>
      <c r="R433" s="663"/>
      <c r="S433" s="659" t="str">
        <f t="shared" si="26"/>
        <v/>
      </c>
      <c r="T433" s="662"/>
      <c r="U433" s="662"/>
      <c r="V433" s="662"/>
      <c r="W433" s="662"/>
      <c r="X433" s="662"/>
      <c r="Y433" s="663"/>
      <c r="Z433" s="659" t="str">
        <f t="shared" si="27"/>
        <v/>
      </c>
      <c r="AA433" s="662"/>
      <c r="AB433" s="662"/>
      <c r="AC433" s="662"/>
      <c r="AD433" s="662"/>
      <c r="AE433" s="662"/>
      <c r="AF433" s="663"/>
      <c r="AG433" s="696"/>
      <c r="AH433" s="697"/>
      <c r="AI433" s="697"/>
      <c r="AJ433" s="697"/>
      <c r="AK433" s="697"/>
      <c r="AL433" s="697"/>
      <c r="AM433" s="697"/>
      <c r="AN433" s="697"/>
      <c r="AO433" s="697"/>
      <c r="AP433" s="697"/>
      <c r="AQ433" s="698"/>
      <c r="AR433" s="154"/>
      <c r="AS433" s="154"/>
      <c r="AT433" s="469"/>
    </row>
    <row r="434" spans="1:46" ht="18" customHeight="1">
      <c r="A434" s="469"/>
      <c r="B434" s="658">
        <v>26</v>
      </c>
      <c r="C434" s="681"/>
      <c r="D434" s="681"/>
      <c r="E434" s="659" t="str">
        <f t="shared" si="25"/>
        <v/>
      </c>
      <c r="F434" s="660"/>
      <c r="G434" s="660"/>
      <c r="H434" s="660"/>
      <c r="I434" s="660"/>
      <c r="J434" s="660"/>
      <c r="K434" s="661"/>
      <c r="L434" s="659" t="str">
        <f t="shared" si="28"/>
        <v/>
      </c>
      <c r="M434" s="662"/>
      <c r="N434" s="662"/>
      <c r="O434" s="662"/>
      <c r="P434" s="662"/>
      <c r="Q434" s="662"/>
      <c r="R434" s="663"/>
      <c r="S434" s="659" t="str">
        <f t="shared" si="26"/>
        <v/>
      </c>
      <c r="T434" s="662"/>
      <c r="U434" s="662"/>
      <c r="V434" s="662"/>
      <c r="W434" s="662"/>
      <c r="X434" s="662"/>
      <c r="Y434" s="663"/>
      <c r="Z434" s="659" t="str">
        <f t="shared" si="27"/>
        <v/>
      </c>
      <c r="AA434" s="662"/>
      <c r="AB434" s="662"/>
      <c r="AC434" s="662"/>
      <c r="AD434" s="662"/>
      <c r="AE434" s="662"/>
      <c r="AF434" s="663"/>
      <c r="AG434" s="696"/>
      <c r="AH434" s="697"/>
      <c r="AI434" s="697"/>
      <c r="AJ434" s="697"/>
      <c r="AK434" s="697"/>
      <c r="AL434" s="697"/>
      <c r="AM434" s="697"/>
      <c r="AN434" s="697"/>
      <c r="AO434" s="697"/>
      <c r="AP434" s="697"/>
      <c r="AQ434" s="698"/>
      <c r="AR434" s="154"/>
      <c r="AS434" s="154"/>
      <c r="AT434" s="469"/>
    </row>
    <row r="435" spans="1:46" ht="18" customHeight="1">
      <c r="A435" s="469"/>
      <c r="B435" s="658">
        <v>27</v>
      </c>
      <c r="C435" s="681"/>
      <c r="D435" s="681"/>
      <c r="E435" s="659" t="str">
        <f t="shared" si="25"/>
        <v/>
      </c>
      <c r="F435" s="660"/>
      <c r="G435" s="660"/>
      <c r="H435" s="660"/>
      <c r="I435" s="660"/>
      <c r="J435" s="660"/>
      <c r="K435" s="661"/>
      <c r="L435" s="659" t="str">
        <f t="shared" si="28"/>
        <v/>
      </c>
      <c r="M435" s="662"/>
      <c r="N435" s="662"/>
      <c r="O435" s="662"/>
      <c r="P435" s="662"/>
      <c r="Q435" s="662"/>
      <c r="R435" s="663"/>
      <c r="S435" s="659" t="str">
        <f t="shared" si="26"/>
        <v/>
      </c>
      <c r="T435" s="662"/>
      <c r="U435" s="662"/>
      <c r="V435" s="662"/>
      <c r="W435" s="662"/>
      <c r="X435" s="662"/>
      <c r="Y435" s="663"/>
      <c r="Z435" s="659" t="str">
        <f t="shared" si="27"/>
        <v/>
      </c>
      <c r="AA435" s="662"/>
      <c r="AB435" s="662"/>
      <c r="AC435" s="662"/>
      <c r="AD435" s="662"/>
      <c r="AE435" s="662"/>
      <c r="AF435" s="663"/>
      <c r="AG435" s="696"/>
      <c r="AH435" s="697"/>
      <c r="AI435" s="697"/>
      <c r="AJ435" s="697"/>
      <c r="AK435" s="697"/>
      <c r="AL435" s="697"/>
      <c r="AM435" s="697"/>
      <c r="AN435" s="697"/>
      <c r="AO435" s="697"/>
      <c r="AP435" s="697"/>
      <c r="AQ435" s="698"/>
      <c r="AR435" s="154"/>
      <c r="AS435" s="154"/>
      <c r="AT435" s="469"/>
    </row>
    <row r="436" spans="1:46" ht="18" customHeight="1">
      <c r="A436" s="469"/>
      <c r="B436" s="658">
        <v>28</v>
      </c>
      <c r="C436" s="681"/>
      <c r="D436" s="681"/>
      <c r="E436" s="659" t="str">
        <f t="shared" si="25"/>
        <v/>
      </c>
      <c r="F436" s="660"/>
      <c r="G436" s="660"/>
      <c r="H436" s="660"/>
      <c r="I436" s="660"/>
      <c r="J436" s="660"/>
      <c r="K436" s="661"/>
      <c r="L436" s="659" t="str">
        <f t="shared" si="28"/>
        <v/>
      </c>
      <c r="M436" s="662"/>
      <c r="N436" s="662"/>
      <c r="O436" s="662"/>
      <c r="P436" s="662"/>
      <c r="Q436" s="662"/>
      <c r="R436" s="663"/>
      <c r="S436" s="659" t="str">
        <f t="shared" si="26"/>
        <v/>
      </c>
      <c r="T436" s="662"/>
      <c r="U436" s="662"/>
      <c r="V436" s="662"/>
      <c r="W436" s="662"/>
      <c r="X436" s="662"/>
      <c r="Y436" s="663"/>
      <c r="Z436" s="659" t="str">
        <f t="shared" si="27"/>
        <v/>
      </c>
      <c r="AA436" s="662"/>
      <c r="AB436" s="662"/>
      <c r="AC436" s="662"/>
      <c r="AD436" s="662"/>
      <c r="AE436" s="662"/>
      <c r="AF436" s="663"/>
      <c r="AG436" s="696"/>
      <c r="AH436" s="697"/>
      <c r="AI436" s="697"/>
      <c r="AJ436" s="697"/>
      <c r="AK436" s="697"/>
      <c r="AL436" s="697"/>
      <c r="AM436" s="697"/>
      <c r="AN436" s="697"/>
      <c r="AO436" s="697"/>
      <c r="AP436" s="697"/>
      <c r="AQ436" s="698"/>
      <c r="AR436" s="154"/>
      <c r="AS436" s="154"/>
      <c r="AT436" s="469"/>
    </row>
    <row r="437" spans="1:46" ht="18" customHeight="1">
      <c r="A437" s="469"/>
      <c r="B437" s="658">
        <v>29</v>
      </c>
      <c r="C437" s="681"/>
      <c r="D437" s="681"/>
      <c r="E437" s="659" t="str">
        <f t="shared" si="25"/>
        <v/>
      </c>
      <c r="F437" s="660"/>
      <c r="G437" s="660"/>
      <c r="H437" s="660"/>
      <c r="I437" s="660"/>
      <c r="J437" s="660"/>
      <c r="K437" s="661"/>
      <c r="L437" s="659" t="str">
        <f t="shared" si="28"/>
        <v/>
      </c>
      <c r="M437" s="662"/>
      <c r="N437" s="662"/>
      <c r="O437" s="662"/>
      <c r="P437" s="662"/>
      <c r="Q437" s="662"/>
      <c r="R437" s="663"/>
      <c r="S437" s="659" t="str">
        <f t="shared" si="26"/>
        <v/>
      </c>
      <c r="T437" s="662"/>
      <c r="U437" s="662"/>
      <c r="V437" s="662"/>
      <c r="W437" s="662"/>
      <c r="X437" s="662"/>
      <c r="Y437" s="663"/>
      <c r="Z437" s="659" t="str">
        <f t="shared" si="27"/>
        <v/>
      </c>
      <c r="AA437" s="662"/>
      <c r="AB437" s="662"/>
      <c r="AC437" s="662"/>
      <c r="AD437" s="662"/>
      <c r="AE437" s="662"/>
      <c r="AF437" s="663"/>
      <c r="AG437" s="696"/>
      <c r="AH437" s="697"/>
      <c r="AI437" s="697"/>
      <c r="AJ437" s="697"/>
      <c r="AK437" s="697"/>
      <c r="AL437" s="697"/>
      <c r="AM437" s="697"/>
      <c r="AN437" s="697"/>
      <c r="AO437" s="697"/>
      <c r="AP437" s="697"/>
      <c r="AQ437" s="698"/>
      <c r="AR437" s="154"/>
      <c r="AS437" s="154"/>
      <c r="AT437" s="469"/>
    </row>
    <row r="438" spans="1:46" ht="18" customHeight="1">
      <c r="A438" s="469"/>
      <c r="B438" s="672">
        <v>30</v>
      </c>
      <c r="C438" s="688"/>
      <c r="D438" s="688"/>
      <c r="E438" s="673" t="str">
        <f t="shared" si="25"/>
        <v/>
      </c>
      <c r="F438" s="674"/>
      <c r="G438" s="674"/>
      <c r="H438" s="674"/>
      <c r="I438" s="674"/>
      <c r="J438" s="674"/>
      <c r="K438" s="675"/>
      <c r="L438" s="673" t="str">
        <f t="shared" si="28"/>
        <v/>
      </c>
      <c r="M438" s="676"/>
      <c r="N438" s="676"/>
      <c r="O438" s="676"/>
      <c r="P438" s="676"/>
      <c r="Q438" s="676"/>
      <c r="R438" s="677"/>
      <c r="S438" s="673" t="str">
        <f t="shared" si="26"/>
        <v/>
      </c>
      <c r="T438" s="676"/>
      <c r="U438" s="676"/>
      <c r="V438" s="676"/>
      <c r="W438" s="676"/>
      <c r="X438" s="676"/>
      <c r="Y438" s="677"/>
      <c r="Z438" s="673" t="str">
        <f t="shared" si="27"/>
        <v/>
      </c>
      <c r="AA438" s="676"/>
      <c r="AB438" s="676"/>
      <c r="AC438" s="676"/>
      <c r="AD438" s="676"/>
      <c r="AE438" s="676"/>
      <c r="AF438" s="677"/>
      <c r="AG438" s="693"/>
      <c r="AH438" s="694"/>
      <c r="AI438" s="694"/>
      <c r="AJ438" s="694"/>
      <c r="AK438" s="694"/>
      <c r="AL438" s="694"/>
      <c r="AM438" s="694"/>
      <c r="AN438" s="694"/>
      <c r="AO438" s="694"/>
      <c r="AP438" s="694"/>
      <c r="AQ438" s="695"/>
      <c r="AR438" s="154"/>
      <c r="AS438" s="154"/>
      <c r="AT438" s="469"/>
    </row>
    <row r="439" spans="1:46" s="469" customFormat="1" ht="18" customHeight="1">
      <c r="B439" s="461"/>
      <c r="C439" s="461"/>
      <c r="D439" s="461"/>
      <c r="E439" s="461"/>
      <c r="F439" s="461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/>
      <c r="Q439" s="461"/>
      <c r="R439" s="461"/>
      <c r="S439" s="461"/>
      <c r="T439" s="461"/>
      <c r="U439" s="461"/>
      <c r="V439" s="461"/>
      <c r="W439" s="461"/>
      <c r="X439" s="461"/>
      <c r="Y439" s="461"/>
      <c r="Z439" s="461"/>
      <c r="AA439" s="461"/>
      <c r="AB439" s="461"/>
      <c r="AC439" s="461"/>
      <c r="AD439" s="461"/>
      <c r="AE439" s="461"/>
      <c r="AF439" s="461"/>
      <c r="AG439" s="461"/>
      <c r="AH439" s="461"/>
      <c r="AI439" s="461"/>
      <c r="AJ439" s="461"/>
      <c r="AK439" s="461"/>
      <c r="AL439" s="461"/>
      <c r="AM439" s="461"/>
      <c r="AN439" s="461"/>
      <c r="AO439" s="461"/>
      <c r="AP439" s="461"/>
      <c r="AQ439" s="461"/>
      <c r="AR439" s="154"/>
      <c r="AS439" s="154"/>
    </row>
    <row r="440" spans="1:46" ht="18" customHeight="1">
      <c r="A440" s="194" t="s">
        <v>422</v>
      </c>
      <c r="B440" s="469"/>
      <c r="C440" s="469"/>
      <c r="D440" s="469"/>
      <c r="E440" s="469"/>
      <c r="F440" s="469"/>
      <c r="G440" s="469"/>
      <c r="H440" s="469"/>
      <c r="I440" s="469"/>
      <c r="J440" s="469"/>
      <c r="K440" s="469"/>
      <c r="L440" s="469"/>
      <c r="M440" s="469"/>
      <c r="N440" s="469"/>
      <c r="O440" s="469"/>
      <c r="P440" s="469"/>
      <c r="Q440" s="469"/>
      <c r="R440" s="469"/>
      <c r="S440" s="469"/>
      <c r="T440" s="469"/>
      <c r="U440" s="469"/>
      <c r="V440" s="469"/>
      <c r="W440" s="469"/>
      <c r="X440" s="469"/>
      <c r="Y440" s="469"/>
      <c r="Z440" s="469"/>
      <c r="AA440" s="469"/>
      <c r="AB440" s="469"/>
      <c r="AC440" s="469"/>
      <c r="AD440" s="469"/>
      <c r="AE440" s="469"/>
      <c r="AF440" s="469"/>
      <c r="AG440" s="469"/>
      <c r="AH440" s="469"/>
      <c r="AI440" s="469"/>
      <c r="AJ440" s="469"/>
      <c r="AK440" s="469"/>
      <c r="AL440" s="469"/>
      <c r="AM440" s="469"/>
      <c r="AN440" s="469"/>
      <c r="AO440" s="469"/>
      <c r="AP440" s="469"/>
      <c r="AQ440" s="469"/>
      <c r="AR440" s="469"/>
      <c r="AS440" s="469"/>
      <c r="AT440" s="469"/>
    </row>
    <row r="441" spans="1:46" ht="18" customHeight="1">
      <c r="A441" s="469"/>
      <c r="B441" s="635" t="s">
        <v>137</v>
      </c>
      <c r="C441" s="636"/>
      <c r="D441" s="636"/>
      <c r="E441" s="636"/>
      <c r="F441" s="636"/>
      <c r="G441" s="636"/>
      <c r="H441" s="637"/>
      <c r="I441" s="635" t="s">
        <v>404</v>
      </c>
      <c r="J441" s="687"/>
      <c r="K441" s="687"/>
      <c r="L441" s="687"/>
      <c r="M441" s="687"/>
      <c r="N441" s="687"/>
      <c r="O441" s="708"/>
      <c r="P441" s="625" t="s">
        <v>423</v>
      </c>
      <c r="Q441" s="711"/>
      <c r="R441" s="711"/>
      <c r="S441" s="711"/>
      <c r="T441" s="711"/>
      <c r="U441" s="711"/>
      <c r="V441" s="711"/>
      <c r="W441" s="711"/>
      <c r="X441" s="711"/>
      <c r="Y441" s="711"/>
      <c r="Z441" s="711"/>
      <c r="AA441" s="711"/>
      <c r="AB441" s="711"/>
      <c r="AC441" s="711"/>
      <c r="AD441" s="711"/>
      <c r="AE441" s="711"/>
      <c r="AF441" s="711"/>
      <c r="AG441" s="711"/>
      <c r="AH441" s="711"/>
      <c r="AI441" s="711"/>
      <c r="AJ441" s="712"/>
      <c r="AK441" s="154"/>
      <c r="AL441" s="154"/>
      <c r="AM441" s="469"/>
    </row>
    <row r="442" spans="1:46" ht="18" customHeight="1">
      <c r="A442" s="469"/>
      <c r="B442" s="638"/>
      <c r="C442" s="639"/>
      <c r="D442" s="639"/>
      <c r="E442" s="639"/>
      <c r="F442" s="639"/>
      <c r="G442" s="639"/>
      <c r="H442" s="640"/>
      <c r="I442" s="658"/>
      <c r="J442" s="681"/>
      <c r="K442" s="681"/>
      <c r="L442" s="681"/>
      <c r="M442" s="681"/>
      <c r="N442" s="681"/>
      <c r="O442" s="709"/>
      <c r="P442" s="635" t="s">
        <v>409</v>
      </c>
      <c r="Q442" s="687"/>
      <c r="R442" s="687"/>
      <c r="S442" s="687"/>
      <c r="T442" s="687"/>
      <c r="U442" s="687"/>
      <c r="V442" s="708"/>
      <c r="W442" s="635" t="s">
        <v>424</v>
      </c>
      <c r="X442" s="687"/>
      <c r="Y442" s="687"/>
      <c r="Z442" s="687"/>
      <c r="AA442" s="687"/>
      <c r="AB442" s="687"/>
      <c r="AC442" s="708"/>
      <c r="AD442" s="635" t="s">
        <v>425</v>
      </c>
      <c r="AE442" s="687"/>
      <c r="AF442" s="687"/>
      <c r="AG442" s="687"/>
      <c r="AH442" s="687"/>
      <c r="AI442" s="687"/>
      <c r="AJ442" s="708"/>
      <c r="AK442" s="154"/>
      <c r="AL442" s="154"/>
      <c r="AM442" s="469"/>
    </row>
    <row r="443" spans="1:46" ht="18" customHeight="1">
      <c r="A443" s="469"/>
      <c r="B443" s="638"/>
      <c r="C443" s="639"/>
      <c r="D443" s="639"/>
      <c r="E443" s="639"/>
      <c r="F443" s="639"/>
      <c r="G443" s="639"/>
      <c r="H443" s="640"/>
      <c r="I443" s="672"/>
      <c r="J443" s="688"/>
      <c r="K443" s="688"/>
      <c r="L443" s="688"/>
      <c r="M443" s="688"/>
      <c r="N443" s="688"/>
      <c r="O443" s="710"/>
      <c r="P443" s="672"/>
      <c r="Q443" s="688"/>
      <c r="R443" s="688"/>
      <c r="S443" s="688"/>
      <c r="T443" s="688"/>
      <c r="U443" s="688"/>
      <c r="V443" s="710"/>
      <c r="W443" s="672"/>
      <c r="X443" s="688"/>
      <c r="Y443" s="688"/>
      <c r="Z443" s="688"/>
      <c r="AA443" s="688"/>
      <c r="AB443" s="688"/>
      <c r="AC443" s="710"/>
      <c r="AD443" s="672"/>
      <c r="AE443" s="688"/>
      <c r="AF443" s="688"/>
      <c r="AG443" s="688"/>
      <c r="AH443" s="688"/>
      <c r="AI443" s="688"/>
      <c r="AJ443" s="710"/>
      <c r="AK443" s="154"/>
      <c r="AL443" s="154"/>
      <c r="AM443" s="469"/>
    </row>
    <row r="444" spans="1:46" ht="18" customHeight="1">
      <c r="A444" s="469"/>
      <c r="B444" s="641"/>
      <c r="C444" s="642"/>
      <c r="D444" s="642"/>
      <c r="E444" s="642"/>
      <c r="F444" s="642"/>
      <c r="G444" s="642"/>
      <c r="H444" s="643"/>
      <c r="I444" s="628">
        <f t="shared" ref="I444:I474" si="29">E408</f>
        <v>0</v>
      </c>
      <c r="J444" s="629"/>
      <c r="K444" s="629"/>
      <c r="L444" s="629"/>
      <c r="M444" s="629"/>
      <c r="N444" s="629"/>
      <c r="O444" s="630"/>
      <c r="P444" s="628">
        <f t="shared" ref="P444:P474" si="30">AK373</f>
        <v>0</v>
      </c>
      <c r="Q444" s="631"/>
      <c r="R444" s="631"/>
      <c r="S444" s="631"/>
      <c r="T444" s="631"/>
      <c r="U444" s="631"/>
      <c r="V444" s="632"/>
      <c r="W444" s="628">
        <f>I444</f>
        <v>0</v>
      </c>
      <c r="X444" s="631"/>
      <c r="Y444" s="631"/>
      <c r="Z444" s="631"/>
      <c r="AA444" s="631"/>
      <c r="AB444" s="631"/>
      <c r="AC444" s="632"/>
      <c r="AD444" s="628">
        <f>W444</f>
        <v>0</v>
      </c>
      <c r="AE444" s="631"/>
      <c r="AF444" s="631"/>
      <c r="AG444" s="631"/>
      <c r="AH444" s="631"/>
      <c r="AI444" s="631"/>
      <c r="AJ444" s="632"/>
      <c r="AK444" s="154"/>
      <c r="AL444" s="154"/>
      <c r="AM444" s="469"/>
    </row>
    <row r="445" spans="1:46" ht="18" customHeight="1">
      <c r="A445" s="469"/>
      <c r="B445" s="664">
        <v>1</v>
      </c>
      <c r="C445" s="665"/>
      <c r="D445" s="665"/>
      <c r="E445" s="665"/>
      <c r="F445" s="665"/>
      <c r="G445" s="665"/>
      <c r="H445" s="666"/>
      <c r="I445" s="667" t="str">
        <f t="shared" si="29"/>
        <v/>
      </c>
      <c r="J445" s="668"/>
      <c r="K445" s="668"/>
      <c r="L445" s="668"/>
      <c r="M445" s="668"/>
      <c r="N445" s="668"/>
      <c r="O445" s="669"/>
      <c r="P445" s="667" t="str">
        <f t="shared" si="30"/>
        <v/>
      </c>
      <c r="Q445" s="670"/>
      <c r="R445" s="670"/>
      <c r="S445" s="670"/>
      <c r="T445" s="670"/>
      <c r="U445" s="670"/>
      <c r="V445" s="671"/>
      <c r="W445" s="667" t="str">
        <f t="shared" ref="W445:W474" si="31">IF(I445="","",P445*AJ$419)</f>
        <v/>
      </c>
      <c r="X445" s="670"/>
      <c r="Y445" s="670"/>
      <c r="Z445" s="670"/>
      <c r="AA445" s="670"/>
      <c r="AB445" s="670"/>
      <c r="AC445" s="671"/>
      <c r="AD445" s="667" t="str">
        <f t="shared" ref="AD445:AD474" si="32">IF(I445="","",I445-W445)</f>
        <v/>
      </c>
      <c r="AE445" s="670"/>
      <c r="AF445" s="670"/>
      <c r="AG445" s="670"/>
      <c r="AH445" s="670"/>
      <c r="AI445" s="670"/>
      <c r="AJ445" s="671"/>
      <c r="AK445" s="154"/>
      <c r="AL445" s="154"/>
      <c r="AM445" s="469"/>
    </row>
    <row r="446" spans="1:46" ht="18" customHeight="1">
      <c r="A446" s="469"/>
      <c r="B446" s="658">
        <v>2</v>
      </c>
      <c r="C446" s="639"/>
      <c r="D446" s="639"/>
      <c r="E446" s="639"/>
      <c r="F446" s="639"/>
      <c r="G446" s="639"/>
      <c r="H446" s="640"/>
      <c r="I446" s="659" t="str">
        <f t="shared" si="29"/>
        <v/>
      </c>
      <c r="J446" s="660"/>
      <c r="K446" s="660"/>
      <c r="L446" s="660"/>
      <c r="M446" s="660"/>
      <c r="N446" s="660"/>
      <c r="O446" s="661"/>
      <c r="P446" s="659" t="str">
        <f t="shared" si="30"/>
        <v/>
      </c>
      <c r="Q446" s="662"/>
      <c r="R446" s="662"/>
      <c r="S446" s="662"/>
      <c r="T446" s="662"/>
      <c r="U446" s="662"/>
      <c r="V446" s="663"/>
      <c r="W446" s="659" t="str">
        <f t="shared" si="31"/>
        <v/>
      </c>
      <c r="X446" s="662"/>
      <c r="Y446" s="662"/>
      <c r="Z446" s="662"/>
      <c r="AA446" s="662"/>
      <c r="AB446" s="662"/>
      <c r="AC446" s="663"/>
      <c r="AD446" s="659" t="str">
        <f t="shared" si="32"/>
        <v/>
      </c>
      <c r="AE446" s="662"/>
      <c r="AF446" s="662"/>
      <c r="AG446" s="662"/>
      <c r="AH446" s="662"/>
      <c r="AI446" s="662"/>
      <c r="AJ446" s="663"/>
      <c r="AK446" s="154"/>
      <c r="AL446" s="154"/>
      <c r="AM446" s="469"/>
    </row>
    <row r="447" spans="1:46" ht="18" customHeight="1">
      <c r="A447" s="469"/>
      <c r="B447" s="658">
        <v>3</v>
      </c>
      <c r="C447" s="639"/>
      <c r="D447" s="639"/>
      <c r="E447" s="639"/>
      <c r="F447" s="639"/>
      <c r="G447" s="639"/>
      <c r="H447" s="640"/>
      <c r="I447" s="659" t="str">
        <f t="shared" si="29"/>
        <v/>
      </c>
      <c r="J447" s="660"/>
      <c r="K447" s="660"/>
      <c r="L447" s="660"/>
      <c r="M447" s="660"/>
      <c r="N447" s="660"/>
      <c r="O447" s="661"/>
      <c r="P447" s="659" t="str">
        <f t="shared" si="30"/>
        <v/>
      </c>
      <c r="Q447" s="662"/>
      <c r="R447" s="662"/>
      <c r="S447" s="662"/>
      <c r="T447" s="662"/>
      <c r="U447" s="662"/>
      <c r="V447" s="663"/>
      <c r="W447" s="659" t="str">
        <f t="shared" si="31"/>
        <v/>
      </c>
      <c r="X447" s="662"/>
      <c r="Y447" s="662"/>
      <c r="Z447" s="662"/>
      <c r="AA447" s="662"/>
      <c r="AB447" s="662"/>
      <c r="AC447" s="663"/>
      <c r="AD447" s="659" t="str">
        <f t="shared" si="32"/>
        <v/>
      </c>
      <c r="AE447" s="662"/>
      <c r="AF447" s="662"/>
      <c r="AG447" s="662"/>
      <c r="AH447" s="662"/>
      <c r="AI447" s="662"/>
      <c r="AJ447" s="663"/>
      <c r="AK447" s="154"/>
      <c r="AL447" s="154"/>
      <c r="AM447" s="469"/>
    </row>
    <row r="448" spans="1:46" ht="18" customHeight="1">
      <c r="A448" s="469"/>
      <c r="B448" s="658">
        <v>4</v>
      </c>
      <c r="C448" s="639"/>
      <c r="D448" s="639"/>
      <c r="E448" s="639"/>
      <c r="F448" s="639"/>
      <c r="G448" s="639"/>
      <c r="H448" s="640"/>
      <c r="I448" s="659" t="str">
        <f t="shared" si="29"/>
        <v/>
      </c>
      <c r="J448" s="660"/>
      <c r="K448" s="660"/>
      <c r="L448" s="660"/>
      <c r="M448" s="660"/>
      <c r="N448" s="660"/>
      <c r="O448" s="661"/>
      <c r="P448" s="659" t="str">
        <f t="shared" si="30"/>
        <v/>
      </c>
      <c r="Q448" s="662"/>
      <c r="R448" s="662"/>
      <c r="S448" s="662"/>
      <c r="T448" s="662"/>
      <c r="U448" s="662"/>
      <c r="V448" s="663"/>
      <c r="W448" s="659" t="str">
        <f t="shared" si="31"/>
        <v/>
      </c>
      <c r="X448" s="662"/>
      <c r="Y448" s="662"/>
      <c r="Z448" s="662"/>
      <c r="AA448" s="662"/>
      <c r="AB448" s="662"/>
      <c r="AC448" s="663"/>
      <c r="AD448" s="659" t="str">
        <f t="shared" si="32"/>
        <v/>
      </c>
      <c r="AE448" s="662"/>
      <c r="AF448" s="662"/>
      <c r="AG448" s="662"/>
      <c r="AH448" s="662"/>
      <c r="AI448" s="662"/>
      <c r="AJ448" s="663"/>
      <c r="AK448" s="154"/>
      <c r="AL448" s="154"/>
      <c r="AM448" s="469"/>
    </row>
    <row r="449" spans="1:39" ht="18" customHeight="1">
      <c r="A449" s="469"/>
      <c r="B449" s="658">
        <v>5</v>
      </c>
      <c r="C449" s="639"/>
      <c r="D449" s="639"/>
      <c r="E449" s="639"/>
      <c r="F449" s="639"/>
      <c r="G449" s="639"/>
      <c r="H449" s="640"/>
      <c r="I449" s="659" t="str">
        <f t="shared" si="29"/>
        <v/>
      </c>
      <c r="J449" s="660"/>
      <c r="K449" s="660"/>
      <c r="L449" s="660"/>
      <c r="M449" s="660"/>
      <c r="N449" s="660"/>
      <c r="O449" s="661"/>
      <c r="P449" s="659" t="str">
        <f t="shared" si="30"/>
        <v/>
      </c>
      <c r="Q449" s="662"/>
      <c r="R449" s="662"/>
      <c r="S449" s="662"/>
      <c r="T449" s="662"/>
      <c r="U449" s="662"/>
      <c r="V449" s="663"/>
      <c r="W449" s="659" t="str">
        <f t="shared" si="31"/>
        <v/>
      </c>
      <c r="X449" s="662"/>
      <c r="Y449" s="662"/>
      <c r="Z449" s="662"/>
      <c r="AA449" s="662"/>
      <c r="AB449" s="662"/>
      <c r="AC449" s="663"/>
      <c r="AD449" s="659" t="str">
        <f t="shared" si="32"/>
        <v/>
      </c>
      <c r="AE449" s="662"/>
      <c r="AF449" s="662"/>
      <c r="AG449" s="662"/>
      <c r="AH449" s="662"/>
      <c r="AI449" s="662"/>
      <c r="AJ449" s="663"/>
      <c r="AK449" s="154"/>
      <c r="AL449" s="154"/>
      <c r="AM449" s="469"/>
    </row>
    <row r="450" spans="1:39" ht="18" customHeight="1">
      <c r="A450" s="469"/>
      <c r="B450" s="658">
        <v>6</v>
      </c>
      <c r="C450" s="639"/>
      <c r="D450" s="639"/>
      <c r="E450" s="639"/>
      <c r="F450" s="639"/>
      <c r="G450" s="639"/>
      <c r="H450" s="640"/>
      <c r="I450" s="659" t="str">
        <f t="shared" si="29"/>
        <v/>
      </c>
      <c r="J450" s="660"/>
      <c r="K450" s="660"/>
      <c r="L450" s="660"/>
      <c r="M450" s="660"/>
      <c r="N450" s="660"/>
      <c r="O450" s="661"/>
      <c r="P450" s="659" t="str">
        <f t="shared" si="30"/>
        <v/>
      </c>
      <c r="Q450" s="662"/>
      <c r="R450" s="662"/>
      <c r="S450" s="662"/>
      <c r="T450" s="662"/>
      <c r="U450" s="662"/>
      <c r="V450" s="663"/>
      <c r="W450" s="659" t="str">
        <f t="shared" si="31"/>
        <v/>
      </c>
      <c r="X450" s="662"/>
      <c r="Y450" s="662"/>
      <c r="Z450" s="662"/>
      <c r="AA450" s="662"/>
      <c r="AB450" s="662"/>
      <c r="AC450" s="663"/>
      <c r="AD450" s="659" t="str">
        <f t="shared" si="32"/>
        <v/>
      </c>
      <c r="AE450" s="662"/>
      <c r="AF450" s="662"/>
      <c r="AG450" s="662"/>
      <c r="AH450" s="662"/>
      <c r="AI450" s="662"/>
      <c r="AJ450" s="663"/>
      <c r="AK450" s="154"/>
      <c r="AL450" s="154"/>
      <c r="AM450" s="469"/>
    </row>
    <row r="451" spans="1:39" ht="18" customHeight="1">
      <c r="A451" s="469"/>
      <c r="B451" s="658">
        <v>7</v>
      </c>
      <c r="C451" s="639"/>
      <c r="D451" s="639"/>
      <c r="E451" s="639"/>
      <c r="F451" s="639"/>
      <c r="G451" s="639"/>
      <c r="H451" s="640"/>
      <c r="I451" s="659" t="str">
        <f t="shared" si="29"/>
        <v/>
      </c>
      <c r="J451" s="660"/>
      <c r="K451" s="660"/>
      <c r="L451" s="660"/>
      <c r="M451" s="660"/>
      <c r="N451" s="660"/>
      <c r="O451" s="661"/>
      <c r="P451" s="659" t="str">
        <f t="shared" si="30"/>
        <v/>
      </c>
      <c r="Q451" s="662"/>
      <c r="R451" s="662"/>
      <c r="S451" s="662"/>
      <c r="T451" s="662"/>
      <c r="U451" s="662"/>
      <c r="V451" s="663"/>
      <c r="W451" s="659" t="str">
        <f t="shared" si="31"/>
        <v/>
      </c>
      <c r="X451" s="662"/>
      <c r="Y451" s="662"/>
      <c r="Z451" s="662"/>
      <c r="AA451" s="662"/>
      <c r="AB451" s="662"/>
      <c r="AC451" s="663"/>
      <c r="AD451" s="659" t="str">
        <f t="shared" si="32"/>
        <v/>
      </c>
      <c r="AE451" s="662"/>
      <c r="AF451" s="662"/>
      <c r="AG451" s="662"/>
      <c r="AH451" s="662"/>
      <c r="AI451" s="662"/>
      <c r="AJ451" s="663"/>
      <c r="AK451" s="154"/>
      <c r="AL451" s="154"/>
      <c r="AM451" s="469"/>
    </row>
    <row r="452" spans="1:39" ht="18" customHeight="1">
      <c r="A452" s="469"/>
      <c r="B452" s="658">
        <v>8</v>
      </c>
      <c r="C452" s="639"/>
      <c r="D452" s="639"/>
      <c r="E452" s="639"/>
      <c r="F452" s="639"/>
      <c r="G452" s="639"/>
      <c r="H452" s="640"/>
      <c r="I452" s="659" t="str">
        <f t="shared" si="29"/>
        <v/>
      </c>
      <c r="J452" s="660"/>
      <c r="K452" s="660"/>
      <c r="L452" s="660"/>
      <c r="M452" s="660"/>
      <c r="N452" s="660"/>
      <c r="O452" s="661"/>
      <c r="P452" s="659" t="str">
        <f t="shared" si="30"/>
        <v/>
      </c>
      <c r="Q452" s="662"/>
      <c r="R452" s="662"/>
      <c r="S452" s="662"/>
      <c r="T452" s="662"/>
      <c r="U452" s="662"/>
      <c r="V452" s="663"/>
      <c r="W452" s="659" t="str">
        <f t="shared" si="31"/>
        <v/>
      </c>
      <c r="X452" s="662"/>
      <c r="Y452" s="662"/>
      <c r="Z452" s="662"/>
      <c r="AA452" s="662"/>
      <c r="AB452" s="662"/>
      <c r="AC452" s="663"/>
      <c r="AD452" s="659" t="str">
        <f t="shared" si="32"/>
        <v/>
      </c>
      <c r="AE452" s="662"/>
      <c r="AF452" s="662"/>
      <c r="AG452" s="662"/>
      <c r="AH452" s="662"/>
      <c r="AI452" s="662"/>
      <c r="AJ452" s="663"/>
      <c r="AK452" s="154"/>
      <c r="AL452" s="154"/>
      <c r="AM452" s="469"/>
    </row>
    <row r="453" spans="1:39" ht="18" customHeight="1">
      <c r="A453" s="469"/>
      <c r="B453" s="658">
        <v>9</v>
      </c>
      <c r="C453" s="639"/>
      <c r="D453" s="639"/>
      <c r="E453" s="639"/>
      <c r="F453" s="639"/>
      <c r="G453" s="639"/>
      <c r="H453" s="640"/>
      <c r="I453" s="659" t="str">
        <f t="shared" si="29"/>
        <v/>
      </c>
      <c r="J453" s="660"/>
      <c r="K453" s="660"/>
      <c r="L453" s="660"/>
      <c r="M453" s="660"/>
      <c r="N453" s="660"/>
      <c r="O453" s="661"/>
      <c r="P453" s="659" t="str">
        <f t="shared" si="30"/>
        <v/>
      </c>
      <c r="Q453" s="662"/>
      <c r="R453" s="662"/>
      <c r="S453" s="662"/>
      <c r="T453" s="662"/>
      <c r="U453" s="662"/>
      <c r="V453" s="663"/>
      <c r="W453" s="659" t="str">
        <f t="shared" si="31"/>
        <v/>
      </c>
      <c r="X453" s="662"/>
      <c r="Y453" s="662"/>
      <c r="Z453" s="662"/>
      <c r="AA453" s="662"/>
      <c r="AB453" s="662"/>
      <c r="AC453" s="663"/>
      <c r="AD453" s="659" t="str">
        <f t="shared" si="32"/>
        <v/>
      </c>
      <c r="AE453" s="662"/>
      <c r="AF453" s="662"/>
      <c r="AG453" s="662"/>
      <c r="AH453" s="662"/>
      <c r="AI453" s="662"/>
      <c r="AJ453" s="663"/>
      <c r="AK453" s="154"/>
      <c r="AL453" s="154"/>
      <c r="AM453" s="469"/>
    </row>
    <row r="454" spans="1:39" ht="18" customHeight="1">
      <c r="A454" s="469"/>
      <c r="B454" s="658">
        <v>10</v>
      </c>
      <c r="C454" s="639"/>
      <c r="D454" s="639"/>
      <c r="E454" s="639"/>
      <c r="F454" s="639"/>
      <c r="G454" s="639"/>
      <c r="H454" s="640"/>
      <c r="I454" s="659" t="str">
        <f t="shared" si="29"/>
        <v/>
      </c>
      <c r="J454" s="660"/>
      <c r="K454" s="660"/>
      <c r="L454" s="660"/>
      <c r="M454" s="660"/>
      <c r="N454" s="660"/>
      <c r="O454" s="661"/>
      <c r="P454" s="659" t="str">
        <f t="shared" si="30"/>
        <v/>
      </c>
      <c r="Q454" s="662"/>
      <c r="R454" s="662"/>
      <c r="S454" s="662"/>
      <c r="T454" s="662"/>
      <c r="U454" s="662"/>
      <c r="V454" s="663"/>
      <c r="W454" s="659" t="str">
        <f t="shared" si="31"/>
        <v/>
      </c>
      <c r="X454" s="662"/>
      <c r="Y454" s="662"/>
      <c r="Z454" s="662"/>
      <c r="AA454" s="662"/>
      <c r="AB454" s="662"/>
      <c r="AC454" s="663"/>
      <c r="AD454" s="659" t="str">
        <f t="shared" si="32"/>
        <v/>
      </c>
      <c r="AE454" s="662"/>
      <c r="AF454" s="662"/>
      <c r="AG454" s="662"/>
      <c r="AH454" s="662"/>
      <c r="AI454" s="662"/>
      <c r="AJ454" s="663"/>
      <c r="AK454" s="154"/>
      <c r="AL454" s="154"/>
      <c r="AM454" s="469"/>
    </row>
    <row r="455" spans="1:39" ht="18" customHeight="1">
      <c r="A455" s="469"/>
      <c r="B455" s="658">
        <v>11</v>
      </c>
      <c r="C455" s="639"/>
      <c r="D455" s="639"/>
      <c r="E455" s="639"/>
      <c r="F455" s="639"/>
      <c r="G455" s="639"/>
      <c r="H455" s="640"/>
      <c r="I455" s="659" t="str">
        <f t="shared" si="29"/>
        <v/>
      </c>
      <c r="J455" s="660"/>
      <c r="K455" s="660"/>
      <c r="L455" s="660"/>
      <c r="M455" s="660"/>
      <c r="N455" s="660"/>
      <c r="O455" s="661"/>
      <c r="P455" s="659" t="str">
        <f t="shared" si="30"/>
        <v/>
      </c>
      <c r="Q455" s="662"/>
      <c r="R455" s="662"/>
      <c r="S455" s="662"/>
      <c r="T455" s="662"/>
      <c r="U455" s="662"/>
      <c r="V455" s="663"/>
      <c r="W455" s="659" t="str">
        <f t="shared" si="31"/>
        <v/>
      </c>
      <c r="X455" s="662"/>
      <c r="Y455" s="662"/>
      <c r="Z455" s="662"/>
      <c r="AA455" s="662"/>
      <c r="AB455" s="662"/>
      <c r="AC455" s="663"/>
      <c r="AD455" s="659" t="str">
        <f t="shared" si="32"/>
        <v/>
      </c>
      <c r="AE455" s="662"/>
      <c r="AF455" s="662"/>
      <c r="AG455" s="662"/>
      <c r="AH455" s="662"/>
      <c r="AI455" s="662"/>
      <c r="AJ455" s="663"/>
      <c r="AK455" s="154"/>
      <c r="AL455" s="154"/>
      <c r="AM455" s="469"/>
    </row>
    <row r="456" spans="1:39" ht="18" customHeight="1">
      <c r="A456" s="469"/>
      <c r="B456" s="658">
        <v>12</v>
      </c>
      <c r="C456" s="639"/>
      <c r="D456" s="639"/>
      <c r="E456" s="639"/>
      <c r="F456" s="639"/>
      <c r="G456" s="639"/>
      <c r="H456" s="640"/>
      <c r="I456" s="659" t="str">
        <f t="shared" si="29"/>
        <v/>
      </c>
      <c r="J456" s="660"/>
      <c r="K456" s="660"/>
      <c r="L456" s="660"/>
      <c r="M456" s="660"/>
      <c r="N456" s="660"/>
      <c r="O456" s="661"/>
      <c r="P456" s="659" t="str">
        <f t="shared" si="30"/>
        <v/>
      </c>
      <c r="Q456" s="662"/>
      <c r="R456" s="662"/>
      <c r="S456" s="662"/>
      <c r="T456" s="662"/>
      <c r="U456" s="662"/>
      <c r="V456" s="663"/>
      <c r="W456" s="659" t="str">
        <f t="shared" si="31"/>
        <v/>
      </c>
      <c r="X456" s="662"/>
      <c r="Y456" s="662"/>
      <c r="Z456" s="662"/>
      <c r="AA456" s="662"/>
      <c r="AB456" s="662"/>
      <c r="AC456" s="663"/>
      <c r="AD456" s="659" t="str">
        <f t="shared" si="32"/>
        <v/>
      </c>
      <c r="AE456" s="662"/>
      <c r="AF456" s="662"/>
      <c r="AG456" s="662"/>
      <c r="AH456" s="662"/>
      <c r="AI456" s="662"/>
      <c r="AJ456" s="663"/>
      <c r="AK456" s="154"/>
      <c r="AL456" s="154"/>
      <c r="AM456" s="469"/>
    </row>
    <row r="457" spans="1:39" ht="18" customHeight="1">
      <c r="A457" s="469"/>
      <c r="B457" s="658">
        <v>13</v>
      </c>
      <c r="C457" s="639"/>
      <c r="D457" s="639"/>
      <c r="E457" s="639"/>
      <c r="F457" s="639"/>
      <c r="G457" s="639"/>
      <c r="H457" s="640"/>
      <c r="I457" s="659" t="str">
        <f t="shared" si="29"/>
        <v/>
      </c>
      <c r="J457" s="660"/>
      <c r="K457" s="660"/>
      <c r="L457" s="660"/>
      <c r="M457" s="660"/>
      <c r="N457" s="660"/>
      <c r="O457" s="661"/>
      <c r="P457" s="659" t="str">
        <f t="shared" si="30"/>
        <v/>
      </c>
      <c r="Q457" s="662"/>
      <c r="R457" s="662"/>
      <c r="S457" s="662"/>
      <c r="T457" s="662"/>
      <c r="U457" s="662"/>
      <c r="V457" s="663"/>
      <c r="W457" s="659" t="str">
        <f t="shared" si="31"/>
        <v/>
      </c>
      <c r="X457" s="662"/>
      <c r="Y457" s="662"/>
      <c r="Z457" s="662"/>
      <c r="AA457" s="662"/>
      <c r="AB457" s="662"/>
      <c r="AC457" s="663"/>
      <c r="AD457" s="659" t="str">
        <f t="shared" si="32"/>
        <v/>
      </c>
      <c r="AE457" s="662"/>
      <c r="AF457" s="662"/>
      <c r="AG457" s="662"/>
      <c r="AH457" s="662"/>
      <c r="AI457" s="662"/>
      <c r="AJ457" s="663"/>
      <c r="AK457" s="154"/>
      <c r="AL457" s="154"/>
      <c r="AM457" s="469"/>
    </row>
    <row r="458" spans="1:39" ht="18" customHeight="1">
      <c r="A458" s="469"/>
      <c r="B458" s="658">
        <v>14</v>
      </c>
      <c r="C458" s="639"/>
      <c r="D458" s="639"/>
      <c r="E458" s="639"/>
      <c r="F458" s="639"/>
      <c r="G458" s="639"/>
      <c r="H458" s="640"/>
      <c r="I458" s="659" t="str">
        <f t="shared" si="29"/>
        <v/>
      </c>
      <c r="J458" s="660"/>
      <c r="K458" s="660"/>
      <c r="L458" s="660"/>
      <c r="M458" s="660"/>
      <c r="N458" s="660"/>
      <c r="O458" s="661"/>
      <c r="P458" s="659" t="str">
        <f t="shared" si="30"/>
        <v/>
      </c>
      <c r="Q458" s="662"/>
      <c r="R458" s="662"/>
      <c r="S458" s="662"/>
      <c r="T458" s="662"/>
      <c r="U458" s="662"/>
      <c r="V458" s="663"/>
      <c r="W458" s="659" t="str">
        <f t="shared" si="31"/>
        <v/>
      </c>
      <c r="X458" s="662"/>
      <c r="Y458" s="662"/>
      <c r="Z458" s="662"/>
      <c r="AA458" s="662"/>
      <c r="AB458" s="662"/>
      <c r="AC458" s="663"/>
      <c r="AD458" s="659" t="str">
        <f t="shared" si="32"/>
        <v/>
      </c>
      <c r="AE458" s="662"/>
      <c r="AF458" s="662"/>
      <c r="AG458" s="662"/>
      <c r="AH458" s="662"/>
      <c r="AI458" s="662"/>
      <c r="AJ458" s="663"/>
      <c r="AK458" s="154"/>
      <c r="AL458" s="154"/>
      <c r="AM458" s="469"/>
    </row>
    <row r="459" spans="1:39" ht="18" customHeight="1">
      <c r="A459" s="469"/>
      <c r="B459" s="658">
        <v>15</v>
      </c>
      <c r="C459" s="639"/>
      <c r="D459" s="639"/>
      <c r="E459" s="639"/>
      <c r="F459" s="639"/>
      <c r="G459" s="639"/>
      <c r="H459" s="640"/>
      <c r="I459" s="659" t="str">
        <f t="shared" si="29"/>
        <v/>
      </c>
      <c r="J459" s="660"/>
      <c r="K459" s="660"/>
      <c r="L459" s="660"/>
      <c r="M459" s="660"/>
      <c r="N459" s="660"/>
      <c r="O459" s="661"/>
      <c r="P459" s="659" t="str">
        <f t="shared" si="30"/>
        <v/>
      </c>
      <c r="Q459" s="662"/>
      <c r="R459" s="662"/>
      <c r="S459" s="662"/>
      <c r="T459" s="662"/>
      <c r="U459" s="662"/>
      <c r="V459" s="663"/>
      <c r="W459" s="659" t="str">
        <f t="shared" si="31"/>
        <v/>
      </c>
      <c r="X459" s="662"/>
      <c r="Y459" s="662"/>
      <c r="Z459" s="662"/>
      <c r="AA459" s="662"/>
      <c r="AB459" s="662"/>
      <c r="AC459" s="663"/>
      <c r="AD459" s="659" t="str">
        <f t="shared" si="32"/>
        <v/>
      </c>
      <c r="AE459" s="662"/>
      <c r="AF459" s="662"/>
      <c r="AG459" s="662"/>
      <c r="AH459" s="662"/>
      <c r="AI459" s="662"/>
      <c r="AJ459" s="663"/>
      <c r="AK459" s="154"/>
      <c r="AL459" s="154"/>
      <c r="AM459" s="469"/>
    </row>
    <row r="460" spans="1:39" ht="18" customHeight="1">
      <c r="A460" s="469"/>
      <c r="B460" s="658">
        <v>16</v>
      </c>
      <c r="C460" s="639"/>
      <c r="D460" s="639"/>
      <c r="E460" s="639"/>
      <c r="F460" s="639"/>
      <c r="G460" s="639"/>
      <c r="H460" s="640"/>
      <c r="I460" s="659" t="str">
        <f t="shared" si="29"/>
        <v/>
      </c>
      <c r="J460" s="660"/>
      <c r="K460" s="660"/>
      <c r="L460" s="660"/>
      <c r="M460" s="660"/>
      <c r="N460" s="660"/>
      <c r="O460" s="661"/>
      <c r="P460" s="659" t="str">
        <f t="shared" si="30"/>
        <v/>
      </c>
      <c r="Q460" s="662"/>
      <c r="R460" s="662"/>
      <c r="S460" s="662"/>
      <c r="T460" s="662"/>
      <c r="U460" s="662"/>
      <c r="V460" s="663"/>
      <c r="W460" s="659" t="str">
        <f t="shared" si="31"/>
        <v/>
      </c>
      <c r="X460" s="662"/>
      <c r="Y460" s="662"/>
      <c r="Z460" s="662"/>
      <c r="AA460" s="662"/>
      <c r="AB460" s="662"/>
      <c r="AC460" s="663"/>
      <c r="AD460" s="659" t="str">
        <f t="shared" si="32"/>
        <v/>
      </c>
      <c r="AE460" s="662"/>
      <c r="AF460" s="662"/>
      <c r="AG460" s="662"/>
      <c r="AH460" s="662"/>
      <c r="AI460" s="662"/>
      <c r="AJ460" s="663"/>
      <c r="AK460" s="154"/>
      <c r="AL460" s="154"/>
      <c r="AM460" s="469"/>
    </row>
    <row r="461" spans="1:39" ht="18" customHeight="1">
      <c r="A461" s="469"/>
      <c r="B461" s="658">
        <v>17</v>
      </c>
      <c r="C461" s="639"/>
      <c r="D461" s="639"/>
      <c r="E461" s="639"/>
      <c r="F461" s="639"/>
      <c r="G461" s="639"/>
      <c r="H461" s="640"/>
      <c r="I461" s="659" t="str">
        <f t="shared" si="29"/>
        <v/>
      </c>
      <c r="J461" s="660"/>
      <c r="K461" s="660"/>
      <c r="L461" s="660"/>
      <c r="M461" s="660"/>
      <c r="N461" s="660"/>
      <c r="O461" s="661"/>
      <c r="P461" s="659" t="str">
        <f t="shared" si="30"/>
        <v/>
      </c>
      <c r="Q461" s="662"/>
      <c r="R461" s="662"/>
      <c r="S461" s="662"/>
      <c r="T461" s="662"/>
      <c r="U461" s="662"/>
      <c r="V461" s="663"/>
      <c r="W461" s="659" t="str">
        <f t="shared" si="31"/>
        <v/>
      </c>
      <c r="X461" s="662"/>
      <c r="Y461" s="662"/>
      <c r="Z461" s="662"/>
      <c r="AA461" s="662"/>
      <c r="AB461" s="662"/>
      <c r="AC461" s="663"/>
      <c r="AD461" s="659" t="str">
        <f t="shared" si="32"/>
        <v/>
      </c>
      <c r="AE461" s="662"/>
      <c r="AF461" s="662"/>
      <c r="AG461" s="662"/>
      <c r="AH461" s="662"/>
      <c r="AI461" s="662"/>
      <c r="AJ461" s="663"/>
      <c r="AK461" s="154"/>
      <c r="AL461" s="154"/>
      <c r="AM461" s="469"/>
    </row>
    <row r="462" spans="1:39" ht="18" customHeight="1">
      <c r="A462" s="469"/>
      <c r="B462" s="658">
        <v>18</v>
      </c>
      <c r="C462" s="639"/>
      <c r="D462" s="639"/>
      <c r="E462" s="639"/>
      <c r="F462" s="639"/>
      <c r="G462" s="639"/>
      <c r="H462" s="640"/>
      <c r="I462" s="659" t="str">
        <f t="shared" si="29"/>
        <v/>
      </c>
      <c r="J462" s="660"/>
      <c r="K462" s="660"/>
      <c r="L462" s="660"/>
      <c r="M462" s="660"/>
      <c r="N462" s="660"/>
      <c r="O462" s="661"/>
      <c r="P462" s="659" t="str">
        <f t="shared" si="30"/>
        <v/>
      </c>
      <c r="Q462" s="662"/>
      <c r="R462" s="662"/>
      <c r="S462" s="662"/>
      <c r="T462" s="662"/>
      <c r="U462" s="662"/>
      <c r="V462" s="663"/>
      <c r="W462" s="659" t="str">
        <f t="shared" si="31"/>
        <v/>
      </c>
      <c r="X462" s="662"/>
      <c r="Y462" s="662"/>
      <c r="Z462" s="662"/>
      <c r="AA462" s="662"/>
      <c r="AB462" s="662"/>
      <c r="AC462" s="663"/>
      <c r="AD462" s="659" t="str">
        <f t="shared" si="32"/>
        <v/>
      </c>
      <c r="AE462" s="662"/>
      <c r="AF462" s="662"/>
      <c r="AG462" s="662"/>
      <c r="AH462" s="662"/>
      <c r="AI462" s="662"/>
      <c r="AJ462" s="663"/>
      <c r="AK462" s="154"/>
      <c r="AL462" s="154"/>
      <c r="AM462" s="469"/>
    </row>
    <row r="463" spans="1:39" ht="18" customHeight="1">
      <c r="A463" s="469"/>
      <c r="B463" s="658">
        <v>19</v>
      </c>
      <c r="C463" s="639"/>
      <c r="D463" s="639"/>
      <c r="E463" s="639"/>
      <c r="F463" s="639"/>
      <c r="G463" s="639"/>
      <c r="H463" s="640"/>
      <c r="I463" s="659" t="str">
        <f t="shared" si="29"/>
        <v/>
      </c>
      <c r="J463" s="660"/>
      <c r="K463" s="660"/>
      <c r="L463" s="660"/>
      <c r="M463" s="660"/>
      <c r="N463" s="660"/>
      <c r="O463" s="661"/>
      <c r="P463" s="659" t="str">
        <f t="shared" si="30"/>
        <v/>
      </c>
      <c r="Q463" s="662"/>
      <c r="R463" s="662"/>
      <c r="S463" s="662"/>
      <c r="T463" s="662"/>
      <c r="U463" s="662"/>
      <c r="V463" s="663"/>
      <c r="W463" s="659" t="str">
        <f t="shared" si="31"/>
        <v/>
      </c>
      <c r="X463" s="662"/>
      <c r="Y463" s="662"/>
      <c r="Z463" s="662"/>
      <c r="AA463" s="662"/>
      <c r="AB463" s="662"/>
      <c r="AC463" s="663"/>
      <c r="AD463" s="659" t="str">
        <f t="shared" si="32"/>
        <v/>
      </c>
      <c r="AE463" s="662"/>
      <c r="AF463" s="662"/>
      <c r="AG463" s="662"/>
      <c r="AH463" s="662"/>
      <c r="AI463" s="662"/>
      <c r="AJ463" s="663"/>
      <c r="AK463" s="154"/>
      <c r="AL463" s="154"/>
      <c r="AM463" s="469"/>
    </row>
    <row r="464" spans="1:39" ht="18" customHeight="1">
      <c r="A464" s="469"/>
      <c r="B464" s="658">
        <v>20</v>
      </c>
      <c r="C464" s="639"/>
      <c r="D464" s="639"/>
      <c r="E464" s="639"/>
      <c r="F464" s="639"/>
      <c r="G464" s="639"/>
      <c r="H464" s="640"/>
      <c r="I464" s="659" t="str">
        <f t="shared" si="29"/>
        <v/>
      </c>
      <c r="J464" s="660"/>
      <c r="K464" s="660"/>
      <c r="L464" s="660"/>
      <c r="M464" s="660"/>
      <c r="N464" s="660"/>
      <c r="O464" s="661"/>
      <c r="P464" s="659" t="str">
        <f t="shared" si="30"/>
        <v/>
      </c>
      <c r="Q464" s="662"/>
      <c r="R464" s="662"/>
      <c r="S464" s="662"/>
      <c r="T464" s="662"/>
      <c r="U464" s="662"/>
      <c r="V464" s="663"/>
      <c r="W464" s="659" t="str">
        <f t="shared" si="31"/>
        <v/>
      </c>
      <c r="X464" s="662"/>
      <c r="Y464" s="662"/>
      <c r="Z464" s="662"/>
      <c r="AA464" s="662"/>
      <c r="AB464" s="662"/>
      <c r="AC464" s="663"/>
      <c r="AD464" s="659" t="str">
        <f t="shared" si="32"/>
        <v/>
      </c>
      <c r="AE464" s="662"/>
      <c r="AF464" s="662"/>
      <c r="AG464" s="662"/>
      <c r="AH464" s="662"/>
      <c r="AI464" s="662"/>
      <c r="AJ464" s="663"/>
      <c r="AK464" s="154"/>
      <c r="AL464" s="154"/>
      <c r="AM464" s="469"/>
    </row>
    <row r="465" spans="1:46" ht="18" customHeight="1">
      <c r="A465" s="469"/>
      <c r="B465" s="658">
        <v>21</v>
      </c>
      <c r="C465" s="639"/>
      <c r="D465" s="639"/>
      <c r="E465" s="639"/>
      <c r="F465" s="639"/>
      <c r="G465" s="639"/>
      <c r="H465" s="640"/>
      <c r="I465" s="659" t="str">
        <f t="shared" si="29"/>
        <v/>
      </c>
      <c r="J465" s="660"/>
      <c r="K465" s="660"/>
      <c r="L465" s="660"/>
      <c r="M465" s="660"/>
      <c r="N465" s="660"/>
      <c r="O465" s="661"/>
      <c r="P465" s="659" t="str">
        <f t="shared" si="30"/>
        <v/>
      </c>
      <c r="Q465" s="662"/>
      <c r="R465" s="662"/>
      <c r="S465" s="662"/>
      <c r="T465" s="662"/>
      <c r="U465" s="662"/>
      <c r="V465" s="663"/>
      <c r="W465" s="659" t="str">
        <f t="shared" si="31"/>
        <v/>
      </c>
      <c r="X465" s="662"/>
      <c r="Y465" s="662"/>
      <c r="Z465" s="662"/>
      <c r="AA465" s="662"/>
      <c r="AB465" s="662"/>
      <c r="AC465" s="663"/>
      <c r="AD465" s="659" t="str">
        <f t="shared" si="32"/>
        <v/>
      </c>
      <c r="AE465" s="662"/>
      <c r="AF465" s="662"/>
      <c r="AG465" s="662"/>
      <c r="AH465" s="662"/>
      <c r="AI465" s="662"/>
      <c r="AJ465" s="663"/>
      <c r="AK465" s="154"/>
      <c r="AL465" s="154"/>
      <c r="AM465" s="469"/>
    </row>
    <row r="466" spans="1:46" ht="18" customHeight="1">
      <c r="A466" s="469"/>
      <c r="B466" s="658">
        <v>22</v>
      </c>
      <c r="C466" s="639"/>
      <c r="D466" s="639"/>
      <c r="E466" s="639"/>
      <c r="F466" s="639"/>
      <c r="G466" s="639"/>
      <c r="H466" s="640"/>
      <c r="I466" s="659" t="str">
        <f t="shared" si="29"/>
        <v/>
      </c>
      <c r="J466" s="660"/>
      <c r="K466" s="660"/>
      <c r="L466" s="660"/>
      <c r="M466" s="660"/>
      <c r="N466" s="660"/>
      <c r="O466" s="661"/>
      <c r="P466" s="659" t="str">
        <f t="shared" si="30"/>
        <v/>
      </c>
      <c r="Q466" s="662"/>
      <c r="R466" s="662"/>
      <c r="S466" s="662"/>
      <c r="T466" s="662"/>
      <c r="U466" s="662"/>
      <c r="V466" s="663"/>
      <c r="W466" s="659" t="str">
        <f t="shared" si="31"/>
        <v/>
      </c>
      <c r="X466" s="662"/>
      <c r="Y466" s="662"/>
      <c r="Z466" s="662"/>
      <c r="AA466" s="662"/>
      <c r="AB466" s="662"/>
      <c r="AC466" s="663"/>
      <c r="AD466" s="659" t="str">
        <f t="shared" si="32"/>
        <v/>
      </c>
      <c r="AE466" s="662"/>
      <c r="AF466" s="662"/>
      <c r="AG466" s="662"/>
      <c r="AH466" s="662"/>
      <c r="AI466" s="662"/>
      <c r="AJ466" s="663"/>
      <c r="AK466" s="154"/>
      <c r="AL466" s="154"/>
      <c r="AM466" s="469"/>
    </row>
    <row r="467" spans="1:46" ht="18" customHeight="1">
      <c r="A467" s="469"/>
      <c r="B467" s="658">
        <v>23</v>
      </c>
      <c r="C467" s="639"/>
      <c r="D467" s="639"/>
      <c r="E467" s="639"/>
      <c r="F467" s="639"/>
      <c r="G467" s="639"/>
      <c r="H467" s="640"/>
      <c r="I467" s="659" t="str">
        <f t="shared" si="29"/>
        <v/>
      </c>
      <c r="J467" s="660"/>
      <c r="K467" s="660"/>
      <c r="L467" s="660"/>
      <c r="M467" s="660"/>
      <c r="N467" s="660"/>
      <c r="O467" s="661"/>
      <c r="P467" s="659" t="str">
        <f t="shared" si="30"/>
        <v/>
      </c>
      <c r="Q467" s="662"/>
      <c r="R467" s="662"/>
      <c r="S467" s="662"/>
      <c r="T467" s="662"/>
      <c r="U467" s="662"/>
      <c r="V467" s="663"/>
      <c r="W467" s="659" t="str">
        <f t="shared" si="31"/>
        <v/>
      </c>
      <c r="X467" s="662"/>
      <c r="Y467" s="662"/>
      <c r="Z467" s="662"/>
      <c r="AA467" s="662"/>
      <c r="AB467" s="662"/>
      <c r="AC467" s="663"/>
      <c r="AD467" s="659" t="str">
        <f t="shared" si="32"/>
        <v/>
      </c>
      <c r="AE467" s="662"/>
      <c r="AF467" s="662"/>
      <c r="AG467" s="662"/>
      <c r="AH467" s="662"/>
      <c r="AI467" s="662"/>
      <c r="AJ467" s="663"/>
      <c r="AK467" s="154"/>
      <c r="AL467" s="154"/>
      <c r="AM467" s="469"/>
    </row>
    <row r="468" spans="1:46" ht="18" customHeight="1">
      <c r="A468" s="469"/>
      <c r="B468" s="658">
        <v>24</v>
      </c>
      <c r="C468" s="639"/>
      <c r="D468" s="639"/>
      <c r="E468" s="639"/>
      <c r="F468" s="639"/>
      <c r="G468" s="639"/>
      <c r="H468" s="640"/>
      <c r="I468" s="659" t="str">
        <f t="shared" si="29"/>
        <v/>
      </c>
      <c r="J468" s="660"/>
      <c r="K468" s="660"/>
      <c r="L468" s="660"/>
      <c r="M468" s="660"/>
      <c r="N468" s="660"/>
      <c r="O468" s="661"/>
      <c r="P468" s="659" t="str">
        <f t="shared" si="30"/>
        <v/>
      </c>
      <c r="Q468" s="662"/>
      <c r="R468" s="662"/>
      <c r="S468" s="662"/>
      <c r="T468" s="662"/>
      <c r="U468" s="662"/>
      <c r="V468" s="663"/>
      <c r="W468" s="659" t="str">
        <f t="shared" si="31"/>
        <v/>
      </c>
      <c r="X468" s="662"/>
      <c r="Y468" s="662"/>
      <c r="Z468" s="662"/>
      <c r="AA468" s="662"/>
      <c r="AB468" s="662"/>
      <c r="AC468" s="663"/>
      <c r="AD468" s="659" t="str">
        <f t="shared" si="32"/>
        <v/>
      </c>
      <c r="AE468" s="662"/>
      <c r="AF468" s="662"/>
      <c r="AG468" s="662"/>
      <c r="AH468" s="662"/>
      <c r="AI468" s="662"/>
      <c r="AJ468" s="663"/>
      <c r="AK468" s="154"/>
      <c r="AL468" s="154"/>
      <c r="AM468" s="469"/>
    </row>
    <row r="469" spans="1:46" ht="18" customHeight="1">
      <c r="A469" s="469"/>
      <c r="B469" s="658">
        <v>25</v>
      </c>
      <c r="C469" s="639"/>
      <c r="D469" s="639"/>
      <c r="E469" s="639"/>
      <c r="F469" s="639"/>
      <c r="G469" s="639"/>
      <c r="H469" s="640"/>
      <c r="I469" s="659" t="str">
        <f t="shared" si="29"/>
        <v/>
      </c>
      <c r="J469" s="660"/>
      <c r="K469" s="660"/>
      <c r="L469" s="660"/>
      <c r="M469" s="660"/>
      <c r="N469" s="660"/>
      <c r="O469" s="661"/>
      <c r="P469" s="659" t="str">
        <f t="shared" si="30"/>
        <v/>
      </c>
      <c r="Q469" s="662"/>
      <c r="R469" s="662"/>
      <c r="S469" s="662"/>
      <c r="T469" s="662"/>
      <c r="U469" s="662"/>
      <c r="V469" s="663"/>
      <c r="W469" s="659" t="str">
        <f t="shared" si="31"/>
        <v/>
      </c>
      <c r="X469" s="662"/>
      <c r="Y469" s="662"/>
      <c r="Z469" s="662"/>
      <c r="AA469" s="662"/>
      <c r="AB469" s="662"/>
      <c r="AC469" s="663"/>
      <c r="AD469" s="659" t="str">
        <f t="shared" si="32"/>
        <v/>
      </c>
      <c r="AE469" s="662"/>
      <c r="AF469" s="662"/>
      <c r="AG469" s="662"/>
      <c r="AH469" s="662"/>
      <c r="AI469" s="662"/>
      <c r="AJ469" s="663"/>
      <c r="AK469" s="154"/>
      <c r="AL469" s="154"/>
      <c r="AM469" s="469"/>
    </row>
    <row r="470" spans="1:46" ht="18" customHeight="1">
      <c r="A470" s="469"/>
      <c r="B470" s="658">
        <v>26</v>
      </c>
      <c r="C470" s="639"/>
      <c r="D470" s="639"/>
      <c r="E470" s="639"/>
      <c r="F470" s="639"/>
      <c r="G470" s="639"/>
      <c r="H470" s="640"/>
      <c r="I470" s="659" t="str">
        <f t="shared" si="29"/>
        <v/>
      </c>
      <c r="J470" s="660"/>
      <c r="K470" s="660"/>
      <c r="L470" s="660"/>
      <c r="M470" s="660"/>
      <c r="N470" s="660"/>
      <c r="O470" s="661"/>
      <c r="P470" s="659" t="str">
        <f t="shared" si="30"/>
        <v/>
      </c>
      <c r="Q470" s="662"/>
      <c r="R470" s="662"/>
      <c r="S470" s="662"/>
      <c r="T470" s="662"/>
      <c r="U470" s="662"/>
      <c r="V470" s="663"/>
      <c r="W470" s="659" t="str">
        <f t="shared" si="31"/>
        <v/>
      </c>
      <c r="X470" s="662"/>
      <c r="Y470" s="662"/>
      <c r="Z470" s="662"/>
      <c r="AA470" s="662"/>
      <c r="AB470" s="662"/>
      <c r="AC470" s="663"/>
      <c r="AD470" s="659" t="str">
        <f t="shared" si="32"/>
        <v/>
      </c>
      <c r="AE470" s="662"/>
      <c r="AF470" s="662"/>
      <c r="AG470" s="662"/>
      <c r="AH470" s="662"/>
      <c r="AI470" s="662"/>
      <c r="AJ470" s="663"/>
      <c r="AK470" s="154"/>
      <c r="AL470" s="154"/>
      <c r="AM470" s="469"/>
    </row>
    <row r="471" spans="1:46" ht="18" customHeight="1">
      <c r="A471" s="469"/>
      <c r="B471" s="658">
        <v>27</v>
      </c>
      <c r="C471" s="639"/>
      <c r="D471" s="639"/>
      <c r="E471" s="639"/>
      <c r="F471" s="639"/>
      <c r="G471" s="639"/>
      <c r="H471" s="640"/>
      <c r="I471" s="659" t="str">
        <f t="shared" si="29"/>
        <v/>
      </c>
      <c r="J471" s="660"/>
      <c r="K471" s="660"/>
      <c r="L471" s="660"/>
      <c r="M471" s="660"/>
      <c r="N471" s="660"/>
      <c r="O471" s="661"/>
      <c r="P471" s="659" t="str">
        <f t="shared" si="30"/>
        <v/>
      </c>
      <c r="Q471" s="662"/>
      <c r="R471" s="662"/>
      <c r="S471" s="662"/>
      <c r="T471" s="662"/>
      <c r="U471" s="662"/>
      <c r="V471" s="663"/>
      <c r="W471" s="659" t="str">
        <f t="shared" si="31"/>
        <v/>
      </c>
      <c r="X471" s="662"/>
      <c r="Y471" s="662"/>
      <c r="Z471" s="662"/>
      <c r="AA471" s="662"/>
      <c r="AB471" s="662"/>
      <c r="AC471" s="663"/>
      <c r="AD471" s="659" t="str">
        <f t="shared" si="32"/>
        <v/>
      </c>
      <c r="AE471" s="662"/>
      <c r="AF471" s="662"/>
      <c r="AG471" s="662"/>
      <c r="AH471" s="662"/>
      <c r="AI471" s="662"/>
      <c r="AJ471" s="663"/>
      <c r="AK471" s="154"/>
      <c r="AL471" s="154"/>
      <c r="AM471" s="469"/>
    </row>
    <row r="472" spans="1:46" ht="18" customHeight="1">
      <c r="A472" s="469"/>
      <c r="B472" s="658">
        <v>28</v>
      </c>
      <c r="C472" s="639"/>
      <c r="D472" s="639"/>
      <c r="E472" s="639"/>
      <c r="F472" s="639"/>
      <c r="G472" s="639"/>
      <c r="H472" s="640"/>
      <c r="I472" s="659" t="str">
        <f t="shared" si="29"/>
        <v/>
      </c>
      <c r="J472" s="660"/>
      <c r="K472" s="660"/>
      <c r="L472" s="660"/>
      <c r="M472" s="660"/>
      <c r="N472" s="660"/>
      <c r="O472" s="661"/>
      <c r="P472" s="659" t="str">
        <f t="shared" si="30"/>
        <v/>
      </c>
      <c r="Q472" s="662"/>
      <c r="R472" s="662"/>
      <c r="S472" s="662"/>
      <c r="T472" s="662"/>
      <c r="U472" s="662"/>
      <c r="V472" s="663"/>
      <c r="W472" s="659" t="str">
        <f t="shared" si="31"/>
        <v/>
      </c>
      <c r="X472" s="662"/>
      <c r="Y472" s="662"/>
      <c r="Z472" s="662"/>
      <c r="AA472" s="662"/>
      <c r="AB472" s="662"/>
      <c r="AC472" s="663"/>
      <c r="AD472" s="659" t="str">
        <f t="shared" si="32"/>
        <v/>
      </c>
      <c r="AE472" s="662"/>
      <c r="AF472" s="662"/>
      <c r="AG472" s="662"/>
      <c r="AH472" s="662"/>
      <c r="AI472" s="662"/>
      <c r="AJ472" s="663"/>
      <c r="AK472" s="154"/>
      <c r="AL472" s="154"/>
      <c r="AM472" s="469"/>
    </row>
    <row r="473" spans="1:46" ht="18" customHeight="1">
      <c r="A473" s="469"/>
      <c r="B473" s="658">
        <v>29</v>
      </c>
      <c r="C473" s="639"/>
      <c r="D473" s="639"/>
      <c r="E473" s="639"/>
      <c r="F473" s="639"/>
      <c r="G473" s="639"/>
      <c r="H473" s="640"/>
      <c r="I473" s="659" t="str">
        <f t="shared" si="29"/>
        <v/>
      </c>
      <c r="J473" s="660"/>
      <c r="K473" s="660"/>
      <c r="L473" s="660"/>
      <c r="M473" s="660"/>
      <c r="N473" s="660"/>
      <c r="O473" s="661"/>
      <c r="P473" s="659" t="str">
        <f t="shared" si="30"/>
        <v/>
      </c>
      <c r="Q473" s="662"/>
      <c r="R473" s="662"/>
      <c r="S473" s="662"/>
      <c r="T473" s="662"/>
      <c r="U473" s="662"/>
      <c r="V473" s="663"/>
      <c r="W473" s="659" t="str">
        <f t="shared" si="31"/>
        <v/>
      </c>
      <c r="X473" s="662"/>
      <c r="Y473" s="662"/>
      <c r="Z473" s="662"/>
      <c r="AA473" s="662"/>
      <c r="AB473" s="662"/>
      <c r="AC473" s="663"/>
      <c r="AD473" s="659" t="str">
        <f t="shared" si="32"/>
        <v/>
      </c>
      <c r="AE473" s="662"/>
      <c r="AF473" s="662"/>
      <c r="AG473" s="662"/>
      <c r="AH473" s="662"/>
      <c r="AI473" s="662"/>
      <c r="AJ473" s="663"/>
      <c r="AK473" s="154"/>
      <c r="AL473" s="154"/>
      <c r="AM473" s="469"/>
    </row>
    <row r="474" spans="1:46" ht="18" customHeight="1">
      <c r="A474" s="469"/>
      <c r="B474" s="672">
        <v>30</v>
      </c>
      <c r="C474" s="642"/>
      <c r="D474" s="642"/>
      <c r="E474" s="642"/>
      <c r="F474" s="642"/>
      <c r="G474" s="642"/>
      <c r="H474" s="643"/>
      <c r="I474" s="673" t="str">
        <f t="shared" si="29"/>
        <v/>
      </c>
      <c r="J474" s="674"/>
      <c r="K474" s="674"/>
      <c r="L474" s="674"/>
      <c r="M474" s="674"/>
      <c r="N474" s="674"/>
      <c r="O474" s="675"/>
      <c r="P474" s="673" t="str">
        <f t="shared" si="30"/>
        <v/>
      </c>
      <c r="Q474" s="676"/>
      <c r="R474" s="676"/>
      <c r="S474" s="676"/>
      <c r="T474" s="676"/>
      <c r="U474" s="676"/>
      <c r="V474" s="677"/>
      <c r="W474" s="673" t="str">
        <f t="shared" si="31"/>
        <v/>
      </c>
      <c r="X474" s="676"/>
      <c r="Y474" s="676"/>
      <c r="Z474" s="676"/>
      <c r="AA474" s="676"/>
      <c r="AB474" s="676"/>
      <c r="AC474" s="677"/>
      <c r="AD474" s="673" t="str">
        <f t="shared" si="32"/>
        <v/>
      </c>
      <c r="AE474" s="676"/>
      <c r="AF474" s="676"/>
      <c r="AG474" s="676"/>
      <c r="AH474" s="676"/>
      <c r="AI474" s="676"/>
      <c r="AJ474" s="677"/>
      <c r="AK474" s="154"/>
      <c r="AL474" s="154"/>
      <c r="AM474" s="469"/>
    </row>
    <row r="475" spans="1:46" s="469" customFormat="1" ht="18" customHeight="1">
      <c r="B475" s="461"/>
      <c r="C475" s="461"/>
      <c r="D475" s="461"/>
      <c r="E475" s="461"/>
      <c r="F475" s="461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/>
      <c r="Q475" s="461"/>
      <c r="R475" s="461"/>
      <c r="S475" s="461"/>
      <c r="T475" s="461"/>
      <c r="U475" s="461"/>
      <c r="V475" s="461"/>
      <c r="W475" s="461"/>
      <c r="X475" s="461"/>
      <c r="Y475" s="461"/>
      <c r="Z475" s="461"/>
      <c r="AA475" s="461"/>
      <c r="AB475" s="461"/>
      <c r="AC475" s="461"/>
      <c r="AD475" s="461"/>
      <c r="AE475" s="461"/>
      <c r="AF475" s="461"/>
      <c r="AG475" s="461"/>
      <c r="AH475" s="461"/>
      <c r="AI475" s="461"/>
      <c r="AJ475" s="461"/>
      <c r="AK475" s="461"/>
      <c r="AL475" s="461"/>
      <c r="AM475" s="461"/>
      <c r="AN475" s="461"/>
      <c r="AO475" s="461"/>
      <c r="AP475" s="461"/>
      <c r="AQ475" s="461"/>
      <c r="AR475" s="154"/>
      <c r="AS475" s="154"/>
    </row>
    <row r="476" spans="1:46" ht="18" customHeight="1">
      <c r="A476" s="194" t="s">
        <v>426</v>
      </c>
      <c r="B476" s="469"/>
      <c r="C476" s="469"/>
      <c r="D476" s="469"/>
      <c r="E476" s="469"/>
      <c r="F476" s="469"/>
      <c r="G476" s="469"/>
      <c r="H476" s="469"/>
      <c r="I476" s="469"/>
      <c r="J476" s="469"/>
      <c r="K476" s="469"/>
      <c r="L476" s="469"/>
      <c r="M476" s="469"/>
      <c r="N476" s="469"/>
      <c r="O476" s="469"/>
      <c r="P476" s="469"/>
      <c r="Q476" s="469"/>
      <c r="R476" s="469"/>
      <c r="S476" s="469"/>
      <c r="T476" s="469"/>
      <c r="U476" s="469"/>
      <c r="V476" s="469"/>
      <c r="W476" s="469"/>
      <c r="X476" s="469"/>
      <c r="Y476" s="469"/>
      <c r="Z476" s="469"/>
      <c r="AA476" s="469"/>
      <c r="AB476" s="469"/>
      <c r="AC476" s="469"/>
      <c r="AD476" s="469"/>
      <c r="AE476" s="469"/>
      <c r="AF476" s="469"/>
      <c r="AG476" s="469"/>
      <c r="AH476" s="469"/>
      <c r="AI476" s="469"/>
      <c r="AJ476" s="469"/>
      <c r="AK476" s="469"/>
      <c r="AL476" s="469"/>
      <c r="AM476" s="469"/>
      <c r="AN476" s="469"/>
      <c r="AO476" s="469"/>
      <c r="AP476" s="469"/>
      <c r="AQ476" s="469"/>
      <c r="AR476" s="469"/>
      <c r="AS476" s="469"/>
      <c r="AT476" s="469"/>
    </row>
    <row r="477" spans="1:46" ht="18" customHeight="1">
      <c r="A477" s="469"/>
      <c r="B477" s="635" t="s">
        <v>412</v>
      </c>
      <c r="C477" s="687"/>
      <c r="D477" s="687"/>
      <c r="E477" s="635" t="s">
        <v>64</v>
      </c>
      <c r="F477" s="636"/>
      <c r="G477" s="636"/>
      <c r="H477" s="636"/>
      <c r="I477" s="636"/>
      <c r="J477" s="636"/>
      <c r="K477" s="637"/>
      <c r="L477" s="719" t="s">
        <v>429</v>
      </c>
      <c r="M477" s="719"/>
      <c r="N477" s="719"/>
      <c r="O477" s="719"/>
      <c r="P477" s="719"/>
      <c r="Q477" s="719"/>
      <c r="R477" s="719"/>
      <c r="S477" s="719"/>
      <c r="T477" s="719"/>
      <c r="U477" s="719"/>
      <c r="V477" s="719"/>
      <c r="W477" s="719"/>
      <c r="X477" s="719"/>
      <c r="Y477" s="719"/>
      <c r="Z477" s="719"/>
      <c r="AA477" s="719"/>
      <c r="AB477" s="719"/>
      <c r="AC477" s="719"/>
      <c r="AD477" s="719"/>
      <c r="AE477" s="719"/>
      <c r="AF477" s="719"/>
      <c r="AG477" s="719"/>
      <c r="AH477" s="719"/>
      <c r="AI477" s="719"/>
      <c r="AJ477" s="719"/>
      <c r="AK477" s="719"/>
      <c r="AL477" s="719"/>
      <c r="AM477" s="719"/>
      <c r="AN477" s="719"/>
      <c r="AO477" s="719"/>
      <c r="AP477" s="719"/>
      <c r="AQ477" s="719"/>
    </row>
    <row r="478" spans="1:46" ht="18" customHeight="1">
      <c r="A478" s="469"/>
      <c r="B478" s="658"/>
      <c r="C478" s="681"/>
      <c r="D478" s="681"/>
      <c r="E478" s="641"/>
      <c r="F478" s="642"/>
      <c r="G478" s="642"/>
      <c r="H478" s="642"/>
      <c r="I478" s="642"/>
      <c r="J478" s="642"/>
      <c r="K478" s="643"/>
      <c r="L478" s="720" t="s">
        <v>406</v>
      </c>
      <c r="M478" s="720"/>
      <c r="N478" s="720"/>
      <c r="O478" s="720"/>
      <c r="P478" s="720"/>
      <c r="Q478" s="720"/>
      <c r="R478" s="720" t="s">
        <v>431</v>
      </c>
      <c r="S478" s="720"/>
      <c r="T478" s="720"/>
      <c r="U478" s="720"/>
      <c r="V478" s="720"/>
      <c r="W478" s="720"/>
      <c r="X478" s="720" t="s">
        <v>94</v>
      </c>
      <c r="Y478" s="720"/>
      <c r="Z478" s="720"/>
      <c r="AA478" s="720"/>
      <c r="AB478" s="720"/>
      <c r="AC478" s="720"/>
      <c r="AD478" s="716" t="s">
        <v>433</v>
      </c>
      <c r="AE478" s="716"/>
      <c r="AF478" s="716"/>
      <c r="AG478" s="716"/>
      <c r="AH478" s="716"/>
      <c r="AI478" s="716"/>
      <c r="AJ478" s="716"/>
      <c r="AK478" s="716"/>
      <c r="AL478" s="716"/>
      <c r="AM478" s="716"/>
      <c r="AN478" s="716"/>
      <c r="AO478" s="716"/>
      <c r="AP478" s="716"/>
      <c r="AQ478" s="716"/>
    </row>
    <row r="479" spans="1:46" ht="18" customHeight="1">
      <c r="A479" s="469"/>
      <c r="B479" s="672"/>
      <c r="C479" s="688"/>
      <c r="D479" s="688"/>
      <c r="E479" s="628">
        <f t="shared" ref="E479:E509" si="33">I444</f>
        <v>0</v>
      </c>
      <c r="F479" s="629"/>
      <c r="G479" s="629"/>
      <c r="H479" s="629"/>
      <c r="I479" s="629"/>
      <c r="J479" s="629"/>
      <c r="K479" s="630"/>
      <c r="L479" s="713">
        <f>P373</f>
        <v>0</v>
      </c>
      <c r="M479" s="713"/>
      <c r="N479" s="713"/>
      <c r="O479" s="713"/>
      <c r="P479" s="713"/>
      <c r="Q479" s="713"/>
      <c r="R479" s="713">
        <f>W373</f>
        <v>0</v>
      </c>
      <c r="S479" s="713"/>
      <c r="T479" s="713"/>
      <c r="U479" s="713"/>
      <c r="V479" s="713"/>
      <c r="W479" s="713"/>
      <c r="X479" s="713">
        <f>AD373</f>
        <v>0</v>
      </c>
      <c r="Y479" s="713"/>
      <c r="Z479" s="713"/>
      <c r="AA479" s="713"/>
      <c r="AB479" s="713"/>
      <c r="AC479" s="713"/>
      <c r="AD479" s="713">
        <f>X479</f>
        <v>0</v>
      </c>
      <c r="AE479" s="713"/>
      <c r="AF479" s="713"/>
      <c r="AG479" s="713"/>
      <c r="AH479" s="713"/>
      <c r="AI479" s="713"/>
      <c r="AJ479" s="713"/>
      <c r="AK479" s="716">
        <f>E479</f>
        <v>0</v>
      </c>
      <c r="AL479" s="716"/>
      <c r="AM479" s="716"/>
      <c r="AN479" s="716"/>
      <c r="AO479" s="716"/>
      <c r="AP479" s="716"/>
      <c r="AQ479" s="716"/>
    </row>
    <row r="480" spans="1:46" ht="18" customHeight="1">
      <c r="A480" s="469"/>
      <c r="B480" s="664">
        <v>1</v>
      </c>
      <c r="C480" s="686"/>
      <c r="D480" s="686"/>
      <c r="E480" s="667" t="str">
        <f t="shared" si="33"/>
        <v/>
      </c>
      <c r="F480" s="668"/>
      <c r="G480" s="668"/>
      <c r="H480" s="668"/>
      <c r="I480" s="668"/>
      <c r="J480" s="668"/>
      <c r="K480" s="669"/>
      <c r="L480" s="717" t="str">
        <f t="shared" ref="L480:L509" ca="1" si="34">IF(E480="","",P374-IF(B480&lt;=$BD$368,P$374,OFFSET($P$373,$BD$368*2,0)))</f>
        <v/>
      </c>
      <c r="M480" s="717"/>
      <c r="N480" s="717"/>
      <c r="O480" s="717"/>
      <c r="P480" s="717"/>
      <c r="Q480" s="717"/>
      <c r="R480" s="717" t="str">
        <f t="shared" ref="R480:R509" ca="1" si="35">IF(E480="","",W374-IF(E480&lt;=$BD$368,W$374,OFFSET($W$373,$BD$368*2,0)))</f>
        <v/>
      </c>
      <c r="S480" s="717"/>
      <c r="T480" s="717"/>
      <c r="U480" s="717"/>
      <c r="V480" s="717"/>
      <c r="W480" s="717"/>
      <c r="X480" s="717" t="str">
        <f t="shared" ref="X480:X509" ca="1" si="36">IF(E480="","",AD374-IF(E480&lt;=$BD$368,AD$374,OFFSET($AD$373,$BD$368*2,0)))</f>
        <v/>
      </c>
      <c r="Y480" s="717"/>
      <c r="Z480" s="717"/>
      <c r="AA480" s="717"/>
      <c r="AB480" s="717"/>
      <c r="AC480" s="717"/>
      <c r="AD480" s="717" t="str">
        <f t="shared" ref="AD480:AD509" si="37">IF(E480="","",MAX(ABS(R480-L480),ABS(X480-L480),ABS(X480-R480)))</f>
        <v/>
      </c>
      <c r="AE480" s="717"/>
      <c r="AF480" s="717"/>
      <c r="AG480" s="717"/>
      <c r="AH480" s="717"/>
      <c r="AI480" s="717"/>
      <c r="AJ480" s="717"/>
      <c r="AK480" s="718" t="str">
        <f t="shared" ref="AK480:AK509" si="38">IF(E480="","",AD480*AJ$419)</f>
        <v/>
      </c>
      <c r="AL480" s="718"/>
      <c r="AM480" s="718"/>
      <c r="AN480" s="718"/>
      <c r="AO480" s="718"/>
      <c r="AP480" s="718"/>
      <c r="AQ480" s="718"/>
    </row>
    <row r="481" spans="1:43" ht="18" customHeight="1">
      <c r="A481" s="469"/>
      <c r="B481" s="658">
        <v>2</v>
      </c>
      <c r="C481" s="681"/>
      <c r="D481" s="681"/>
      <c r="E481" s="659" t="str">
        <f t="shared" si="33"/>
        <v/>
      </c>
      <c r="F481" s="660"/>
      <c r="G481" s="660"/>
      <c r="H481" s="660"/>
      <c r="I481" s="660"/>
      <c r="J481" s="660"/>
      <c r="K481" s="661"/>
      <c r="L481" s="659" t="str">
        <f t="shared" ca="1" si="34"/>
        <v/>
      </c>
      <c r="M481" s="662"/>
      <c r="N481" s="662"/>
      <c r="O481" s="662"/>
      <c r="P481" s="662"/>
      <c r="Q481" s="663"/>
      <c r="R481" s="715" t="str">
        <f t="shared" ca="1" si="35"/>
        <v/>
      </c>
      <c r="S481" s="715"/>
      <c r="T481" s="715"/>
      <c r="U481" s="715"/>
      <c r="V481" s="715"/>
      <c r="W481" s="715"/>
      <c r="X481" s="715" t="str">
        <f t="shared" ca="1" si="36"/>
        <v/>
      </c>
      <c r="Y481" s="715"/>
      <c r="Z481" s="715"/>
      <c r="AA481" s="715"/>
      <c r="AB481" s="715"/>
      <c r="AC481" s="715"/>
      <c r="AD481" s="714" t="str">
        <f t="shared" si="37"/>
        <v/>
      </c>
      <c r="AE481" s="714"/>
      <c r="AF481" s="714"/>
      <c r="AG481" s="714"/>
      <c r="AH481" s="714"/>
      <c r="AI481" s="714"/>
      <c r="AJ481" s="714"/>
      <c r="AK481" s="714" t="str">
        <f t="shared" si="38"/>
        <v/>
      </c>
      <c r="AL481" s="714"/>
      <c r="AM481" s="714"/>
      <c r="AN481" s="714"/>
      <c r="AO481" s="714"/>
      <c r="AP481" s="714"/>
      <c r="AQ481" s="714"/>
    </row>
    <row r="482" spans="1:43" ht="18" customHeight="1">
      <c r="A482" s="469"/>
      <c r="B482" s="658">
        <v>3</v>
      </c>
      <c r="C482" s="681"/>
      <c r="D482" s="681"/>
      <c r="E482" s="659" t="str">
        <f t="shared" si="33"/>
        <v/>
      </c>
      <c r="F482" s="660"/>
      <c r="G482" s="660"/>
      <c r="H482" s="660"/>
      <c r="I482" s="660"/>
      <c r="J482" s="660"/>
      <c r="K482" s="661"/>
      <c r="L482" s="659" t="str">
        <f t="shared" ca="1" si="34"/>
        <v/>
      </c>
      <c r="M482" s="662"/>
      <c r="N482" s="662"/>
      <c r="O482" s="662"/>
      <c r="P482" s="662"/>
      <c r="Q482" s="663"/>
      <c r="R482" s="715" t="str">
        <f t="shared" ca="1" si="35"/>
        <v/>
      </c>
      <c r="S482" s="715"/>
      <c r="T482" s="715"/>
      <c r="U482" s="715"/>
      <c r="V482" s="715"/>
      <c r="W482" s="715"/>
      <c r="X482" s="715" t="str">
        <f t="shared" ca="1" si="36"/>
        <v/>
      </c>
      <c r="Y482" s="715"/>
      <c r="Z482" s="715"/>
      <c r="AA482" s="715"/>
      <c r="AB482" s="715"/>
      <c r="AC482" s="715"/>
      <c r="AD482" s="714" t="str">
        <f t="shared" si="37"/>
        <v/>
      </c>
      <c r="AE482" s="714"/>
      <c r="AF482" s="714"/>
      <c r="AG482" s="714"/>
      <c r="AH482" s="714"/>
      <c r="AI482" s="714"/>
      <c r="AJ482" s="714"/>
      <c r="AK482" s="714" t="str">
        <f t="shared" si="38"/>
        <v/>
      </c>
      <c r="AL482" s="714"/>
      <c r="AM482" s="714"/>
      <c r="AN482" s="714"/>
      <c r="AO482" s="714"/>
      <c r="AP482" s="714"/>
      <c r="AQ482" s="714"/>
    </row>
    <row r="483" spans="1:43" ht="18" customHeight="1">
      <c r="A483" s="469"/>
      <c r="B483" s="658">
        <v>4</v>
      </c>
      <c r="C483" s="681"/>
      <c r="D483" s="681"/>
      <c r="E483" s="659" t="str">
        <f t="shared" si="33"/>
        <v/>
      </c>
      <c r="F483" s="660"/>
      <c r="G483" s="660"/>
      <c r="H483" s="660"/>
      <c r="I483" s="660"/>
      <c r="J483" s="660"/>
      <c r="K483" s="661"/>
      <c r="L483" s="659" t="str">
        <f t="shared" ca="1" si="34"/>
        <v/>
      </c>
      <c r="M483" s="662"/>
      <c r="N483" s="662"/>
      <c r="O483" s="662"/>
      <c r="P483" s="662"/>
      <c r="Q483" s="663"/>
      <c r="R483" s="715" t="str">
        <f t="shared" ca="1" si="35"/>
        <v/>
      </c>
      <c r="S483" s="715"/>
      <c r="T483" s="715"/>
      <c r="U483" s="715"/>
      <c r="V483" s="715"/>
      <c r="W483" s="715"/>
      <c r="X483" s="715" t="str">
        <f t="shared" ca="1" si="36"/>
        <v/>
      </c>
      <c r="Y483" s="715"/>
      <c r="Z483" s="715"/>
      <c r="AA483" s="715"/>
      <c r="AB483" s="715"/>
      <c r="AC483" s="715"/>
      <c r="AD483" s="714" t="str">
        <f t="shared" si="37"/>
        <v/>
      </c>
      <c r="AE483" s="714"/>
      <c r="AF483" s="714"/>
      <c r="AG483" s="714"/>
      <c r="AH483" s="714"/>
      <c r="AI483" s="714"/>
      <c r="AJ483" s="714"/>
      <c r="AK483" s="714" t="str">
        <f t="shared" si="38"/>
        <v/>
      </c>
      <c r="AL483" s="714"/>
      <c r="AM483" s="714"/>
      <c r="AN483" s="714"/>
      <c r="AO483" s="714"/>
      <c r="AP483" s="714"/>
      <c r="AQ483" s="714"/>
    </row>
    <row r="484" spans="1:43" ht="18" customHeight="1">
      <c r="A484" s="469"/>
      <c r="B484" s="658">
        <v>5</v>
      </c>
      <c r="C484" s="681"/>
      <c r="D484" s="681"/>
      <c r="E484" s="659" t="str">
        <f t="shared" si="33"/>
        <v/>
      </c>
      <c r="F484" s="660"/>
      <c r="G484" s="660"/>
      <c r="H484" s="660"/>
      <c r="I484" s="660"/>
      <c r="J484" s="660"/>
      <c r="K484" s="661"/>
      <c r="L484" s="659" t="str">
        <f t="shared" ca="1" si="34"/>
        <v/>
      </c>
      <c r="M484" s="662"/>
      <c r="N484" s="662"/>
      <c r="O484" s="662"/>
      <c r="P484" s="662"/>
      <c r="Q484" s="663"/>
      <c r="R484" s="715" t="str">
        <f t="shared" ca="1" si="35"/>
        <v/>
      </c>
      <c r="S484" s="715"/>
      <c r="T484" s="715"/>
      <c r="U484" s="715"/>
      <c r="V484" s="715"/>
      <c r="W484" s="715"/>
      <c r="X484" s="715" t="str">
        <f t="shared" ca="1" si="36"/>
        <v/>
      </c>
      <c r="Y484" s="715"/>
      <c r="Z484" s="715"/>
      <c r="AA484" s="715"/>
      <c r="AB484" s="715"/>
      <c r="AC484" s="715"/>
      <c r="AD484" s="714" t="str">
        <f t="shared" si="37"/>
        <v/>
      </c>
      <c r="AE484" s="714"/>
      <c r="AF484" s="714"/>
      <c r="AG484" s="714"/>
      <c r="AH484" s="714"/>
      <c r="AI484" s="714"/>
      <c r="AJ484" s="714"/>
      <c r="AK484" s="714" t="str">
        <f t="shared" si="38"/>
        <v/>
      </c>
      <c r="AL484" s="714"/>
      <c r="AM484" s="714"/>
      <c r="AN484" s="714"/>
      <c r="AO484" s="714"/>
      <c r="AP484" s="714"/>
      <c r="AQ484" s="714"/>
    </row>
    <row r="485" spans="1:43" ht="18" customHeight="1">
      <c r="A485" s="469"/>
      <c r="B485" s="658">
        <v>6</v>
      </c>
      <c r="C485" s="681"/>
      <c r="D485" s="681"/>
      <c r="E485" s="659" t="str">
        <f t="shared" si="33"/>
        <v/>
      </c>
      <c r="F485" s="660"/>
      <c r="G485" s="660"/>
      <c r="H485" s="660"/>
      <c r="I485" s="660"/>
      <c r="J485" s="660"/>
      <c r="K485" s="661"/>
      <c r="L485" s="659" t="str">
        <f t="shared" ca="1" si="34"/>
        <v/>
      </c>
      <c r="M485" s="662"/>
      <c r="N485" s="662"/>
      <c r="O485" s="662"/>
      <c r="P485" s="662"/>
      <c r="Q485" s="663"/>
      <c r="R485" s="715" t="str">
        <f t="shared" ca="1" si="35"/>
        <v/>
      </c>
      <c r="S485" s="715"/>
      <c r="T485" s="715"/>
      <c r="U485" s="715"/>
      <c r="V485" s="715"/>
      <c r="W485" s="715"/>
      <c r="X485" s="715" t="str">
        <f t="shared" ca="1" si="36"/>
        <v/>
      </c>
      <c r="Y485" s="715"/>
      <c r="Z485" s="715"/>
      <c r="AA485" s="715"/>
      <c r="AB485" s="715"/>
      <c r="AC485" s="715"/>
      <c r="AD485" s="714" t="str">
        <f t="shared" si="37"/>
        <v/>
      </c>
      <c r="AE485" s="714"/>
      <c r="AF485" s="714"/>
      <c r="AG485" s="714"/>
      <c r="AH485" s="714"/>
      <c r="AI485" s="714"/>
      <c r="AJ485" s="714"/>
      <c r="AK485" s="714" t="str">
        <f t="shared" si="38"/>
        <v/>
      </c>
      <c r="AL485" s="714"/>
      <c r="AM485" s="714"/>
      <c r="AN485" s="714"/>
      <c r="AO485" s="714"/>
      <c r="AP485" s="714"/>
      <c r="AQ485" s="714"/>
    </row>
    <row r="486" spans="1:43" ht="18" customHeight="1">
      <c r="A486" s="469"/>
      <c r="B486" s="658">
        <v>7</v>
      </c>
      <c r="C486" s="681"/>
      <c r="D486" s="681"/>
      <c r="E486" s="659" t="str">
        <f t="shared" si="33"/>
        <v/>
      </c>
      <c r="F486" s="660"/>
      <c r="G486" s="660"/>
      <c r="H486" s="660"/>
      <c r="I486" s="660"/>
      <c r="J486" s="660"/>
      <c r="K486" s="661"/>
      <c r="L486" s="659" t="str">
        <f t="shared" ca="1" si="34"/>
        <v/>
      </c>
      <c r="M486" s="662"/>
      <c r="N486" s="662"/>
      <c r="O486" s="662"/>
      <c r="P486" s="662"/>
      <c r="Q486" s="663"/>
      <c r="R486" s="715" t="str">
        <f t="shared" ca="1" si="35"/>
        <v/>
      </c>
      <c r="S486" s="715"/>
      <c r="T486" s="715"/>
      <c r="U486" s="715"/>
      <c r="V486" s="715"/>
      <c r="W486" s="715"/>
      <c r="X486" s="715" t="str">
        <f t="shared" ca="1" si="36"/>
        <v/>
      </c>
      <c r="Y486" s="715"/>
      <c r="Z486" s="715"/>
      <c r="AA486" s="715"/>
      <c r="AB486" s="715"/>
      <c r="AC486" s="715"/>
      <c r="AD486" s="714" t="str">
        <f t="shared" si="37"/>
        <v/>
      </c>
      <c r="AE486" s="714"/>
      <c r="AF486" s="714"/>
      <c r="AG486" s="714"/>
      <c r="AH486" s="714"/>
      <c r="AI486" s="714"/>
      <c r="AJ486" s="714"/>
      <c r="AK486" s="714" t="str">
        <f t="shared" si="38"/>
        <v/>
      </c>
      <c r="AL486" s="714"/>
      <c r="AM486" s="714"/>
      <c r="AN486" s="714"/>
      <c r="AO486" s="714"/>
      <c r="AP486" s="714"/>
      <c r="AQ486" s="714"/>
    </row>
    <row r="487" spans="1:43" ht="18" customHeight="1">
      <c r="A487" s="469"/>
      <c r="B487" s="658">
        <v>8</v>
      </c>
      <c r="C487" s="681"/>
      <c r="D487" s="681"/>
      <c r="E487" s="659" t="str">
        <f t="shared" si="33"/>
        <v/>
      </c>
      <c r="F487" s="660"/>
      <c r="G487" s="660"/>
      <c r="H487" s="660"/>
      <c r="I487" s="660"/>
      <c r="J487" s="660"/>
      <c r="K487" s="661"/>
      <c r="L487" s="659" t="str">
        <f t="shared" ca="1" si="34"/>
        <v/>
      </c>
      <c r="M487" s="662"/>
      <c r="N487" s="662"/>
      <c r="O487" s="662"/>
      <c r="P487" s="662"/>
      <c r="Q487" s="663"/>
      <c r="R487" s="715" t="str">
        <f t="shared" ca="1" si="35"/>
        <v/>
      </c>
      <c r="S487" s="715"/>
      <c r="T487" s="715"/>
      <c r="U487" s="715"/>
      <c r="V487" s="715"/>
      <c r="W487" s="715"/>
      <c r="X487" s="715" t="str">
        <f t="shared" ca="1" si="36"/>
        <v/>
      </c>
      <c r="Y487" s="715"/>
      <c r="Z487" s="715"/>
      <c r="AA487" s="715"/>
      <c r="AB487" s="715"/>
      <c r="AC487" s="715"/>
      <c r="AD487" s="714" t="str">
        <f t="shared" si="37"/>
        <v/>
      </c>
      <c r="AE487" s="714"/>
      <c r="AF487" s="714"/>
      <c r="AG487" s="714"/>
      <c r="AH487" s="714"/>
      <c r="AI487" s="714"/>
      <c r="AJ487" s="714"/>
      <c r="AK487" s="714" t="str">
        <f t="shared" si="38"/>
        <v/>
      </c>
      <c r="AL487" s="714"/>
      <c r="AM487" s="714"/>
      <c r="AN487" s="714"/>
      <c r="AO487" s="714"/>
      <c r="AP487" s="714"/>
      <c r="AQ487" s="714"/>
    </row>
    <row r="488" spans="1:43" ht="18" customHeight="1">
      <c r="A488" s="469"/>
      <c r="B488" s="658">
        <v>9</v>
      </c>
      <c r="C488" s="681"/>
      <c r="D488" s="681"/>
      <c r="E488" s="659" t="str">
        <f t="shared" si="33"/>
        <v/>
      </c>
      <c r="F488" s="660"/>
      <c r="G488" s="660"/>
      <c r="H488" s="660"/>
      <c r="I488" s="660"/>
      <c r="J488" s="660"/>
      <c r="K488" s="661"/>
      <c r="L488" s="659" t="str">
        <f t="shared" ca="1" si="34"/>
        <v/>
      </c>
      <c r="M488" s="662"/>
      <c r="N488" s="662"/>
      <c r="O488" s="662"/>
      <c r="P488" s="662"/>
      <c r="Q488" s="663"/>
      <c r="R488" s="715" t="str">
        <f t="shared" ca="1" si="35"/>
        <v/>
      </c>
      <c r="S488" s="715"/>
      <c r="T488" s="715"/>
      <c r="U488" s="715"/>
      <c r="V488" s="715"/>
      <c r="W488" s="715"/>
      <c r="X488" s="715" t="str">
        <f t="shared" ca="1" si="36"/>
        <v/>
      </c>
      <c r="Y488" s="715"/>
      <c r="Z488" s="715"/>
      <c r="AA488" s="715"/>
      <c r="AB488" s="715"/>
      <c r="AC488" s="715"/>
      <c r="AD488" s="714" t="str">
        <f t="shared" si="37"/>
        <v/>
      </c>
      <c r="AE488" s="714"/>
      <c r="AF488" s="714"/>
      <c r="AG488" s="714"/>
      <c r="AH488" s="714"/>
      <c r="AI488" s="714"/>
      <c r="AJ488" s="714"/>
      <c r="AK488" s="714" t="str">
        <f t="shared" si="38"/>
        <v/>
      </c>
      <c r="AL488" s="714"/>
      <c r="AM488" s="714"/>
      <c r="AN488" s="714"/>
      <c r="AO488" s="714"/>
      <c r="AP488" s="714"/>
      <c r="AQ488" s="714"/>
    </row>
    <row r="489" spans="1:43" ht="18" customHeight="1">
      <c r="A489" s="469"/>
      <c r="B489" s="658">
        <v>10</v>
      </c>
      <c r="C489" s="681"/>
      <c r="D489" s="681"/>
      <c r="E489" s="659" t="str">
        <f t="shared" si="33"/>
        <v/>
      </c>
      <c r="F489" s="660"/>
      <c r="G489" s="660"/>
      <c r="H489" s="660"/>
      <c r="I489" s="660"/>
      <c r="J489" s="660"/>
      <c r="K489" s="661"/>
      <c r="L489" s="659" t="str">
        <f t="shared" ca="1" si="34"/>
        <v/>
      </c>
      <c r="M489" s="662"/>
      <c r="N489" s="662"/>
      <c r="O489" s="662"/>
      <c r="P489" s="662"/>
      <c r="Q489" s="663"/>
      <c r="R489" s="715" t="str">
        <f t="shared" ca="1" si="35"/>
        <v/>
      </c>
      <c r="S489" s="715"/>
      <c r="T489" s="715"/>
      <c r="U489" s="715"/>
      <c r="V489" s="715"/>
      <c r="W489" s="715"/>
      <c r="X489" s="715" t="str">
        <f t="shared" ca="1" si="36"/>
        <v/>
      </c>
      <c r="Y489" s="715"/>
      <c r="Z489" s="715"/>
      <c r="AA489" s="715"/>
      <c r="AB489" s="715"/>
      <c r="AC489" s="715"/>
      <c r="AD489" s="714" t="str">
        <f t="shared" si="37"/>
        <v/>
      </c>
      <c r="AE489" s="714"/>
      <c r="AF489" s="714"/>
      <c r="AG489" s="714"/>
      <c r="AH489" s="714"/>
      <c r="AI489" s="714"/>
      <c r="AJ489" s="714"/>
      <c r="AK489" s="714" t="str">
        <f t="shared" si="38"/>
        <v/>
      </c>
      <c r="AL489" s="714"/>
      <c r="AM489" s="714"/>
      <c r="AN489" s="714"/>
      <c r="AO489" s="714"/>
      <c r="AP489" s="714"/>
      <c r="AQ489" s="714"/>
    </row>
    <row r="490" spans="1:43" ht="18" customHeight="1">
      <c r="A490" s="469"/>
      <c r="B490" s="658">
        <v>11</v>
      </c>
      <c r="C490" s="681"/>
      <c r="D490" s="681"/>
      <c r="E490" s="659" t="str">
        <f t="shared" si="33"/>
        <v/>
      </c>
      <c r="F490" s="660"/>
      <c r="G490" s="660"/>
      <c r="H490" s="660"/>
      <c r="I490" s="660"/>
      <c r="J490" s="660"/>
      <c r="K490" s="661"/>
      <c r="L490" s="659" t="str">
        <f t="shared" ca="1" si="34"/>
        <v/>
      </c>
      <c r="M490" s="662"/>
      <c r="N490" s="662"/>
      <c r="O490" s="662"/>
      <c r="P490" s="662"/>
      <c r="Q490" s="663"/>
      <c r="R490" s="715" t="str">
        <f t="shared" ca="1" si="35"/>
        <v/>
      </c>
      <c r="S490" s="715"/>
      <c r="T490" s="715"/>
      <c r="U490" s="715"/>
      <c r="V490" s="715"/>
      <c r="W490" s="715"/>
      <c r="X490" s="715" t="str">
        <f t="shared" ca="1" si="36"/>
        <v/>
      </c>
      <c r="Y490" s="715"/>
      <c r="Z490" s="715"/>
      <c r="AA490" s="715"/>
      <c r="AB490" s="715"/>
      <c r="AC490" s="715"/>
      <c r="AD490" s="714" t="str">
        <f t="shared" si="37"/>
        <v/>
      </c>
      <c r="AE490" s="714"/>
      <c r="AF490" s="714"/>
      <c r="AG490" s="714"/>
      <c r="AH490" s="714"/>
      <c r="AI490" s="714"/>
      <c r="AJ490" s="714"/>
      <c r="AK490" s="714" t="str">
        <f t="shared" si="38"/>
        <v/>
      </c>
      <c r="AL490" s="714"/>
      <c r="AM490" s="714"/>
      <c r="AN490" s="714"/>
      <c r="AO490" s="714"/>
      <c r="AP490" s="714"/>
      <c r="AQ490" s="714"/>
    </row>
    <row r="491" spans="1:43" ht="18" customHeight="1">
      <c r="A491" s="469"/>
      <c r="B491" s="658">
        <v>12</v>
      </c>
      <c r="C491" s="681"/>
      <c r="D491" s="681"/>
      <c r="E491" s="659" t="str">
        <f t="shared" si="33"/>
        <v/>
      </c>
      <c r="F491" s="660"/>
      <c r="G491" s="660"/>
      <c r="H491" s="660"/>
      <c r="I491" s="660"/>
      <c r="J491" s="660"/>
      <c r="K491" s="661"/>
      <c r="L491" s="659" t="str">
        <f t="shared" ca="1" si="34"/>
        <v/>
      </c>
      <c r="M491" s="662"/>
      <c r="N491" s="662"/>
      <c r="O491" s="662"/>
      <c r="P491" s="662"/>
      <c r="Q491" s="663"/>
      <c r="R491" s="715" t="str">
        <f t="shared" ca="1" si="35"/>
        <v/>
      </c>
      <c r="S491" s="715"/>
      <c r="T491" s="715"/>
      <c r="U491" s="715"/>
      <c r="V491" s="715"/>
      <c r="W491" s="715"/>
      <c r="X491" s="715" t="str">
        <f t="shared" ca="1" si="36"/>
        <v/>
      </c>
      <c r="Y491" s="715"/>
      <c r="Z491" s="715"/>
      <c r="AA491" s="715"/>
      <c r="AB491" s="715"/>
      <c r="AC491" s="715"/>
      <c r="AD491" s="714" t="str">
        <f t="shared" si="37"/>
        <v/>
      </c>
      <c r="AE491" s="714"/>
      <c r="AF491" s="714"/>
      <c r="AG491" s="714"/>
      <c r="AH491" s="714"/>
      <c r="AI491" s="714"/>
      <c r="AJ491" s="714"/>
      <c r="AK491" s="714" t="str">
        <f t="shared" si="38"/>
        <v/>
      </c>
      <c r="AL491" s="714"/>
      <c r="AM491" s="714"/>
      <c r="AN491" s="714"/>
      <c r="AO491" s="714"/>
      <c r="AP491" s="714"/>
      <c r="AQ491" s="714"/>
    </row>
    <row r="492" spans="1:43" ht="18" customHeight="1">
      <c r="A492" s="469"/>
      <c r="B492" s="658">
        <v>13</v>
      </c>
      <c r="C492" s="681"/>
      <c r="D492" s="681"/>
      <c r="E492" s="659" t="str">
        <f t="shared" si="33"/>
        <v/>
      </c>
      <c r="F492" s="660"/>
      <c r="G492" s="660"/>
      <c r="H492" s="660"/>
      <c r="I492" s="660"/>
      <c r="J492" s="660"/>
      <c r="K492" s="661"/>
      <c r="L492" s="659" t="str">
        <f t="shared" ca="1" si="34"/>
        <v/>
      </c>
      <c r="M492" s="662"/>
      <c r="N492" s="662"/>
      <c r="O492" s="662"/>
      <c r="P492" s="662"/>
      <c r="Q492" s="663"/>
      <c r="R492" s="715" t="str">
        <f t="shared" ca="1" si="35"/>
        <v/>
      </c>
      <c r="S492" s="715"/>
      <c r="T492" s="715"/>
      <c r="U492" s="715"/>
      <c r="V492" s="715"/>
      <c r="W492" s="715"/>
      <c r="X492" s="715" t="str">
        <f t="shared" ca="1" si="36"/>
        <v/>
      </c>
      <c r="Y492" s="715"/>
      <c r="Z492" s="715"/>
      <c r="AA492" s="715"/>
      <c r="AB492" s="715"/>
      <c r="AC492" s="715"/>
      <c r="AD492" s="714" t="str">
        <f t="shared" si="37"/>
        <v/>
      </c>
      <c r="AE492" s="714"/>
      <c r="AF492" s="714"/>
      <c r="AG492" s="714"/>
      <c r="AH492" s="714"/>
      <c r="AI492" s="714"/>
      <c r="AJ492" s="714"/>
      <c r="AK492" s="714" t="str">
        <f t="shared" si="38"/>
        <v/>
      </c>
      <c r="AL492" s="714"/>
      <c r="AM492" s="714"/>
      <c r="AN492" s="714"/>
      <c r="AO492" s="714"/>
      <c r="AP492" s="714"/>
      <c r="AQ492" s="714"/>
    </row>
    <row r="493" spans="1:43" ht="18" customHeight="1">
      <c r="A493" s="469"/>
      <c r="B493" s="658">
        <v>14</v>
      </c>
      <c r="C493" s="681"/>
      <c r="D493" s="681"/>
      <c r="E493" s="659" t="str">
        <f t="shared" si="33"/>
        <v/>
      </c>
      <c r="F493" s="660"/>
      <c r="G493" s="660"/>
      <c r="H493" s="660"/>
      <c r="I493" s="660"/>
      <c r="J493" s="660"/>
      <c r="K493" s="661"/>
      <c r="L493" s="659" t="str">
        <f t="shared" ca="1" si="34"/>
        <v/>
      </c>
      <c r="M493" s="662"/>
      <c r="N493" s="662"/>
      <c r="O493" s="662"/>
      <c r="P493" s="662"/>
      <c r="Q493" s="663"/>
      <c r="R493" s="715" t="str">
        <f t="shared" ca="1" si="35"/>
        <v/>
      </c>
      <c r="S493" s="715"/>
      <c r="T493" s="715"/>
      <c r="U493" s="715"/>
      <c r="V493" s="715"/>
      <c r="W493" s="715"/>
      <c r="X493" s="715" t="str">
        <f t="shared" ca="1" si="36"/>
        <v/>
      </c>
      <c r="Y493" s="715"/>
      <c r="Z493" s="715"/>
      <c r="AA493" s="715"/>
      <c r="AB493" s="715"/>
      <c r="AC493" s="715"/>
      <c r="AD493" s="714" t="str">
        <f t="shared" si="37"/>
        <v/>
      </c>
      <c r="AE493" s="714"/>
      <c r="AF493" s="714"/>
      <c r="AG493" s="714"/>
      <c r="AH493" s="714"/>
      <c r="AI493" s="714"/>
      <c r="AJ493" s="714"/>
      <c r="AK493" s="714" t="str">
        <f t="shared" si="38"/>
        <v/>
      </c>
      <c r="AL493" s="714"/>
      <c r="AM493" s="714"/>
      <c r="AN493" s="714"/>
      <c r="AO493" s="714"/>
      <c r="AP493" s="714"/>
      <c r="AQ493" s="714"/>
    </row>
    <row r="494" spans="1:43" ht="18" customHeight="1">
      <c r="A494" s="469"/>
      <c r="B494" s="658">
        <v>15</v>
      </c>
      <c r="C494" s="681"/>
      <c r="D494" s="681"/>
      <c r="E494" s="659" t="str">
        <f t="shared" si="33"/>
        <v/>
      </c>
      <c r="F494" s="660"/>
      <c r="G494" s="660"/>
      <c r="H494" s="660"/>
      <c r="I494" s="660"/>
      <c r="J494" s="660"/>
      <c r="K494" s="661"/>
      <c r="L494" s="659" t="str">
        <f t="shared" ca="1" si="34"/>
        <v/>
      </c>
      <c r="M494" s="662"/>
      <c r="N494" s="662"/>
      <c r="O494" s="662"/>
      <c r="P494" s="662"/>
      <c r="Q494" s="663"/>
      <c r="R494" s="715" t="str">
        <f t="shared" ca="1" si="35"/>
        <v/>
      </c>
      <c r="S494" s="715"/>
      <c r="T494" s="715"/>
      <c r="U494" s="715"/>
      <c r="V494" s="715"/>
      <c r="W494" s="715"/>
      <c r="X494" s="715" t="str">
        <f t="shared" ca="1" si="36"/>
        <v/>
      </c>
      <c r="Y494" s="715"/>
      <c r="Z494" s="715"/>
      <c r="AA494" s="715"/>
      <c r="AB494" s="715"/>
      <c r="AC494" s="715"/>
      <c r="AD494" s="714" t="str">
        <f t="shared" si="37"/>
        <v/>
      </c>
      <c r="AE494" s="714"/>
      <c r="AF494" s="714"/>
      <c r="AG494" s="714"/>
      <c r="AH494" s="714"/>
      <c r="AI494" s="714"/>
      <c r="AJ494" s="714"/>
      <c r="AK494" s="714" t="str">
        <f t="shared" si="38"/>
        <v/>
      </c>
      <c r="AL494" s="714"/>
      <c r="AM494" s="714"/>
      <c r="AN494" s="714"/>
      <c r="AO494" s="714"/>
      <c r="AP494" s="714"/>
      <c r="AQ494" s="714"/>
    </row>
    <row r="495" spans="1:43" ht="18" customHeight="1">
      <c r="A495" s="469"/>
      <c r="B495" s="658">
        <v>16</v>
      </c>
      <c r="C495" s="681"/>
      <c r="D495" s="681"/>
      <c r="E495" s="659" t="str">
        <f t="shared" si="33"/>
        <v/>
      </c>
      <c r="F495" s="660"/>
      <c r="G495" s="660"/>
      <c r="H495" s="660"/>
      <c r="I495" s="660"/>
      <c r="J495" s="660"/>
      <c r="K495" s="661"/>
      <c r="L495" s="659" t="str">
        <f t="shared" ca="1" si="34"/>
        <v/>
      </c>
      <c r="M495" s="662"/>
      <c r="N495" s="662"/>
      <c r="O495" s="662"/>
      <c r="P495" s="662"/>
      <c r="Q495" s="663"/>
      <c r="R495" s="715" t="str">
        <f t="shared" ca="1" si="35"/>
        <v/>
      </c>
      <c r="S495" s="715"/>
      <c r="T495" s="715"/>
      <c r="U495" s="715"/>
      <c r="V495" s="715"/>
      <c r="W495" s="715"/>
      <c r="X495" s="715" t="str">
        <f t="shared" ca="1" si="36"/>
        <v/>
      </c>
      <c r="Y495" s="715"/>
      <c r="Z495" s="715"/>
      <c r="AA495" s="715"/>
      <c r="AB495" s="715"/>
      <c r="AC495" s="715"/>
      <c r="AD495" s="714" t="str">
        <f t="shared" si="37"/>
        <v/>
      </c>
      <c r="AE495" s="714"/>
      <c r="AF495" s="714"/>
      <c r="AG495" s="714"/>
      <c r="AH495" s="714"/>
      <c r="AI495" s="714"/>
      <c r="AJ495" s="714"/>
      <c r="AK495" s="714" t="str">
        <f t="shared" si="38"/>
        <v/>
      </c>
      <c r="AL495" s="714"/>
      <c r="AM495" s="714"/>
      <c r="AN495" s="714"/>
      <c r="AO495" s="714"/>
      <c r="AP495" s="714"/>
      <c r="AQ495" s="714"/>
    </row>
    <row r="496" spans="1:43" ht="18" customHeight="1">
      <c r="A496" s="469"/>
      <c r="B496" s="658">
        <v>17</v>
      </c>
      <c r="C496" s="681"/>
      <c r="D496" s="681"/>
      <c r="E496" s="659" t="str">
        <f t="shared" si="33"/>
        <v/>
      </c>
      <c r="F496" s="660"/>
      <c r="G496" s="660"/>
      <c r="H496" s="660"/>
      <c r="I496" s="660"/>
      <c r="J496" s="660"/>
      <c r="K496" s="661"/>
      <c r="L496" s="659" t="str">
        <f t="shared" ca="1" si="34"/>
        <v/>
      </c>
      <c r="M496" s="662"/>
      <c r="N496" s="662"/>
      <c r="O496" s="662"/>
      <c r="P496" s="662"/>
      <c r="Q496" s="663"/>
      <c r="R496" s="715" t="str">
        <f t="shared" ca="1" si="35"/>
        <v/>
      </c>
      <c r="S496" s="715"/>
      <c r="T496" s="715"/>
      <c r="U496" s="715"/>
      <c r="V496" s="715"/>
      <c r="W496" s="715"/>
      <c r="X496" s="715" t="str">
        <f t="shared" ca="1" si="36"/>
        <v/>
      </c>
      <c r="Y496" s="715"/>
      <c r="Z496" s="715"/>
      <c r="AA496" s="715"/>
      <c r="AB496" s="715"/>
      <c r="AC496" s="715"/>
      <c r="AD496" s="714" t="str">
        <f t="shared" si="37"/>
        <v/>
      </c>
      <c r="AE496" s="714"/>
      <c r="AF496" s="714"/>
      <c r="AG496" s="714"/>
      <c r="AH496" s="714"/>
      <c r="AI496" s="714"/>
      <c r="AJ496" s="714"/>
      <c r="AK496" s="714" t="str">
        <f t="shared" si="38"/>
        <v/>
      </c>
      <c r="AL496" s="714"/>
      <c r="AM496" s="714"/>
      <c r="AN496" s="714"/>
      <c r="AO496" s="714"/>
      <c r="AP496" s="714"/>
      <c r="AQ496" s="714"/>
    </row>
    <row r="497" spans="1:46" ht="18" customHeight="1">
      <c r="A497" s="469"/>
      <c r="B497" s="658">
        <v>18</v>
      </c>
      <c r="C497" s="681"/>
      <c r="D497" s="681"/>
      <c r="E497" s="659" t="str">
        <f t="shared" si="33"/>
        <v/>
      </c>
      <c r="F497" s="660"/>
      <c r="G497" s="660"/>
      <c r="H497" s="660"/>
      <c r="I497" s="660"/>
      <c r="J497" s="660"/>
      <c r="K497" s="661"/>
      <c r="L497" s="659" t="str">
        <f t="shared" ca="1" si="34"/>
        <v/>
      </c>
      <c r="M497" s="662"/>
      <c r="N497" s="662"/>
      <c r="O497" s="662"/>
      <c r="P497" s="662"/>
      <c r="Q497" s="663"/>
      <c r="R497" s="715" t="str">
        <f t="shared" ca="1" si="35"/>
        <v/>
      </c>
      <c r="S497" s="715"/>
      <c r="T497" s="715"/>
      <c r="U497" s="715"/>
      <c r="V497" s="715"/>
      <c r="W497" s="715"/>
      <c r="X497" s="715" t="str">
        <f t="shared" ca="1" si="36"/>
        <v/>
      </c>
      <c r="Y497" s="715"/>
      <c r="Z497" s="715"/>
      <c r="AA497" s="715"/>
      <c r="AB497" s="715"/>
      <c r="AC497" s="715"/>
      <c r="AD497" s="714" t="str">
        <f t="shared" si="37"/>
        <v/>
      </c>
      <c r="AE497" s="714"/>
      <c r="AF497" s="714"/>
      <c r="AG497" s="714"/>
      <c r="AH497" s="714"/>
      <c r="AI497" s="714"/>
      <c r="AJ497" s="714"/>
      <c r="AK497" s="714" t="str">
        <f t="shared" si="38"/>
        <v/>
      </c>
      <c r="AL497" s="714"/>
      <c r="AM497" s="714"/>
      <c r="AN497" s="714"/>
      <c r="AO497" s="714"/>
      <c r="AP497" s="714"/>
      <c r="AQ497" s="714"/>
    </row>
    <row r="498" spans="1:46" ht="18" customHeight="1">
      <c r="A498" s="469"/>
      <c r="B498" s="658">
        <v>19</v>
      </c>
      <c r="C498" s="681"/>
      <c r="D498" s="681"/>
      <c r="E498" s="659" t="str">
        <f t="shared" si="33"/>
        <v/>
      </c>
      <c r="F498" s="660"/>
      <c r="G498" s="660"/>
      <c r="H498" s="660"/>
      <c r="I498" s="660"/>
      <c r="J498" s="660"/>
      <c r="K498" s="661"/>
      <c r="L498" s="659" t="str">
        <f t="shared" ca="1" si="34"/>
        <v/>
      </c>
      <c r="M498" s="662"/>
      <c r="N498" s="662"/>
      <c r="O498" s="662"/>
      <c r="P498" s="662"/>
      <c r="Q498" s="663"/>
      <c r="R498" s="715" t="str">
        <f t="shared" ca="1" si="35"/>
        <v/>
      </c>
      <c r="S498" s="715"/>
      <c r="T498" s="715"/>
      <c r="U498" s="715"/>
      <c r="V498" s="715"/>
      <c r="W498" s="715"/>
      <c r="X498" s="715" t="str">
        <f t="shared" ca="1" si="36"/>
        <v/>
      </c>
      <c r="Y498" s="715"/>
      <c r="Z498" s="715"/>
      <c r="AA498" s="715"/>
      <c r="AB498" s="715"/>
      <c r="AC498" s="715"/>
      <c r="AD498" s="714" t="str">
        <f t="shared" si="37"/>
        <v/>
      </c>
      <c r="AE498" s="714"/>
      <c r="AF498" s="714"/>
      <c r="AG498" s="714"/>
      <c r="AH498" s="714"/>
      <c r="AI498" s="714"/>
      <c r="AJ498" s="714"/>
      <c r="AK498" s="714" t="str">
        <f t="shared" si="38"/>
        <v/>
      </c>
      <c r="AL498" s="714"/>
      <c r="AM498" s="714"/>
      <c r="AN498" s="714"/>
      <c r="AO498" s="714"/>
      <c r="AP498" s="714"/>
      <c r="AQ498" s="714"/>
    </row>
    <row r="499" spans="1:46" ht="18" customHeight="1">
      <c r="A499" s="469"/>
      <c r="B499" s="658">
        <v>20</v>
      </c>
      <c r="C499" s="681"/>
      <c r="D499" s="681"/>
      <c r="E499" s="659" t="str">
        <f t="shared" si="33"/>
        <v/>
      </c>
      <c r="F499" s="660"/>
      <c r="G499" s="660"/>
      <c r="H499" s="660"/>
      <c r="I499" s="660"/>
      <c r="J499" s="660"/>
      <c r="K499" s="661"/>
      <c r="L499" s="659" t="str">
        <f t="shared" ca="1" si="34"/>
        <v/>
      </c>
      <c r="M499" s="662"/>
      <c r="N499" s="662"/>
      <c r="O499" s="662"/>
      <c r="P499" s="662"/>
      <c r="Q499" s="663"/>
      <c r="R499" s="715" t="str">
        <f t="shared" ca="1" si="35"/>
        <v/>
      </c>
      <c r="S499" s="715"/>
      <c r="T499" s="715"/>
      <c r="U499" s="715"/>
      <c r="V499" s="715"/>
      <c r="W499" s="715"/>
      <c r="X499" s="715" t="str">
        <f t="shared" ca="1" si="36"/>
        <v/>
      </c>
      <c r="Y499" s="715"/>
      <c r="Z499" s="715"/>
      <c r="AA499" s="715"/>
      <c r="AB499" s="715"/>
      <c r="AC499" s="715"/>
      <c r="AD499" s="714" t="str">
        <f t="shared" si="37"/>
        <v/>
      </c>
      <c r="AE499" s="714"/>
      <c r="AF499" s="714"/>
      <c r="AG499" s="714"/>
      <c r="AH499" s="714"/>
      <c r="AI499" s="714"/>
      <c r="AJ499" s="714"/>
      <c r="AK499" s="714" t="str">
        <f t="shared" si="38"/>
        <v/>
      </c>
      <c r="AL499" s="714"/>
      <c r="AM499" s="714"/>
      <c r="AN499" s="714"/>
      <c r="AO499" s="714"/>
      <c r="AP499" s="714"/>
      <c r="AQ499" s="714"/>
    </row>
    <row r="500" spans="1:46" ht="18" customHeight="1">
      <c r="A500" s="469"/>
      <c r="B500" s="658">
        <v>21</v>
      </c>
      <c r="C500" s="681"/>
      <c r="D500" s="681"/>
      <c r="E500" s="659" t="str">
        <f t="shared" si="33"/>
        <v/>
      </c>
      <c r="F500" s="660"/>
      <c r="G500" s="660"/>
      <c r="H500" s="660"/>
      <c r="I500" s="660"/>
      <c r="J500" s="660"/>
      <c r="K500" s="661"/>
      <c r="L500" s="659" t="str">
        <f t="shared" ca="1" si="34"/>
        <v/>
      </c>
      <c r="M500" s="662"/>
      <c r="N500" s="662"/>
      <c r="O500" s="662"/>
      <c r="P500" s="662"/>
      <c r="Q500" s="663"/>
      <c r="R500" s="715" t="str">
        <f t="shared" ca="1" si="35"/>
        <v/>
      </c>
      <c r="S500" s="715"/>
      <c r="T500" s="715"/>
      <c r="U500" s="715"/>
      <c r="V500" s="715"/>
      <c r="W500" s="715"/>
      <c r="X500" s="715" t="str">
        <f t="shared" ca="1" si="36"/>
        <v/>
      </c>
      <c r="Y500" s="715"/>
      <c r="Z500" s="715"/>
      <c r="AA500" s="715"/>
      <c r="AB500" s="715"/>
      <c r="AC500" s="715"/>
      <c r="AD500" s="714" t="str">
        <f t="shared" si="37"/>
        <v/>
      </c>
      <c r="AE500" s="714"/>
      <c r="AF500" s="714"/>
      <c r="AG500" s="714"/>
      <c r="AH500" s="714"/>
      <c r="AI500" s="714"/>
      <c r="AJ500" s="714"/>
      <c r="AK500" s="714" t="str">
        <f t="shared" si="38"/>
        <v/>
      </c>
      <c r="AL500" s="714"/>
      <c r="AM500" s="714"/>
      <c r="AN500" s="714"/>
      <c r="AO500" s="714"/>
      <c r="AP500" s="714"/>
      <c r="AQ500" s="714"/>
    </row>
    <row r="501" spans="1:46" ht="18" customHeight="1">
      <c r="A501" s="469"/>
      <c r="B501" s="658">
        <v>22</v>
      </c>
      <c r="C501" s="681"/>
      <c r="D501" s="681"/>
      <c r="E501" s="659" t="str">
        <f t="shared" si="33"/>
        <v/>
      </c>
      <c r="F501" s="660"/>
      <c r="G501" s="660"/>
      <c r="H501" s="660"/>
      <c r="I501" s="660"/>
      <c r="J501" s="660"/>
      <c r="K501" s="661"/>
      <c r="L501" s="659" t="str">
        <f t="shared" ca="1" si="34"/>
        <v/>
      </c>
      <c r="M501" s="662"/>
      <c r="N501" s="662"/>
      <c r="O501" s="662"/>
      <c r="P501" s="662"/>
      <c r="Q501" s="663"/>
      <c r="R501" s="715" t="str">
        <f t="shared" ca="1" si="35"/>
        <v/>
      </c>
      <c r="S501" s="715"/>
      <c r="T501" s="715"/>
      <c r="U501" s="715"/>
      <c r="V501" s="715"/>
      <c r="W501" s="715"/>
      <c r="X501" s="715" t="str">
        <f t="shared" ca="1" si="36"/>
        <v/>
      </c>
      <c r="Y501" s="715"/>
      <c r="Z501" s="715"/>
      <c r="AA501" s="715"/>
      <c r="AB501" s="715"/>
      <c r="AC501" s="715"/>
      <c r="AD501" s="714" t="str">
        <f t="shared" si="37"/>
        <v/>
      </c>
      <c r="AE501" s="714"/>
      <c r="AF501" s="714"/>
      <c r="AG501" s="714"/>
      <c r="AH501" s="714"/>
      <c r="AI501" s="714"/>
      <c r="AJ501" s="714"/>
      <c r="AK501" s="714" t="str">
        <f t="shared" si="38"/>
        <v/>
      </c>
      <c r="AL501" s="714"/>
      <c r="AM501" s="714"/>
      <c r="AN501" s="714"/>
      <c r="AO501" s="714"/>
      <c r="AP501" s="714"/>
      <c r="AQ501" s="714"/>
    </row>
    <row r="502" spans="1:46" ht="18" customHeight="1">
      <c r="A502" s="469"/>
      <c r="B502" s="658">
        <v>23</v>
      </c>
      <c r="C502" s="681"/>
      <c r="D502" s="681"/>
      <c r="E502" s="659" t="str">
        <f t="shared" si="33"/>
        <v/>
      </c>
      <c r="F502" s="660"/>
      <c r="G502" s="660"/>
      <c r="H502" s="660"/>
      <c r="I502" s="660"/>
      <c r="J502" s="660"/>
      <c r="K502" s="661"/>
      <c r="L502" s="659" t="str">
        <f t="shared" ca="1" si="34"/>
        <v/>
      </c>
      <c r="M502" s="662"/>
      <c r="N502" s="662"/>
      <c r="O502" s="662"/>
      <c r="P502" s="662"/>
      <c r="Q502" s="663"/>
      <c r="R502" s="715" t="str">
        <f t="shared" ca="1" si="35"/>
        <v/>
      </c>
      <c r="S502" s="715"/>
      <c r="T502" s="715"/>
      <c r="U502" s="715"/>
      <c r="V502" s="715"/>
      <c r="W502" s="715"/>
      <c r="X502" s="715" t="str">
        <f t="shared" ca="1" si="36"/>
        <v/>
      </c>
      <c r="Y502" s="715"/>
      <c r="Z502" s="715"/>
      <c r="AA502" s="715"/>
      <c r="AB502" s="715"/>
      <c r="AC502" s="715"/>
      <c r="AD502" s="721" t="str">
        <f t="shared" si="37"/>
        <v/>
      </c>
      <c r="AE502" s="721"/>
      <c r="AF502" s="721"/>
      <c r="AG502" s="721"/>
      <c r="AH502" s="721"/>
      <c r="AI502" s="721"/>
      <c r="AJ502" s="721"/>
      <c r="AK502" s="714" t="str">
        <f t="shared" si="38"/>
        <v/>
      </c>
      <c r="AL502" s="714"/>
      <c r="AM502" s="714"/>
      <c r="AN502" s="714"/>
      <c r="AO502" s="714"/>
      <c r="AP502" s="714"/>
      <c r="AQ502" s="714"/>
    </row>
    <row r="503" spans="1:46" ht="18" customHeight="1">
      <c r="A503" s="469"/>
      <c r="B503" s="658">
        <v>24</v>
      </c>
      <c r="C503" s="681"/>
      <c r="D503" s="681"/>
      <c r="E503" s="659" t="str">
        <f t="shared" si="33"/>
        <v/>
      </c>
      <c r="F503" s="660"/>
      <c r="G503" s="660"/>
      <c r="H503" s="660"/>
      <c r="I503" s="660"/>
      <c r="J503" s="660"/>
      <c r="K503" s="661"/>
      <c r="L503" s="659" t="str">
        <f t="shared" ca="1" si="34"/>
        <v/>
      </c>
      <c r="M503" s="662"/>
      <c r="N503" s="662"/>
      <c r="O503" s="662"/>
      <c r="P503" s="662"/>
      <c r="Q503" s="663"/>
      <c r="R503" s="715" t="str">
        <f t="shared" ca="1" si="35"/>
        <v/>
      </c>
      <c r="S503" s="715"/>
      <c r="T503" s="715"/>
      <c r="U503" s="715"/>
      <c r="V503" s="715"/>
      <c r="W503" s="715"/>
      <c r="X503" s="715" t="str">
        <f t="shared" ca="1" si="36"/>
        <v/>
      </c>
      <c r="Y503" s="715"/>
      <c r="Z503" s="715"/>
      <c r="AA503" s="715"/>
      <c r="AB503" s="715"/>
      <c r="AC503" s="715"/>
      <c r="AD503" s="721" t="str">
        <f t="shared" si="37"/>
        <v/>
      </c>
      <c r="AE503" s="721"/>
      <c r="AF503" s="721"/>
      <c r="AG503" s="721"/>
      <c r="AH503" s="721"/>
      <c r="AI503" s="721"/>
      <c r="AJ503" s="721"/>
      <c r="AK503" s="714" t="str">
        <f t="shared" si="38"/>
        <v/>
      </c>
      <c r="AL503" s="714"/>
      <c r="AM503" s="714"/>
      <c r="AN503" s="714"/>
      <c r="AO503" s="714"/>
      <c r="AP503" s="714"/>
      <c r="AQ503" s="714"/>
    </row>
    <row r="504" spans="1:46" ht="18" customHeight="1">
      <c r="A504" s="469"/>
      <c r="B504" s="658">
        <v>25</v>
      </c>
      <c r="C504" s="681"/>
      <c r="D504" s="681"/>
      <c r="E504" s="659" t="str">
        <f t="shared" si="33"/>
        <v/>
      </c>
      <c r="F504" s="660"/>
      <c r="G504" s="660"/>
      <c r="H504" s="660"/>
      <c r="I504" s="660"/>
      <c r="J504" s="660"/>
      <c r="K504" s="661"/>
      <c r="L504" s="659" t="str">
        <f t="shared" ca="1" si="34"/>
        <v/>
      </c>
      <c r="M504" s="662"/>
      <c r="N504" s="662"/>
      <c r="O504" s="662"/>
      <c r="P504" s="662"/>
      <c r="Q504" s="663"/>
      <c r="R504" s="715" t="str">
        <f t="shared" ca="1" si="35"/>
        <v/>
      </c>
      <c r="S504" s="715"/>
      <c r="T504" s="715"/>
      <c r="U504" s="715"/>
      <c r="V504" s="715"/>
      <c r="W504" s="715"/>
      <c r="X504" s="715" t="str">
        <f t="shared" ca="1" si="36"/>
        <v/>
      </c>
      <c r="Y504" s="715"/>
      <c r="Z504" s="715"/>
      <c r="AA504" s="715"/>
      <c r="AB504" s="715"/>
      <c r="AC504" s="715"/>
      <c r="AD504" s="721" t="str">
        <f t="shared" si="37"/>
        <v/>
      </c>
      <c r="AE504" s="721"/>
      <c r="AF504" s="721"/>
      <c r="AG504" s="721"/>
      <c r="AH504" s="721"/>
      <c r="AI504" s="721"/>
      <c r="AJ504" s="721"/>
      <c r="AK504" s="714" t="str">
        <f t="shared" si="38"/>
        <v/>
      </c>
      <c r="AL504" s="714"/>
      <c r="AM504" s="714"/>
      <c r="AN504" s="714"/>
      <c r="AO504" s="714"/>
      <c r="AP504" s="714"/>
      <c r="AQ504" s="714"/>
    </row>
    <row r="505" spans="1:46" ht="18" customHeight="1">
      <c r="A505" s="469"/>
      <c r="B505" s="658">
        <v>26</v>
      </c>
      <c r="C505" s="681"/>
      <c r="D505" s="681"/>
      <c r="E505" s="659" t="str">
        <f t="shared" si="33"/>
        <v/>
      </c>
      <c r="F505" s="660"/>
      <c r="G505" s="660"/>
      <c r="H505" s="660"/>
      <c r="I505" s="660"/>
      <c r="J505" s="660"/>
      <c r="K505" s="661"/>
      <c r="L505" s="659" t="str">
        <f t="shared" ca="1" si="34"/>
        <v/>
      </c>
      <c r="M505" s="662"/>
      <c r="N505" s="662"/>
      <c r="O505" s="662"/>
      <c r="P505" s="662"/>
      <c r="Q505" s="663"/>
      <c r="R505" s="715" t="str">
        <f t="shared" ca="1" si="35"/>
        <v/>
      </c>
      <c r="S505" s="715"/>
      <c r="T505" s="715"/>
      <c r="U505" s="715"/>
      <c r="V505" s="715"/>
      <c r="W505" s="715"/>
      <c r="X505" s="715" t="str">
        <f t="shared" ca="1" si="36"/>
        <v/>
      </c>
      <c r="Y505" s="715"/>
      <c r="Z505" s="715"/>
      <c r="AA505" s="715"/>
      <c r="AB505" s="715"/>
      <c r="AC505" s="715"/>
      <c r="AD505" s="721" t="str">
        <f t="shared" si="37"/>
        <v/>
      </c>
      <c r="AE505" s="721"/>
      <c r="AF505" s="721"/>
      <c r="AG505" s="721"/>
      <c r="AH505" s="721"/>
      <c r="AI505" s="721"/>
      <c r="AJ505" s="721"/>
      <c r="AK505" s="714" t="str">
        <f t="shared" si="38"/>
        <v/>
      </c>
      <c r="AL505" s="714"/>
      <c r="AM505" s="714"/>
      <c r="AN505" s="714"/>
      <c r="AO505" s="714"/>
      <c r="AP505" s="714"/>
      <c r="AQ505" s="714"/>
    </row>
    <row r="506" spans="1:46" ht="18" customHeight="1">
      <c r="A506" s="469"/>
      <c r="B506" s="658">
        <v>27</v>
      </c>
      <c r="C506" s="681"/>
      <c r="D506" s="681"/>
      <c r="E506" s="659" t="str">
        <f t="shared" si="33"/>
        <v/>
      </c>
      <c r="F506" s="660"/>
      <c r="G506" s="660"/>
      <c r="H506" s="660"/>
      <c r="I506" s="660"/>
      <c r="J506" s="660"/>
      <c r="K506" s="661"/>
      <c r="L506" s="659" t="str">
        <f t="shared" ca="1" si="34"/>
        <v/>
      </c>
      <c r="M506" s="662"/>
      <c r="N506" s="662"/>
      <c r="O506" s="662"/>
      <c r="P506" s="662"/>
      <c r="Q506" s="663"/>
      <c r="R506" s="715" t="str">
        <f t="shared" ca="1" si="35"/>
        <v/>
      </c>
      <c r="S506" s="715"/>
      <c r="T506" s="715"/>
      <c r="U506" s="715"/>
      <c r="V506" s="715"/>
      <c r="W506" s="715"/>
      <c r="X506" s="715" t="str">
        <f t="shared" ca="1" si="36"/>
        <v/>
      </c>
      <c r="Y506" s="715"/>
      <c r="Z506" s="715"/>
      <c r="AA506" s="715"/>
      <c r="AB506" s="715"/>
      <c r="AC506" s="715"/>
      <c r="AD506" s="721" t="str">
        <f t="shared" si="37"/>
        <v/>
      </c>
      <c r="AE506" s="721"/>
      <c r="AF506" s="721"/>
      <c r="AG506" s="721"/>
      <c r="AH506" s="721"/>
      <c r="AI506" s="721"/>
      <c r="AJ506" s="721"/>
      <c r="AK506" s="714" t="str">
        <f t="shared" si="38"/>
        <v/>
      </c>
      <c r="AL506" s="714"/>
      <c r="AM506" s="714"/>
      <c r="AN506" s="714"/>
      <c r="AO506" s="714"/>
      <c r="AP506" s="714"/>
      <c r="AQ506" s="714"/>
    </row>
    <row r="507" spans="1:46" ht="18" customHeight="1">
      <c r="A507" s="469"/>
      <c r="B507" s="658">
        <v>28</v>
      </c>
      <c r="C507" s="681"/>
      <c r="D507" s="681"/>
      <c r="E507" s="659" t="str">
        <f t="shared" si="33"/>
        <v/>
      </c>
      <c r="F507" s="660"/>
      <c r="G507" s="660"/>
      <c r="H507" s="660"/>
      <c r="I507" s="660"/>
      <c r="J507" s="660"/>
      <c r="K507" s="661"/>
      <c r="L507" s="659" t="str">
        <f t="shared" ca="1" si="34"/>
        <v/>
      </c>
      <c r="M507" s="662"/>
      <c r="N507" s="662"/>
      <c r="O507" s="662"/>
      <c r="P507" s="662"/>
      <c r="Q507" s="663"/>
      <c r="R507" s="715" t="str">
        <f t="shared" ca="1" si="35"/>
        <v/>
      </c>
      <c r="S507" s="715"/>
      <c r="T507" s="715"/>
      <c r="U507" s="715"/>
      <c r="V507" s="715"/>
      <c r="W507" s="715"/>
      <c r="X507" s="715" t="str">
        <f t="shared" ca="1" si="36"/>
        <v/>
      </c>
      <c r="Y507" s="715"/>
      <c r="Z507" s="715"/>
      <c r="AA507" s="715"/>
      <c r="AB507" s="715"/>
      <c r="AC507" s="715"/>
      <c r="AD507" s="721" t="str">
        <f t="shared" si="37"/>
        <v/>
      </c>
      <c r="AE507" s="721"/>
      <c r="AF507" s="721"/>
      <c r="AG507" s="721"/>
      <c r="AH507" s="721"/>
      <c r="AI507" s="721"/>
      <c r="AJ507" s="721"/>
      <c r="AK507" s="714" t="str">
        <f t="shared" si="38"/>
        <v/>
      </c>
      <c r="AL507" s="714"/>
      <c r="AM507" s="714"/>
      <c r="AN507" s="714"/>
      <c r="AO507" s="714"/>
      <c r="AP507" s="714"/>
      <c r="AQ507" s="714"/>
    </row>
    <row r="508" spans="1:46" ht="18" customHeight="1">
      <c r="A508" s="469"/>
      <c r="B508" s="658">
        <v>29</v>
      </c>
      <c r="C508" s="681"/>
      <c r="D508" s="681"/>
      <c r="E508" s="659" t="str">
        <f t="shared" si="33"/>
        <v/>
      </c>
      <c r="F508" s="660"/>
      <c r="G508" s="660"/>
      <c r="H508" s="660"/>
      <c r="I508" s="660"/>
      <c r="J508" s="660"/>
      <c r="K508" s="661"/>
      <c r="L508" s="659" t="str">
        <f t="shared" ca="1" si="34"/>
        <v/>
      </c>
      <c r="M508" s="662"/>
      <c r="N508" s="662"/>
      <c r="O508" s="662"/>
      <c r="P508" s="662"/>
      <c r="Q508" s="663"/>
      <c r="R508" s="715" t="str">
        <f t="shared" ca="1" si="35"/>
        <v/>
      </c>
      <c r="S508" s="715"/>
      <c r="T508" s="715"/>
      <c r="U508" s="715"/>
      <c r="V508" s="715"/>
      <c r="W508" s="715"/>
      <c r="X508" s="715" t="str">
        <f t="shared" ca="1" si="36"/>
        <v/>
      </c>
      <c r="Y508" s="715"/>
      <c r="Z508" s="715"/>
      <c r="AA508" s="715"/>
      <c r="AB508" s="715"/>
      <c r="AC508" s="715"/>
      <c r="AD508" s="721" t="str">
        <f t="shared" si="37"/>
        <v/>
      </c>
      <c r="AE508" s="721"/>
      <c r="AF508" s="721"/>
      <c r="AG508" s="721"/>
      <c r="AH508" s="721"/>
      <c r="AI508" s="721"/>
      <c r="AJ508" s="721"/>
      <c r="AK508" s="714" t="str">
        <f t="shared" si="38"/>
        <v/>
      </c>
      <c r="AL508" s="714"/>
      <c r="AM508" s="714"/>
      <c r="AN508" s="714"/>
      <c r="AO508" s="714"/>
      <c r="AP508" s="714"/>
      <c r="AQ508" s="714"/>
    </row>
    <row r="509" spans="1:46" ht="18" customHeight="1">
      <c r="A509" s="469"/>
      <c r="B509" s="672">
        <v>30</v>
      </c>
      <c r="C509" s="688"/>
      <c r="D509" s="688"/>
      <c r="E509" s="673" t="str">
        <f t="shared" si="33"/>
        <v/>
      </c>
      <c r="F509" s="674"/>
      <c r="G509" s="674"/>
      <c r="H509" s="674"/>
      <c r="I509" s="674"/>
      <c r="J509" s="674"/>
      <c r="K509" s="675"/>
      <c r="L509" s="673" t="str">
        <f t="shared" ca="1" si="34"/>
        <v/>
      </c>
      <c r="M509" s="676"/>
      <c r="N509" s="676"/>
      <c r="O509" s="676"/>
      <c r="P509" s="676"/>
      <c r="Q509" s="677"/>
      <c r="R509" s="740" t="str">
        <f t="shared" ca="1" si="35"/>
        <v/>
      </c>
      <c r="S509" s="740"/>
      <c r="T509" s="740"/>
      <c r="U509" s="740"/>
      <c r="V509" s="740"/>
      <c r="W509" s="740"/>
      <c r="X509" s="740" t="str">
        <f t="shared" ca="1" si="36"/>
        <v/>
      </c>
      <c r="Y509" s="740"/>
      <c r="Z509" s="740"/>
      <c r="AA509" s="740"/>
      <c r="AB509" s="740"/>
      <c r="AC509" s="740"/>
      <c r="AD509" s="740" t="str">
        <f t="shared" si="37"/>
        <v/>
      </c>
      <c r="AE509" s="740"/>
      <c r="AF509" s="740"/>
      <c r="AG509" s="740"/>
      <c r="AH509" s="740"/>
      <c r="AI509" s="740"/>
      <c r="AJ509" s="740"/>
      <c r="AK509" s="722" t="str">
        <f t="shared" si="38"/>
        <v/>
      </c>
      <c r="AL509" s="722"/>
      <c r="AM509" s="722"/>
      <c r="AN509" s="722"/>
      <c r="AO509" s="722"/>
      <c r="AP509" s="722"/>
      <c r="AQ509" s="722"/>
    </row>
    <row r="510" spans="1:46" s="469" customFormat="1" ht="18" customHeight="1">
      <c r="B510" s="461"/>
      <c r="C510" s="461"/>
      <c r="D510" s="461"/>
      <c r="E510" s="461"/>
      <c r="F510" s="461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/>
      <c r="Q510" s="461"/>
      <c r="R510" s="461"/>
      <c r="S510" s="461"/>
      <c r="T510" s="461"/>
      <c r="U510" s="461"/>
      <c r="V510" s="461"/>
      <c r="W510" s="461"/>
      <c r="X510" s="461"/>
      <c r="Y510" s="461"/>
      <c r="Z510" s="461"/>
      <c r="AA510" s="461"/>
      <c r="AB510" s="461"/>
      <c r="AC510" s="461"/>
      <c r="AD510" s="461"/>
      <c r="AE510" s="461"/>
      <c r="AF510" s="461"/>
      <c r="AG510" s="461"/>
      <c r="AH510" s="461"/>
      <c r="AI510" s="461"/>
      <c r="AJ510" s="461"/>
      <c r="AK510" s="461"/>
      <c r="AL510" s="461"/>
      <c r="AM510" s="461"/>
      <c r="AN510" s="461"/>
      <c r="AO510" s="461"/>
      <c r="AP510" s="461"/>
      <c r="AQ510" s="461"/>
      <c r="AR510" s="154"/>
      <c r="AS510" s="154"/>
    </row>
    <row r="511" spans="1:46" ht="18" customHeight="1">
      <c r="A511" s="194" t="s">
        <v>434</v>
      </c>
      <c r="B511" s="469"/>
      <c r="C511" s="469"/>
      <c r="D511" s="469"/>
      <c r="E511" s="469"/>
      <c r="F511" s="469"/>
      <c r="G511" s="469"/>
      <c r="H511" s="469"/>
      <c r="I511" s="469"/>
      <c r="J511" s="469"/>
      <c r="K511" s="469"/>
      <c r="L511" s="469"/>
      <c r="M511" s="469"/>
      <c r="N511" s="469"/>
      <c r="O511" s="469"/>
      <c r="P511" s="469"/>
      <c r="Q511" s="469"/>
      <c r="R511" s="469"/>
      <c r="S511" s="469"/>
      <c r="T511" s="469"/>
      <c r="U511" s="469"/>
      <c r="V511" s="469"/>
      <c r="W511" s="469"/>
      <c r="X511" s="469"/>
      <c r="Y511" s="469"/>
      <c r="Z511" s="469"/>
      <c r="AA511" s="469"/>
      <c r="AB511" s="469"/>
      <c r="AC511" s="469"/>
      <c r="AD511" s="469"/>
      <c r="AE511" s="469"/>
      <c r="AF511" s="469"/>
      <c r="AG511" s="469"/>
      <c r="AH511" s="469"/>
      <c r="AI511" s="469"/>
      <c r="AJ511" s="469"/>
      <c r="AK511" s="469"/>
      <c r="AL511" s="469"/>
      <c r="AM511" s="469"/>
      <c r="AN511" s="469"/>
      <c r="AO511" s="469"/>
      <c r="AP511" s="469"/>
      <c r="AQ511" s="469"/>
      <c r="AR511" s="469"/>
      <c r="AS511" s="469"/>
      <c r="AT511" s="469"/>
    </row>
    <row r="512" spans="1:46" ht="18" customHeight="1">
      <c r="A512" s="469"/>
      <c r="B512" s="469"/>
      <c r="C512" s="469"/>
      <c r="D512" s="469"/>
      <c r="E512" s="469"/>
      <c r="F512" s="469"/>
      <c r="G512" s="469"/>
      <c r="H512" s="469"/>
      <c r="I512" s="469"/>
      <c r="J512" s="469"/>
      <c r="K512" s="469"/>
      <c r="L512" s="469"/>
      <c r="M512" s="469"/>
      <c r="N512" s="469"/>
      <c r="O512" s="469"/>
      <c r="P512" s="469"/>
      <c r="Q512" s="469"/>
      <c r="R512" s="469"/>
      <c r="S512" s="469"/>
      <c r="T512" s="469"/>
      <c r="U512" s="469"/>
      <c r="V512" s="469"/>
      <c r="W512" s="469"/>
      <c r="X512" s="469"/>
      <c r="Y512" s="469"/>
      <c r="Z512" s="469"/>
      <c r="AA512" s="469"/>
      <c r="AB512" s="469"/>
      <c r="AC512" s="469"/>
      <c r="AD512" s="469"/>
      <c r="AE512" s="469"/>
      <c r="AF512" s="469"/>
      <c r="AG512" s="460"/>
      <c r="AH512" s="469"/>
      <c r="AI512" s="469"/>
      <c r="AJ512" s="469"/>
      <c r="AK512" s="469"/>
      <c r="AL512" s="469"/>
      <c r="AM512" s="469"/>
      <c r="AN512" s="469"/>
      <c r="AO512" s="469"/>
      <c r="AP512" s="469"/>
      <c r="AQ512" s="469"/>
      <c r="AR512" s="469"/>
      <c r="AS512" s="469"/>
      <c r="AT512" s="469"/>
    </row>
    <row r="513" spans="1:46" ht="18" customHeight="1">
      <c r="A513" s="469"/>
      <c r="B513" s="469"/>
      <c r="C513" s="469"/>
      <c r="D513" s="469"/>
      <c r="E513" s="469"/>
      <c r="F513" s="469"/>
      <c r="G513" s="469"/>
      <c r="H513" s="469"/>
      <c r="I513" s="469"/>
      <c r="J513" s="469"/>
      <c r="K513" s="469"/>
      <c r="L513" s="469"/>
      <c r="M513" s="469"/>
      <c r="N513" s="469"/>
      <c r="O513" s="469"/>
      <c r="P513" s="469"/>
      <c r="Q513" s="469"/>
      <c r="R513" s="469"/>
      <c r="S513" s="469"/>
      <c r="T513" s="469"/>
      <c r="U513" s="469"/>
      <c r="V513" s="469"/>
      <c r="W513" s="469"/>
      <c r="X513" s="469"/>
      <c r="Y513" s="469"/>
      <c r="Z513" s="469"/>
      <c r="AA513" s="469"/>
      <c r="AB513" s="469"/>
      <c r="AC513" s="469"/>
      <c r="AD513" s="469"/>
      <c r="AE513" s="469"/>
      <c r="AF513" s="469"/>
      <c r="AG513" s="469"/>
      <c r="AH513" s="469"/>
      <c r="AI513" s="469"/>
      <c r="AJ513" s="469"/>
      <c r="AK513" s="469"/>
      <c r="AL513" s="469"/>
      <c r="AM513" s="469"/>
      <c r="AN513" s="469"/>
      <c r="AO513" s="469"/>
      <c r="AP513" s="469"/>
      <c r="AQ513" s="469"/>
      <c r="AR513" s="469"/>
      <c r="AS513" s="469"/>
      <c r="AT513" s="469"/>
    </row>
    <row r="514" spans="1:46" ht="18" customHeight="1">
      <c r="A514" s="469"/>
      <c r="B514" s="469"/>
      <c r="C514" s="469"/>
      <c r="D514" s="469"/>
      <c r="E514" s="469"/>
      <c r="F514" s="469"/>
      <c r="G514" s="469"/>
      <c r="H514" s="469"/>
      <c r="I514" s="469"/>
      <c r="J514" s="469"/>
      <c r="K514" s="469"/>
      <c r="L514" s="469"/>
      <c r="M514" s="469"/>
      <c r="N514" s="469"/>
      <c r="O514" s="469"/>
      <c r="P514" s="469"/>
      <c r="Q514" s="469"/>
      <c r="R514" s="469"/>
      <c r="S514" s="469"/>
      <c r="T514" s="469"/>
      <c r="U514" s="469"/>
      <c r="V514" s="469"/>
      <c r="W514" s="469"/>
      <c r="X514" s="469"/>
      <c r="Y514" s="469"/>
      <c r="Z514" s="469"/>
      <c r="AA514" s="469"/>
      <c r="AB514" s="469"/>
      <c r="AC514" s="469"/>
      <c r="AD514" s="469"/>
      <c r="AE514" s="469"/>
      <c r="AF514" s="469"/>
      <c r="AG514" s="469"/>
      <c r="AH514" s="469"/>
      <c r="AI514" s="469"/>
      <c r="AJ514" s="469"/>
      <c r="AK514" s="469"/>
      <c r="AL514" s="469"/>
      <c r="AM514" s="469"/>
      <c r="AN514" s="469"/>
      <c r="AO514" s="469"/>
      <c r="AP514" s="469"/>
      <c r="AQ514" s="469"/>
      <c r="AR514" s="469"/>
      <c r="AS514" s="469"/>
      <c r="AT514" s="469"/>
    </row>
    <row r="515" spans="1:46" ht="18" customHeight="1">
      <c r="A515" s="469"/>
      <c r="B515" s="469"/>
      <c r="C515" s="155" t="s">
        <v>435</v>
      </c>
      <c r="D515" s="469"/>
      <c r="E515" s="469"/>
      <c r="F515" s="469"/>
      <c r="G515" s="469"/>
      <c r="H515" s="469" t="s">
        <v>436</v>
      </c>
      <c r="I515" s="469"/>
      <c r="J515" s="469"/>
      <c r="K515" s="469"/>
      <c r="L515" s="469"/>
      <c r="M515" s="469"/>
      <c r="N515" s="469"/>
      <c r="O515" s="469"/>
      <c r="P515" s="469"/>
      <c r="Q515" s="469"/>
      <c r="R515" s="469"/>
      <c r="S515" s="469"/>
      <c r="T515" s="469"/>
      <c r="U515" s="469"/>
      <c r="V515" s="469"/>
      <c r="W515" s="469"/>
      <c r="X515" s="469"/>
      <c r="Y515" s="469"/>
      <c r="Z515" s="469"/>
      <c r="AA515" s="469"/>
      <c r="AB515" s="469"/>
      <c r="AC515" s="469"/>
      <c r="AD515" s="469"/>
      <c r="AE515" s="469"/>
      <c r="AF515" s="469"/>
      <c r="AG515" s="469"/>
      <c r="AH515" s="469"/>
      <c r="AI515" s="469"/>
      <c r="AJ515" s="469"/>
      <c r="AK515" s="469"/>
      <c r="AL515" s="469"/>
      <c r="AM515" s="469"/>
      <c r="AN515" s="469"/>
      <c r="AO515" s="469"/>
      <c r="AP515" s="469"/>
      <c r="AQ515" s="469"/>
      <c r="AR515" s="469"/>
      <c r="AS515" s="469"/>
      <c r="AT515" s="469"/>
    </row>
    <row r="516" spans="1:46" ht="18" customHeight="1">
      <c r="A516" s="469"/>
      <c r="B516" s="469"/>
      <c r="C516" s="155" t="s">
        <v>437</v>
      </c>
      <c r="D516" s="469"/>
      <c r="E516" s="469"/>
      <c r="F516" s="469"/>
      <c r="G516" s="469"/>
      <c r="H516" s="469" t="s">
        <v>438</v>
      </c>
      <c r="I516" s="469"/>
      <c r="J516" s="469"/>
      <c r="K516" s="469"/>
      <c r="L516" s="469"/>
      <c r="M516" s="469"/>
      <c r="N516" s="469"/>
      <c r="O516" s="469"/>
      <c r="P516" s="469"/>
      <c r="Q516" s="469"/>
      <c r="R516" s="469"/>
      <c r="S516" s="469"/>
      <c r="T516" s="469"/>
      <c r="U516" s="469"/>
      <c r="V516" s="469"/>
      <c r="W516" s="469"/>
      <c r="X516" s="469"/>
      <c r="Y516" s="469"/>
      <c r="Z516" s="469"/>
      <c r="AA516" s="469"/>
      <c r="AB516" s="469"/>
      <c r="AC516" s="469"/>
      <c r="AD516" s="469"/>
      <c r="AE516" s="469"/>
      <c r="AF516" s="469"/>
      <c r="AG516" s="469"/>
      <c r="AH516" s="469"/>
      <c r="AI516" s="469"/>
      <c r="AJ516" s="469"/>
      <c r="AK516" s="469"/>
      <c r="AL516" s="469"/>
      <c r="AM516" s="469"/>
      <c r="AN516" s="469"/>
      <c r="AO516" s="469"/>
      <c r="AP516" s="469"/>
      <c r="AQ516" s="469"/>
      <c r="AR516" s="469"/>
      <c r="AS516" s="469"/>
      <c r="AT516" s="469"/>
    </row>
    <row r="517" spans="1:46" ht="18" customHeight="1">
      <c r="A517" s="469"/>
      <c r="B517" s="469"/>
      <c r="C517" s="155" t="s">
        <v>439</v>
      </c>
      <c r="D517" s="469"/>
      <c r="E517" s="469"/>
      <c r="F517" s="469"/>
      <c r="G517" s="469"/>
      <c r="H517" s="469" t="s">
        <v>440</v>
      </c>
      <c r="I517" s="469"/>
      <c r="J517" s="469"/>
      <c r="K517" s="469"/>
      <c r="L517" s="469"/>
      <c r="M517" s="469"/>
      <c r="N517" s="469"/>
      <c r="O517" s="469"/>
      <c r="P517" s="469"/>
      <c r="Q517" s="469"/>
      <c r="R517" s="469"/>
      <c r="S517" s="469"/>
      <c r="T517" s="469"/>
      <c r="U517" s="469"/>
      <c r="V517" s="469"/>
      <c r="W517" s="469"/>
      <c r="X517" s="469"/>
      <c r="Y517" s="469"/>
      <c r="Z517" s="469"/>
      <c r="AA517" s="469"/>
      <c r="AB517" s="469"/>
      <c r="AC517" s="469"/>
      <c r="AD517" s="469"/>
      <c r="AE517" s="469"/>
      <c r="AF517" s="469"/>
      <c r="AG517" s="469"/>
      <c r="AH517" s="469"/>
      <c r="AI517" s="469"/>
      <c r="AJ517" s="469"/>
      <c r="AK517" s="469"/>
      <c r="AL517" s="469"/>
      <c r="AM517" s="469"/>
      <c r="AN517" s="469"/>
      <c r="AO517" s="469"/>
      <c r="AP517" s="469"/>
      <c r="AQ517" s="469"/>
      <c r="AR517" s="469"/>
      <c r="AS517" s="469"/>
      <c r="AT517" s="469"/>
    </row>
    <row r="518" spans="1:46" ht="18" customHeight="1">
      <c r="A518" s="469"/>
      <c r="B518" s="469"/>
      <c r="C518" s="155"/>
      <c r="D518" s="469"/>
      <c r="E518" s="469"/>
      <c r="F518" s="469"/>
      <c r="G518" s="469"/>
      <c r="H518" s="469"/>
      <c r="I518" s="469"/>
      <c r="J518" s="469"/>
      <c r="K518" s="469"/>
      <c r="L518" s="469"/>
      <c r="M518" s="469"/>
      <c r="N518" s="469"/>
      <c r="O518" s="469"/>
      <c r="P518" s="469"/>
      <c r="Q518" s="469"/>
      <c r="R518" s="469"/>
      <c r="S518" s="469"/>
      <c r="T518" s="469"/>
      <c r="U518" s="469"/>
      <c r="V518" s="469"/>
      <c r="W518" s="469"/>
      <c r="X518" s="469"/>
      <c r="Y518" s="469"/>
      <c r="Z518" s="469"/>
      <c r="AA518" s="469"/>
      <c r="AB518" s="469"/>
      <c r="AC518" s="469"/>
      <c r="AD518" s="469"/>
      <c r="AE518" s="469"/>
      <c r="AF518" s="469"/>
      <c r="AG518" s="469"/>
      <c r="AH518" s="469"/>
      <c r="AI518" s="469"/>
      <c r="AJ518" s="469"/>
      <c r="AK518" s="469"/>
      <c r="AL518" s="469"/>
      <c r="AM518" s="469"/>
      <c r="AN518" s="469"/>
      <c r="AO518" s="469"/>
      <c r="AP518" s="469"/>
      <c r="AQ518" s="469"/>
      <c r="AR518" s="469"/>
      <c r="AS518" s="469"/>
      <c r="AT518" s="469"/>
    </row>
    <row r="519" spans="1:46" ht="18" customHeight="1">
      <c r="A519" s="469"/>
      <c r="B519" s="469"/>
      <c r="C519" s="469" t="s">
        <v>441</v>
      </c>
      <c r="E519" s="469"/>
      <c r="F519" s="469"/>
      <c r="G519" s="469"/>
      <c r="H519" s="469"/>
      <c r="I519" s="469"/>
      <c r="J519" s="469"/>
      <c r="K519" s="469"/>
      <c r="L519" s="469"/>
      <c r="M519" s="469"/>
      <c r="N519" s="469"/>
      <c r="O519" s="469"/>
      <c r="P519" s="469"/>
      <c r="Q519" s="469"/>
      <c r="R519" s="469"/>
      <c r="S519" s="469"/>
      <c r="T519" s="469"/>
      <c r="U519" s="469"/>
      <c r="V519" s="469"/>
      <c r="W519" s="469"/>
      <c r="X519" s="469"/>
      <c r="Y519" s="469"/>
      <c r="Z519" s="469"/>
      <c r="AA519" s="469"/>
      <c r="AB519" s="469"/>
      <c r="AC519" s="469"/>
      <c r="AD519" s="469"/>
      <c r="AE519" s="469"/>
      <c r="AF519" s="469"/>
      <c r="AG519" s="469"/>
      <c r="AH519" s="469"/>
      <c r="AI519" s="469"/>
      <c r="AJ519" s="469"/>
      <c r="AK519" s="469"/>
      <c r="AL519" s="469"/>
      <c r="AM519" s="469"/>
      <c r="AN519" s="469"/>
      <c r="AO519" s="469"/>
      <c r="AP519" s="469"/>
      <c r="AQ519" s="469"/>
      <c r="AR519" s="469"/>
      <c r="AS519" s="469"/>
      <c r="AT519" s="469"/>
    </row>
    <row r="520" spans="1:46" ht="18" customHeight="1">
      <c r="A520" s="469"/>
      <c r="B520" s="469"/>
      <c r="C520" s="469"/>
      <c r="E520" s="469"/>
      <c r="F520" s="469"/>
      <c r="G520" s="469"/>
      <c r="H520" s="469"/>
      <c r="I520" s="469"/>
      <c r="J520" s="469"/>
      <c r="K520" s="469"/>
      <c r="L520" s="469"/>
      <c r="M520" s="469"/>
      <c r="N520" s="469"/>
      <c r="O520" s="469"/>
      <c r="P520" s="469"/>
      <c r="Q520" s="469"/>
      <c r="R520" s="469"/>
      <c r="S520" s="469"/>
      <c r="T520" s="469"/>
      <c r="U520" s="469"/>
      <c r="V520" s="469"/>
      <c r="W520" s="469"/>
      <c r="X520" s="469"/>
      <c r="Y520" s="469"/>
      <c r="Z520" s="469"/>
      <c r="AA520" s="469"/>
      <c r="AB520" s="469"/>
      <c r="AC520" s="469"/>
      <c r="AD520" s="469"/>
      <c r="AE520" s="469"/>
      <c r="AF520" s="469"/>
      <c r="AG520" s="469"/>
      <c r="AH520" s="469"/>
      <c r="AI520" s="469"/>
      <c r="AJ520" s="469"/>
      <c r="AK520" s="469"/>
      <c r="AL520" s="469"/>
      <c r="AM520" s="469"/>
      <c r="AN520" s="469"/>
      <c r="AO520" s="469"/>
      <c r="AP520" s="469"/>
      <c r="AQ520" s="469"/>
      <c r="AR520" s="469"/>
      <c r="AS520" s="469"/>
      <c r="AT520" s="469"/>
    </row>
    <row r="521" spans="1:46" ht="18" customHeight="1">
      <c r="A521" s="469"/>
      <c r="B521" s="469"/>
      <c r="C521" s="469"/>
      <c r="E521" s="469"/>
      <c r="F521" s="469"/>
      <c r="G521" s="469"/>
      <c r="H521" s="469"/>
      <c r="I521" s="469"/>
      <c r="J521" s="469"/>
      <c r="K521" s="469"/>
      <c r="L521" s="469"/>
      <c r="M521" s="469"/>
      <c r="N521" s="469"/>
      <c r="O521" s="469"/>
      <c r="P521" s="469"/>
      <c r="Q521" s="469"/>
      <c r="R521" s="469"/>
      <c r="S521" s="469"/>
      <c r="T521" s="469"/>
      <c r="U521" s="469"/>
      <c r="V521" s="469"/>
      <c r="W521" s="469"/>
      <c r="X521" s="469"/>
      <c r="Y521" s="469"/>
      <c r="Z521" s="469"/>
      <c r="AA521" s="469"/>
      <c r="AB521" s="469"/>
      <c r="AC521" s="469"/>
      <c r="AD521" s="469"/>
      <c r="AE521" s="469"/>
      <c r="AF521" s="469"/>
      <c r="AG521" s="469"/>
      <c r="AH521" s="469"/>
      <c r="AI521" s="469"/>
      <c r="AJ521" s="469"/>
      <c r="AK521" s="469"/>
      <c r="AL521" s="469"/>
      <c r="AM521" s="469"/>
      <c r="AN521" s="469"/>
      <c r="AO521" s="469"/>
      <c r="AP521" s="469"/>
      <c r="AQ521" s="469"/>
      <c r="AR521" s="469"/>
      <c r="AS521" s="469"/>
      <c r="AT521" s="469"/>
    </row>
    <row r="522" spans="1:46" ht="18" customHeight="1">
      <c r="A522" s="469"/>
      <c r="B522" s="469"/>
      <c r="C522" s="155"/>
      <c r="D522" s="469"/>
      <c r="E522" s="469"/>
      <c r="F522" s="469"/>
      <c r="G522" s="469"/>
      <c r="H522" s="469"/>
      <c r="I522" s="469"/>
      <c r="J522" s="469"/>
      <c r="K522" s="469"/>
      <c r="L522" s="469"/>
      <c r="M522" s="469"/>
      <c r="N522" s="469"/>
      <c r="O522" s="469"/>
      <c r="P522" s="469"/>
      <c r="Q522" s="469"/>
      <c r="R522" s="469"/>
      <c r="S522" s="469"/>
      <c r="T522" s="469"/>
      <c r="U522" s="469"/>
      <c r="V522" s="469"/>
      <c r="W522" s="469"/>
      <c r="X522" s="469"/>
      <c r="Y522" s="469"/>
      <c r="Z522" s="469"/>
      <c r="AA522" s="469"/>
      <c r="AB522" s="469"/>
      <c r="AC522" s="469"/>
      <c r="AD522" s="469"/>
      <c r="AE522" s="469"/>
      <c r="AF522" s="469"/>
      <c r="AG522" s="469"/>
      <c r="AH522" s="469"/>
      <c r="AI522" s="469"/>
      <c r="AJ522" s="469"/>
      <c r="AK522" s="469"/>
      <c r="AL522" s="469"/>
      <c r="AM522" s="469"/>
      <c r="AN522" s="469"/>
      <c r="AO522" s="469"/>
      <c r="AP522" s="469"/>
      <c r="AQ522" s="469"/>
      <c r="AR522" s="469"/>
      <c r="AS522" s="469"/>
      <c r="AT522" s="469"/>
    </row>
    <row r="523" spans="1:46" s="157" customFormat="1" ht="18" customHeight="1">
      <c r="A523" s="164" t="s">
        <v>442</v>
      </c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I523" s="156"/>
      <c r="AJ523" s="156"/>
      <c r="AK523" s="156"/>
      <c r="AL523" s="156"/>
      <c r="AM523" s="156"/>
      <c r="AN523" s="156"/>
      <c r="AO523" s="156"/>
      <c r="AP523" s="156"/>
      <c r="AQ523" s="156"/>
      <c r="AR523" s="156"/>
      <c r="AS523" s="156"/>
      <c r="AT523" s="156"/>
    </row>
    <row r="524" spans="1:46" s="157" customFormat="1" ht="18" customHeight="1">
      <c r="A524" s="195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/>
      <c r="AB524" s="156"/>
      <c r="AC524" s="156"/>
      <c r="AD524" s="156"/>
      <c r="AE524" s="156"/>
      <c r="AF524" s="156"/>
      <c r="AG524" s="156"/>
      <c r="AH524" s="156"/>
      <c r="AI524" s="156"/>
      <c r="AJ524" s="156"/>
      <c r="AK524" s="156"/>
      <c r="AL524" s="156"/>
      <c r="AM524" s="156"/>
      <c r="AN524" s="156"/>
      <c r="AO524" s="156"/>
      <c r="AP524" s="156"/>
      <c r="AQ524" s="156"/>
      <c r="AR524" s="156"/>
      <c r="AS524" s="156"/>
      <c r="AT524" s="156"/>
    </row>
    <row r="525" spans="1:46" s="157" customFormat="1" ht="18" customHeight="1">
      <c r="A525" s="195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/>
      <c r="AB525" s="156"/>
      <c r="AC525" s="156"/>
      <c r="AD525" s="156"/>
      <c r="AE525" s="156"/>
      <c r="AF525" s="156"/>
      <c r="AG525" s="156"/>
      <c r="AH525" s="156"/>
      <c r="AI525" s="156"/>
      <c r="AJ525" s="156"/>
      <c r="AK525" s="156"/>
      <c r="AL525" s="156"/>
      <c r="AM525" s="156"/>
      <c r="AN525" s="156"/>
      <c r="AO525" s="156"/>
      <c r="AP525" s="156"/>
      <c r="AQ525" s="156"/>
      <c r="AR525" s="156"/>
      <c r="AS525" s="156"/>
      <c r="AT525" s="156"/>
    </row>
    <row r="526" spans="1:46" s="157" customFormat="1" ht="18" customHeight="1">
      <c r="A526" s="195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  <c r="AA526" s="156"/>
      <c r="AB526" s="156"/>
      <c r="AC526" s="156"/>
      <c r="AD526" s="156"/>
      <c r="AE526" s="156"/>
      <c r="AF526" s="156"/>
      <c r="AG526" s="156"/>
      <c r="AH526" s="156"/>
      <c r="AI526" s="156"/>
      <c r="AJ526" s="156"/>
      <c r="AK526" s="156"/>
      <c r="AL526" s="156"/>
      <c r="AM526" s="156"/>
      <c r="AN526" s="156"/>
      <c r="AO526" s="156"/>
      <c r="AP526" s="156"/>
      <c r="AQ526" s="156"/>
      <c r="AR526" s="156"/>
      <c r="AS526" s="156"/>
      <c r="AT526" s="156"/>
    </row>
    <row r="527" spans="1:46" s="157" customFormat="1" ht="18" customHeight="1">
      <c r="A527" s="195"/>
      <c r="B527" s="156"/>
      <c r="C527" s="156" t="s">
        <v>443</v>
      </c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  <c r="AA527" s="156"/>
      <c r="AB527" s="156"/>
      <c r="AC527" s="156"/>
      <c r="AD527" s="156"/>
      <c r="AE527" s="156"/>
      <c r="AF527" s="156"/>
      <c r="AG527" s="156"/>
      <c r="AH527" s="156"/>
      <c r="AI527" s="156"/>
      <c r="AJ527" s="156"/>
      <c r="AK527" s="156"/>
      <c r="AL527" s="156"/>
      <c r="AM527" s="156"/>
      <c r="AN527" s="156"/>
      <c r="AO527" s="156"/>
      <c r="AP527" s="156"/>
      <c r="AQ527" s="156"/>
      <c r="AR527" s="156"/>
      <c r="AS527" s="156"/>
      <c r="AT527" s="156"/>
    </row>
    <row r="528" spans="1:46" s="157" customFormat="1" ht="18" customHeight="1">
      <c r="A528" s="195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  <c r="AA528" s="156"/>
      <c r="AB528" s="156"/>
      <c r="AC528" s="156"/>
      <c r="AD528" s="156"/>
      <c r="AE528" s="156"/>
      <c r="AF528" s="156"/>
      <c r="AG528" s="156"/>
      <c r="AH528" s="156"/>
      <c r="AI528" s="156"/>
      <c r="AJ528" s="156"/>
      <c r="AK528" s="156"/>
      <c r="AL528" s="156"/>
      <c r="AM528" s="156"/>
      <c r="AN528" s="156"/>
      <c r="AO528" s="156"/>
      <c r="AP528" s="156"/>
      <c r="AQ528" s="156"/>
      <c r="AR528" s="156"/>
      <c r="AS528" s="156"/>
      <c r="AT528" s="156"/>
    </row>
    <row r="529" spans="1:46" s="157" customFormat="1" ht="18" customHeight="1">
      <c r="A529" s="195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  <c r="AA529" s="156"/>
      <c r="AB529" s="156"/>
      <c r="AC529" s="156"/>
      <c r="AD529" s="156"/>
      <c r="AE529" s="156"/>
      <c r="AF529" s="156"/>
      <c r="AG529" s="156"/>
      <c r="AH529" s="156"/>
      <c r="AI529" s="156"/>
      <c r="AJ529" s="156"/>
      <c r="AK529" s="156"/>
      <c r="AL529" s="156"/>
      <c r="AM529" s="156"/>
      <c r="AN529" s="156"/>
      <c r="AO529" s="156"/>
      <c r="AP529" s="156"/>
      <c r="AQ529" s="156"/>
      <c r="AR529" s="156"/>
      <c r="AS529" s="156"/>
      <c r="AT529" s="156"/>
    </row>
    <row r="530" spans="1:46" s="157" customFormat="1" ht="18" customHeight="1">
      <c r="A530" s="195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  <c r="AA530" s="156"/>
      <c r="AB530" s="156"/>
      <c r="AC530" s="156"/>
      <c r="AD530" s="156"/>
      <c r="AE530" s="156"/>
      <c r="AF530" s="156"/>
      <c r="AG530" s="156"/>
      <c r="AH530" s="156"/>
      <c r="AI530" s="156"/>
      <c r="AJ530" s="156"/>
      <c r="AK530" s="156"/>
      <c r="AL530" s="156"/>
      <c r="AM530" s="156"/>
      <c r="AN530" s="156"/>
      <c r="AO530" s="156"/>
      <c r="AP530" s="156"/>
      <c r="AQ530" s="156"/>
      <c r="AR530" s="156"/>
      <c r="AS530" s="156"/>
      <c r="AT530" s="156"/>
    </row>
    <row r="531" spans="1:46" s="157" customFormat="1" ht="18" customHeight="1">
      <c r="A531" s="195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  <c r="AB531" s="156"/>
      <c r="AC531" s="156"/>
      <c r="AD531" s="156"/>
      <c r="AE531" s="156"/>
      <c r="AF531" s="156"/>
      <c r="AG531" s="156"/>
      <c r="AH531" s="156"/>
      <c r="AI531" s="156"/>
      <c r="AJ531" s="156"/>
      <c r="AK531" s="156"/>
      <c r="AL531" s="156"/>
      <c r="AM531" s="156"/>
      <c r="AN531" s="156"/>
      <c r="AO531" s="156"/>
      <c r="AP531" s="156"/>
      <c r="AQ531" s="156"/>
      <c r="AR531" s="156"/>
      <c r="AS531" s="156"/>
      <c r="AT531" s="156"/>
    </row>
    <row r="532" spans="1:46" s="157" customFormat="1" ht="18" customHeight="1">
      <c r="A532" s="195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  <c r="AA532" s="156"/>
      <c r="AB532" s="156"/>
      <c r="AC532" s="156"/>
      <c r="AD532" s="156"/>
      <c r="AE532" s="156"/>
      <c r="AF532" s="156"/>
      <c r="AG532" s="156"/>
      <c r="AH532" s="156"/>
      <c r="AI532" s="156"/>
      <c r="AJ532" s="156"/>
      <c r="AK532" s="156"/>
      <c r="AL532" s="156"/>
      <c r="AM532" s="156"/>
      <c r="AN532" s="156"/>
      <c r="AO532" s="156"/>
      <c r="AP532" s="156"/>
      <c r="AQ532" s="156"/>
      <c r="AR532" s="156"/>
      <c r="AS532" s="156"/>
      <c r="AT532" s="156"/>
    </row>
    <row r="533" spans="1:46" s="157" customFormat="1" ht="18" customHeight="1">
      <c r="A533" s="282" t="e">
        <f ca="1">"■ "&amp;B368&amp;" "&amp;H368&amp;" 에서의 교정데이터"</f>
        <v>#N/A</v>
      </c>
      <c r="D533" s="283"/>
      <c r="E533" s="283"/>
      <c r="F533" s="283"/>
      <c r="H533" s="156"/>
      <c r="I533" s="280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  <c r="AA533" s="156"/>
      <c r="AB533" s="156"/>
      <c r="AC533" s="156"/>
      <c r="AD533" s="156"/>
      <c r="AE533" s="156"/>
      <c r="AF533" s="156"/>
      <c r="AG533" s="156"/>
      <c r="AH533" s="156"/>
      <c r="AI533" s="156"/>
      <c r="AJ533" s="156"/>
      <c r="AK533" s="156"/>
      <c r="AL533" s="156"/>
      <c r="AM533" s="156"/>
      <c r="AN533" s="156"/>
      <c r="AO533" s="156"/>
      <c r="AP533" s="156"/>
      <c r="AQ533" s="156"/>
      <c r="AR533" s="156"/>
      <c r="AS533" s="156"/>
      <c r="AT533" s="156"/>
    </row>
    <row r="534" spans="1:46" s="157" customFormat="1" ht="18" customHeight="1">
      <c r="A534" s="195"/>
      <c r="B534" s="723" t="s">
        <v>57</v>
      </c>
      <c r="C534" s="723"/>
      <c r="D534" s="723"/>
      <c r="E534" s="723"/>
      <c r="F534" s="723"/>
      <c r="G534" s="724" t="s">
        <v>444</v>
      </c>
      <c r="H534" s="725"/>
      <c r="I534" s="725"/>
      <c r="J534" s="725"/>
      <c r="K534" s="725"/>
      <c r="L534" s="726"/>
      <c r="M534" s="730" t="s">
        <v>445</v>
      </c>
      <c r="N534" s="731"/>
      <c r="O534" s="731"/>
      <c r="P534" s="731"/>
      <c r="Q534" s="731"/>
      <c r="R534" s="731"/>
      <c r="S534" s="731"/>
      <c r="T534" s="731"/>
      <c r="U534" s="731"/>
      <c r="V534" s="731"/>
      <c r="W534" s="731"/>
      <c r="X534" s="731"/>
      <c r="Y534" s="731"/>
      <c r="Z534" s="731"/>
      <c r="AA534" s="731"/>
      <c r="AB534" s="731"/>
      <c r="AC534" s="731"/>
      <c r="AD534" s="731"/>
      <c r="AE534" s="731"/>
      <c r="AF534" s="731"/>
      <c r="AG534" s="731"/>
      <c r="AH534" s="731"/>
      <c r="AI534" s="731"/>
      <c r="AJ534" s="731"/>
      <c r="AK534" s="731"/>
      <c r="AL534" s="731"/>
      <c r="AM534" s="731"/>
      <c r="AN534" s="731"/>
      <c r="AO534" s="731"/>
      <c r="AP534" s="731"/>
      <c r="AQ534" s="731"/>
      <c r="AR534" s="731"/>
      <c r="AS534" s="732"/>
      <c r="AT534" s="156"/>
    </row>
    <row r="535" spans="1:46" s="157" customFormat="1" ht="18" customHeight="1">
      <c r="A535" s="195"/>
      <c r="B535" s="723"/>
      <c r="C535" s="723"/>
      <c r="D535" s="723"/>
      <c r="E535" s="723"/>
      <c r="F535" s="723"/>
      <c r="G535" s="727"/>
      <c r="H535" s="728"/>
      <c r="I535" s="728"/>
      <c r="J535" s="728"/>
      <c r="K535" s="728"/>
      <c r="L535" s="729"/>
      <c r="M535" s="723" t="s">
        <v>406</v>
      </c>
      <c r="N535" s="723"/>
      <c r="O535" s="723"/>
      <c r="P535" s="723"/>
      <c r="Q535" s="723"/>
      <c r="R535" s="733" t="s">
        <v>446</v>
      </c>
      <c r="S535" s="734"/>
      <c r="T535" s="734"/>
      <c r="U535" s="734"/>
      <c r="V535" s="735"/>
      <c r="W535" s="733" t="s">
        <v>94</v>
      </c>
      <c r="X535" s="734"/>
      <c r="Y535" s="734"/>
      <c r="Z535" s="734"/>
      <c r="AA535" s="735"/>
      <c r="AB535" s="733" t="s">
        <v>447</v>
      </c>
      <c r="AC535" s="734"/>
      <c r="AD535" s="734"/>
      <c r="AE535" s="734"/>
      <c r="AF535" s="734"/>
      <c r="AG535" s="734"/>
      <c r="AH535" s="734"/>
      <c r="AI535" s="734"/>
      <c r="AJ535" s="734"/>
      <c r="AK535" s="734"/>
      <c r="AL535" s="734"/>
      <c r="AM535" s="735"/>
      <c r="AN535" s="736" t="s">
        <v>121</v>
      </c>
      <c r="AO535" s="737"/>
      <c r="AP535" s="737"/>
      <c r="AQ535" s="737"/>
      <c r="AR535" s="737"/>
      <c r="AS535" s="738"/>
      <c r="AT535" s="156"/>
    </row>
    <row r="536" spans="1:46" s="157" customFormat="1" ht="18" customHeight="1">
      <c r="A536" s="195"/>
      <c r="B536" s="723"/>
      <c r="C536" s="723"/>
      <c r="D536" s="723"/>
      <c r="E536" s="723"/>
      <c r="F536" s="723"/>
      <c r="G536" s="739">
        <f>I373</f>
        <v>0</v>
      </c>
      <c r="H536" s="739"/>
      <c r="I536" s="739"/>
      <c r="J536" s="739"/>
      <c r="K536" s="739"/>
      <c r="L536" s="739"/>
      <c r="M536" s="739">
        <f>P373</f>
        <v>0</v>
      </c>
      <c r="N536" s="739"/>
      <c r="O536" s="739"/>
      <c r="P536" s="739"/>
      <c r="Q536" s="739"/>
      <c r="R536" s="747">
        <f>W373</f>
        <v>0</v>
      </c>
      <c r="S536" s="748"/>
      <c r="T536" s="748"/>
      <c r="U536" s="748"/>
      <c r="V536" s="749"/>
      <c r="W536" s="747">
        <f>AD373</f>
        <v>0</v>
      </c>
      <c r="X536" s="748"/>
      <c r="Y536" s="748"/>
      <c r="Z536" s="748"/>
      <c r="AA536" s="749"/>
      <c r="AB536" s="747">
        <f>Calcu_ADJ!G44</f>
        <v>0</v>
      </c>
      <c r="AC536" s="748"/>
      <c r="AD536" s="748"/>
      <c r="AE536" s="748"/>
      <c r="AF536" s="748"/>
      <c r="AG536" s="748"/>
      <c r="AH536" s="747">
        <f>Calcu_ADJ!M44</f>
        <v>0</v>
      </c>
      <c r="AI536" s="748"/>
      <c r="AJ536" s="748"/>
      <c r="AK536" s="748"/>
      <c r="AL536" s="748"/>
      <c r="AM536" s="748"/>
      <c r="AN536" s="739">
        <f>Calcu_ADJ!I44</f>
        <v>0</v>
      </c>
      <c r="AO536" s="739"/>
      <c r="AP536" s="739"/>
      <c r="AQ536" s="739"/>
      <c r="AR536" s="739"/>
      <c r="AS536" s="739"/>
      <c r="AT536" s="156"/>
    </row>
    <row r="537" spans="1:46" s="157" customFormat="1" ht="18" customHeight="1">
      <c r="A537" s="195"/>
      <c r="B537" s="746" t="e">
        <f>AX368</f>
        <v>#N/A</v>
      </c>
      <c r="C537" s="746"/>
      <c r="D537" s="746"/>
      <c r="E537" s="746"/>
      <c r="F537" s="746"/>
      <c r="G537" s="743" t="e">
        <f ca="1">OFFSET(I373,B537,0)</f>
        <v>#N/A</v>
      </c>
      <c r="H537" s="744"/>
      <c r="I537" s="744"/>
      <c r="J537" s="744"/>
      <c r="K537" s="744"/>
      <c r="L537" s="745"/>
      <c r="M537" s="743" t="e">
        <f ca="1">OFFSET(Calcu_ADJ!V8,B537,0)</f>
        <v>#N/A</v>
      </c>
      <c r="N537" s="744"/>
      <c r="O537" s="744"/>
      <c r="P537" s="744"/>
      <c r="Q537" s="745"/>
      <c r="R537" s="743" t="e">
        <f ca="1">OFFSET(Calcu_ADJ!W8,B537,0)</f>
        <v>#N/A</v>
      </c>
      <c r="S537" s="744"/>
      <c r="T537" s="744"/>
      <c r="U537" s="744"/>
      <c r="V537" s="745"/>
      <c r="W537" s="743" t="e">
        <f ca="1">OFFSET(Calcu_ADJ!X8,B537,0)</f>
        <v>#N/A</v>
      </c>
      <c r="X537" s="744"/>
      <c r="Y537" s="744"/>
      <c r="Z537" s="744"/>
      <c r="AA537" s="745"/>
      <c r="AB537" s="667" t="e">
        <f ca="1">OFFSET(Calcu_ADJ!G44,B537,0)</f>
        <v>#N/A</v>
      </c>
      <c r="AC537" s="670"/>
      <c r="AD537" s="670"/>
      <c r="AE537" s="670"/>
      <c r="AF537" s="670"/>
      <c r="AG537" s="670"/>
      <c r="AH537" s="667" t="e">
        <f ca="1">OFFSET(Calcu_ADJ!H44,B537,0)</f>
        <v>#N/A</v>
      </c>
      <c r="AI537" s="670"/>
      <c r="AJ537" s="670"/>
      <c r="AK537" s="670"/>
      <c r="AL537" s="670"/>
      <c r="AM537" s="670"/>
      <c r="AN537" s="741" t="e">
        <f ca="1">OFFSET(Calcu_ADJ!I44,B537,0)</f>
        <v>#N/A</v>
      </c>
      <c r="AO537" s="741"/>
      <c r="AP537" s="741"/>
      <c r="AQ537" s="741"/>
      <c r="AR537" s="741"/>
      <c r="AS537" s="741"/>
      <c r="AT537" s="156"/>
    </row>
    <row r="538" spans="1:46" s="157" customFormat="1" ht="18" customHeight="1">
      <c r="A538" s="195"/>
      <c r="B538" s="742" t="e">
        <f>B537</f>
        <v>#N/A</v>
      </c>
      <c r="C538" s="742"/>
      <c r="D538" s="742"/>
      <c r="E538" s="742"/>
      <c r="F538" s="742"/>
      <c r="G538" s="741" t="e">
        <f ca="1">G537</f>
        <v>#N/A</v>
      </c>
      <c r="H538" s="741"/>
      <c r="I538" s="741"/>
      <c r="J538" s="741"/>
      <c r="K538" s="741"/>
      <c r="L538" s="741"/>
      <c r="M538" s="743" t="e">
        <f ca="1">OFFSET(Calcu_ADJ!V23,B538,0)</f>
        <v>#N/A</v>
      </c>
      <c r="N538" s="744"/>
      <c r="O538" s="744"/>
      <c r="P538" s="744"/>
      <c r="Q538" s="745"/>
      <c r="R538" s="743" t="e">
        <f ca="1">OFFSET(Calcu_ADJ!W23,B538,0)</f>
        <v>#N/A</v>
      </c>
      <c r="S538" s="744"/>
      <c r="T538" s="744"/>
      <c r="U538" s="744"/>
      <c r="V538" s="745"/>
      <c r="W538" s="743" t="e">
        <f ca="1">OFFSET(Calcu_ADJ!X23,B538,0)</f>
        <v>#N/A</v>
      </c>
      <c r="X538" s="744"/>
      <c r="Y538" s="744"/>
      <c r="Z538" s="744"/>
      <c r="AA538" s="745"/>
      <c r="AB538" s="673"/>
      <c r="AC538" s="676"/>
      <c r="AD538" s="676"/>
      <c r="AE538" s="676"/>
      <c r="AF538" s="676"/>
      <c r="AG538" s="676"/>
      <c r="AH538" s="673"/>
      <c r="AI538" s="676"/>
      <c r="AJ538" s="676"/>
      <c r="AK538" s="676"/>
      <c r="AL538" s="676"/>
      <c r="AM538" s="676"/>
      <c r="AN538" s="741"/>
      <c r="AO538" s="741"/>
      <c r="AP538" s="741"/>
      <c r="AQ538" s="741"/>
      <c r="AR538" s="741"/>
      <c r="AS538" s="741"/>
      <c r="AT538" s="156"/>
    </row>
    <row r="539" spans="1:46" s="157" customFormat="1" ht="18" customHeight="1">
      <c r="A539" s="195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  <c r="AA539" s="156"/>
      <c r="AB539" s="156"/>
      <c r="AC539" s="156"/>
      <c r="AD539" s="156"/>
      <c r="AE539" s="156"/>
      <c r="AF539" s="156"/>
      <c r="AG539" s="156"/>
      <c r="AH539" s="156"/>
      <c r="AI539" s="156"/>
      <c r="AJ539" s="156"/>
      <c r="AK539" s="156"/>
      <c r="AL539" s="156"/>
      <c r="AM539" s="156"/>
      <c r="AN539" s="156"/>
      <c r="AO539" s="156"/>
      <c r="AP539" s="156"/>
      <c r="AQ539" s="156"/>
      <c r="AR539" s="156"/>
      <c r="AS539" s="156"/>
      <c r="AT539" s="156"/>
    </row>
    <row r="540" spans="1:46" s="157" customFormat="1" ht="18" customHeight="1">
      <c r="A540" s="164" t="e">
        <f ca="1">"■ "&amp;B368&amp;" "&amp;H368&amp;" 에서의 영점보정 후 교정데이터"</f>
        <v>#N/A</v>
      </c>
      <c r="B540" s="156"/>
      <c r="C540" s="279"/>
      <c r="D540" s="279"/>
      <c r="E540" s="279"/>
      <c r="F540" s="279"/>
      <c r="G540" s="280"/>
      <c r="H540" s="280"/>
      <c r="I540" s="280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  <c r="AA540" s="156"/>
      <c r="AB540" s="156"/>
      <c r="AC540" s="156"/>
      <c r="AD540" s="156"/>
      <c r="AE540" s="156"/>
      <c r="AF540" s="156"/>
      <c r="AG540" s="156"/>
      <c r="AH540" s="156"/>
      <c r="AI540" s="156"/>
      <c r="AJ540" s="156"/>
      <c r="AK540" s="156"/>
      <c r="AL540" s="156"/>
      <c r="AM540" s="156"/>
      <c r="AN540" s="156"/>
      <c r="AO540" s="156"/>
      <c r="AP540" s="156"/>
      <c r="AQ540" s="156"/>
      <c r="AR540" s="156"/>
      <c r="AS540" s="156"/>
      <c r="AT540" s="156"/>
    </row>
    <row r="541" spans="1:46" s="157" customFormat="1" ht="18" customHeight="1">
      <c r="A541" s="195"/>
      <c r="B541" s="724" t="s">
        <v>57</v>
      </c>
      <c r="C541" s="725"/>
      <c r="D541" s="725"/>
      <c r="E541" s="725"/>
      <c r="F541" s="725"/>
      <c r="G541" s="726"/>
      <c r="H541" s="724" t="s">
        <v>444</v>
      </c>
      <c r="I541" s="725"/>
      <c r="J541" s="725"/>
      <c r="K541" s="725"/>
      <c r="L541" s="725"/>
      <c r="M541" s="726"/>
      <c r="N541" s="723" t="e">
        <f>Calcu_ADJ!#REF!&amp;"의 출력값 (영점보정)"</f>
        <v>#REF!</v>
      </c>
      <c r="O541" s="723"/>
      <c r="P541" s="723"/>
      <c r="Q541" s="723"/>
      <c r="R541" s="723"/>
      <c r="S541" s="723"/>
      <c r="T541" s="723"/>
      <c r="U541" s="723"/>
      <c r="V541" s="723"/>
      <c r="W541" s="723"/>
      <c r="X541" s="723"/>
      <c r="Y541" s="723"/>
      <c r="Z541" s="723"/>
      <c r="AA541" s="723"/>
      <c r="AB541" s="723"/>
      <c r="AC541" s="723"/>
      <c r="AD541" s="723"/>
      <c r="AE541" s="723"/>
      <c r="AF541" s="723"/>
      <c r="AG541" s="723"/>
      <c r="AH541" s="723"/>
      <c r="AI541" s="723"/>
      <c r="AJ541" s="723"/>
      <c r="AK541" s="723"/>
      <c r="AL541" s="723"/>
      <c r="AM541" s="723"/>
      <c r="AN541" s="723"/>
      <c r="AO541" s="723"/>
      <c r="AP541" s="723"/>
      <c r="AQ541" s="723"/>
      <c r="AR541" s="723"/>
      <c r="AS541" s="723"/>
      <c r="AT541" s="156"/>
    </row>
    <row r="542" spans="1:46" s="157" customFormat="1" ht="18" customHeight="1">
      <c r="A542" s="195"/>
      <c r="B542" s="756"/>
      <c r="C542" s="757"/>
      <c r="D542" s="757"/>
      <c r="E542" s="757"/>
      <c r="F542" s="757"/>
      <c r="G542" s="758"/>
      <c r="H542" s="727"/>
      <c r="I542" s="728"/>
      <c r="J542" s="728"/>
      <c r="K542" s="728"/>
      <c r="L542" s="728"/>
      <c r="M542" s="729"/>
      <c r="N542" s="723" t="s">
        <v>406</v>
      </c>
      <c r="O542" s="723"/>
      <c r="P542" s="723"/>
      <c r="Q542" s="723"/>
      <c r="R542" s="723"/>
      <c r="S542" s="723"/>
      <c r="T542" s="723" t="s">
        <v>66</v>
      </c>
      <c r="U542" s="723"/>
      <c r="V542" s="723"/>
      <c r="W542" s="723"/>
      <c r="X542" s="723"/>
      <c r="Y542" s="723"/>
      <c r="Z542" s="723" t="s">
        <v>94</v>
      </c>
      <c r="AA542" s="723"/>
      <c r="AB542" s="723"/>
      <c r="AC542" s="723"/>
      <c r="AD542" s="723"/>
      <c r="AE542" s="723"/>
      <c r="AF542" s="733" t="s">
        <v>449</v>
      </c>
      <c r="AG542" s="734"/>
      <c r="AH542" s="734"/>
      <c r="AI542" s="734"/>
      <c r="AJ542" s="734"/>
      <c r="AK542" s="734"/>
      <c r="AL542" s="734"/>
      <c r="AM542" s="734"/>
      <c r="AN542" s="734"/>
      <c r="AO542" s="734"/>
      <c r="AP542" s="734"/>
      <c r="AQ542" s="734"/>
      <c r="AR542" s="734"/>
      <c r="AS542" s="735"/>
      <c r="AT542" s="156"/>
    </row>
    <row r="543" spans="1:46" s="157" customFormat="1" ht="18" customHeight="1">
      <c r="A543" s="195"/>
      <c r="B543" s="727"/>
      <c r="C543" s="728"/>
      <c r="D543" s="728"/>
      <c r="E543" s="728"/>
      <c r="F543" s="728"/>
      <c r="G543" s="729"/>
      <c r="H543" s="750">
        <f>G536</f>
        <v>0</v>
      </c>
      <c r="I543" s="751"/>
      <c r="J543" s="751"/>
      <c r="K543" s="751"/>
      <c r="L543" s="751"/>
      <c r="M543" s="752"/>
      <c r="N543" s="750">
        <f>M536</f>
        <v>0</v>
      </c>
      <c r="O543" s="751"/>
      <c r="P543" s="751"/>
      <c r="Q543" s="751"/>
      <c r="R543" s="751"/>
      <c r="S543" s="752"/>
      <c r="T543" s="750">
        <f>R536</f>
        <v>0</v>
      </c>
      <c r="U543" s="751"/>
      <c r="V543" s="751"/>
      <c r="W543" s="751"/>
      <c r="X543" s="751"/>
      <c r="Y543" s="752"/>
      <c r="Z543" s="750">
        <f>W536</f>
        <v>0</v>
      </c>
      <c r="AA543" s="751"/>
      <c r="AB543" s="751"/>
      <c r="AC543" s="751"/>
      <c r="AD543" s="751"/>
      <c r="AE543" s="752"/>
      <c r="AF543" s="750">
        <f>AB536</f>
        <v>0</v>
      </c>
      <c r="AG543" s="751"/>
      <c r="AH543" s="751"/>
      <c r="AI543" s="751"/>
      <c r="AJ543" s="751"/>
      <c r="AK543" s="751"/>
      <c r="AL543" s="752"/>
      <c r="AM543" s="750">
        <f>H543</f>
        <v>0</v>
      </c>
      <c r="AN543" s="748"/>
      <c r="AO543" s="748"/>
      <c r="AP543" s="748"/>
      <c r="AQ543" s="748"/>
      <c r="AR543" s="748"/>
      <c r="AS543" s="749"/>
      <c r="AT543" s="156"/>
    </row>
    <row r="544" spans="1:46" s="157" customFormat="1" ht="18" customHeight="1">
      <c r="A544" s="195"/>
      <c r="B544" s="753" t="e">
        <f>B537</f>
        <v>#N/A</v>
      </c>
      <c r="C544" s="754"/>
      <c r="D544" s="754"/>
      <c r="E544" s="754"/>
      <c r="F544" s="754"/>
      <c r="G544" s="755"/>
      <c r="H544" s="743" t="e">
        <f ca="1">G537</f>
        <v>#N/A</v>
      </c>
      <c r="I544" s="744"/>
      <c r="J544" s="744"/>
      <c r="K544" s="744"/>
      <c r="L544" s="744"/>
      <c r="M544" s="745"/>
      <c r="N544" s="743" t="e">
        <f ca="1">OFFSET(Calcu_ADJ!AA8,B544,0)</f>
        <v>#N/A</v>
      </c>
      <c r="O544" s="744"/>
      <c r="P544" s="744"/>
      <c r="Q544" s="744"/>
      <c r="R544" s="744"/>
      <c r="S544" s="745"/>
      <c r="T544" s="743" t="e">
        <f ca="1">OFFSET(Calcu_ADJ!AB8,B544,0)</f>
        <v>#N/A</v>
      </c>
      <c r="U544" s="744"/>
      <c r="V544" s="744"/>
      <c r="W544" s="744"/>
      <c r="X544" s="744"/>
      <c r="Y544" s="745"/>
      <c r="Z544" s="743" t="e">
        <f ca="1">OFFSET(Calcu_ADJ!AC8,B544,0)</f>
        <v>#N/A</v>
      </c>
      <c r="AA544" s="744"/>
      <c r="AB544" s="744"/>
      <c r="AC544" s="744"/>
      <c r="AD544" s="744"/>
      <c r="AE544" s="745"/>
      <c r="AF544" s="743" t="e">
        <f ca="1">OFFSET(Calcu_ADJ!AD8,B544,0)</f>
        <v>#N/A</v>
      </c>
      <c r="AG544" s="744"/>
      <c r="AH544" s="744"/>
      <c r="AI544" s="744"/>
      <c r="AJ544" s="744"/>
      <c r="AK544" s="744"/>
      <c r="AL544" s="745"/>
      <c r="AM544" s="743" t="e">
        <f ca="1">AF544*AJ$419</f>
        <v>#N/A</v>
      </c>
      <c r="AN544" s="744"/>
      <c r="AO544" s="744"/>
      <c r="AP544" s="744"/>
      <c r="AQ544" s="744"/>
      <c r="AR544" s="744"/>
      <c r="AS544" s="745"/>
      <c r="AT544" s="156"/>
    </row>
    <row r="545" spans="1:92" s="157" customFormat="1" ht="18" customHeight="1">
      <c r="A545" s="195"/>
      <c r="B545" s="778" t="e">
        <f>B538</f>
        <v>#N/A</v>
      </c>
      <c r="C545" s="779"/>
      <c r="D545" s="779"/>
      <c r="E545" s="779"/>
      <c r="F545" s="779"/>
      <c r="G545" s="780"/>
      <c r="H545" s="743" t="e">
        <f ca="1">G538</f>
        <v>#N/A</v>
      </c>
      <c r="I545" s="744"/>
      <c r="J545" s="744"/>
      <c r="K545" s="744"/>
      <c r="L545" s="744"/>
      <c r="M545" s="745"/>
      <c r="N545" s="743" t="e">
        <f ca="1">OFFSET(Calcu_ADJ!AA23,B545,0)</f>
        <v>#N/A</v>
      </c>
      <c r="O545" s="744"/>
      <c r="P545" s="744"/>
      <c r="Q545" s="744"/>
      <c r="R545" s="744"/>
      <c r="S545" s="745"/>
      <c r="T545" s="743" t="e">
        <f ca="1">OFFSET(Calcu_ADJ!AB23,B545,0)</f>
        <v>#N/A</v>
      </c>
      <c r="U545" s="744"/>
      <c r="V545" s="744"/>
      <c r="W545" s="744"/>
      <c r="X545" s="744"/>
      <c r="Y545" s="745"/>
      <c r="Z545" s="743" t="e">
        <f ca="1">OFFSET(Calcu_ADJ!AC23,B545,0)</f>
        <v>#N/A</v>
      </c>
      <c r="AA545" s="744"/>
      <c r="AB545" s="744"/>
      <c r="AC545" s="744"/>
      <c r="AD545" s="744"/>
      <c r="AE545" s="745"/>
      <c r="AF545" s="743" t="e">
        <f ca="1">OFFSET(Calcu_ADJ!AD23,B545,0)</f>
        <v>#N/A</v>
      </c>
      <c r="AG545" s="744"/>
      <c r="AH545" s="744"/>
      <c r="AI545" s="744"/>
      <c r="AJ545" s="744"/>
      <c r="AK545" s="744"/>
      <c r="AL545" s="745"/>
      <c r="AM545" s="743" t="e">
        <f ca="1">AF545*AJ$419</f>
        <v>#N/A</v>
      </c>
      <c r="AN545" s="744"/>
      <c r="AO545" s="744"/>
      <c r="AP545" s="744"/>
      <c r="AQ545" s="744"/>
      <c r="AR545" s="744"/>
      <c r="AS545" s="745"/>
      <c r="AT545" s="156"/>
    </row>
    <row r="546" spans="1:92" s="157" customFormat="1" ht="18" customHeight="1">
      <c r="A546" s="195"/>
      <c r="B546" s="461"/>
      <c r="C546" s="460"/>
      <c r="D546" s="460"/>
      <c r="E546" s="460"/>
      <c r="F546" s="460"/>
      <c r="G546" s="460"/>
      <c r="H546" s="460"/>
      <c r="I546" s="461"/>
      <c r="J546" s="461"/>
      <c r="K546" s="461"/>
      <c r="L546" s="461"/>
      <c r="M546" s="461"/>
      <c r="N546" s="461"/>
      <c r="O546" s="461"/>
      <c r="P546" s="461"/>
      <c r="Q546" s="461"/>
      <c r="R546" s="461"/>
      <c r="S546" s="461"/>
      <c r="T546" s="461"/>
      <c r="U546" s="461"/>
      <c r="V546" s="461"/>
      <c r="W546" s="461"/>
      <c r="X546" s="461"/>
      <c r="Y546" s="461"/>
      <c r="Z546" s="461"/>
      <c r="AA546" s="461"/>
      <c r="AB546" s="461"/>
      <c r="AC546" s="461"/>
      <c r="AD546" s="461"/>
      <c r="AE546" s="461"/>
      <c r="AF546" s="461"/>
      <c r="AG546" s="461"/>
      <c r="AH546" s="461"/>
      <c r="AI546" s="461"/>
      <c r="AJ546" s="461"/>
      <c r="AK546" s="461"/>
      <c r="AL546" s="461"/>
      <c r="AM546" s="461"/>
      <c r="AN546" s="461"/>
      <c r="AO546" s="461"/>
      <c r="AP546" s="461"/>
      <c r="AQ546" s="461"/>
      <c r="AR546" s="461"/>
      <c r="AS546" s="461"/>
      <c r="AT546" s="156"/>
    </row>
    <row r="547" spans="1:92" ht="18" customHeight="1">
      <c r="A547" s="194" t="s">
        <v>450</v>
      </c>
      <c r="B547" s="469"/>
      <c r="C547" s="469"/>
      <c r="D547" s="469"/>
      <c r="E547" s="469"/>
      <c r="F547" s="469"/>
      <c r="G547" s="469"/>
      <c r="H547" s="469"/>
      <c r="I547" s="469"/>
      <c r="J547" s="469"/>
      <c r="K547" s="469"/>
      <c r="L547" s="469"/>
      <c r="M547" s="469"/>
      <c r="N547" s="469"/>
      <c r="O547" s="469"/>
      <c r="P547" s="469"/>
      <c r="Q547" s="469"/>
      <c r="R547" s="469"/>
      <c r="S547" s="469"/>
      <c r="T547" s="469"/>
      <c r="U547" s="469"/>
      <c r="V547" s="469"/>
      <c r="W547" s="469"/>
      <c r="X547" s="469"/>
      <c r="Y547" s="469"/>
      <c r="Z547" s="469"/>
      <c r="AA547" s="469"/>
      <c r="AB547" s="469"/>
      <c r="AC547" s="469"/>
      <c r="AD547" s="469"/>
      <c r="AE547" s="469"/>
      <c r="AF547" s="469"/>
      <c r="AG547" s="469"/>
      <c r="AH547" s="469"/>
      <c r="AI547" s="469"/>
      <c r="AJ547" s="469"/>
      <c r="AK547" s="469"/>
      <c r="AL547" s="469"/>
      <c r="AM547" s="469"/>
      <c r="AN547" s="469"/>
      <c r="AO547" s="469"/>
      <c r="AP547" s="469"/>
      <c r="AQ547" s="469"/>
      <c r="AR547" s="469"/>
      <c r="AS547" s="469"/>
      <c r="AT547" s="469"/>
    </row>
    <row r="548" spans="1:92" ht="18" customHeight="1">
      <c r="A548" s="469"/>
      <c r="B548" s="765"/>
      <c r="C548" s="766"/>
      <c r="D548" s="769"/>
      <c r="E548" s="770"/>
      <c r="F548" s="770"/>
      <c r="G548" s="770"/>
      <c r="H548" s="771"/>
      <c r="I548" s="769">
        <v>1</v>
      </c>
      <c r="J548" s="770"/>
      <c r="K548" s="770"/>
      <c r="L548" s="770"/>
      <c r="M548" s="770"/>
      <c r="N548" s="770"/>
      <c r="O548" s="771"/>
      <c r="P548" s="769">
        <v>2</v>
      </c>
      <c r="Q548" s="770"/>
      <c r="R548" s="770"/>
      <c r="S548" s="770"/>
      <c r="T548" s="770"/>
      <c r="U548" s="770"/>
      <c r="V548" s="770"/>
      <c r="W548" s="771"/>
      <c r="X548" s="769">
        <v>3</v>
      </c>
      <c r="Y548" s="772"/>
      <c r="Z548" s="772"/>
      <c r="AA548" s="772"/>
      <c r="AB548" s="773"/>
      <c r="AC548" s="769">
        <v>4</v>
      </c>
      <c r="AD548" s="770"/>
      <c r="AE548" s="770"/>
      <c r="AF548" s="770"/>
      <c r="AG548" s="771"/>
      <c r="AH548" s="769">
        <v>5</v>
      </c>
      <c r="AI548" s="770"/>
      <c r="AJ548" s="770"/>
      <c r="AK548" s="770"/>
      <c r="AL548" s="770"/>
      <c r="AM548" s="770"/>
      <c r="AN548" s="770"/>
      <c r="AO548" s="771"/>
      <c r="AP548" s="769">
        <v>6</v>
      </c>
      <c r="AQ548" s="774"/>
      <c r="AR548" s="774"/>
      <c r="AS548" s="773"/>
      <c r="AT548" s="469"/>
    </row>
    <row r="549" spans="1:92" ht="18" customHeight="1">
      <c r="A549" s="469"/>
      <c r="B549" s="767"/>
      <c r="C549" s="768"/>
      <c r="D549" s="759" t="s">
        <v>451</v>
      </c>
      <c r="E549" s="760"/>
      <c r="F549" s="760"/>
      <c r="G549" s="760"/>
      <c r="H549" s="761"/>
      <c r="I549" s="759" t="s">
        <v>452</v>
      </c>
      <c r="J549" s="760"/>
      <c r="K549" s="760"/>
      <c r="L549" s="760"/>
      <c r="M549" s="760"/>
      <c r="N549" s="760"/>
      <c r="O549" s="761"/>
      <c r="P549" s="759" t="s">
        <v>138</v>
      </c>
      <c r="Q549" s="760"/>
      <c r="R549" s="760"/>
      <c r="S549" s="760"/>
      <c r="T549" s="760"/>
      <c r="U549" s="760"/>
      <c r="V549" s="760"/>
      <c r="W549" s="761"/>
      <c r="X549" s="759" t="s">
        <v>453</v>
      </c>
      <c r="Y549" s="762"/>
      <c r="Z549" s="762"/>
      <c r="AA549" s="762"/>
      <c r="AB549" s="763"/>
      <c r="AC549" s="759" t="s">
        <v>454</v>
      </c>
      <c r="AD549" s="760"/>
      <c r="AE549" s="760"/>
      <c r="AF549" s="760"/>
      <c r="AG549" s="761"/>
      <c r="AH549" s="759" t="s">
        <v>455</v>
      </c>
      <c r="AI549" s="760"/>
      <c r="AJ549" s="760"/>
      <c r="AK549" s="760"/>
      <c r="AL549" s="760"/>
      <c r="AM549" s="760"/>
      <c r="AN549" s="760"/>
      <c r="AO549" s="761"/>
      <c r="AP549" s="759" t="s">
        <v>139</v>
      </c>
      <c r="AQ549" s="764"/>
      <c r="AR549" s="764"/>
      <c r="AS549" s="763"/>
      <c r="AT549" s="469"/>
    </row>
    <row r="550" spans="1:92" ht="18" customHeight="1">
      <c r="A550" s="469"/>
      <c r="B550" s="767"/>
      <c r="C550" s="768"/>
      <c r="D550" s="775"/>
      <c r="E550" s="776"/>
      <c r="F550" s="776"/>
      <c r="G550" s="776"/>
      <c r="H550" s="777"/>
      <c r="I550" s="797" t="s">
        <v>456</v>
      </c>
      <c r="J550" s="798"/>
      <c r="K550" s="798"/>
      <c r="L550" s="798"/>
      <c r="M550" s="798"/>
      <c r="N550" s="798"/>
      <c r="O550" s="799"/>
      <c r="P550" s="800" t="s">
        <v>457</v>
      </c>
      <c r="Q550" s="801"/>
      <c r="R550" s="801"/>
      <c r="S550" s="801"/>
      <c r="T550" s="801"/>
      <c r="U550" s="801"/>
      <c r="V550" s="801"/>
      <c r="W550" s="802"/>
      <c r="X550" s="803"/>
      <c r="Y550" s="804"/>
      <c r="Z550" s="804"/>
      <c r="AA550" s="804"/>
      <c r="AB550" s="805"/>
      <c r="AC550" s="800" t="s">
        <v>458</v>
      </c>
      <c r="AD550" s="801"/>
      <c r="AE550" s="801"/>
      <c r="AF550" s="801"/>
      <c r="AG550" s="802"/>
      <c r="AH550" s="797" t="s">
        <v>459</v>
      </c>
      <c r="AI550" s="798"/>
      <c r="AJ550" s="798"/>
      <c r="AK550" s="798"/>
      <c r="AL550" s="798"/>
      <c r="AM550" s="798"/>
      <c r="AN550" s="798"/>
      <c r="AO550" s="799"/>
      <c r="AP550" s="803"/>
      <c r="AQ550" s="806"/>
      <c r="AR550" s="806"/>
      <c r="AS550" s="805"/>
      <c r="AT550" s="469"/>
    </row>
    <row r="551" spans="1:92" ht="18" customHeight="1">
      <c r="A551" s="469"/>
      <c r="B551" s="793" t="s">
        <v>140</v>
      </c>
      <c r="C551" s="794"/>
      <c r="D551" s="788" t="s">
        <v>460</v>
      </c>
      <c r="E551" s="789"/>
      <c r="F551" s="789"/>
      <c r="G551" s="789"/>
      <c r="H551" s="790"/>
      <c r="I551" s="784" t="e">
        <f ca="1">G537</f>
        <v>#N/A</v>
      </c>
      <c r="J551" s="785"/>
      <c r="K551" s="785"/>
      <c r="L551" s="785"/>
      <c r="M551" s="786">
        <f>G536</f>
        <v>0</v>
      </c>
      <c r="N551" s="629"/>
      <c r="O551" s="630"/>
      <c r="P551" s="795" t="e">
        <f ca="1">IF(OR(AL368="% of Reading",AL368="% of F.S"),I551*AF368%,AF368)/AR368</f>
        <v>#N/A</v>
      </c>
      <c r="Q551" s="796"/>
      <c r="R551" s="796"/>
      <c r="S551" s="796"/>
      <c r="T551" s="796"/>
      <c r="U551" s="786">
        <f>M551</f>
        <v>0</v>
      </c>
      <c r="V551" s="786"/>
      <c r="W551" s="787"/>
      <c r="X551" s="769" t="s">
        <v>461</v>
      </c>
      <c r="Y551" s="774"/>
      <c r="Z551" s="774"/>
      <c r="AA551" s="774"/>
      <c r="AB551" s="773"/>
      <c r="AC551" s="781">
        <v>1</v>
      </c>
      <c r="AD551" s="782"/>
      <c r="AE551" s="782"/>
      <c r="AF551" s="782"/>
      <c r="AG551" s="783"/>
      <c r="AH551" s="784" t="e">
        <f ca="1">P551*AC551</f>
        <v>#N/A</v>
      </c>
      <c r="AI551" s="785"/>
      <c r="AJ551" s="785"/>
      <c r="AK551" s="785"/>
      <c r="AL551" s="785"/>
      <c r="AM551" s="786">
        <f>U551</f>
        <v>0</v>
      </c>
      <c r="AN551" s="786"/>
      <c r="AO551" s="787"/>
      <c r="AP551" s="769" t="s">
        <v>462</v>
      </c>
      <c r="AQ551" s="774"/>
      <c r="AR551" s="774"/>
      <c r="AS551" s="773"/>
      <c r="AT551" s="469"/>
    </row>
    <row r="552" spans="1:92" ht="18" customHeight="1">
      <c r="A552" s="469"/>
      <c r="B552" s="765" t="s">
        <v>463</v>
      </c>
      <c r="C552" s="766"/>
      <c r="D552" s="788" t="s">
        <v>464</v>
      </c>
      <c r="E552" s="789"/>
      <c r="F552" s="789"/>
      <c r="G552" s="789"/>
      <c r="H552" s="790"/>
      <c r="I552" s="791" t="e">
        <f ca="1">AH537</f>
        <v>#N/A</v>
      </c>
      <c r="J552" s="792"/>
      <c r="K552" s="792"/>
      <c r="L552" s="792"/>
      <c r="M552" s="786">
        <f>AH536</f>
        <v>0</v>
      </c>
      <c r="N552" s="629"/>
      <c r="O552" s="630"/>
      <c r="P552" s="791" t="e">
        <f ca="1">SQRT(SUMSQ(P553,P554,P555,P556))</f>
        <v>#N/A</v>
      </c>
      <c r="Q552" s="792"/>
      <c r="R552" s="792"/>
      <c r="S552" s="792"/>
      <c r="T552" s="792"/>
      <c r="U552" s="786">
        <f>M552</f>
        <v>0</v>
      </c>
      <c r="V552" s="786"/>
      <c r="W552" s="787"/>
      <c r="X552" s="759" t="s">
        <v>465</v>
      </c>
      <c r="Y552" s="760"/>
      <c r="Z552" s="760"/>
      <c r="AA552" s="760"/>
      <c r="AB552" s="761"/>
      <c r="AC552" s="816">
        <v>-1</v>
      </c>
      <c r="AD552" s="817"/>
      <c r="AE552" s="817"/>
      <c r="AF552" s="817"/>
      <c r="AG552" s="818"/>
      <c r="AH552" s="791" t="e">
        <f ca="1">ABS(P552*AC552)</f>
        <v>#N/A</v>
      </c>
      <c r="AI552" s="792"/>
      <c r="AJ552" s="792"/>
      <c r="AK552" s="792"/>
      <c r="AL552" s="792"/>
      <c r="AM552" s="786">
        <f>U552</f>
        <v>0</v>
      </c>
      <c r="AN552" s="786"/>
      <c r="AO552" s="787"/>
      <c r="AP552" s="759" t="e">
        <f ca="1">IF(AH553/AH552*100&gt;70,AP553,ROUNDDOWN(AH552^4/SUM(AH554^4/AP554,AH555^4/AP555,AH556^4/AP556),0))</f>
        <v>#N/A</v>
      </c>
      <c r="AQ552" s="760"/>
      <c r="AR552" s="760"/>
      <c r="AS552" s="761"/>
      <c r="AT552" s="469"/>
    </row>
    <row r="553" spans="1:92" ht="18" customHeight="1">
      <c r="A553" s="469"/>
      <c r="B553" s="793" t="s">
        <v>142</v>
      </c>
      <c r="C553" s="794"/>
      <c r="D553" s="813" t="s">
        <v>466</v>
      </c>
      <c r="E553" s="814"/>
      <c r="F553" s="814"/>
      <c r="G553" s="814"/>
      <c r="H553" s="815"/>
      <c r="I553" s="650">
        <v>0</v>
      </c>
      <c r="J553" s="651"/>
      <c r="K553" s="651"/>
      <c r="L553" s="651"/>
      <c r="M553" s="651"/>
      <c r="N553" s="651"/>
      <c r="O553" s="652"/>
      <c r="P553" s="784" t="e">
        <f ca="1">N368/2*AJ419</f>
        <v>#N/A</v>
      </c>
      <c r="Q553" s="785"/>
      <c r="R553" s="785"/>
      <c r="S553" s="785"/>
      <c r="T553" s="785"/>
      <c r="U553" s="785"/>
      <c r="V553" s="786">
        <f>U552</f>
        <v>0</v>
      </c>
      <c r="W553" s="787"/>
      <c r="X553" s="810" t="s">
        <v>465</v>
      </c>
      <c r="Y553" s="811"/>
      <c r="Z553" s="811"/>
      <c r="AA553" s="811"/>
      <c r="AB553" s="812"/>
      <c r="AC553" s="807">
        <v>1</v>
      </c>
      <c r="AD553" s="808"/>
      <c r="AE553" s="808"/>
      <c r="AF553" s="808"/>
      <c r="AG553" s="809"/>
      <c r="AH553" s="784" t="e">
        <f ca="1">P553*AC553</f>
        <v>#N/A</v>
      </c>
      <c r="AI553" s="785"/>
      <c r="AJ553" s="785"/>
      <c r="AK553" s="785"/>
      <c r="AL553" s="785"/>
      <c r="AM553" s="785"/>
      <c r="AN553" s="786">
        <f>V553</f>
        <v>0</v>
      </c>
      <c r="AO553" s="787"/>
      <c r="AP553" s="810" t="s">
        <v>141</v>
      </c>
      <c r="AQ553" s="811"/>
      <c r="AR553" s="811"/>
      <c r="AS553" s="812"/>
      <c r="AT553" s="469"/>
    </row>
    <row r="554" spans="1:92" ht="18" customHeight="1">
      <c r="A554" s="469"/>
      <c r="B554" s="793" t="s">
        <v>143</v>
      </c>
      <c r="C554" s="794"/>
      <c r="D554" s="813" t="s">
        <v>467</v>
      </c>
      <c r="E554" s="814"/>
      <c r="F554" s="814"/>
      <c r="G554" s="814"/>
      <c r="H554" s="815"/>
      <c r="I554" s="650">
        <v>0</v>
      </c>
      <c r="J554" s="651"/>
      <c r="K554" s="651"/>
      <c r="L554" s="651"/>
      <c r="M554" s="651"/>
      <c r="N554" s="651"/>
      <c r="O554" s="652"/>
      <c r="P554" s="784" t="e">
        <f ca="1">T368/2/SQRT(3)</f>
        <v>#VALUE!</v>
      </c>
      <c r="Q554" s="785"/>
      <c r="R554" s="785"/>
      <c r="S554" s="785"/>
      <c r="T554" s="785"/>
      <c r="U554" s="785"/>
      <c r="V554" s="786">
        <f>V553</f>
        <v>0</v>
      </c>
      <c r="W554" s="787"/>
      <c r="X554" s="810" t="s">
        <v>468</v>
      </c>
      <c r="Y554" s="811"/>
      <c r="Z554" s="811"/>
      <c r="AA554" s="811"/>
      <c r="AB554" s="812"/>
      <c r="AC554" s="807">
        <v>1</v>
      </c>
      <c r="AD554" s="808"/>
      <c r="AE554" s="808"/>
      <c r="AF554" s="808"/>
      <c r="AG554" s="809"/>
      <c r="AH554" s="784" t="e">
        <f ca="1">P554*AC554</f>
        <v>#VALUE!</v>
      </c>
      <c r="AI554" s="785"/>
      <c r="AJ554" s="785"/>
      <c r="AK554" s="785"/>
      <c r="AL554" s="785"/>
      <c r="AM554" s="785"/>
      <c r="AN554" s="786">
        <f>V554</f>
        <v>0</v>
      </c>
      <c r="AO554" s="787"/>
      <c r="AP554" s="810">
        <f>1/2*(100/20)^2</f>
        <v>12.5</v>
      </c>
      <c r="AQ554" s="811"/>
      <c r="AR554" s="811"/>
      <c r="AS554" s="812"/>
      <c r="AT554" s="469"/>
    </row>
    <row r="555" spans="1:92" ht="18" customHeight="1">
      <c r="A555" s="469"/>
      <c r="B555" s="793" t="s">
        <v>469</v>
      </c>
      <c r="C555" s="794"/>
      <c r="D555" s="813" t="s">
        <v>470</v>
      </c>
      <c r="E555" s="814"/>
      <c r="F555" s="814"/>
      <c r="G555" s="814"/>
      <c r="H555" s="815"/>
      <c r="I555" s="650">
        <v>0</v>
      </c>
      <c r="J555" s="651"/>
      <c r="K555" s="651"/>
      <c r="L555" s="651"/>
      <c r="M555" s="651"/>
      <c r="N555" s="651"/>
      <c r="O555" s="652"/>
      <c r="P555" s="784" t="e">
        <f ca="1">MAX(AM544:AS545)/2/SQRT(3)</f>
        <v>#N/A</v>
      </c>
      <c r="Q555" s="785"/>
      <c r="R555" s="785"/>
      <c r="S555" s="785"/>
      <c r="T555" s="785"/>
      <c r="U555" s="785"/>
      <c r="V555" s="786">
        <f>V554</f>
        <v>0</v>
      </c>
      <c r="W555" s="787"/>
      <c r="X555" s="810" t="s">
        <v>465</v>
      </c>
      <c r="Y555" s="811"/>
      <c r="Z555" s="811"/>
      <c r="AA555" s="811"/>
      <c r="AB555" s="812"/>
      <c r="AC555" s="807">
        <v>1</v>
      </c>
      <c r="AD555" s="808"/>
      <c r="AE555" s="808"/>
      <c r="AF555" s="808"/>
      <c r="AG555" s="809"/>
      <c r="AH555" s="784" t="e">
        <f ca="1">P555*AC555</f>
        <v>#N/A</v>
      </c>
      <c r="AI555" s="785"/>
      <c r="AJ555" s="785"/>
      <c r="AK555" s="785"/>
      <c r="AL555" s="785"/>
      <c r="AM555" s="785"/>
      <c r="AN555" s="786">
        <f>V555</f>
        <v>0</v>
      </c>
      <c r="AO555" s="787"/>
      <c r="AP555" s="810">
        <f>1/2*(100/20)^2</f>
        <v>12.5</v>
      </c>
      <c r="AQ555" s="811"/>
      <c r="AR555" s="811"/>
      <c r="AS555" s="812"/>
      <c r="AT555" s="469"/>
    </row>
    <row r="556" spans="1:92" ht="18" customHeight="1">
      <c r="A556" s="469"/>
      <c r="B556" s="793" t="s">
        <v>472</v>
      </c>
      <c r="C556" s="794"/>
      <c r="D556" s="813" t="s">
        <v>473</v>
      </c>
      <c r="E556" s="814"/>
      <c r="F556" s="814"/>
      <c r="G556" s="814"/>
      <c r="H556" s="815"/>
      <c r="I556" s="650">
        <v>0</v>
      </c>
      <c r="J556" s="651"/>
      <c r="K556" s="651"/>
      <c r="L556" s="651"/>
      <c r="M556" s="651"/>
      <c r="N556" s="651"/>
      <c r="O556" s="652"/>
      <c r="P556" s="784" t="e">
        <f ca="1">ABS(Z368/2/SQRT(3))</f>
        <v>#N/A</v>
      </c>
      <c r="Q556" s="785"/>
      <c r="R556" s="785"/>
      <c r="S556" s="785"/>
      <c r="T556" s="785"/>
      <c r="U556" s="785"/>
      <c r="V556" s="786">
        <f>V555</f>
        <v>0</v>
      </c>
      <c r="W556" s="787"/>
      <c r="X556" s="810" t="s">
        <v>465</v>
      </c>
      <c r="Y556" s="811"/>
      <c r="Z556" s="811"/>
      <c r="AA556" s="811"/>
      <c r="AB556" s="812"/>
      <c r="AC556" s="807">
        <v>1</v>
      </c>
      <c r="AD556" s="808"/>
      <c r="AE556" s="808"/>
      <c r="AF556" s="808"/>
      <c r="AG556" s="809"/>
      <c r="AH556" s="784" t="e">
        <f ca="1">ABS(P556*AC556)</f>
        <v>#N/A</v>
      </c>
      <c r="AI556" s="785"/>
      <c r="AJ556" s="785"/>
      <c r="AK556" s="785"/>
      <c r="AL556" s="785"/>
      <c r="AM556" s="785"/>
      <c r="AN556" s="786">
        <f>V556</f>
        <v>0</v>
      </c>
      <c r="AO556" s="787"/>
      <c r="AP556" s="810">
        <f>1/2*(100/20)^2</f>
        <v>12.5</v>
      </c>
      <c r="AQ556" s="811"/>
      <c r="AR556" s="811"/>
      <c r="AS556" s="812"/>
      <c r="AT556" s="469"/>
    </row>
    <row r="557" spans="1:92" ht="18" customHeight="1">
      <c r="A557" s="469"/>
      <c r="B557" s="793" t="s">
        <v>474</v>
      </c>
      <c r="C557" s="794"/>
      <c r="D557" s="788" t="s">
        <v>475</v>
      </c>
      <c r="E557" s="789"/>
      <c r="F557" s="789"/>
      <c r="G557" s="789"/>
      <c r="H557" s="790"/>
      <c r="I557" s="795" t="e">
        <f ca="1">AN537</f>
        <v>#N/A</v>
      </c>
      <c r="J557" s="796"/>
      <c r="K557" s="796"/>
      <c r="L557" s="796"/>
      <c r="M557" s="786">
        <f>AN536</f>
        <v>0</v>
      </c>
      <c r="N557" s="629"/>
      <c r="O557" s="630"/>
      <c r="P557" s="819" t="s">
        <v>476</v>
      </c>
      <c r="Q557" s="820"/>
      <c r="R557" s="820"/>
      <c r="S557" s="820"/>
      <c r="T557" s="820"/>
      <c r="U557" s="820"/>
      <c r="V557" s="820"/>
      <c r="W557" s="821"/>
      <c r="X557" s="769" t="s">
        <v>476</v>
      </c>
      <c r="Y557" s="774"/>
      <c r="Z557" s="774"/>
      <c r="AA557" s="774"/>
      <c r="AB557" s="773"/>
      <c r="AC557" s="781" t="s">
        <v>476</v>
      </c>
      <c r="AD557" s="782"/>
      <c r="AE557" s="782"/>
      <c r="AF557" s="782"/>
      <c r="AG557" s="783"/>
      <c r="AH557" s="784" t="e">
        <f ca="1">SQRT(SUMSQ(AH551,AH552))</f>
        <v>#N/A</v>
      </c>
      <c r="AI557" s="785"/>
      <c r="AJ557" s="785"/>
      <c r="AK557" s="785"/>
      <c r="AL557" s="785"/>
      <c r="AM557" s="786">
        <f>M557</f>
        <v>0</v>
      </c>
      <c r="AN557" s="786"/>
      <c r="AO557" s="787"/>
      <c r="AP557" s="769" t="s">
        <v>478</v>
      </c>
      <c r="AQ557" s="774"/>
      <c r="AR557" s="774"/>
      <c r="AS557" s="773"/>
      <c r="AT557" s="469"/>
      <c r="BD557" s="158"/>
      <c r="BE557" s="158"/>
      <c r="BF557" s="158"/>
      <c r="BG557" s="158"/>
      <c r="BH557" s="159"/>
      <c r="BI557" s="160"/>
      <c r="BJ557" s="160"/>
      <c r="BK557" s="161"/>
      <c r="BL557" s="161"/>
      <c r="BM557" s="161"/>
      <c r="BN557" s="161"/>
      <c r="BO557" s="161"/>
      <c r="BP557" s="161"/>
      <c r="BQ557" s="161"/>
      <c r="BR557" s="161"/>
      <c r="BS557" s="162"/>
      <c r="BT557" s="465"/>
      <c r="BU557" s="465"/>
      <c r="BV557" s="465"/>
      <c r="BW557" s="464"/>
      <c r="BX557" s="163"/>
      <c r="BY557" s="163"/>
      <c r="BZ557" s="163"/>
      <c r="CA557" s="163"/>
      <c r="CB557" s="163"/>
      <c r="CC557" s="193"/>
      <c r="CD557" s="193"/>
      <c r="CE557" s="193"/>
      <c r="CF557" s="193"/>
      <c r="CG557" s="193"/>
      <c r="CH557" s="159"/>
      <c r="CI557" s="160"/>
      <c r="CJ557" s="160"/>
      <c r="CK557" s="162"/>
      <c r="CL557" s="465"/>
      <c r="CM557" s="465"/>
      <c r="CN557" s="464"/>
    </row>
    <row r="558" spans="1:92" s="469" customFormat="1" ht="18" customHeight="1"/>
    <row r="559" spans="1:92" ht="18" customHeight="1">
      <c r="A559" s="164" t="s">
        <v>479</v>
      </c>
      <c r="B559" s="469"/>
      <c r="C559" s="469"/>
      <c r="D559" s="469"/>
      <c r="E559" s="469"/>
      <c r="F559" s="469"/>
      <c r="G559" s="469"/>
      <c r="H559" s="469"/>
      <c r="I559" s="469"/>
      <c r="J559" s="469"/>
      <c r="K559" s="469"/>
      <c r="L559" s="469"/>
      <c r="M559" s="469"/>
      <c r="N559" s="469"/>
      <c r="O559" s="469"/>
      <c r="P559" s="469"/>
      <c r="Q559" s="469"/>
      <c r="R559" s="469"/>
      <c r="S559" s="469"/>
      <c r="T559" s="469"/>
      <c r="U559" s="469"/>
      <c r="V559" s="469"/>
      <c r="W559" s="469"/>
      <c r="X559" s="469"/>
      <c r="Y559" s="469"/>
      <c r="Z559" s="469"/>
      <c r="AA559" s="469"/>
      <c r="AB559" s="469"/>
      <c r="AC559" s="469"/>
      <c r="AD559" s="469"/>
      <c r="AE559" s="469"/>
      <c r="AF559" s="469"/>
      <c r="AG559" s="469"/>
      <c r="AH559" s="469"/>
      <c r="AI559" s="469"/>
      <c r="AJ559" s="469"/>
      <c r="AK559" s="469"/>
      <c r="AL559" s="469"/>
      <c r="AM559" s="469"/>
      <c r="AN559" s="469"/>
      <c r="AO559" s="469"/>
      <c r="AP559" s="469"/>
      <c r="AQ559" s="469"/>
      <c r="AR559" s="469"/>
      <c r="AS559" s="469"/>
      <c r="AT559" s="469"/>
    </row>
    <row r="560" spans="1:92" ht="18" customHeight="1">
      <c r="A560" s="164"/>
      <c r="B560" s="164" t="s">
        <v>480</v>
      </c>
      <c r="C560" s="469"/>
      <c r="D560" s="469"/>
      <c r="E560" s="469"/>
      <c r="F560" s="469"/>
      <c r="G560" s="469"/>
      <c r="H560" s="469"/>
      <c r="I560" s="469"/>
      <c r="J560" s="469"/>
      <c r="K560" s="469"/>
      <c r="L560" s="469"/>
      <c r="M560" s="469"/>
      <c r="N560" s="469"/>
      <c r="O560" s="469"/>
      <c r="P560" s="469"/>
      <c r="Q560" s="469"/>
      <c r="R560" s="469"/>
      <c r="S560" s="469"/>
      <c r="T560" s="469"/>
      <c r="U560" s="469"/>
      <c r="V560" s="469"/>
      <c r="W560" s="469"/>
      <c r="X560" s="469"/>
      <c r="Y560" s="469"/>
      <c r="Z560" s="469"/>
      <c r="AA560" s="469"/>
      <c r="AB560" s="469"/>
      <c r="AC560" s="469"/>
      <c r="AD560" s="469"/>
      <c r="AE560" s="469"/>
      <c r="AF560" s="469"/>
      <c r="AG560" s="469"/>
      <c r="AH560" s="469"/>
      <c r="AI560" s="469"/>
      <c r="AJ560" s="469"/>
      <c r="AK560" s="469"/>
      <c r="AL560" s="469"/>
      <c r="AM560" s="469"/>
      <c r="AN560" s="469"/>
      <c r="AO560" s="469"/>
      <c r="AP560" s="469"/>
      <c r="AQ560" s="469"/>
      <c r="AR560" s="469"/>
      <c r="AS560" s="469"/>
      <c r="AT560" s="469"/>
    </row>
    <row r="561" spans="1:46" ht="18" customHeight="1">
      <c r="A561" s="164"/>
      <c r="B561" s="469" t="s">
        <v>481</v>
      </c>
      <c r="C561" s="469"/>
      <c r="D561" s="469"/>
      <c r="E561" s="469"/>
      <c r="F561" s="469"/>
      <c r="G561" s="823" t="e">
        <f ca="1">I551</f>
        <v>#N/A</v>
      </c>
      <c r="H561" s="823"/>
      <c r="I561" s="823"/>
      <c r="J561" s="823"/>
      <c r="K561" s="823"/>
      <c r="L561" s="825">
        <f>M551</f>
        <v>0</v>
      </c>
      <c r="M561" s="825"/>
      <c r="N561" s="825"/>
      <c r="O561" s="825"/>
      <c r="P561" s="825"/>
      <c r="Q561" s="825"/>
      <c r="R561" s="469"/>
      <c r="S561" s="469"/>
      <c r="T561" s="469"/>
      <c r="U561" s="469"/>
      <c r="V561" s="469"/>
      <c r="W561" s="469"/>
      <c r="X561" s="469"/>
      <c r="Y561" s="469"/>
      <c r="Z561" s="469"/>
      <c r="AA561" s="469"/>
      <c r="AB561" s="469"/>
      <c r="AC561" s="469"/>
      <c r="AD561" s="469"/>
      <c r="AE561" s="469"/>
      <c r="AF561" s="469"/>
      <c r="AG561" s="469"/>
      <c r="AH561" s="469"/>
      <c r="AI561" s="469"/>
      <c r="AJ561" s="469"/>
      <c r="AK561" s="469"/>
      <c r="AL561" s="469"/>
      <c r="AM561" s="469"/>
      <c r="AN561" s="469"/>
      <c r="AO561" s="469"/>
      <c r="AP561" s="469"/>
      <c r="AQ561" s="469"/>
      <c r="AR561" s="469"/>
      <c r="AS561" s="469"/>
      <c r="AT561" s="469"/>
    </row>
    <row r="562" spans="1:46" ht="18" customHeight="1">
      <c r="A562" s="164"/>
      <c r="B562" s="469"/>
      <c r="C562" s="469"/>
      <c r="D562" s="469"/>
      <c r="E562" s="469"/>
      <c r="F562" s="469"/>
      <c r="G562" s="284" t="s">
        <v>144</v>
      </c>
      <c r="H562" s="468"/>
      <c r="I562" s="468"/>
      <c r="J562" s="468"/>
      <c r="K562" s="468"/>
      <c r="L562" s="470"/>
      <c r="M562" s="470"/>
      <c r="N562" s="470"/>
      <c r="O562" s="470"/>
      <c r="P562" s="470"/>
      <c r="Q562" s="470"/>
      <c r="R562" s="469"/>
      <c r="S562" s="469"/>
      <c r="T562" s="469"/>
      <c r="U562" s="469"/>
      <c r="V562" s="469"/>
      <c r="W562" s="469"/>
      <c r="X562" s="469"/>
      <c r="Y562" s="469"/>
      <c r="Z562" s="469"/>
      <c r="AA562" s="469"/>
      <c r="AB562" s="469"/>
      <c r="AC562" s="469"/>
      <c r="AD562" s="469"/>
      <c r="AE562" s="469"/>
      <c r="AF562" s="469"/>
      <c r="AG562" s="469"/>
      <c r="AH562" s="469"/>
      <c r="AI562" s="469"/>
      <c r="AJ562" s="469"/>
      <c r="AK562" s="469"/>
      <c r="AL562" s="469"/>
      <c r="AM562" s="469"/>
      <c r="AN562" s="469"/>
      <c r="AO562" s="469"/>
      <c r="AP562" s="469"/>
      <c r="AQ562" s="469"/>
      <c r="AR562" s="469"/>
      <c r="AS562" s="469"/>
      <c r="AT562" s="469"/>
    </row>
    <row r="563" spans="1:46" ht="18" customHeight="1">
      <c r="A563" s="164"/>
      <c r="B563" s="469"/>
      <c r="C563" s="469"/>
      <c r="D563" s="469"/>
      <c r="E563" s="469"/>
      <c r="F563" s="469"/>
      <c r="G563" s="469" t="s">
        <v>145</v>
      </c>
      <c r="H563" s="469"/>
      <c r="I563" s="469"/>
      <c r="J563" s="469"/>
      <c r="K563" s="469"/>
      <c r="L563" s="469"/>
      <c r="M563" s="469"/>
      <c r="N563" s="469"/>
      <c r="O563" s="469"/>
      <c r="P563" s="469"/>
      <c r="Q563" s="469"/>
      <c r="R563" s="469"/>
      <c r="S563" s="469"/>
      <c r="T563" s="469"/>
      <c r="U563" s="165"/>
      <c r="V563" s="165"/>
      <c r="W563" s="165"/>
      <c r="X563" s="469"/>
      <c r="Y563" s="166"/>
      <c r="Z563" s="166"/>
      <c r="AA563" s="166"/>
      <c r="AB563" s="166"/>
      <c r="AC563" s="166"/>
      <c r="AD563" s="469"/>
      <c r="AE563" s="469"/>
      <c r="AF563" s="469"/>
      <c r="AG563" s="469"/>
      <c r="AH563" s="469"/>
      <c r="AI563" s="469"/>
      <c r="AJ563" s="469"/>
      <c r="AK563" s="469"/>
      <c r="AL563" s="469"/>
      <c r="AM563" s="469"/>
      <c r="AN563" s="469"/>
      <c r="AO563" s="469"/>
      <c r="AP563" s="469"/>
      <c r="AQ563" s="469"/>
      <c r="AR563" s="469"/>
      <c r="AS563" s="469"/>
      <c r="AT563" s="469"/>
    </row>
    <row r="564" spans="1:46" ht="18" customHeight="1">
      <c r="A564" s="164"/>
      <c r="B564" s="469"/>
      <c r="C564" s="469"/>
      <c r="D564" s="469"/>
      <c r="E564" s="469"/>
      <c r="F564" s="469"/>
      <c r="G564" s="469"/>
      <c r="H564" s="469"/>
      <c r="I564" s="469"/>
      <c r="J564" s="469"/>
      <c r="K564" s="469"/>
      <c r="L564" s="469"/>
      <c r="M564" s="469"/>
      <c r="N564" s="469"/>
      <c r="O564" s="469"/>
      <c r="P564" s="469"/>
      <c r="Q564" s="469"/>
      <c r="R564" s="469"/>
      <c r="S564" s="469"/>
      <c r="T564" s="469"/>
      <c r="U564" s="165"/>
      <c r="V564" s="165"/>
      <c r="W564" s="165"/>
      <c r="X564" s="469"/>
      <c r="Y564" s="166"/>
      <c r="Z564" s="166"/>
      <c r="AA564" s="166"/>
      <c r="AB564" s="166"/>
      <c r="AC564" s="166"/>
      <c r="AD564" s="469"/>
      <c r="AE564" s="469"/>
      <c r="AF564" s="469"/>
      <c r="AG564" s="469"/>
      <c r="AH564" s="469"/>
      <c r="AI564" s="469"/>
      <c r="AJ564" s="469"/>
      <c r="AK564" s="469"/>
      <c r="AL564" s="469"/>
      <c r="AM564" s="469"/>
      <c r="AN564" s="469"/>
      <c r="AO564" s="469"/>
      <c r="AP564" s="469"/>
      <c r="AQ564" s="469"/>
      <c r="AR564" s="469"/>
      <c r="AS564" s="469"/>
      <c r="AT564" s="469"/>
    </row>
    <row r="565" spans="1:46" ht="18" customHeight="1">
      <c r="A565" s="164"/>
      <c r="B565" s="469"/>
      <c r="C565" s="469"/>
      <c r="D565" s="469"/>
      <c r="E565" s="469"/>
      <c r="F565" s="469"/>
      <c r="G565" s="469"/>
      <c r="H565" s="469"/>
      <c r="I565" s="469"/>
      <c r="J565" s="469"/>
      <c r="K565" s="469"/>
      <c r="L565" s="469"/>
      <c r="M565" s="469"/>
      <c r="N565" s="469"/>
      <c r="O565" s="469"/>
      <c r="P565" s="469"/>
      <c r="Q565" s="469"/>
      <c r="R565" s="469"/>
      <c r="S565" s="469"/>
      <c r="T565" s="469"/>
      <c r="U565" s="165"/>
      <c r="V565" s="165"/>
      <c r="W565" s="165"/>
      <c r="X565" s="469"/>
      <c r="Y565" s="166"/>
      <c r="Z565" s="166"/>
      <c r="AA565" s="822" t="e">
        <f ca="1">G561</f>
        <v>#N/A</v>
      </c>
      <c r="AB565" s="822"/>
      <c r="AC565" s="822"/>
      <c r="AD565" s="822"/>
      <c r="AE565" s="823">
        <f>L561</f>
        <v>0</v>
      </c>
      <c r="AF565" s="823"/>
      <c r="AG565" s="823"/>
      <c r="AH565" s="469"/>
      <c r="AI565" s="469"/>
      <c r="AJ565" s="469"/>
      <c r="AK565" s="469"/>
      <c r="AL565" s="469"/>
      <c r="AM565" s="469"/>
      <c r="AN565" s="469"/>
      <c r="AO565" s="469"/>
      <c r="AP565" s="469"/>
      <c r="AQ565" s="469"/>
      <c r="AR565" s="469"/>
      <c r="AS565" s="469"/>
      <c r="AT565" s="469"/>
    </row>
    <row r="566" spans="1:46" ht="18" customHeight="1">
      <c r="A566" s="164"/>
      <c r="B566" s="469"/>
      <c r="C566" s="469"/>
      <c r="D566" s="469"/>
      <c r="E566" s="469"/>
      <c r="F566" s="469"/>
      <c r="G566" s="469"/>
      <c r="H566" s="469"/>
      <c r="I566" s="469"/>
      <c r="J566" s="469"/>
      <c r="K566" s="469"/>
      <c r="L566" s="469"/>
      <c r="M566" s="469"/>
      <c r="N566" s="469"/>
      <c r="O566" s="469"/>
      <c r="P566" s="469"/>
      <c r="Q566" s="469"/>
      <c r="R566" s="469"/>
      <c r="S566" s="469"/>
      <c r="T566" s="469"/>
      <c r="U566" s="165"/>
      <c r="V566" s="165"/>
      <c r="W566" s="165"/>
      <c r="X566" s="469"/>
      <c r="Y566" s="166"/>
      <c r="Z566" s="166"/>
      <c r="AA566" s="822"/>
      <c r="AB566" s="822"/>
      <c r="AC566" s="822"/>
      <c r="AD566" s="822"/>
      <c r="AE566" s="823"/>
      <c r="AF566" s="823"/>
      <c r="AG566" s="823"/>
      <c r="AH566" s="469"/>
      <c r="AI566" s="469"/>
      <c r="AJ566" s="469"/>
      <c r="AK566" s="469"/>
      <c r="AL566" s="469"/>
      <c r="AM566" s="469"/>
      <c r="AN566" s="469"/>
      <c r="AO566" s="469"/>
      <c r="AP566" s="469"/>
      <c r="AQ566" s="469"/>
      <c r="AR566" s="469"/>
      <c r="AS566" s="469"/>
      <c r="AT566" s="469"/>
    </row>
    <row r="567" spans="1:46" ht="18" customHeight="1">
      <c r="A567" s="164"/>
      <c r="B567" s="469"/>
      <c r="C567" s="469"/>
      <c r="D567" s="469"/>
      <c r="E567" s="469"/>
      <c r="F567" s="469"/>
      <c r="G567" s="284" t="s">
        <v>482</v>
      </c>
      <c r="H567" s="469"/>
      <c r="I567" s="469"/>
      <c r="J567" s="469"/>
      <c r="K567" s="469"/>
      <c r="L567" s="469"/>
      <c r="M567" s="469"/>
      <c r="N567" s="469"/>
      <c r="O567" s="469"/>
      <c r="P567" s="469"/>
      <c r="Q567" s="469"/>
      <c r="R567" s="469"/>
      <c r="S567" s="469"/>
      <c r="T567" s="469"/>
      <c r="U567" s="165"/>
      <c r="V567" s="165"/>
      <c r="W567" s="165"/>
      <c r="X567" s="469"/>
      <c r="Y567" s="166"/>
      <c r="Z567" s="166"/>
      <c r="AA567" s="466"/>
      <c r="AB567" s="466"/>
      <c r="AC567" s="466"/>
      <c r="AD567" s="466"/>
      <c r="AE567" s="468"/>
      <c r="AF567" s="468"/>
      <c r="AG567" s="468"/>
      <c r="AH567" s="469"/>
      <c r="AI567" s="469"/>
      <c r="AJ567" s="469"/>
      <c r="AK567" s="469"/>
      <c r="AL567" s="469"/>
      <c r="AM567" s="469"/>
      <c r="AN567" s="469"/>
      <c r="AO567" s="469"/>
      <c r="AP567" s="469"/>
      <c r="AQ567" s="469"/>
      <c r="AR567" s="469"/>
      <c r="AS567" s="469"/>
      <c r="AT567" s="469"/>
    </row>
    <row r="568" spans="1:46" ht="18" customHeight="1">
      <c r="A568" s="164"/>
      <c r="B568" s="469"/>
      <c r="C568" s="469"/>
      <c r="D568" s="469"/>
      <c r="E568" s="469"/>
      <c r="F568" s="469"/>
      <c r="G568" s="469" t="s">
        <v>483</v>
      </c>
      <c r="H568" s="469"/>
      <c r="I568" s="469"/>
      <c r="J568" s="469"/>
      <c r="K568" s="469"/>
      <c r="L568" s="469"/>
      <c r="M568" s="469"/>
      <c r="N568" s="469"/>
      <c r="O568" s="469"/>
      <c r="P568" s="469"/>
      <c r="Q568" s="469"/>
      <c r="R568" s="469"/>
      <c r="S568" s="469"/>
      <c r="T568" s="469"/>
      <c r="U568" s="165"/>
      <c r="V568" s="165"/>
      <c r="W568" s="165"/>
      <c r="X568" s="469"/>
      <c r="Y568" s="166"/>
      <c r="Z568" s="166"/>
      <c r="AA568" s="466"/>
      <c r="AB568" s="466"/>
      <c r="AC568" s="466"/>
      <c r="AD568" s="466"/>
      <c r="AE568" s="468"/>
      <c r="AF568" s="468"/>
      <c r="AG568" s="468"/>
      <c r="AH568" s="469"/>
      <c r="AI568" s="469"/>
      <c r="AJ568" s="469"/>
      <c r="AK568" s="469"/>
      <c r="AL568" s="469"/>
      <c r="AM568" s="469"/>
      <c r="AN568" s="469"/>
      <c r="AO568" s="469"/>
      <c r="AP568" s="469"/>
      <c r="AQ568" s="469"/>
      <c r="AR568" s="469"/>
      <c r="AS568" s="469"/>
      <c r="AT568" s="469"/>
    </row>
    <row r="569" spans="1:46" ht="18" customHeight="1">
      <c r="A569" s="164"/>
      <c r="B569" s="469"/>
      <c r="C569" s="469"/>
      <c r="D569" s="469"/>
      <c r="E569" s="469"/>
      <c r="F569" s="469"/>
      <c r="G569" s="469"/>
      <c r="H569" s="469"/>
      <c r="I569" s="469"/>
      <c r="J569" s="469"/>
      <c r="K569" s="169" t="s">
        <v>420</v>
      </c>
      <c r="L569" s="823" t="e">
        <f ca="1">G561</f>
        <v>#N/A</v>
      </c>
      <c r="M569" s="823"/>
      <c r="N569" s="823"/>
      <c r="O569" s="823"/>
      <c r="P569" s="823">
        <f>L561</f>
        <v>0</v>
      </c>
      <c r="Q569" s="823"/>
      <c r="R569" s="823"/>
      <c r="S569" s="469"/>
      <c r="T569" s="469"/>
      <c r="U569" s="165"/>
      <c r="V569" s="165"/>
      <c r="W569" s="165"/>
      <c r="X569" s="469"/>
      <c r="Y569" s="166"/>
      <c r="Z569" s="166"/>
      <c r="AA569" s="466"/>
      <c r="AB569" s="466"/>
      <c r="AC569" s="466"/>
      <c r="AD569" s="466"/>
      <c r="AE569" s="468"/>
      <c r="AF569" s="468"/>
      <c r="AG569" s="468"/>
      <c r="AH569" s="469"/>
      <c r="AI569" s="469"/>
      <c r="AJ569" s="469"/>
      <c r="AK569" s="469"/>
      <c r="AL569" s="469"/>
      <c r="AM569" s="469"/>
      <c r="AN569" s="469"/>
      <c r="AO569" s="469"/>
      <c r="AP569" s="469"/>
      <c r="AQ569" s="469"/>
      <c r="AR569" s="469"/>
      <c r="AS569" s="469"/>
      <c r="AT569" s="469"/>
    </row>
    <row r="570" spans="1:46" ht="18" customHeight="1">
      <c r="A570" s="164"/>
      <c r="B570" s="469"/>
      <c r="C570" s="469"/>
      <c r="D570" s="469"/>
      <c r="E570" s="469"/>
      <c r="F570" s="469"/>
      <c r="G570" s="469"/>
      <c r="H570" s="155" t="s">
        <v>485</v>
      </c>
      <c r="I570" s="467" t="s">
        <v>420</v>
      </c>
      <c r="J570" s="469" t="s">
        <v>64</v>
      </c>
      <c r="K570" s="469"/>
      <c r="L570" s="469"/>
      <c r="M570" s="469"/>
      <c r="N570" s="469"/>
      <c r="O570" s="469"/>
      <c r="P570" s="469"/>
      <c r="Q570" s="469"/>
      <c r="R570" s="469"/>
      <c r="S570" s="469"/>
      <c r="T570" s="469"/>
      <c r="U570" s="165"/>
      <c r="V570" s="165"/>
      <c r="W570" s="165"/>
      <c r="X570" s="469"/>
      <c r="Y570" s="166"/>
      <c r="Z570" s="166"/>
      <c r="AA570" s="466"/>
      <c r="AB570" s="466"/>
      <c r="AC570" s="466"/>
      <c r="AD570" s="466"/>
      <c r="AE570" s="468"/>
      <c r="AF570" s="468"/>
      <c r="AG570" s="468"/>
      <c r="AH570" s="469"/>
      <c r="AI570" s="469"/>
      <c r="AJ570" s="469"/>
      <c r="AK570" s="469"/>
      <c r="AL570" s="469"/>
      <c r="AM570" s="469"/>
      <c r="AN570" s="469"/>
      <c r="AO570" s="469"/>
      <c r="AP570" s="469"/>
      <c r="AQ570" s="469"/>
      <c r="AR570" s="469"/>
      <c r="AS570" s="469"/>
      <c r="AT570" s="469"/>
    </row>
    <row r="571" spans="1:46" ht="18" customHeight="1">
      <c r="A571" s="164"/>
      <c r="B571" s="469"/>
      <c r="C571" s="469"/>
      <c r="D571" s="469"/>
      <c r="E571" s="469"/>
      <c r="F571" s="469"/>
      <c r="G571" s="469"/>
      <c r="H571" s="155" t="s">
        <v>488</v>
      </c>
      <c r="I571" s="467" t="s">
        <v>420</v>
      </c>
      <c r="J571" s="824" t="e">
        <f ca="1">OFFSET(표준압력!H13,AX368,0)</f>
        <v>#N/A</v>
      </c>
      <c r="K571" s="824"/>
      <c r="L571" s="824"/>
      <c r="M571" s="824"/>
      <c r="N571" s="824"/>
      <c r="O571" s="824"/>
      <c r="P571" s="824"/>
      <c r="Q571" s="469"/>
      <c r="R571" s="469"/>
      <c r="S571" s="469"/>
      <c r="T571" s="469"/>
      <c r="U571" s="165"/>
      <c r="V571" s="165"/>
      <c r="W571" s="165"/>
      <c r="X571" s="469"/>
      <c r="Y571" s="166"/>
      <c r="Z571" s="166"/>
      <c r="AA571" s="466"/>
      <c r="AB571" s="466"/>
      <c r="AC571" s="466"/>
      <c r="AD571" s="466"/>
      <c r="AE571" s="468"/>
      <c r="AF571" s="468"/>
      <c r="AG571" s="468"/>
      <c r="AH571" s="469"/>
      <c r="AI571" s="469"/>
      <c r="AJ571" s="469"/>
      <c r="AK571" s="469"/>
      <c r="AL571" s="469"/>
      <c r="AM571" s="469"/>
      <c r="AN571" s="469"/>
      <c r="AO571" s="469"/>
      <c r="AP571" s="469"/>
      <c r="AQ571" s="469"/>
      <c r="AR571" s="469"/>
      <c r="AS571" s="469"/>
      <c r="AT571" s="469"/>
    </row>
    <row r="572" spans="1:46" ht="18" customHeight="1">
      <c r="A572" s="164"/>
      <c r="B572" s="469"/>
      <c r="C572" s="469"/>
      <c r="D572" s="469"/>
      <c r="E572" s="469"/>
      <c r="F572" s="469"/>
      <c r="G572" s="469"/>
      <c r="H572" s="155" t="s">
        <v>215</v>
      </c>
      <c r="I572" s="467" t="s">
        <v>420</v>
      </c>
      <c r="J572" s="824" t="e">
        <f ca="1">OFFSET(표준압력!I13,AX368,0)</f>
        <v>#N/A</v>
      </c>
      <c r="K572" s="824"/>
      <c r="L572" s="824"/>
      <c r="M572" s="824"/>
      <c r="N572" s="824"/>
      <c r="O572" s="824"/>
      <c r="P572" s="824"/>
      <c r="Q572" s="469"/>
      <c r="R572" s="469"/>
      <c r="S572" s="469"/>
      <c r="T572" s="469"/>
      <c r="U572" s="165"/>
      <c r="V572" s="165"/>
      <c r="W572" s="165"/>
      <c r="X572" s="469"/>
      <c r="Y572" s="166"/>
      <c r="Z572" s="166"/>
      <c r="AA572" s="466"/>
      <c r="AB572" s="466"/>
      <c r="AC572" s="466"/>
      <c r="AD572" s="466"/>
      <c r="AE572" s="468"/>
      <c r="AF572" s="468"/>
      <c r="AG572" s="468"/>
      <c r="AH572" s="469"/>
      <c r="AI572" s="469"/>
      <c r="AJ572" s="469"/>
      <c r="AK572" s="469"/>
      <c r="AL572" s="469"/>
      <c r="AM572" s="469"/>
      <c r="AN572" s="469"/>
      <c r="AO572" s="469"/>
      <c r="AP572" s="469"/>
      <c r="AQ572" s="469"/>
      <c r="AR572" s="469"/>
      <c r="AS572" s="469"/>
      <c r="AT572" s="469"/>
    </row>
    <row r="573" spans="1:46" ht="18" customHeight="1">
      <c r="A573" s="164"/>
      <c r="B573" s="469"/>
      <c r="C573" s="469"/>
      <c r="D573" s="469"/>
      <c r="E573" s="469"/>
      <c r="F573" s="469"/>
      <c r="G573" s="469"/>
      <c r="H573" s="155" t="s">
        <v>491</v>
      </c>
      <c r="I573" s="467" t="s">
        <v>420</v>
      </c>
      <c r="J573" s="463" t="s">
        <v>492</v>
      </c>
      <c r="K573" s="463"/>
      <c r="L573" s="463"/>
      <c r="M573" s="463"/>
      <c r="N573" s="463"/>
      <c r="O573" s="463"/>
      <c r="P573" s="463"/>
      <c r="Q573" s="469"/>
      <c r="R573" s="469"/>
      <c r="S573" s="469"/>
      <c r="T573" s="469"/>
      <c r="U573" s="165"/>
      <c r="V573" s="165"/>
      <c r="W573" s="165"/>
      <c r="X573" s="469"/>
      <c r="Y573" s="166"/>
      <c r="Z573" s="166"/>
      <c r="AA573" s="466"/>
      <c r="AB573" s="466"/>
      <c r="AC573" s="466"/>
      <c r="AD573" s="466"/>
      <c r="AE573" s="468"/>
      <c r="AF573" s="468"/>
      <c r="AG573" s="468"/>
      <c r="AH573" s="469"/>
      <c r="AI573" s="469"/>
      <c r="AJ573" s="469"/>
      <c r="AK573" s="469"/>
      <c r="AL573" s="469"/>
      <c r="AM573" s="469"/>
      <c r="AN573" s="469"/>
      <c r="AO573" s="469"/>
      <c r="AP573" s="469"/>
      <c r="AQ573" s="469"/>
      <c r="AR573" s="469"/>
      <c r="AS573" s="469"/>
      <c r="AT573" s="469"/>
    </row>
    <row r="574" spans="1:46" ht="18" customHeight="1">
      <c r="A574" s="164"/>
      <c r="B574" s="469" t="s">
        <v>493</v>
      </c>
      <c r="C574" s="469"/>
      <c r="D574" s="469"/>
      <c r="E574" s="469"/>
      <c r="F574" s="469"/>
      <c r="G574" s="469"/>
      <c r="H574" s="469"/>
      <c r="I574" s="469" t="e">
        <f ca="1">"※ 표준기의 불확도 평가결과에서 계산된 측정불확도는 "&amp;TRIM(TEXT(AF368,"0.### ###"))&amp;" "&amp;AL368&amp;" 이고,"</f>
        <v>#N/A</v>
      </c>
      <c r="J574" s="469"/>
      <c r="K574" s="469"/>
      <c r="L574" s="469"/>
      <c r="M574" s="469"/>
      <c r="N574" s="469"/>
      <c r="O574" s="469"/>
      <c r="P574" s="469"/>
      <c r="Q574" s="469"/>
      <c r="R574" s="469"/>
      <c r="S574" s="469"/>
      <c r="T574" s="469"/>
      <c r="U574" s="167"/>
      <c r="V574" s="167"/>
      <c r="W574" s="167"/>
      <c r="X574" s="469"/>
      <c r="Y574" s="168"/>
      <c r="Z574" s="168"/>
      <c r="AA574" s="168"/>
      <c r="AB574" s="166"/>
      <c r="AC574" s="166"/>
      <c r="AD574" s="469"/>
      <c r="AE574" s="469"/>
      <c r="AF574" s="469"/>
      <c r="AG574" s="469"/>
      <c r="AH574" s="469"/>
      <c r="AI574" s="469"/>
      <c r="AJ574" s="469"/>
      <c r="AK574" s="469"/>
      <c r="AL574" s="469"/>
      <c r="AM574" s="469"/>
      <c r="AN574" s="469"/>
      <c r="AO574" s="469"/>
      <c r="AP574" s="469"/>
      <c r="AQ574" s="469"/>
      <c r="AR574" s="469"/>
      <c r="AS574" s="469"/>
      <c r="AT574" s="469"/>
    </row>
    <row r="575" spans="1:46" ht="18" customHeight="1">
      <c r="A575" s="164"/>
      <c r="B575" s="469"/>
      <c r="C575" s="469"/>
      <c r="D575" s="469"/>
      <c r="E575" s="469"/>
      <c r="F575" s="469"/>
      <c r="G575" s="469"/>
      <c r="H575" s="469"/>
      <c r="I575" s="469"/>
      <c r="J575" s="469" t="e">
        <f ca="1">"표준기 압력값은 "&amp;TEXT(N576,"0.000000")&amp;" "&amp;L561&amp;" 이므로 아래와 같이 계산된다."</f>
        <v>#N/A</v>
      </c>
      <c r="K575" s="469"/>
      <c r="L575" s="469"/>
      <c r="M575" s="469"/>
      <c r="N575" s="469"/>
      <c r="O575" s="469"/>
      <c r="P575" s="469"/>
      <c r="Q575" s="469"/>
      <c r="R575" s="469"/>
      <c r="S575" s="469"/>
      <c r="T575" s="469"/>
      <c r="U575" s="167"/>
      <c r="V575" s="167"/>
      <c r="W575" s="167"/>
      <c r="X575" s="469"/>
      <c r="Y575" s="168"/>
      <c r="Z575" s="168"/>
      <c r="AA575" s="168"/>
      <c r="AB575" s="166"/>
      <c r="AC575" s="166"/>
      <c r="AD575" s="469"/>
      <c r="AE575" s="469"/>
      <c r="AF575" s="469"/>
      <c r="AG575" s="469"/>
      <c r="AH575" s="469"/>
      <c r="AI575" s="469"/>
      <c r="AJ575" s="469"/>
      <c r="AK575" s="469"/>
      <c r="AL575" s="469"/>
      <c r="AM575" s="469"/>
      <c r="AN575" s="469"/>
      <c r="AO575" s="469"/>
      <c r="AP575" s="469"/>
      <c r="AQ575" s="469"/>
      <c r="AR575" s="469"/>
      <c r="AS575" s="469"/>
      <c r="AT575" s="469"/>
    </row>
    <row r="576" spans="1:46" ht="18" customHeight="1">
      <c r="A576" s="164"/>
      <c r="B576" s="469"/>
      <c r="C576" s="469"/>
      <c r="D576" s="469"/>
      <c r="E576" s="469"/>
      <c r="F576" s="469"/>
      <c r="G576" s="469"/>
      <c r="H576" s="469"/>
      <c r="I576" s="469"/>
      <c r="J576" s="469"/>
      <c r="K576" s="469"/>
      <c r="L576" s="469"/>
      <c r="M576" s="469"/>
      <c r="N576" s="822" t="e">
        <f ca="1">AA565</f>
        <v>#N/A</v>
      </c>
      <c r="O576" s="660"/>
      <c r="P576" s="660"/>
      <c r="Q576" s="660"/>
      <c r="R576" s="660"/>
      <c r="S576" s="829" t="s">
        <v>494</v>
      </c>
      <c r="T576" s="830" t="e">
        <f ca="1">AF368/100</f>
        <v>#N/A</v>
      </c>
      <c r="U576" s="830"/>
      <c r="V576" s="830"/>
      <c r="W576" s="830"/>
      <c r="X576" s="830"/>
      <c r="Y576" s="829" t="s">
        <v>420</v>
      </c>
      <c r="Z576" s="822" t="e">
        <f ca="1">P551</f>
        <v>#N/A</v>
      </c>
      <c r="AA576" s="822"/>
      <c r="AB576" s="822"/>
      <c r="AC576" s="822"/>
      <c r="AD576" s="823">
        <f>AE565</f>
        <v>0</v>
      </c>
      <c r="AE576" s="823"/>
      <c r="AF576" s="823"/>
      <c r="AG576" s="469"/>
      <c r="AH576" s="469"/>
      <c r="AI576" s="469"/>
      <c r="AJ576" s="469"/>
      <c r="AK576" s="469"/>
      <c r="AL576" s="469"/>
      <c r="AM576" s="469"/>
      <c r="AN576" s="469"/>
      <c r="AO576" s="469"/>
      <c r="AP576" s="469"/>
      <c r="AQ576" s="469"/>
      <c r="AR576" s="469"/>
      <c r="AS576" s="469"/>
      <c r="AT576" s="469"/>
    </row>
    <row r="577" spans="1:46" ht="18" customHeight="1">
      <c r="A577" s="164"/>
      <c r="B577" s="469"/>
      <c r="C577" s="469"/>
      <c r="D577" s="469"/>
      <c r="E577" s="469"/>
      <c r="F577" s="469"/>
      <c r="G577" s="469"/>
      <c r="H577" s="469"/>
      <c r="I577" s="469"/>
      <c r="J577" s="469"/>
      <c r="K577" s="469"/>
      <c r="L577" s="469"/>
      <c r="M577" s="469"/>
      <c r="N577" s="660"/>
      <c r="O577" s="660"/>
      <c r="P577" s="660"/>
      <c r="Q577" s="660"/>
      <c r="R577" s="660"/>
      <c r="S577" s="829"/>
      <c r="T577" s="679">
        <f>AR368</f>
        <v>2</v>
      </c>
      <c r="U577" s="679"/>
      <c r="V577" s="679"/>
      <c r="W577" s="679"/>
      <c r="X577" s="679"/>
      <c r="Y577" s="829"/>
      <c r="Z577" s="822"/>
      <c r="AA577" s="822"/>
      <c r="AB577" s="822"/>
      <c r="AC577" s="822"/>
      <c r="AD577" s="823"/>
      <c r="AE577" s="823"/>
      <c r="AF577" s="823"/>
      <c r="AG577" s="469"/>
      <c r="AH577" s="469"/>
      <c r="AI577" s="469"/>
      <c r="AJ577" s="469"/>
      <c r="AK577" s="469"/>
      <c r="AL577" s="469"/>
      <c r="AM577" s="469"/>
      <c r="AN577" s="469"/>
      <c r="AO577" s="469"/>
      <c r="AP577" s="469"/>
      <c r="AQ577" s="469"/>
      <c r="AR577" s="469"/>
      <c r="AS577" s="469"/>
      <c r="AT577" s="469"/>
    </row>
    <row r="578" spans="1:46" ht="18" customHeight="1">
      <c r="A578" s="164"/>
      <c r="B578" s="469" t="s">
        <v>496</v>
      </c>
      <c r="C578" s="469"/>
      <c r="D578" s="469"/>
      <c r="E578" s="469"/>
      <c r="F578" s="469"/>
      <c r="G578" s="469"/>
      <c r="H578" s="826" t="str">
        <f>X551</f>
        <v>정규</v>
      </c>
      <c r="I578" s="826"/>
      <c r="J578" s="826"/>
      <c r="K578" s="826"/>
      <c r="L578" s="826"/>
      <c r="M578" s="469"/>
      <c r="N578" s="469"/>
      <c r="O578" s="469"/>
      <c r="P578" s="469"/>
      <c r="Q578" s="469"/>
      <c r="R578" s="469"/>
      <c r="S578" s="469"/>
      <c r="T578" s="469"/>
      <c r="U578" s="469"/>
      <c r="V578" s="469"/>
      <c r="W578" s="469"/>
      <c r="X578" s="469"/>
      <c r="Y578" s="469"/>
      <c r="Z578" s="469"/>
      <c r="AA578" s="469"/>
      <c r="AB578" s="469"/>
      <c r="AC578" s="469"/>
      <c r="AD578" s="469"/>
      <c r="AE578" s="469"/>
      <c r="AF578" s="469"/>
      <c r="AG578" s="469"/>
      <c r="AH578" s="469"/>
      <c r="AI578" s="469"/>
      <c r="AJ578" s="469"/>
      <c r="AK578" s="469"/>
      <c r="AL578" s="469"/>
      <c r="AM578" s="469"/>
      <c r="AN578" s="469"/>
      <c r="AO578" s="469"/>
      <c r="AP578" s="469"/>
      <c r="AQ578" s="469"/>
      <c r="AR578" s="469"/>
      <c r="AS578" s="469"/>
      <c r="AT578" s="469"/>
    </row>
    <row r="579" spans="1:46" ht="18" customHeight="1">
      <c r="A579" s="164"/>
      <c r="B579" s="826" t="s">
        <v>497</v>
      </c>
      <c r="C579" s="826"/>
      <c r="D579" s="826"/>
      <c r="E579" s="826"/>
      <c r="F579" s="826"/>
      <c r="G579" s="826"/>
      <c r="H579" s="469"/>
      <c r="I579" s="469"/>
      <c r="J579" s="469"/>
      <c r="K579" s="469"/>
      <c r="L579" s="469"/>
      <c r="M579" s="469"/>
      <c r="N579" s="469"/>
      <c r="O579" s="469"/>
      <c r="P579" s="469"/>
      <c r="Q579" s="469"/>
      <c r="R579" s="469"/>
      <c r="S579" s="469"/>
      <c r="T579" s="469"/>
      <c r="U579" s="469"/>
      <c r="V579" s="469"/>
      <c r="W579" s="469"/>
      <c r="X579" s="469"/>
      <c r="Y579" s="469"/>
      <c r="Z579" s="469"/>
      <c r="AA579" s="469"/>
      <c r="AB579" s="469"/>
      <c r="AC579" s="469"/>
      <c r="AD579" s="469"/>
      <c r="AE579" s="469"/>
      <c r="AF579" s="469"/>
      <c r="AG579" s="469"/>
      <c r="AH579" s="469"/>
      <c r="AI579" s="469"/>
      <c r="AJ579" s="469"/>
      <c r="AK579" s="469"/>
      <c r="AL579" s="469"/>
      <c r="AM579" s="469"/>
      <c r="AN579" s="469"/>
      <c r="AO579" s="469"/>
      <c r="AP579" s="469"/>
      <c r="AQ579" s="469"/>
      <c r="AR579" s="469"/>
      <c r="AS579" s="469"/>
      <c r="AT579" s="469"/>
    </row>
    <row r="580" spans="1:46" ht="18" customHeight="1">
      <c r="A580" s="164"/>
      <c r="B580" s="826"/>
      <c r="C580" s="826"/>
      <c r="D580" s="826"/>
      <c r="E580" s="826"/>
      <c r="F580" s="826"/>
      <c r="G580" s="826"/>
      <c r="H580" s="469"/>
      <c r="I580" s="469"/>
      <c r="J580" s="469"/>
      <c r="K580" s="469"/>
      <c r="L580" s="469"/>
      <c r="M580" s="469"/>
      <c r="N580" s="469"/>
      <c r="O580" s="469"/>
      <c r="P580" s="469"/>
      <c r="Q580" s="469"/>
      <c r="R580" s="469"/>
      <c r="S580" s="469"/>
      <c r="T580" s="469"/>
      <c r="U580" s="469"/>
      <c r="V580" s="469"/>
      <c r="W580" s="469"/>
      <c r="X580" s="469"/>
      <c r="Y580" s="469"/>
      <c r="Z580" s="469"/>
      <c r="AH580" s="469"/>
      <c r="AI580" s="469"/>
      <c r="AJ580" s="469"/>
      <c r="AK580" s="469"/>
      <c r="AL580" s="469"/>
      <c r="AM580" s="469"/>
      <c r="AN580" s="469"/>
      <c r="AO580" s="469"/>
      <c r="AP580" s="469"/>
      <c r="AQ580" s="469"/>
      <c r="AR580" s="469"/>
      <c r="AS580" s="469"/>
      <c r="AT580" s="469"/>
    </row>
    <row r="581" spans="1:46" ht="18" customHeight="1">
      <c r="A581" s="164"/>
      <c r="B581" s="469" t="s">
        <v>498</v>
      </c>
      <c r="C581" s="469"/>
      <c r="D581" s="469"/>
      <c r="E581" s="469"/>
      <c r="F581" s="469"/>
      <c r="G581" s="469"/>
      <c r="H581" s="469"/>
      <c r="I581" s="469"/>
      <c r="J581" s="469"/>
      <c r="K581" s="169" t="s">
        <v>162</v>
      </c>
      <c r="L581" s="823" t="e">
        <f ca="1">Z576</f>
        <v>#N/A</v>
      </c>
      <c r="M581" s="823"/>
      <c r="N581" s="823"/>
      <c r="O581" s="823"/>
      <c r="P581" s="822">
        <f>AD576</f>
        <v>0</v>
      </c>
      <c r="Q581" s="822"/>
      <c r="R581" s="170" t="s">
        <v>420</v>
      </c>
      <c r="S581" s="823" t="e">
        <f ca="1">1*L581</f>
        <v>#N/A</v>
      </c>
      <c r="T581" s="823"/>
      <c r="U581" s="823"/>
      <c r="V581" s="823"/>
      <c r="W581" s="822">
        <f>P581</f>
        <v>0</v>
      </c>
      <c r="X581" s="822"/>
      <c r="Y581" s="468"/>
      <c r="Z581" s="286"/>
      <c r="AA581" s="469"/>
      <c r="AB581" s="469"/>
      <c r="AC581" s="469"/>
      <c r="AD581" s="469"/>
      <c r="AE581" s="469"/>
      <c r="AF581" s="469"/>
      <c r="AG581" s="469"/>
      <c r="AH581" s="469"/>
      <c r="AI581" s="469"/>
      <c r="AJ581" s="469"/>
      <c r="AK581" s="469"/>
      <c r="AL581" s="469"/>
      <c r="AM581" s="469"/>
      <c r="AN581" s="469"/>
      <c r="AO581" s="469"/>
      <c r="AP581" s="469"/>
      <c r="AQ581" s="469"/>
      <c r="AR581" s="469"/>
      <c r="AS581" s="469"/>
      <c r="AT581" s="469"/>
    </row>
    <row r="582" spans="1:46" ht="18" customHeight="1">
      <c r="A582" s="164"/>
      <c r="B582" s="469" t="s">
        <v>501</v>
      </c>
      <c r="C582" s="469"/>
      <c r="D582" s="469"/>
      <c r="E582" s="469"/>
      <c r="F582" s="469"/>
      <c r="G582" s="469"/>
      <c r="H582" s="469"/>
      <c r="I582" s="469"/>
      <c r="J582" s="469"/>
      <c r="K582" s="171" t="s">
        <v>502</v>
      </c>
      <c r="L582" s="826" t="str">
        <f>AP551</f>
        <v>∞</v>
      </c>
      <c r="M582" s="826"/>
      <c r="N582" s="826"/>
      <c r="O582" s="826"/>
      <c r="P582" s="826"/>
      <c r="Q582" s="469"/>
      <c r="R582" s="469"/>
      <c r="S582" s="469"/>
      <c r="T582" s="469"/>
      <c r="U582" s="469"/>
      <c r="V582" s="469"/>
      <c r="W582" s="469"/>
      <c r="X582" s="469"/>
      <c r="Y582" s="469"/>
      <c r="Z582" s="469"/>
      <c r="AA582" s="469"/>
      <c r="AB582" s="469"/>
      <c r="AC582" s="469"/>
      <c r="AD582" s="469"/>
      <c r="AE582" s="469"/>
      <c r="AF582" s="469"/>
      <c r="AG582" s="469"/>
      <c r="AH582" s="469"/>
      <c r="AI582" s="469"/>
      <c r="AJ582" s="469"/>
      <c r="AK582" s="469"/>
      <c r="AL582" s="469"/>
      <c r="AM582" s="469"/>
      <c r="AN582" s="469"/>
      <c r="AO582" s="469"/>
      <c r="AP582" s="469"/>
      <c r="AQ582" s="469"/>
      <c r="AR582" s="469"/>
      <c r="AS582" s="469"/>
      <c r="AT582" s="469"/>
    </row>
    <row r="583" spans="1:46" ht="18" customHeight="1">
      <c r="A583" s="164"/>
      <c r="B583" s="469"/>
      <c r="C583" s="469"/>
      <c r="D583" s="469"/>
      <c r="E583" s="469"/>
      <c r="F583" s="469"/>
      <c r="G583" s="469"/>
      <c r="H583" s="469"/>
      <c r="I583" s="469"/>
      <c r="J583" s="469"/>
      <c r="K583" s="469"/>
      <c r="L583" s="469"/>
      <c r="M583" s="469"/>
      <c r="N583" s="469"/>
      <c r="O583" s="469"/>
      <c r="P583" s="469"/>
      <c r="Q583" s="469"/>
      <c r="R583" s="469"/>
      <c r="S583" s="469"/>
      <c r="T583" s="469"/>
      <c r="U583" s="469"/>
      <c r="V583" s="469"/>
      <c r="W583" s="469"/>
      <c r="X583" s="469"/>
      <c r="Y583" s="469"/>
      <c r="Z583" s="469"/>
      <c r="AA583" s="469"/>
      <c r="AB583" s="469"/>
      <c r="AC583" s="469"/>
      <c r="AD583" s="469"/>
      <c r="AE583" s="469"/>
      <c r="AF583" s="469"/>
      <c r="AG583" s="469"/>
      <c r="AH583" s="469"/>
      <c r="AI583" s="469"/>
      <c r="AJ583" s="469"/>
      <c r="AK583" s="469"/>
      <c r="AL583" s="469"/>
      <c r="AM583" s="469"/>
      <c r="AN583" s="469"/>
      <c r="AO583" s="469"/>
      <c r="AP583" s="469"/>
      <c r="AQ583" s="469"/>
      <c r="AR583" s="469"/>
      <c r="AS583" s="469"/>
      <c r="AT583" s="469"/>
    </row>
    <row r="584" spans="1:46" ht="18" customHeight="1">
      <c r="A584" s="164"/>
      <c r="B584" s="172" t="s">
        <v>503</v>
      </c>
      <c r="C584" s="469"/>
      <c r="D584" s="469"/>
      <c r="E584" s="469"/>
      <c r="F584" s="469"/>
      <c r="G584" s="469"/>
      <c r="H584" s="469"/>
      <c r="I584" s="469"/>
      <c r="J584" s="469"/>
      <c r="K584" s="469"/>
      <c r="L584" s="469"/>
      <c r="M584" s="469"/>
      <c r="N584" s="469"/>
      <c r="O584" s="469"/>
      <c r="P584" s="469"/>
      <c r="Q584" s="469"/>
      <c r="R584" s="469"/>
      <c r="S584" s="469"/>
      <c r="T584" s="469"/>
      <c r="U584" s="469"/>
      <c r="V584" s="469"/>
      <c r="W584" s="469"/>
      <c r="X584" s="469"/>
      <c r="Y584" s="469"/>
      <c r="Z584" s="469"/>
      <c r="AA584" s="469"/>
      <c r="AB584" s="469"/>
      <c r="AC584" s="469"/>
      <c r="AD584" s="469"/>
      <c r="AE584" s="469"/>
      <c r="AF584" s="469"/>
      <c r="AG584" s="469"/>
      <c r="AH584" s="469"/>
      <c r="AI584" s="469"/>
      <c r="AJ584" s="469"/>
      <c r="AK584" s="469"/>
      <c r="AL584" s="469"/>
      <c r="AM584" s="469"/>
      <c r="AN584" s="469"/>
      <c r="AO584" s="469"/>
      <c r="AP584" s="469"/>
      <c r="AQ584" s="469"/>
      <c r="AR584" s="469"/>
      <c r="AS584" s="469"/>
      <c r="AT584" s="469"/>
    </row>
    <row r="585" spans="1:46" ht="18" customHeight="1">
      <c r="A585" s="164"/>
      <c r="B585" s="469" t="s">
        <v>504</v>
      </c>
      <c r="C585" s="469"/>
      <c r="D585" s="469"/>
      <c r="E585" s="469"/>
      <c r="F585" s="469"/>
      <c r="G585" s="823" t="e">
        <f ca="1">I552</f>
        <v>#N/A</v>
      </c>
      <c r="H585" s="823"/>
      <c r="I585" s="823"/>
      <c r="J585" s="823"/>
      <c r="K585" s="823"/>
      <c r="L585" s="825">
        <f>M552</f>
        <v>0</v>
      </c>
      <c r="M585" s="825"/>
      <c r="N585" s="825"/>
      <c r="O585" s="825"/>
      <c r="P585" s="825"/>
      <c r="Q585" s="825"/>
      <c r="R585" s="469"/>
      <c r="S585" s="469"/>
      <c r="T585" s="469"/>
      <c r="U585" s="469"/>
      <c r="V585" s="469"/>
      <c r="W585" s="469"/>
      <c r="X585" s="469"/>
      <c r="Y585" s="469"/>
      <c r="Z585" s="469"/>
      <c r="AA585" s="469"/>
      <c r="AB585" s="469"/>
      <c r="AC585" s="469"/>
      <c r="AD585" s="469"/>
      <c r="AE585" s="469"/>
      <c r="AF585" s="469"/>
      <c r="AG585" s="469"/>
      <c r="AH585" s="469"/>
      <c r="AI585" s="469"/>
      <c r="AJ585" s="469"/>
      <c r="AK585" s="469"/>
      <c r="AL585" s="469"/>
      <c r="AM585" s="469"/>
      <c r="AN585" s="469"/>
      <c r="AO585" s="469"/>
      <c r="AP585" s="469"/>
      <c r="AQ585" s="469"/>
      <c r="AR585" s="469"/>
      <c r="AS585" s="469"/>
      <c r="AT585" s="469"/>
    </row>
    <row r="586" spans="1:46" ht="18" customHeight="1">
      <c r="A586" s="164"/>
      <c r="B586" s="469" t="s">
        <v>505</v>
      </c>
      <c r="C586" s="469"/>
      <c r="D586" s="469"/>
      <c r="E586" s="469"/>
      <c r="F586" s="469"/>
      <c r="G586" s="469"/>
      <c r="H586" s="469"/>
      <c r="I586" s="469" t="s">
        <v>506</v>
      </c>
      <c r="J586" s="469"/>
      <c r="K586" s="469"/>
      <c r="L586" s="469"/>
      <c r="M586" s="469"/>
      <c r="N586" s="469"/>
      <c r="O586" s="469"/>
      <c r="P586" s="469"/>
      <c r="Q586" s="469"/>
      <c r="R586" s="469"/>
      <c r="S586" s="469"/>
      <c r="T586" s="469"/>
      <c r="U586" s="167"/>
      <c r="V586" s="167"/>
      <c r="W586" s="167"/>
      <c r="X586" s="469"/>
      <c r="Y586" s="168"/>
      <c r="Z586" s="168"/>
      <c r="AA586" s="168"/>
      <c r="AB586" s="166"/>
      <c r="AC586" s="166"/>
      <c r="AD586" s="469"/>
      <c r="AE586" s="469"/>
      <c r="AF586" s="469"/>
      <c r="AG586" s="469"/>
      <c r="AH586" s="469"/>
      <c r="AI586" s="469"/>
      <c r="AJ586" s="469"/>
      <c r="AK586" s="469"/>
      <c r="AL586" s="469"/>
      <c r="AM586" s="469"/>
      <c r="AN586" s="469"/>
      <c r="AO586" s="469"/>
      <c r="AP586" s="469"/>
      <c r="AQ586" s="469"/>
      <c r="AR586" s="469"/>
      <c r="AS586" s="469"/>
      <c r="AT586" s="469"/>
    </row>
    <row r="587" spans="1:46" ht="18" customHeight="1">
      <c r="A587" s="164"/>
      <c r="B587" s="469"/>
      <c r="C587" s="469"/>
      <c r="D587" s="469"/>
      <c r="E587" s="469"/>
      <c r="F587" s="469"/>
      <c r="G587" s="469"/>
      <c r="H587" s="469"/>
      <c r="I587" s="469"/>
      <c r="J587" s="469"/>
      <c r="K587" s="469"/>
      <c r="L587" s="469"/>
      <c r="M587" s="469"/>
      <c r="N587" s="469"/>
      <c r="O587" s="469"/>
      <c r="P587" s="827"/>
      <c r="Q587" s="827"/>
      <c r="R587" s="469"/>
      <c r="S587" s="173"/>
      <c r="T587" s="174"/>
      <c r="U587" s="174"/>
      <c r="V587" s="174"/>
      <c r="W587" s="174"/>
      <c r="X587" s="174"/>
      <c r="Y587" s="174"/>
      <c r="Z587" s="174"/>
      <c r="AA587" s="174"/>
      <c r="AB587" s="174"/>
      <c r="AC587" s="174"/>
      <c r="AD587" s="174"/>
      <c r="AE587" s="174"/>
      <c r="AF587" s="174"/>
      <c r="AG587" s="174"/>
      <c r="AH587" s="174"/>
      <c r="AI587" s="174"/>
      <c r="AJ587" s="174"/>
      <c r="AK587" s="174"/>
      <c r="AL587" s="469"/>
      <c r="AM587" s="469"/>
      <c r="AN587" s="469"/>
      <c r="AO587" s="469"/>
      <c r="AP587" s="469"/>
      <c r="AQ587" s="469"/>
      <c r="AR587" s="469"/>
      <c r="AS587" s="469"/>
      <c r="AT587" s="469"/>
    </row>
    <row r="588" spans="1:46" ht="18" customHeight="1">
      <c r="A588" s="164"/>
      <c r="B588" s="469"/>
      <c r="C588" s="469"/>
      <c r="D588" s="469"/>
      <c r="E588" s="469"/>
      <c r="F588" s="469"/>
      <c r="G588" s="469"/>
      <c r="H588" s="469"/>
      <c r="I588" s="469"/>
      <c r="J588" s="469"/>
      <c r="K588" s="469"/>
      <c r="L588" s="469"/>
      <c r="M588" s="469"/>
      <c r="N588" s="828" t="e">
        <f ca="1">S606</f>
        <v>#N/A</v>
      </c>
      <c r="O588" s="828"/>
      <c r="P588" s="828"/>
      <c r="Q588" s="469"/>
      <c r="R588" s="467" t="s">
        <v>148</v>
      </c>
      <c r="S588" s="469"/>
      <c r="T588" s="828" t="e">
        <f ca="1">S619</f>
        <v>#VALUE!</v>
      </c>
      <c r="U588" s="828"/>
      <c r="V588" s="828"/>
      <c r="W588" s="469"/>
      <c r="X588" s="467" t="s">
        <v>148</v>
      </c>
      <c r="Y588" s="469"/>
      <c r="Z588" s="828" t="e">
        <f ca="1">S640</f>
        <v>#N/A</v>
      </c>
      <c r="AA588" s="828"/>
      <c r="AB588" s="828"/>
      <c r="AC588" s="469"/>
      <c r="AD588" s="467" t="s">
        <v>148</v>
      </c>
      <c r="AE588" s="469"/>
      <c r="AF588" s="828" t="e">
        <f ca="1">S654</f>
        <v>#N/A</v>
      </c>
      <c r="AG588" s="828"/>
      <c r="AH588" s="828"/>
      <c r="AI588" s="469"/>
      <c r="AJ588" s="175" t="s">
        <v>420</v>
      </c>
      <c r="AK588" s="823" t="e">
        <f ca="1">P552</f>
        <v>#N/A</v>
      </c>
      <c r="AL588" s="823"/>
      <c r="AM588" s="823"/>
      <c r="AN588" s="823"/>
      <c r="AO588" s="822">
        <f>U552</f>
        <v>0</v>
      </c>
      <c r="AP588" s="822"/>
      <c r="AQ588" s="468"/>
      <c r="AR588" s="286"/>
      <c r="AS588" s="469"/>
      <c r="AT588" s="469"/>
    </row>
    <row r="589" spans="1:46" ht="18" customHeight="1">
      <c r="A589" s="164"/>
      <c r="B589" s="469" t="s">
        <v>149</v>
      </c>
      <c r="C589" s="469"/>
      <c r="D589" s="469"/>
      <c r="E589" s="469"/>
      <c r="F589" s="469"/>
      <c r="G589" s="469"/>
      <c r="H589" s="826" t="str">
        <f>X552</f>
        <v>직사각형</v>
      </c>
      <c r="I589" s="826"/>
      <c r="J589" s="826"/>
      <c r="K589" s="826"/>
      <c r="L589" s="826"/>
      <c r="M589" s="469"/>
      <c r="N589" s="469"/>
      <c r="O589" s="469"/>
      <c r="P589" s="469"/>
      <c r="Q589" s="469"/>
      <c r="R589" s="469"/>
      <c r="S589" s="469"/>
      <c r="T589" s="469"/>
      <c r="U589" s="469"/>
      <c r="V589" s="469"/>
      <c r="W589" s="469"/>
      <c r="X589" s="469"/>
      <c r="Y589" s="469"/>
      <c r="Z589" s="469"/>
      <c r="AA589" s="469"/>
      <c r="AB589" s="469"/>
      <c r="AC589" s="469"/>
      <c r="AD589" s="469"/>
      <c r="AE589" s="469"/>
      <c r="AF589" s="469"/>
      <c r="AG589" s="469"/>
      <c r="AH589" s="469"/>
      <c r="AI589" s="469"/>
      <c r="AJ589" s="469"/>
      <c r="AK589" s="469"/>
      <c r="AL589" s="469"/>
      <c r="AM589" s="469"/>
      <c r="AN589" s="469"/>
      <c r="AO589" s="469"/>
      <c r="AP589" s="469"/>
      <c r="AQ589" s="469"/>
      <c r="AR589" s="469"/>
      <c r="AS589" s="469"/>
      <c r="AT589" s="469"/>
    </row>
    <row r="590" spans="1:46" ht="18" customHeight="1">
      <c r="A590" s="164"/>
      <c r="B590" s="826" t="s">
        <v>150</v>
      </c>
      <c r="C590" s="826"/>
      <c r="D590" s="826"/>
      <c r="E590" s="826"/>
      <c r="F590" s="826"/>
      <c r="G590" s="826"/>
      <c r="H590" s="469"/>
      <c r="I590" s="469"/>
      <c r="J590" s="469"/>
      <c r="K590" s="469"/>
      <c r="L590" s="469"/>
      <c r="M590" s="469"/>
      <c r="N590" s="469"/>
      <c r="O590" s="469"/>
      <c r="P590" s="469"/>
      <c r="Q590" s="469"/>
      <c r="R590" s="469"/>
      <c r="S590" s="469"/>
      <c r="T590" s="469"/>
      <c r="U590" s="469"/>
      <c r="V590" s="469"/>
      <c r="W590" s="469"/>
      <c r="X590" s="469"/>
      <c r="Y590" s="469"/>
      <c r="Z590" s="469"/>
      <c r="AA590" s="469"/>
      <c r="AB590" s="469"/>
      <c r="AC590" s="469"/>
      <c r="AD590" s="469"/>
      <c r="AE590" s="469"/>
      <c r="AF590" s="469"/>
      <c r="AG590" s="469"/>
      <c r="AH590" s="469"/>
      <c r="AI590" s="469"/>
      <c r="AJ590" s="469"/>
      <c r="AK590" s="469"/>
      <c r="AL590" s="469"/>
      <c r="AM590" s="469"/>
      <c r="AN590" s="469"/>
      <c r="AO590" s="469"/>
      <c r="AP590" s="469"/>
      <c r="AQ590" s="469"/>
      <c r="AR590" s="469"/>
      <c r="AS590" s="469"/>
      <c r="AT590" s="469"/>
    </row>
    <row r="591" spans="1:46" ht="18" customHeight="1">
      <c r="A591" s="164"/>
      <c r="B591" s="826"/>
      <c r="C591" s="826"/>
      <c r="D591" s="826"/>
      <c r="E591" s="826"/>
      <c r="F591" s="826"/>
      <c r="G591" s="826"/>
      <c r="H591" s="469"/>
      <c r="I591" s="469"/>
      <c r="J591" s="469"/>
      <c r="K591" s="469"/>
      <c r="L591" s="469"/>
      <c r="M591" s="469"/>
      <c r="N591" s="469"/>
      <c r="O591" s="469"/>
      <c r="P591" s="469"/>
      <c r="Q591" s="469"/>
      <c r="R591" s="469"/>
      <c r="S591" s="469"/>
      <c r="T591" s="469"/>
      <c r="U591" s="469"/>
      <c r="V591" s="469"/>
      <c r="W591" s="469"/>
      <c r="Y591" s="286"/>
      <c r="Z591" s="286"/>
      <c r="AA591" s="286"/>
      <c r="AB591" s="286"/>
      <c r="AC591" s="286"/>
      <c r="AD591" s="286"/>
      <c r="AE591" s="469"/>
      <c r="AF591" s="469"/>
      <c r="AG591" s="469"/>
      <c r="AH591" s="469"/>
      <c r="AI591" s="469"/>
      <c r="AJ591" s="469"/>
      <c r="AK591" s="469"/>
      <c r="AL591" s="469"/>
      <c r="AM591" s="469"/>
      <c r="AN591" s="469"/>
      <c r="AO591" s="469"/>
      <c r="AP591" s="469"/>
      <c r="AQ591" s="469"/>
      <c r="AR591" s="469"/>
      <c r="AS591" s="469"/>
      <c r="AT591" s="469"/>
    </row>
    <row r="592" spans="1:46" ht="18" customHeight="1">
      <c r="A592" s="164"/>
      <c r="B592" s="469" t="s">
        <v>151</v>
      </c>
      <c r="C592" s="469"/>
      <c r="D592" s="469"/>
      <c r="E592" s="469"/>
      <c r="F592" s="469"/>
      <c r="G592" s="469"/>
      <c r="H592" s="469"/>
      <c r="I592" s="469"/>
      <c r="J592" s="469"/>
      <c r="K592" s="169" t="s">
        <v>152</v>
      </c>
      <c r="L592" s="823" t="e">
        <f ca="1">AK588</f>
        <v>#N/A</v>
      </c>
      <c r="M592" s="823"/>
      <c r="N592" s="823"/>
      <c r="O592" s="823"/>
      <c r="P592" s="822">
        <f>AO588</f>
        <v>0</v>
      </c>
      <c r="Q592" s="822"/>
      <c r="R592" s="170" t="s">
        <v>153</v>
      </c>
      <c r="S592" s="823" t="e">
        <f ca="1">1*L592</f>
        <v>#N/A</v>
      </c>
      <c r="T592" s="823"/>
      <c r="U592" s="823"/>
      <c r="V592" s="823"/>
      <c r="W592" s="822">
        <f>P592</f>
        <v>0</v>
      </c>
      <c r="X592" s="822"/>
      <c r="Y592" s="468"/>
      <c r="Z592" s="286"/>
      <c r="AA592" s="286"/>
      <c r="AB592" s="469"/>
      <c r="AC592" s="469"/>
      <c r="AD592" s="469"/>
      <c r="AE592" s="469"/>
      <c r="AF592" s="469"/>
      <c r="AG592" s="469"/>
      <c r="AH592" s="469"/>
      <c r="AI592" s="469"/>
      <c r="AJ592" s="469"/>
      <c r="AK592" s="469"/>
      <c r="AL592" s="469"/>
      <c r="AM592" s="469"/>
      <c r="AN592" s="469"/>
      <c r="AO592" s="469"/>
      <c r="AP592" s="469"/>
      <c r="AQ592" s="469"/>
      <c r="AR592" s="469"/>
      <c r="AS592" s="469"/>
      <c r="AT592" s="469"/>
    </row>
    <row r="593" spans="1:64" ht="18" customHeight="1">
      <c r="A593" s="164"/>
      <c r="B593" s="469" t="s">
        <v>154</v>
      </c>
      <c r="C593" s="469"/>
      <c r="D593" s="469"/>
      <c r="E593" s="469"/>
      <c r="F593" s="469"/>
      <c r="G593" s="469"/>
      <c r="H593" s="469"/>
      <c r="I593" s="469"/>
      <c r="J593" s="469"/>
      <c r="K593" s="171"/>
      <c r="Q593" s="835" t="e">
        <f ca="1">S592</f>
        <v>#N/A</v>
      </c>
      <c r="R593" s="835"/>
      <c r="S593" s="835"/>
      <c r="T593" s="835"/>
      <c r="U593" s="835"/>
      <c r="V593" s="835"/>
      <c r="W593" s="835"/>
      <c r="X593" s="835"/>
      <c r="Y593" s="835"/>
      <c r="Z593" s="835"/>
      <c r="AA593" s="835"/>
      <c r="AB593" s="835"/>
      <c r="AC593" s="835"/>
      <c r="AD593" s="835"/>
      <c r="AE593" s="835"/>
      <c r="AF593" s="835"/>
      <c r="AG593" s="835"/>
      <c r="AH593" s="835"/>
      <c r="AI593" s="835"/>
      <c r="AJ593" s="835"/>
      <c r="AK593" s="835"/>
      <c r="AL593" s="835"/>
      <c r="AM593" s="835"/>
      <c r="AN593" s="834" t="s">
        <v>67</v>
      </c>
      <c r="AO593" s="831" t="e">
        <f ca="1">AP552</f>
        <v>#N/A</v>
      </c>
      <c r="AP593" s="831"/>
      <c r="AQ593" s="831"/>
      <c r="AR593" s="831"/>
      <c r="AS593" s="831"/>
    </row>
    <row r="594" spans="1:64" ht="18" customHeight="1">
      <c r="A594" s="164"/>
      <c r="B594" s="469"/>
      <c r="C594" s="469"/>
      <c r="D594" s="469"/>
      <c r="E594" s="469"/>
      <c r="F594" s="469"/>
      <c r="G594" s="469"/>
      <c r="H594" s="469"/>
      <c r="I594" s="469"/>
      <c r="J594" s="469"/>
      <c r="K594" s="171"/>
      <c r="Q594" s="832" t="e">
        <f ca="1">N588</f>
        <v>#N/A</v>
      </c>
      <c r="R594" s="832"/>
      <c r="S594" s="832"/>
      <c r="T594" s="832"/>
      <c r="U594" s="832"/>
      <c r="V594" s="833" t="s">
        <v>148</v>
      </c>
      <c r="W594" s="832" t="e">
        <f ca="1">T588</f>
        <v>#VALUE!</v>
      </c>
      <c r="X594" s="832"/>
      <c r="Y594" s="832"/>
      <c r="Z594" s="832"/>
      <c r="AA594" s="832"/>
      <c r="AB594" s="833" t="s">
        <v>148</v>
      </c>
      <c r="AC594" s="832" t="e">
        <f ca="1">Z588</f>
        <v>#N/A</v>
      </c>
      <c r="AD594" s="832"/>
      <c r="AE594" s="832"/>
      <c r="AF594" s="832"/>
      <c r="AG594" s="832"/>
      <c r="AH594" s="833" t="s">
        <v>148</v>
      </c>
      <c r="AI594" s="832" t="e">
        <f ca="1">AF588</f>
        <v>#N/A</v>
      </c>
      <c r="AJ594" s="832"/>
      <c r="AK594" s="832"/>
      <c r="AL594" s="832"/>
      <c r="AM594" s="832"/>
      <c r="AN594" s="834"/>
      <c r="AO594" s="831"/>
      <c r="AP594" s="831"/>
      <c r="AQ594" s="831"/>
      <c r="AR594" s="831"/>
      <c r="AS594" s="831"/>
    </row>
    <row r="595" spans="1:64" ht="18" customHeight="1">
      <c r="A595" s="164"/>
      <c r="B595" s="469"/>
      <c r="C595" s="469"/>
      <c r="D595" s="469"/>
      <c r="E595" s="469"/>
      <c r="F595" s="469"/>
      <c r="G595" s="469"/>
      <c r="H595" s="469"/>
      <c r="I595" s="469"/>
      <c r="J595" s="469"/>
      <c r="K595" s="171"/>
      <c r="Q595" s="834" t="str">
        <f>AP553</f>
        <v>∞</v>
      </c>
      <c r="R595" s="834"/>
      <c r="S595" s="834"/>
      <c r="T595" s="834"/>
      <c r="U595" s="834"/>
      <c r="V595" s="834"/>
      <c r="W595" s="834">
        <f>AP554</f>
        <v>12.5</v>
      </c>
      <c r="X595" s="834"/>
      <c r="Y595" s="834"/>
      <c r="Z595" s="834"/>
      <c r="AA595" s="834"/>
      <c r="AB595" s="834"/>
      <c r="AC595" s="834">
        <f>AP555</f>
        <v>12.5</v>
      </c>
      <c r="AD595" s="834"/>
      <c r="AE595" s="834"/>
      <c r="AF595" s="834"/>
      <c r="AG595" s="834"/>
      <c r="AH595" s="834"/>
      <c r="AI595" s="834">
        <f>AP556</f>
        <v>12.5</v>
      </c>
      <c r="AJ595" s="834"/>
      <c r="AK595" s="834"/>
      <c r="AL595" s="834"/>
      <c r="AM595" s="834"/>
    </row>
    <row r="596" spans="1:64" ht="18" customHeight="1">
      <c r="A596" s="164"/>
      <c r="B596" s="469"/>
      <c r="C596" s="469"/>
      <c r="D596" s="469"/>
      <c r="E596" s="469"/>
      <c r="F596" s="469"/>
      <c r="G596" s="469"/>
      <c r="H596" s="469"/>
      <c r="I596" s="469"/>
      <c r="J596" s="469"/>
      <c r="K596" s="469"/>
      <c r="L596" s="469"/>
      <c r="M596" s="469"/>
      <c r="N596" s="469"/>
      <c r="O596" s="469"/>
      <c r="P596" s="469"/>
      <c r="Q596" s="469"/>
      <c r="R596" s="469"/>
      <c r="S596" s="469"/>
      <c r="T596" s="469"/>
      <c r="U596" s="469"/>
      <c r="V596" s="469"/>
      <c r="W596" s="469"/>
      <c r="X596" s="469"/>
      <c r="Y596" s="469"/>
      <c r="Z596" s="469"/>
      <c r="AA596" s="469"/>
      <c r="AB596" s="469"/>
      <c r="AC596" s="469"/>
      <c r="AD596" s="469"/>
      <c r="AE596" s="469"/>
      <c r="AF596" s="469"/>
      <c r="AG596" s="469"/>
      <c r="AH596" s="469"/>
      <c r="AI596" s="469"/>
      <c r="AJ596" s="469"/>
      <c r="AK596" s="469"/>
      <c r="AL596" s="469"/>
      <c r="AM596" s="469"/>
    </row>
    <row r="597" spans="1:64" ht="18" customHeight="1">
      <c r="A597" s="164"/>
      <c r="B597" s="172" t="s">
        <v>509</v>
      </c>
      <c r="C597" s="469"/>
      <c r="D597" s="469"/>
      <c r="E597" s="469"/>
      <c r="F597" s="469"/>
      <c r="G597" s="469"/>
      <c r="H597" s="469"/>
      <c r="I597" s="469"/>
      <c r="J597" s="469"/>
      <c r="K597" s="469"/>
      <c r="L597" s="469"/>
      <c r="M597" s="469"/>
      <c r="N597" s="469"/>
      <c r="O597" s="469"/>
      <c r="P597" s="469"/>
      <c r="Q597" s="469"/>
      <c r="R597" s="469"/>
      <c r="S597" s="469"/>
      <c r="T597" s="469"/>
      <c r="U597" s="469"/>
      <c r="V597" s="469"/>
      <c r="W597" s="469"/>
      <c r="X597" s="469"/>
      <c r="Y597" s="469"/>
      <c r="Z597" s="469"/>
      <c r="AA597" s="469"/>
      <c r="AB597" s="469"/>
      <c r="AC597" s="469"/>
      <c r="AD597" s="469"/>
      <c r="AE597" s="469"/>
      <c r="AF597" s="469"/>
      <c r="AG597" s="469"/>
      <c r="AH597" s="469"/>
      <c r="AI597" s="469"/>
      <c r="AJ597" s="469"/>
      <c r="AK597" s="469"/>
      <c r="AL597" s="469"/>
      <c r="AM597" s="469"/>
    </row>
    <row r="598" spans="1:64" ht="18" customHeight="1">
      <c r="A598" s="164"/>
      <c r="B598" s="469" t="s">
        <v>155</v>
      </c>
      <c r="C598" s="469"/>
      <c r="D598" s="469"/>
      <c r="E598" s="469"/>
      <c r="F598" s="469"/>
      <c r="G598" s="831">
        <f>I539</f>
        <v>0</v>
      </c>
      <c r="H598" s="831"/>
      <c r="I598" s="831"/>
      <c r="J598" s="831"/>
      <c r="K598" s="831"/>
      <c r="L598" s="825"/>
      <c r="M598" s="825"/>
      <c r="N598" s="825"/>
      <c r="O598" s="825"/>
      <c r="P598" s="825"/>
      <c r="Q598" s="825"/>
      <c r="R598" s="469"/>
      <c r="S598" s="469"/>
      <c r="T598" s="469"/>
      <c r="U598" s="469"/>
      <c r="V598" s="469"/>
      <c r="W598" s="469"/>
      <c r="X598" s="469"/>
      <c r="Y598" s="469"/>
      <c r="Z598" s="469"/>
      <c r="AA598" s="469"/>
      <c r="AB598" s="469"/>
      <c r="AC598" s="469"/>
      <c r="AD598" s="469"/>
      <c r="AE598" s="469"/>
      <c r="AF598" s="469"/>
      <c r="AG598" s="469"/>
      <c r="AH598" s="469"/>
      <c r="AI598" s="469"/>
      <c r="AJ598" s="469"/>
      <c r="AK598" s="469"/>
      <c r="AL598" s="469"/>
      <c r="AM598" s="469"/>
      <c r="AN598" s="469"/>
      <c r="AO598" s="469"/>
      <c r="AP598" s="469"/>
      <c r="AQ598" s="469"/>
      <c r="AR598" s="469"/>
      <c r="AS598" s="469"/>
      <c r="AT598" s="469"/>
    </row>
    <row r="599" spans="1:64" ht="18" customHeight="1">
      <c r="A599" s="164"/>
      <c r="B599" s="469" t="s">
        <v>156</v>
      </c>
      <c r="C599" s="469"/>
      <c r="D599" s="469"/>
      <c r="E599" s="469"/>
      <c r="F599" s="469"/>
      <c r="G599" s="469"/>
      <c r="H599" s="469"/>
      <c r="I599" s="469" t="s">
        <v>510</v>
      </c>
      <c r="J599" s="469"/>
      <c r="K599" s="469"/>
      <c r="L599" s="469"/>
      <c r="M599" s="469"/>
      <c r="N599" s="469"/>
      <c r="O599" s="469"/>
      <c r="P599" s="469"/>
      <c r="Q599" s="469"/>
      <c r="R599" s="469"/>
      <c r="S599" s="469"/>
      <c r="T599" s="469"/>
      <c r="U599" s="167"/>
      <c r="V599" s="167"/>
      <c r="W599" s="167"/>
      <c r="X599" s="469"/>
      <c r="Y599" s="168"/>
      <c r="Z599" s="168"/>
      <c r="AA599" s="168"/>
      <c r="AB599" s="166"/>
      <c r="AC599" s="166"/>
      <c r="AD599" s="469"/>
      <c r="AE599" s="469"/>
      <c r="AF599" s="469"/>
      <c r="AG599" s="469"/>
      <c r="AH599" s="469"/>
      <c r="AI599" s="469"/>
      <c r="AJ599" s="469"/>
      <c r="AK599" s="469"/>
      <c r="AL599" s="469"/>
      <c r="AM599" s="469"/>
      <c r="AN599" s="469"/>
      <c r="AO599" s="469"/>
      <c r="AP599" s="469"/>
      <c r="AQ599" s="469"/>
      <c r="AR599" s="469"/>
      <c r="AS599" s="469"/>
      <c r="AT599" s="469"/>
    </row>
    <row r="600" spans="1:64" ht="18" customHeight="1">
      <c r="A600" s="164"/>
      <c r="B600" s="469"/>
      <c r="C600" s="469"/>
      <c r="D600" s="469"/>
      <c r="E600" s="469"/>
      <c r="F600" s="469"/>
      <c r="G600" s="469"/>
      <c r="H600" s="469"/>
      <c r="I600" s="469"/>
      <c r="J600" s="469" t="s">
        <v>511</v>
      </c>
      <c r="K600" s="469"/>
      <c r="L600" s="469"/>
      <c r="M600" s="469"/>
      <c r="N600" s="469"/>
      <c r="O600" s="469"/>
      <c r="P600" s="469"/>
      <c r="Q600" s="469"/>
      <c r="R600" s="469"/>
      <c r="S600" s="469"/>
      <c r="T600" s="469"/>
      <c r="U600" s="167"/>
      <c r="V600" s="167"/>
      <c r="W600" s="167"/>
      <c r="X600" s="469"/>
      <c r="Y600" s="168"/>
      <c r="Z600" s="168"/>
      <c r="AA600" s="168"/>
      <c r="AB600" s="166"/>
      <c r="AC600" s="166"/>
      <c r="AD600" s="469"/>
      <c r="AE600" s="469"/>
      <c r="AF600" s="469"/>
      <c r="AG600" s="469"/>
      <c r="AH600" s="469"/>
      <c r="AI600" s="469"/>
      <c r="AJ600" s="469"/>
      <c r="AK600" s="469"/>
      <c r="AL600" s="469"/>
      <c r="AM600" s="469"/>
      <c r="AN600" s="469"/>
      <c r="AO600" s="469"/>
      <c r="AP600" s="469"/>
      <c r="AQ600" s="469"/>
      <c r="AR600" s="469"/>
      <c r="AS600" s="469"/>
      <c r="AT600" s="469"/>
    </row>
    <row r="601" spans="1:64" ht="18" customHeight="1">
      <c r="A601" s="164"/>
      <c r="B601" s="469"/>
      <c r="C601" s="469"/>
      <c r="D601" s="469"/>
      <c r="E601" s="469"/>
      <c r="F601" s="469"/>
      <c r="G601" s="469"/>
      <c r="H601" s="469"/>
      <c r="I601" s="469"/>
      <c r="J601" s="469"/>
      <c r="K601" s="469"/>
      <c r="L601" s="469"/>
      <c r="M601" s="469"/>
      <c r="N601" s="469"/>
      <c r="O601" s="836" t="e">
        <f>TEXT($AJ$419,"0.000 000 0 ")&amp;$AJ$420</f>
        <v>#DIV/0!</v>
      </c>
      <c r="P601" s="836"/>
      <c r="Q601" s="836"/>
      <c r="R601" s="836"/>
      <c r="S601" s="836"/>
      <c r="T601" s="836"/>
      <c r="U601" s="836"/>
      <c r="V601" s="836"/>
      <c r="W601" s="836"/>
      <c r="X601" s="836"/>
      <c r="Y601" s="836"/>
      <c r="Z601" s="829" t="s">
        <v>494</v>
      </c>
      <c r="AA601" s="837" t="e">
        <f ca="1">N368</f>
        <v>#N/A</v>
      </c>
      <c r="AB601" s="837"/>
      <c r="AC601" s="837"/>
      <c r="AD601" s="837"/>
      <c r="AE601" s="829" t="s">
        <v>67</v>
      </c>
      <c r="AF601" s="822" t="e">
        <f ca="1">P553</f>
        <v>#N/A</v>
      </c>
      <c r="AG601" s="822"/>
      <c r="AH601" s="822"/>
      <c r="AI601" s="822"/>
      <c r="AJ601" s="823">
        <f>H368</f>
        <v>0</v>
      </c>
      <c r="AK601" s="823"/>
      <c r="AL601" s="823"/>
      <c r="AM601" s="469"/>
      <c r="AN601" s="469"/>
      <c r="AO601" s="469"/>
      <c r="AP601" s="469"/>
      <c r="AQ601" s="469"/>
      <c r="AR601" s="469"/>
      <c r="AS601" s="469"/>
      <c r="BL601" s="187"/>
    </row>
    <row r="602" spans="1:64" ht="18" customHeight="1">
      <c r="A602" s="164"/>
      <c r="B602" s="469"/>
      <c r="C602" s="469"/>
      <c r="D602" s="469"/>
      <c r="E602" s="469"/>
      <c r="F602" s="469"/>
      <c r="G602" s="469"/>
      <c r="H602" s="469"/>
      <c r="I602" s="469"/>
      <c r="J602" s="469"/>
      <c r="K602" s="469"/>
      <c r="L602" s="469"/>
      <c r="M602" s="469"/>
      <c r="N602" s="469"/>
      <c r="O602" s="836"/>
      <c r="P602" s="836"/>
      <c r="Q602" s="836"/>
      <c r="R602" s="836"/>
      <c r="S602" s="836"/>
      <c r="T602" s="836"/>
      <c r="U602" s="836"/>
      <c r="V602" s="836"/>
      <c r="W602" s="836"/>
      <c r="X602" s="836"/>
      <c r="Y602" s="836"/>
      <c r="Z602" s="829"/>
      <c r="AA602" s="679">
        <v>2</v>
      </c>
      <c r="AB602" s="679"/>
      <c r="AC602" s="679"/>
      <c r="AD602" s="679"/>
      <c r="AE602" s="829"/>
      <c r="AF602" s="822"/>
      <c r="AG602" s="822"/>
      <c r="AH602" s="822"/>
      <c r="AI602" s="822"/>
      <c r="AJ602" s="823"/>
      <c r="AK602" s="823"/>
      <c r="AL602" s="823"/>
      <c r="AM602" s="469"/>
      <c r="AN602" s="469"/>
      <c r="AO602" s="469"/>
      <c r="AP602" s="469"/>
      <c r="AQ602" s="469"/>
      <c r="AR602" s="469"/>
      <c r="AS602" s="469"/>
      <c r="BL602" s="187"/>
    </row>
    <row r="603" spans="1:64" ht="18" customHeight="1">
      <c r="A603" s="164"/>
      <c r="B603" s="469" t="s">
        <v>157</v>
      </c>
      <c r="C603" s="469"/>
      <c r="D603" s="469"/>
      <c r="E603" s="469"/>
      <c r="F603" s="469"/>
      <c r="G603" s="469"/>
      <c r="H603" s="826" t="str">
        <f>X553</f>
        <v>직사각형</v>
      </c>
      <c r="I603" s="826"/>
      <c r="J603" s="826"/>
      <c r="K603" s="826"/>
      <c r="L603" s="826"/>
      <c r="M603" s="469"/>
      <c r="N603" s="469"/>
      <c r="O603" s="469"/>
      <c r="P603" s="469"/>
      <c r="Q603" s="469"/>
      <c r="R603" s="469"/>
      <c r="S603" s="469"/>
      <c r="T603" s="469"/>
      <c r="U603" s="469"/>
      <c r="V603" s="469"/>
      <c r="W603" s="469"/>
      <c r="X603" s="469"/>
      <c r="Y603" s="469"/>
      <c r="Z603" s="469"/>
      <c r="AA603" s="469"/>
      <c r="AB603" s="469"/>
      <c r="AC603" s="166"/>
      <c r="AD603" s="469"/>
      <c r="AE603" s="469"/>
      <c r="AF603" s="469"/>
      <c r="AG603" s="469"/>
      <c r="AH603" s="469"/>
      <c r="AI603" s="469"/>
      <c r="AJ603" s="469"/>
      <c r="AK603" s="469"/>
      <c r="AL603" s="469"/>
      <c r="AM603" s="469"/>
      <c r="AN603" s="469"/>
      <c r="AO603" s="469"/>
      <c r="AP603" s="469"/>
      <c r="AQ603" s="469"/>
      <c r="AR603" s="469"/>
      <c r="AS603" s="469"/>
      <c r="AT603" s="469"/>
      <c r="BL603" s="160"/>
    </row>
    <row r="604" spans="1:64" ht="18" customHeight="1">
      <c r="A604" s="164"/>
      <c r="B604" s="826" t="s">
        <v>513</v>
      </c>
      <c r="C604" s="826"/>
      <c r="D604" s="826"/>
      <c r="E604" s="826"/>
      <c r="F604" s="826"/>
      <c r="G604" s="826"/>
      <c r="H604" s="469"/>
      <c r="I604" s="469"/>
      <c r="J604" s="469"/>
      <c r="K604" s="469"/>
      <c r="L604" s="469"/>
      <c r="M604" s="469"/>
      <c r="N604" s="469"/>
      <c r="O604" s="469"/>
      <c r="P604" s="469"/>
      <c r="Q604" s="469"/>
      <c r="R604" s="469"/>
      <c r="S604" s="469"/>
      <c r="T604" s="469"/>
      <c r="U604" s="469"/>
      <c r="V604" s="469"/>
      <c r="W604" s="469"/>
      <c r="X604" s="469"/>
      <c r="Y604" s="469"/>
      <c r="Z604" s="469"/>
      <c r="AA604" s="469"/>
      <c r="AB604" s="469"/>
      <c r="AC604" s="469"/>
      <c r="AD604" s="469"/>
      <c r="AE604" s="469"/>
      <c r="AF604" s="469"/>
      <c r="AG604" s="469"/>
      <c r="AH604" s="469"/>
      <c r="AI604" s="469"/>
      <c r="AJ604" s="469"/>
      <c r="AK604" s="469"/>
      <c r="AL604" s="469"/>
      <c r="AM604" s="469"/>
      <c r="AN604" s="469"/>
      <c r="AO604" s="469"/>
      <c r="AP604" s="469"/>
      <c r="AQ604" s="469"/>
      <c r="AR604" s="469"/>
      <c r="AS604" s="469"/>
      <c r="AT604" s="469"/>
    </row>
    <row r="605" spans="1:64" ht="18" customHeight="1">
      <c r="A605" s="164"/>
      <c r="B605" s="826"/>
      <c r="C605" s="826"/>
      <c r="D605" s="826"/>
      <c r="E605" s="826"/>
      <c r="F605" s="826"/>
      <c r="G605" s="826"/>
      <c r="H605" s="469"/>
      <c r="I605" s="469"/>
      <c r="J605" s="469"/>
      <c r="K605" s="469"/>
      <c r="L605" s="469"/>
      <c r="M605" s="469"/>
      <c r="N605" s="469"/>
      <c r="O605" s="469"/>
      <c r="P605" s="469"/>
      <c r="Q605" s="469"/>
      <c r="R605" s="469"/>
      <c r="S605" s="469"/>
      <c r="T605" s="469"/>
      <c r="U605" s="469"/>
      <c r="V605" s="469"/>
      <c r="W605" s="469"/>
      <c r="X605" s="469"/>
      <c r="Y605" s="469"/>
      <c r="Z605" s="469"/>
      <c r="AA605" s="469"/>
      <c r="AB605" s="469"/>
      <c r="AC605" s="469"/>
      <c r="AD605" s="469"/>
      <c r="AE605" s="469"/>
      <c r="AF605" s="469"/>
      <c r="AG605" s="469"/>
      <c r="AH605" s="469"/>
      <c r="AI605" s="469"/>
      <c r="AJ605" s="469"/>
      <c r="AK605" s="469"/>
      <c r="AL605" s="469"/>
      <c r="AM605" s="469"/>
      <c r="AN605" s="469"/>
      <c r="AO605" s="469"/>
      <c r="AP605" s="469"/>
      <c r="AQ605" s="469"/>
      <c r="AR605" s="469"/>
      <c r="AS605" s="469"/>
      <c r="AT605" s="469"/>
    </row>
    <row r="606" spans="1:64" ht="18" customHeight="1">
      <c r="A606" s="164"/>
      <c r="B606" s="469" t="s">
        <v>514</v>
      </c>
      <c r="C606" s="469"/>
      <c r="D606" s="469"/>
      <c r="E606" s="469"/>
      <c r="F606" s="469"/>
      <c r="G606" s="469"/>
      <c r="H606" s="469"/>
      <c r="I606" s="469"/>
      <c r="J606" s="469"/>
      <c r="K606" s="169" t="s">
        <v>162</v>
      </c>
      <c r="L606" s="823" t="e">
        <f ca="1">AF601</f>
        <v>#N/A</v>
      </c>
      <c r="M606" s="823"/>
      <c r="N606" s="823"/>
      <c r="O606" s="823"/>
      <c r="P606" s="822">
        <f>AJ601</f>
        <v>0</v>
      </c>
      <c r="Q606" s="822"/>
      <c r="R606" s="170" t="s">
        <v>67</v>
      </c>
      <c r="S606" s="823" t="e">
        <f ca="1">1*L606</f>
        <v>#N/A</v>
      </c>
      <c r="T606" s="823"/>
      <c r="U606" s="823"/>
      <c r="V606" s="823"/>
      <c r="W606" s="822">
        <f>P606</f>
        <v>0</v>
      </c>
      <c r="X606" s="822"/>
      <c r="Y606" s="468"/>
      <c r="Z606" s="286"/>
      <c r="AA606" s="469"/>
      <c r="AB606" s="469"/>
      <c r="AC606" s="469"/>
      <c r="AD606" s="469"/>
      <c r="AE606" s="469"/>
      <c r="AF606" s="469"/>
      <c r="AG606" s="469"/>
      <c r="AH606" s="469"/>
      <c r="AI606" s="469"/>
      <c r="AJ606" s="469"/>
      <c r="AK606" s="469"/>
      <c r="AL606" s="469"/>
      <c r="AM606" s="469"/>
      <c r="AN606" s="469"/>
      <c r="AO606" s="469"/>
      <c r="AP606" s="469"/>
      <c r="AQ606" s="469"/>
      <c r="AR606" s="469"/>
      <c r="AS606" s="469"/>
      <c r="AT606" s="469"/>
    </row>
    <row r="607" spans="1:64" ht="18" customHeight="1">
      <c r="A607" s="164"/>
      <c r="B607" s="469" t="s">
        <v>158</v>
      </c>
      <c r="C607" s="469"/>
      <c r="D607" s="469"/>
      <c r="E607" s="469"/>
      <c r="F607" s="469"/>
      <c r="G607" s="469"/>
      <c r="H607" s="469"/>
      <c r="I607" s="469"/>
      <c r="J607" s="469"/>
      <c r="K607" s="171" t="s">
        <v>515</v>
      </c>
      <c r="L607" s="826" t="str">
        <f>AP553</f>
        <v>∞</v>
      </c>
      <c r="M607" s="826"/>
      <c r="N607" s="826"/>
      <c r="O607" s="826"/>
      <c r="P607" s="826"/>
      <c r="Q607" s="469"/>
      <c r="R607" s="469"/>
      <c r="S607" s="469"/>
      <c r="T607" s="469"/>
      <c r="U607" s="469"/>
      <c r="V607" s="469"/>
      <c r="W607" s="469"/>
      <c r="X607" s="469"/>
      <c r="Y607" s="469"/>
      <c r="Z607" s="469"/>
      <c r="AA607" s="469"/>
      <c r="AB607" s="469"/>
      <c r="AC607" s="469"/>
      <c r="AD607" s="469"/>
      <c r="AE607" s="469"/>
      <c r="AF607" s="469"/>
      <c r="AG607" s="469"/>
      <c r="AH607" s="469"/>
      <c r="AI607" s="469"/>
      <c r="AJ607" s="469"/>
      <c r="AK607" s="469"/>
      <c r="AL607" s="469"/>
      <c r="AM607" s="469"/>
      <c r="AN607" s="469"/>
      <c r="AO607" s="469"/>
      <c r="AP607" s="469"/>
      <c r="AQ607" s="469"/>
      <c r="AR607" s="469"/>
      <c r="AS607" s="469"/>
      <c r="AT607" s="469"/>
    </row>
    <row r="608" spans="1:64" s="469" customFormat="1" ht="18" customHeight="1">
      <c r="A608" s="164"/>
      <c r="K608" s="171"/>
    </row>
    <row r="609" spans="1:46" ht="18" customHeight="1">
      <c r="A609" s="164"/>
      <c r="B609" s="164" t="s">
        <v>516</v>
      </c>
      <c r="C609" s="469"/>
      <c r="D609" s="469"/>
      <c r="E609" s="469"/>
      <c r="F609" s="469"/>
      <c r="G609" s="469"/>
      <c r="H609" s="469"/>
      <c r="I609" s="469"/>
      <c r="J609" s="469"/>
      <c r="K609" s="469"/>
      <c r="L609" s="469"/>
      <c r="M609" s="469"/>
      <c r="N609" s="469"/>
      <c r="O609" s="469"/>
      <c r="P609" s="469"/>
      <c r="Q609" s="469"/>
      <c r="R609" s="469"/>
      <c r="S609" s="469"/>
      <c r="T609" s="469"/>
      <c r="U609" s="469"/>
      <c r="V609" s="469"/>
      <c r="W609" s="469"/>
      <c r="X609" s="469"/>
      <c r="Y609" s="469"/>
      <c r="Z609" s="469"/>
      <c r="AA609" s="469"/>
      <c r="AB609" s="469"/>
      <c r="AC609" s="469"/>
      <c r="AD609" s="469"/>
      <c r="AE609" s="469"/>
      <c r="AF609" s="469"/>
      <c r="AG609" s="469"/>
      <c r="AH609" s="469"/>
      <c r="AI609" s="469"/>
      <c r="AJ609" s="469"/>
      <c r="AK609" s="469"/>
      <c r="AL609" s="469"/>
      <c r="AM609" s="469"/>
      <c r="AN609" s="469"/>
      <c r="AO609" s="469"/>
      <c r="AP609" s="469"/>
      <c r="AQ609" s="469"/>
      <c r="AR609" s="469"/>
      <c r="AS609" s="469"/>
      <c r="AT609" s="469"/>
    </row>
    <row r="610" spans="1:46" ht="18" customHeight="1">
      <c r="A610" s="164"/>
      <c r="B610" s="469" t="s">
        <v>159</v>
      </c>
      <c r="C610" s="469"/>
      <c r="D610" s="469"/>
      <c r="E610" s="469"/>
      <c r="F610" s="469"/>
      <c r="G610" s="831">
        <f>I553</f>
        <v>0</v>
      </c>
      <c r="H610" s="831"/>
      <c r="I610" s="831"/>
      <c r="J610" s="831"/>
      <c r="K610" s="831"/>
      <c r="L610" s="825"/>
      <c r="M610" s="825"/>
      <c r="N610" s="825"/>
      <c r="O610" s="825"/>
      <c r="P610" s="825"/>
      <c r="Q610" s="825"/>
      <c r="R610" s="469"/>
      <c r="S610" s="469"/>
      <c r="T610" s="469"/>
      <c r="U610" s="469"/>
      <c r="V610" s="469"/>
      <c r="W610" s="469"/>
      <c r="X610" s="469"/>
      <c r="Y610" s="469"/>
      <c r="Z610" s="469"/>
      <c r="AA610" s="469"/>
      <c r="AB610" s="469"/>
      <c r="AC610" s="469"/>
      <c r="AD610" s="469"/>
      <c r="AE610" s="469"/>
      <c r="AF610" s="469"/>
      <c r="AG610" s="469"/>
      <c r="AH610" s="469"/>
      <c r="AI610" s="469"/>
      <c r="AJ610" s="469"/>
      <c r="AK610" s="469"/>
      <c r="AL610" s="469"/>
      <c r="AM610" s="469"/>
      <c r="AN610" s="469"/>
      <c r="AO610" s="469"/>
      <c r="AP610" s="469"/>
      <c r="AQ610" s="469"/>
      <c r="AR610" s="469"/>
      <c r="AS610" s="469"/>
      <c r="AT610" s="469"/>
    </row>
    <row r="611" spans="1:46" ht="18" customHeight="1">
      <c r="A611" s="164"/>
      <c r="B611" s="469" t="s">
        <v>160</v>
      </c>
      <c r="C611" s="469"/>
      <c r="D611" s="469"/>
      <c r="E611" s="469"/>
      <c r="F611" s="469"/>
      <c r="G611" s="469"/>
      <c r="H611" s="469"/>
      <c r="I611" s="469" t="s">
        <v>161</v>
      </c>
      <c r="J611" s="469"/>
      <c r="K611" s="469"/>
      <c r="L611" s="469"/>
      <c r="M611" s="469"/>
      <c r="N611" s="469"/>
      <c r="O611" s="469"/>
      <c r="P611" s="469"/>
      <c r="Q611" s="469"/>
      <c r="R611" s="469"/>
      <c r="S611" s="469"/>
      <c r="T611" s="469"/>
      <c r="U611" s="167"/>
      <c r="V611" s="167"/>
      <c r="W611" s="167"/>
      <c r="X611" s="469"/>
      <c r="Y611" s="168"/>
      <c r="Z611" s="168"/>
      <c r="AA611" s="168"/>
      <c r="AB611" s="166"/>
      <c r="AC611" s="166"/>
      <c r="AD611" s="469"/>
      <c r="AE611" s="469"/>
      <c r="AF611" s="469"/>
      <c r="AG611" s="469"/>
      <c r="AH611" s="469"/>
      <c r="AI611" s="469"/>
      <c r="AJ611" s="469"/>
      <c r="AK611" s="469"/>
      <c r="AL611" s="469"/>
      <c r="AM611" s="469"/>
      <c r="AN611" s="469"/>
      <c r="AO611" s="469"/>
      <c r="AP611" s="469"/>
      <c r="AQ611" s="469"/>
      <c r="AR611" s="469"/>
      <c r="AS611" s="469"/>
      <c r="AT611" s="469"/>
    </row>
    <row r="612" spans="1:46" ht="18" customHeight="1">
      <c r="A612" s="164"/>
      <c r="B612" s="469"/>
      <c r="C612" s="469"/>
      <c r="D612" s="469"/>
      <c r="E612" s="469"/>
      <c r="F612" s="469"/>
      <c r="G612" s="469"/>
      <c r="H612" s="469"/>
      <c r="I612" s="469"/>
      <c r="J612" s="469"/>
      <c r="K612" s="469"/>
      <c r="L612" s="469"/>
      <c r="M612" s="469"/>
      <c r="N612" s="469"/>
      <c r="O612" s="469"/>
      <c r="P612" s="469"/>
      <c r="Q612" s="469"/>
      <c r="R612" s="469"/>
      <c r="S612" s="469"/>
      <c r="T612" s="469"/>
      <c r="U612" s="167"/>
      <c r="V612" s="167"/>
      <c r="W612" s="167"/>
      <c r="X612" s="469"/>
      <c r="Y612" s="168"/>
      <c r="Z612" s="822" t="e">
        <f ca="1">MAX(ABS(Calcu_ADJ!V$24-Calcu_ADJ!V$9),ABS(Calcu_ADJ!W$24-Calcu_ADJ!W$9),ABS(Calcu_ADJ!X$24-Calcu_ADJ!X$9))</f>
        <v>#VALUE!</v>
      </c>
      <c r="AA612" s="822"/>
      <c r="AB612" s="822"/>
      <c r="AC612" s="822"/>
      <c r="AD612" s="823">
        <f>P373</f>
        <v>0</v>
      </c>
      <c r="AE612" s="823"/>
      <c r="AF612" s="823"/>
      <c r="AG612" s="469"/>
      <c r="AH612" s="469"/>
      <c r="AI612" s="469"/>
      <c r="AJ612" s="469"/>
      <c r="AK612" s="469"/>
      <c r="AL612" s="469"/>
      <c r="AM612" s="469"/>
      <c r="AN612" s="469"/>
      <c r="AO612" s="469"/>
      <c r="AP612" s="469"/>
      <c r="AQ612" s="469"/>
      <c r="AR612" s="469"/>
      <c r="AS612" s="469"/>
      <c r="AT612" s="469"/>
    </row>
    <row r="613" spans="1:46" ht="18" customHeight="1">
      <c r="A613" s="164"/>
      <c r="B613" s="469"/>
      <c r="C613" s="469"/>
      <c r="D613" s="469"/>
      <c r="E613" s="469"/>
      <c r="F613" s="469"/>
      <c r="G613" s="469"/>
      <c r="H613" s="469"/>
      <c r="I613" s="469"/>
      <c r="J613" s="469"/>
      <c r="K613" s="469"/>
      <c r="L613" s="469"/>
      <c r="M613" s="469"/>
      <c r="N613" s="469"/>
      <c r="O613" s="469"/>
      <c r="P613" s="469"/>
      <c r="Q613" s="469"/>
      <c r="R613" s="469"/>
      <c r="S613" s="469"/>
      <c r="T613" s="469"/>
      <c r="U613" s="167"/>
      <c r="V613" s="167"/>
      <c r="W613" s="167"/>
      <c r="X613" s="469"/>
      <c r="Y613" s="168"/>
      <c r="Z613" s="822"/>
      <c r="AA613" s="822"/>
      <c r="AB613" s="822"/>
      <c r="AC613" s="822"/>
      <c r="AD613" s="823"/>
      <c r="AE613" s="823"/>
      <c r="AF613" s="823"/>
      <c r="AG613" s="469"/>
      <c r="AH613" s="469"/>
      <c r="AI613" s="469"/>
      <c r="AJ613" s="469"/>
      <c r="AK613" s="469"/>
      <c r="AL613" s="469"/>
      <c r="AM613" s="469"/>
      <c r="AN613" s="469"/>
      <c r="AO613" s="469"/>
      <c r="AP613" s="469"/>
      <c r="AQ613" s="469"/>
      <c r="AR613" s="469"/>
      <c r="AS613" s="469"/>
      <c r="AT613" s="469"/>
    </row>
    <row r="614" spans="1:46" ht="18" customHeight="1">
      <c r="A614" s="164"/>
      <c r="B614" s="469"/>
      <c r="C614" s="469"/>
      <c r="D614" s="469"/>
      <c r="E614" s="469"/>
      <c r="F614" s="469"/>
      <c r="G614" s="469"/>
      <c r="H614" s="469"/>
      <c r="I614" s="469"/>
      <c r="J614" s="469"/>
      <c r="K614" s="469"/>
      <c r="L614" s="469"/>
      <c r="M614" s="469"/>
      <c r="N614" s="469"/>
      <c r="O614" s="469"/>
      <c r="P614" s="836" t="e">
        <f>TEXT($AJ$419,"0.000 000 0 ")&amp;$AJ$420</f>
        <v>#DIV/0!</v>
      </c>
      <c r="Q614" s="836"/>
      <c r="R614" s="836"/>
      <c r="S614" s="836"/>
      <c r="T614" s="836"/>
      <c r="U614" s="836"/>
      <c r="V614" s="836"/>
      <c r="W614" s="836"/>
      <c r="X614" s="836"/>
      <c r="Y614" s="836"/>
      <c r="Z614" s="836"/>
      <c r="AA614" s="829" t="s">
        <v>494</v>
      </c>
      <c r="AB614" s="838" t="e">
        <f ca="1">Z612</f>
        <v>#VALUE!</v>
      </c>
      <c r="AC614" s="838"/>
      <c r="AD614" s="838"/>
      <c r="AE614" s="838"/>
      <c r="AF614" s="829" t="s">
        <v>67</v>
      </c>
      <c r="AG614" s="822" t="e">
        <f ca="1">P554</f>
        <v>#VALUE!</v>
      </c>
      <c r="AH614" s="822"/>
      <c r="AI614" s="822"/>
      <c r="AJ614" s="822"/>
      <c r="AK614" s="823">
        <f>V554</f>
        <v>0</v>
      </c>
      <c r="AL614" s="823"/>
      <c r="AM614" s="823"/>
      <c r="AN614" s="469"/>
      <c r="AO614" s="469"/>
      <c r="AP614" s="469"/>
      <c r="AQ614" s="469"/>
      <c r="AR614" s="469"/>
      <c r="AS614" s="469"/>
      <c r="AT614" s="469"/>
    </row>
    <row r="615" spans="1:46" ht="18" customHeight="1">
      <c r="A615" s="164"/>
      <c r="B615" s="469"/>
      <c r="C615" s="469"/>
      <c r="D615" s="469"/>
      <c r="E615" s="469"/>
      <c r="F615" s="469"/>
      <c r="G615" s="469"/>
      <c r="H615" s="469"/>
      <c r="I615" s="469"/>
      <c r="J615" s="469"/>
      <c r="K615" s="469"/>
      <c r="L615" s="469"/>
      <c r="M615" s="469"/>
      <c r="N615" s="469"/>
      <c r="O615" s="469"/>
      <c r="P615" s="836"/>
      <c r="Q615" s="836"/>
      <c r="R615" s="836"/>
      <c r="S615" s="836"/>
      <c r="T615" s="836"/>
      <c r="U615" s="836"/>
      <c r="V615" s="836"/>
      <c r="W615" s="836"/>
      <c r="X615" s="836"/>
      <c r="Y615" s="836"/>
      <c r="Z615" s="836"/>
      <c r="AA615" s="829"/>
      <c r="AB615" s="177"/>
      <c r="AC615" s="177"/>
      <c r="AD615" s="177"/>
      <c r="AE615" s="177"/>
      <c r="AF615" s="829"/>
      <c r="AG615" s="822"/>
      <c r="AH615" s="822"/>
      <c r="AI615" s="822"/>
      <c r="AJ615" s="822"/>
      <c r="AK615" s="823"/>
      <c r="AL615" s="823"/>
      <c r="AM615" s="823"/>
      <c r="AN615" s="469"/>
      <c r="AO615" s="469"/>
      <c r="AP615" s="469"/>
      <c r="AQ615" s="469"/>
      <c r="AR615" s="469"/>
      <c r="AS615" s="469"/>
      <c r="AT615" s="469"/>
    </row>
    <row r="616" spans="1:46" ht="18" customHeight="1">
      <c r="A616" s="164"/>
      <c r="B616" s="469" t="s">
        <v>517</v>
      </c>
      <c r="C616" s="469"/>
      <c r="D616" s="469"/>
      <c r="E616" s="469"/>
      <c r="F616" s="469"/>
      <c r="G616" s="469"/>
      <c r="H616" s="826" t="str">
        <f>X554</f>
        <v>직사각형</v>
      </c>
      <c r="I616" s="826"/>
      <c r="J616" s="826"/>
      <c r="K616" s="826"/>
      <c r="L616" s="826"/>
      <c r="M616" s="469"/>
      <c r="N616" s="469"/>
      <c r="O616" s="469"/>
      <c r="P616" s="469"/>
      <c r="Q616" s="469"/>
      <c r="R616" s="469"/>
      <c r="S616" s="469"/>
      <c r="T616" s="469"/>
      <c r="U616" s="469"/>
      <c r="V616" s="469"/>
      <c r="W616" s="469"/>
      <c r="X616" s="469"/>
      <c r="Y616" s="469"/>
      <c r="Z616" s="469"/>
      <c r="AA616" s="469"/>
      <c r="AB616" s="469"/>
      <c r="AC616" s="469"/>
      <c r="AD616" s="469"/>
      <c r="AE616" s="469"/>
      <c r="AF616" s="469"/>
      <c r="AG616" s="469"/>
      <c r="AH616" s="168"/>
      <c r="AI616" s="469"/>
      <c r="AJ616" s="469"/>
      <c r="AK616" s="469"/>
      <c r="AL616" s="469"/>
      <c r="AM616" s="469"/>
      <c r="AN616" s="469"/>
      <c r="AO616" s="469"/>
      <c r="AP616" s="469"/>
      <c r="AQ616" s="469"/>
      <c r="AR616" s="469"/>
      <c r="AS616" s="469"/>
      <c r="AT616" s="469"/>
    </row>
    <row r="617" spans="1:46" ht="18" customHeight="1">
      <c r="A617" s="164"/>
      <c r="B617" s="826" t="s">
        <v>518</v>
      </c>
      <c r="C617" s="826"/>
      <c r="D617" s="826"/>
      <c r="E617" s="826"/>
      <c r="F617" s="826"/>
      <c r="G617" s="826"/>
      <c r="H617" s="469"/>
      <c r="I617" s="469"/>
      <c r="J617" s="469"/>
      <c r="K617" s="469"/>
      <c r="L617" s="469"/>
      <c r="M617" s="469"/>
      <c r="N617" s="469"/>
      <c r="O617" s="469"/>
      <c r="P617" s="469"/>
      <c r="Q617" s="469"/>
      <c r="R617" s="469"/>
      <c r="S617" s="469"/>
      <c r="T617" s="469"/>
      <c r="U617" s="469"/>
      <c r="V617" s="469"/>
      <c r="W617" s="469"/>
      <c r="X617" s="469"/>
      <c r="Y617" s="469"/>
      <c r="Z617" s="469"/>
      <c r="AA617" s="469"/>
      <c r="AB617" s="469"/>
      <c r="AC617" s="469"/>
      <c r="AD617" s="469"/>
      <c r="AE617" s="469"/>
      <c r="AF617" s="469"/>
      <c r="AG617" s="469"/>
      <c r="AH617" s="469"/>
      <c r="AI617" s="469"/>
      <c r="AJ617" s="469"/>
      <c r="AK617" s="469"/>
      <c r="AL617" s="469"/>
      <c r="AM617" s="469"/>
      <c r="AN617" s="469"/>
      <c r="AO617" s="469"/>
      <c r="AP617" s="469"/>
      <c r="AQ617" s="469"/>
      <c r="AR617" s="469"/>
      <c r="AS617" s="469"/>
      <c r="AT617" s="469"/>
    </row>
    <row r="618" spans="1:46" ht="18" customHeight="1">
      <c r="A618" s="164"/>
      <c r="B618" s="826"/>
      <c r="C618" s="826"/>
      <c r="D618" s="826"/>
      <c r="E618" s="826"/>
      <c r="F618" s="826"/>
      <c r="G618" s="826"/>
      <c r="H618" s="469"/>
      <c r="I618" s="469"/>
      <c r="J618" s="469"/>
      <c r="K618" s="469"/>
      <c r="L618" s="469"/>
      <c r="M618" s="469"/>
      <c r="N618" s="469"/>
      <c r="O618" s="469"/>
      <c r="P618" s="469"/>
      <c r="Q618" s="469"/>
      <c r="R618" s="469"/>
      <c r="S618" s="469"/>
      <c r="T618" s="469"/>
      <c r="U618" s="469"/>
      <c r="V618" s="469"/>
      <c r="W618" s="469"/>
      <c r="X618" s="469"/>
      <c r="Y618" s="469"/>
      <c r="Z618" s="469"/>
      <c r="AA618" s="469"/>
      <c r="AB618" s="469"/>
      <c r="AC618" s="469"/>
      <c r="AD618" s="469"/>
      <c r="AE618" s="469"/>
      <c r="AF618" s="469"/>
      <c r="AG618" s="469"/>
      <c r="AH618" s="469"/>
      <c r="AI618" s="469"/>
      <c r="AJ618" s="469"/>
      <c r="AK618" s="469"/>
      <c r="AL618" s="469"/>
      <c r="AM618" s="469"/>
      <c r="AN618" s="469"/>
      <c r="AO618" s="469"/>
      <c r="AP618" s="469"/>
      <c r="AQ618" s="469"/>
      <c r="AR618" s="469"/>
      <c r="AS618" s="469"/>
      <c r="AT618" s="469"/>
    </row>
    <row r="619" spans="1:46" ht="18" customHeight="1">
      <c r="A619" s="164"/>
      <c r="B619" s="469" t="s">
        <v>68</v>
      </c>
      <c r="C619" s="469"/>
      <c r="D619" s="469"/>
      <c r="E619" s="469"/>
      <c r="F619" s="469"/>
      <c r="G619" s="469"/>
      <c r="H619" s="469"/>
      <c r="I619" s="469"/>
      <c r="J619" s="469"/>
      <c r="K619" s="169" t="s">
        <v>162</v>
      </c>
      <c r="L619" s="823" t="e">
        <f ca="1">AG614</f>
        <v>#VALUE!</v>
      </c>
      <c r="M619" s="823"/>
      <c r="N619" s="823"/>
      <c r="O619" s="823"/>
      <c r="P619" s="822">
        <f>AK614</f>
        <v>0</v>
      </c>
      <c r="Q619" s="822"/>
      <c r="R619" s="170" t="s">
        <v>67</v>
      </c>
      <c r="S619" s="823" t="e">
        <f ca="1">1*L619</f>
        <v>#VALUE!</v>
      </c>
      <c r="T619" s="823"/>
      <c r="U619" s="823"/>
      <c r="V619" s="823"/>
      <c r="W619" s="822">
        <f>P619</f>
        <v>0</v>
      </c>
      <c r="X619" s="822"/>
      <c r="Y619" s="468"/>
      <c r="Z619" s="286"/>
      <c r="AA619" s="469"/>
      <c r="AB619" s="469"/>
      <c r="AC619" s="469"/>
      <c r="AD619" s="469"/>
      <c r="AE619" s="469"/>
      <c r="AF619" s="469"/>
      <c r="AG619" s="469"/>
      <c r="AH619" s="469"/>
      <c r="AI619" s="469"/>
      <c r="AJ619" s="469"/>
      <c r="AK619" s="469"/>
      <c r="AL619" s="469"/>
      <c r="AM619" s="469"/>
      <c r="AN619" s="469"/>
      <c r="AO619" s="469"/>
      <c r="AP619" s="469"/>
      <c r="AQ619" s="469"/>
      <c r="AR619" s="469"/>
      <c r="AS619" s="469"/>
      <c r="AT619" s="469"/>
    </row>
    <row r="620" spans="1:46" ht="18" customHeight="1">
      <c r="A620" s="164"/>
      <c r="B620" s="469" t="s">
        <v>519</v>
      </c>
      <c r="C620" s="469"/>
      <c r="D620" s="469"/>
      <c r="E620" s="469"/>
      <c r="F620" s="469"/>
      <c r="G620" s="469"/>
      <c r="H620" s="469"/>
      <c r="I620" s="469"/>
      <c r="J620" s="469"/>
      <c r="K620" s="171"/>
      <c r="P620" s="831">
        <f>AP554</f>
        <v>12.5</v>
      </c>
      <c r="Q620" s="831"/>
      <c r="R620" s="831"/>
      <c r="S620" s="831"/>
      <c r="T620" s="831"/>
      <c r="U620" s="469"/>
      <c r="V620" s="469"/>
      <c r="W620" s="469"/>
      <c r="X620" s="469"/>
      <c r="Y620" s="469"/>
      <c r="Z620" s="469"/>
      <c r="AF620" s="469"/>
      <c r="AG620" s="469"/>
      <c r="AH620" s="469"/>
      <c r="AI620" s="469"/>
      <c r="AJ620" s="469"/>
      <c r="AK620" s="469"/>
      <c r="AL620" s="469"/>
      <c r="AM620" s="469"/>
      <c r="AN620" s="469"/>
      <c r="AO620" s="469"/>
      <c r="AP620" s="469"/>
      <c r="AQ620" s="469"/>
      <c r="AR620" s="469"/>
      <c r="AS620" s="469"/>
    </row>
    <row r="621" spans="1:46" ht="18" customHeight="1">
      <c r="A621" s="164"/>
      <c r="B621" s="469"/>
      <c r="C621" s="469"/>
      <c r="D621" s="469"/>
      <c r="E621" s="469"/>
      <c r="F621" s="469"/>
      <c r="G621" s="469"/>
      <c r="H621" s="469"/>
      <c r="I621" s="469"/>
      <c r="J621" s="469"/>
      <c r="K621" s="171"/>
      <c r="L621" s="471"/>
      <c r="M621" s="471"/>
      <c r="N621" s="471"/>
      <c r="O621" s="471"/>
      <c r="P621" s="831"/>
      <c r="Q621" s="831"/>
      <c r="R621" s="831"/>
      <c r="S621" s="831"/>
      <c r="T621" s="831"/>
      <c r="U621" s="469"/>
      <c r="V621" s="469"/>
      <c r="W621" s="469"/>
      <c r="X621" s="469"/>
      <c r="Y621" s="469"/>
      <c r="Z621" s="469"/>
      <c r="AA621" s="469"/>
      <c r="AB621" s="469"/>
      <c r="AC621" s="469"/>
      <c r="AD621" s="469"/>
      <c r="AE621" s="469"/>
      <c r="AF621" s="469"/>
      <c r="AG621" s="469"/>
      <c r="AH621" s="469"/>
      <c r="AI621" s="469"/>
      <c r="AJ621" s="469"/>
      <c r="AK621" s="469"/>
      <c r="AL621" s="469"/>
      <c r="AM621" s="469"/>
      <c r="AN621" s="469"/>
      <c r="AO621" s="469"/>
      <c r="AP621" s="469"/>
      <c r="AQ621" s="469"/>
      <c r="AR621" s="469"/>
      <c r="AS621" s="469"/>
    </row>
    <row r="622" spans="1:46" ht="18" customHeight="1">
      <c r="A622" s="164"/>
      <c r="B622" s="469"/>
      <c r="C622" s="469"/>
      <c r="D622" s="469"/>
      <c r="E622" s="469"/>
      <c r="F622" s="469"/>
      <c r="G622" s="469"/>
      <c r="H622" s="469"/>
      <c r="I622" s="469"/>
      <c r="J622" s="469"/>
      <c r="K622" s="171"/>
      <c r="L622" s="469"/>
      <c r="M622" s="469"/>
      <c r="N622" s="469"/>
      <c r="O622" s="469"/>
      <c r="P622" s="469"/>
      <c r="Q622" s="469"/>
      <c r="R622" s="469"/>
      <c r="S622" s="469"/>
      <c r="T622" s="469"/>
      <c r="U622" s="469"/>
      <c r="V622" s="469"/>
      <c r="W622" s="469"/>
      <c r="X622" s="469"/>
      <c r="Y622" s="469"/>
      <c r="Z622" s="469"/>
      <c r="AA622" s="469"/>
      <c r="AB622" s="469"/>
      <c r="AC622" s="469"/>
      <c r="AD622" s="469"/>
      <c r="AE622" s="469"/>
      <c r="AF622" s="469"/>
      <c r="AG622" s="469"/>
      <c r="AH622" s="469"/>
      <c r="AI622" s="469"/>
      <c r="AJ622" s="469"/>
      <c r="AK622" s="469"/>
      <c r="AL622" s="469"/>
      <c r="AM622" s="469"/>
      <c r="AN622" s="469"/>
      <c r="AO622" s="469"/>
      <c r="AP622" s="469"/>
      <c r="AQ622" s="469"/>
      <c r="AR622" s="469"/>
      <c r="AS622" s="469"/>
      <c r="AT622" s="469"/>
    </row>
    <row r="623" spans="1:46" ht="18" customHeight="1">
      <c r="A623" s="164"/>
      <c r="B623" s="164" t="s">
        <v>520</v>
      </c>
      <c r="C623" s="469"/>
      <c r="D623" s="469"/>
      <c r="E623" s="469"/>
      <c r="F623" s="469"/>
      <c r="G623" s="469"/>
      <c r="H623" s="469"/>
      <c r="I623" s="469"/>
      <c r="J623" s="469"/>
      <c r="K623" s="469"/>
      <c r="L623" s="469"/>
      <c r="M623" s="469"/>
      <c r="N623" s="469"/>
      <c r="O623" s="469"/>
      <c r="P623" s="469"/>
      <c r="Q623" s="469"/>
      <c r="R623" s="469"/>
      <c r="S623" s="469"/>
      <c r="T623" s="469"/>
      <c r="U623" s="469"/>
      <c r="V623" s="469"/>
      <c r="W623" s="469"/>
      <c r="X623" s="469"/>
      <c r="Y623" s="469"/>
      <c r="Z623" s="469"/>
      <c r="AA623" s="469"/>
      <c r="AB623" s="469"/>
      <c r="AC623" s="469"/>
      <c r="AD623" s="469"/>
      <c r="AE623" s="469"/>
      <c r="AF623" s="469"/>
      <c r="AG623" s="469"/>
      <c r="AH623" s="469"/>
      <c r="AI623" s="469"/>
      <c r="AJ623" s="469"/>
      <c r="AK623" s="469"/>
      <c r="AL623" s="469"/>
      <c r="AM623" s="469"/>
      <c r="AN623" s="469"/>
      <c r="AO623" s="469"/>
      <c r="AP623" s="469"/>
      <c r="AQ623" s="469"/>
      <c r="AR623" s="469"/>
      <c r="AS623" s="469"/>
      <c r="AT623" s="469"/>
    </row>
    <row r="624" spans="1:46" ht="18" customHeight="1">
      <c r="A624" s="164"/>
      <c r="B624" s="469" t="s">
        <v>521</v>
      </c>
      <c r="C624" s="469"/>
      <c r="D624" s="469"/>
      <c r="E624" s="469"/>
      <c r="F624" s="469"/>
      <c r="G624" s="831">
        <f>I578</f>
        <v>0</v>
      </c>
      <c r="H624" s="831"/>
      <c r="I624" s="831"/>
      <c r="J624" s="831"/>
      <c r="K624" s="831"/>
      <c r="L624" s="825"/>
      <c r="M624" s="825"/>
      <c r="N624" s="825"/>
      <c r="O624" s="825"/>
      <c r="P624" s="825"/>
      <c r="Q624" s="825"/>
      <c r="R624" s="469"/>
      <c r="S624" s="469"/>
      <c r="T624" s="469"/>
      <c r="U624" s="469"/>
      <c r="V624" s="469"/>
      <c r="W624" s="469"/>
      <c r="X624" s="469"/>
      <c r="Y624" s="469"/>
      <c r="Z624" s="469"/>
      <c r="AA624" s="469"/>
      <c r="AB624" s="469"/>
      <c r="AC624" s="469"/>
      <c r="AD624" s="469"/>
      <c r="AE624" s="469"/>
      <c r="AF624" s="469"/>
      <c r="AG624" s="469"/>
      <c r="AH624" s="469"/>
      <c r="AI624" s="469"/>
      <c r="AJ624" s="469"/>
      <c r="AK624" s="469"/>
      <c r="AL624" s="469"/>
      <c r="AM624" s="469"/>
      <c r="AN624" s="469"/>
      <c r="AO624" s="469"/>
      <c r="AP624" s="469"/>
      <c r="AQ624" s="469"/>
      <c r="AR624" s="469"/>
      <c r="AS624" s="469"/>
      <c r="AT624" s="469"/>
    </row>
    <row r="625" spans="1:46" ht="18" customHeight="1">
      <c r="A625" s="164"/>
      <c r="B625" s="469" t="s">
        <v>163</v>
      </c>
      <c r="C625" s="469"/>
      <c r="D625" s="469"/>
      <c r="E625" s="469"/>
      <c r="F625" s="469"/>
      <c r="G625" s="469"/>
      <c r="H625" s="469"/>
      <c r="I625" s="469" t="s">
        <v>522</v>
      </c>
      <c r="J625" s="469"/>
      <c r="K625" s="469"/>
      <c r="L625" s="469"/>
      <c r="M625" s="469"/>
      <c r="N625" s="469"/>
      <c r="O625" s="469"/>
      <c r="P625" s="469"/>
      <c r="Q625" s="469"/>
      <c r="R625" s="469"/>
      <c r="S625" s="469"/>
      <c r="T625" s="469"/>
      <c r="U625" s="167"/>
      <c r="V625" s="167"/>
      <c r="W625" s="167"/>
      <c r="X625" s="469"/>
      <c r="Y625" s="168"/>
      <c r="Z625" s="168"/>
      <c r="AA625" s="168"/>
      <c r="AB625" s="166"/>
      <c r="AC625" s="166"/>
      <c r="AD625" s="469"/>
      <c r="AE625" s="469"/>
      <c r="AF625" s="469"/>
      <c r="AG625" s="469"/>
      <c r="AH625" s="469"/>
      <c r="AI625" s="469"/>
      <c r="AJ625" s="469"/>
      <c r="AK625" s="469"/>
      <c r="AL625" s="469"/>
      <c r="AM625" s="469"/>
      <c r="AN625" s="469"/>
      <c r="AO625" s="469"/>
      <c r="AP625" s="469"/>
      <c r="AQ625" s="469"/>
      <c r="AR625" s="469"/>
      <c r="AS625" s="469"/>
      <c r="AT625" s="469"/>
    </row>
    <row r="626" spans="1:46" ht="18" customHeight="1">
      <c r="A626" s="164"/>
      <c r="B626" s="469"/>
      <c r="C626" s="469"/>
      <c r="D626" s="469"/>
      <c r="E626" s="469"/>
      <c r="F626" s="469"/>
      <c r="G626" s="469"/>
      <c r="H626" s="469"/>
      <c r="I626" s="469"/>
      <c r="J626" s="469" t="s">
        <v>164</v>
      </c>
      <c r="K626" s="469"/>
      <c r="L626" s="469"/>
      <c r="M626" s="469"/>
      <c r="N626" s="469"/>
      <c r="O626" s="469"/>
      <c r="P626" s="469"/>
      <c r="Q626" s="469"/>
      <c r="R626" s="469"/>
      <c r="S626" s="469"/>
      <c r="T626" s="469"/>
      <c r="U626" s="167"/>
      <c r="V626" s="167"/>
      <c r="W626" s="167"/>
      <c r="X626" s="469"/>
      <c r="Y626" s="168"/>
      <c r="Z626" s="168"/>
      <c r="AA626" s="168"/>
      <c r="AB626" s="166"/>
      <c r="AC626" s="166"/>
      <c r="AD626" s="469"/>
      <c r="AE626" s="469"/>
      <c r="AF626" s="469"/>
      <c r="AG626" s="469"/>
      <c r="AH626" s="469"/>
      <c r="AI626" s="469"/>
      <c r="AJ626" s="469"/>
      <c r="AK626" s="469"/>
      <c r="AL626" s="469"/>
      <c r="AM626" s="469"/>
      <c r="AN626" s="469"/>
      <c r="AO626" s="469"/>
      <c r="AP626" s="469"/>
      <c r="AQ626" s="469"/>
      <c r="AR626" s="469"/>
      <c r="AS626" s="469"/>
      <c r="AT626" s="469"/>
    </row>
    <row r="627" spans="1:46" ht="18" customHeight="1">
      <c r="A627" s="164"/>
      <c r="B627" s="469"/>
      <c r="C627" s="469"/>
      <c r="D627" s="469"/>
      <c r="E627" s="469"/>
      <c r="F627" s="469"/>
      <c r="G627" s="469"/>
      <c r="H627" s="469"/>
      <c r="I627" s="469" t="s">
        <v>523</v>
      </c>
      <c r="J627" s="469"/>
      <c r="K627" s="469"/>
      <c r="L627" s="469"/>
      <c r="M627" s="469"/>
      <c r="N627" s="469"/>
      <c r="O627" s="469"/>
      <c r="P627" s="469"/>
      <c r="Q627" s="469"/>
      <c r="R627" s="469"/>
      <c r="S627" s="469"/>
      <c r="T627" s="469"/>
      <c r="U627" s="167"/>
      <c r="V627" s="167"/>
      <c r="W627" s="167"/>
      <c r="X627" s="469"/>
      <c r="Y627" s="168"/>
      <c r="Z627" s="168"/>
      <c r="AA627" s="168"/>
      <c r="AB627" s="166"/>
      <c r="AC627" s="166"/>
      <c r="AD627" s="469"/>
      <c r="AE627" s="469"/>
      <c r="AF627" s="469"/>
      <c r="AG627" s="469"/>
      <c r="AH627" s="469"/>
      <c r="AI627" s="469"/>
      <c r="AJ627" s="469"/>
      <c r="AK627" s="469"/>
      <c r="AL627" s="469"/>
      <c r="AM627" s="469"/>
      <c r="AN627" s="469"/>
      <c r="AO627" s="469"/>
      <c r="AP627" s="469"/>
      <c r="AQ627" s="469"/>
      <c r="AR627" s="469"/>
      <c r="AS627" s="469"/>
      <c r="AT627" s="469"/>
    </row>
    <row r="628" spans="1:46" ht="18" customHeight="1">
      <c r="A628" s="164"/>
      <c r="B628" s="469"/>
      <c r="C628" s="469"/>
      <c r="D628" s="469"/>
      <c r="E628" s="469"/>
      <c r="F628" s="469"/>
      <c r="G628" s="469"/>
      <c r="H628" s="469"/>
      <c r="I628" s="469"/>
      <c r="J628" s="469"/>
      <c r="K628" s="469"/>
      <c r="L628" s="469"/>
      <c r="M628" s="469"/>
      <c r="N628" s="469"/>
      <c r="O628" s="469"/>
      <c r="P628" s="469"/>
      <c r="Q628" s="469"/>
      <c r="R628" s="469"/>
      <c r="S628" s="469"/>
      <c r="T628" s="469"/>
      <c r="U628" s="167"/>
      <c r="V628" s="167"/>
      <c r="W628" s="167"/>
      <c r="X628" s="469"/>
      <c r="Y628" s="168"/>
      <c r="Z628" s="176"/>
      <c r="AA628" s="176"/>
      <c r="AB628" s="176"/>
      <c r="AC628" s="176"/>
      <c r="AD628" s="176"/>
      <c r="AE628" s="469"/>
      <c r="AF628" s="469"/>
      <c r="AG628" s="168"/>
      <c r="AH628" s="168"/>
      <c r="AI628" s="166"/>
      <c r="AJ628" s="469"/>
      <c r="AK628" s="469"/>
      <c r="AL628" s="469"/>
      <c r="AM628" s="469"/>
      <c r="AN628" s="469"/>
      <c r="AO628" s="469"/>
      <c r="AP628" s="469"/>
      <c r="AQ628" s="469"/>
      <c r="AR628" s="469"/>
      <c r="AS628" s="469"/>
      <c r="AT628" s="469"/>
    </row>
    <row r="629" spans="1:46" ht="18" customHeight="1">
      <c r="A629" s="164"/>
      <c r="B629" s="469"/>
      <c r="C629" s="469"/>
      <c r="D629" s="469"/>
      <c r="E629" s="469"/>
      <c r="F629" s="469"/>
      <c r="G629" s="469"/>
      <c r="H629" s="469"/>
      <c r="I629" s="469"/>
      <c r="J629" s="469"/>
      <c r="K629" s="467" t="s">
        <v>67</v>
      </c>
      <c r="L629" s="823" t="e">
        <f ca="1">AF544</f>
        <v>#N/A</v>
      </c>
      <c r="M629" s="823"/>
      <c r="N629" s="823"/>
      <c r="O629" s="823"/>
      <c r="P629" s="823">
        <f>AF543</f>
        <v>0</v>
      </c>
      <c r="Q629" s="823"/>
      <c r="R629" s="823"/>
      <c r="S629" s="823"/>
      <c r="T629" s="469"/>
      <c r="U629" s="167"/>
      <c r="V629" s="469"/>
      <c r="W629" s="469"/>
      <c r="X629" s="469"/>
      <c r="Y629" s="168"/>
      <c r="Z629" s="176"/>
      <c r="AA629" s="176"/>
      <c r="AB629" s="176"/>
      <c r="AC629" s="176"/>
      <c r="AD629" s="176"/>
      <c r="AE629" s="469"/>
      <c r="AF629" s="469"/>
      <c r="AG629" s="168"/>
      <c r="AH629" s="168"/>
      <c r="AI629" s="166"/>
      <c r="AJ629" s="469"/>
      <c r="AK629" s="469"/>
      <c r="AL629" s="469"/>
      <c r="AM629" s="469"/>
      <c r="AN629" s="469"/>
      <c r="AO629" s="469"/>
      <c r="AP629" s="469"/>
      <c r="AQ629" s="469"/>
      <c r="AR629" s="469"/>
      <c r="AS629" s="469"/>
      <c r="AT629" s="469"/>
    </row>
    <row r="630" spans="1:46" ht="18" customHeight="1">
      <c r="A630" s="164"/>
      <c r="B630" s="469"/>
      <c r="C630" s="469"/>
      <c r="D630" s="469"/>
      <c r="E630" s="469"/>
      <c r="F630" s="469"/>
      <c r="G630" s="469"/>
      <c r="H630" s="469"/>
      <c r="I630" s="469" t="s">
        <v>165</v>
      </c>
      <c r="J630" s="469"/>
      <c r="K630" s="469"/>
      <c r="L630" s="469"/>
      <c r="M630" s="469"/>
      <c r="N630" s="469"/>
      <c r="O630" s="469"/>
      <c r="P630" s="469"/>
      <c r="Q630" s="469"/>
      <c r="R630" s="469"/>
      <c r="S630" s="469"/>
      <c r="T630" s="469"/>
      <c r="U630" s="167"/>
      <c r="V630" s="167"/>
      <c r="W630" s="167"/>
      <c r="X630" s="469"/>
      <c r="Y630" s="168"/>
      <c r="Z630" s="168"/>
      <c r="AA630" s="168"/>
      <c r="AB630" s="166"/>
      <c r="AC630" s="166"/>
      <c r="AD630" s="469"/>
      <c r="AE630" s="469"/>
      <c r="AF630" s="469"/>
      <c r="AG630" s="469"/>
      <c r="AH630" s="469"/>
      <c r="AI630" s="469"/>
      <c r="AJ630" s="469"/>
      <c r="AK630" s="469"/>
      <c r="AL630" s="469"/>
      <c r="AM630" s="469"/>
      <c r="AN630" s="469"/>
      <c r="AO630" s="469"/>
      <c r="AP630" s="469"/>
      <c r="AQ630" s="469"/>
      <c r="AR630" s="469"/>
      <c r="AS630" s="469"/>
      <c r="AT630" s="469"/>
    </row>
    <row r="631" spans="1:46" ht="18" customHeight="1">
      <c r="A631" s="164"/>
      <c r="B631" s="469"/>
      <c r="C631" s="469"/>
      <c r="D631" s="469"/>
      <c r="E631" s="469"/>
      <c r="F631" s="469"/>
      <c r="G631" s="469"/>
      <c r="H631" s="469"/>
      <c r="I631" s="469"/>
      <c r="J631" s="469"/>
      <c r="K631" s="469"/>
      <c r="L631" s="469"/>
      <c r="M631" s="469"/>
      <c r="N631" s="469"/>
      <c r="O631" s="469"/>
      <c r="P631" s="469"/>
      <c r="Q631" s="469"/>
      <c r="R631" s="469"/>
      <c r="S631" s="469"/>
      <c r="T631" s="469"/>
      <c r="U631" s="167"/>
      <c r="V631" s="167"/>
      <c r="W631" s="167"/>
      <c r="X631" s="469"/>
      <c r="Y631" s="168"/>
      <c r="Z631" s="176"/>
      <c r="AA631" s="176"/>
      <c r="AB631" s="176"/>
      <c r="AC631" s="176"/>
      <c r="AD631" s="176"/>
      <c r="AE631" s="469"/>
      <c r="AF631" s="469"/>
      <c r="AG631" s="168"/>
      <c r="AH631" s="168"/>
      <c r="AI631" s="166"/>
      <c r="AJ631" s="469"/>
      <c r="AK631" s="469"/>
      <c r="AL631" s="469"/>
      <c r="AM631" s="469"/>
      <c r="AN631" s="469"/>
      <c r="AO631" s="469"/>
      <c r="AP631" s="469"/>
      <c r="AQ631" s="469"/>
      <c r="AR631" s="469"/>
      <c r="AS631" s="469"/>
      <c r="AT631" s="469"/>
    </row>
    <row r="632" spans="1:46" ht="18" customHeight="1">
      <c r="A632" s="164"/>
      <c r="B632" s="469"/>
      <c r="C632" s="469"/>
      <c r="D632" s="469"/>
      <c r="E632" s="469"/>
      <c r="F632" s="469"/>
      <c r="G632" s="469"/>
      <c r="H632" s="469"/>
      <c r="I632" s="469"/>
      <c r="J632" s="469"/>
      <c r="K632" s="467" t="s">
        <v>67</v>
      </c>
      <c r="L632" s="823" t="e">
        <f ca="1">AF545</f>
        <v>#N/A</v>
      </c>
      <c r="M632" s="823"/>
      <c r="N632" s="823"/>
      <c r="O632" s="823"/>
      <c r="P632" s="823">
        <f>AF543</f>
        <v>0</v>
      </c>
      <c r="Q632" s="823"/>
      <c r="R632" s="823"/>
      <c r="S632" s="823"/>
      <c r="T632" s="469"/>
      <c r="U632" s="167"/>
      <c r="V632" s="469"/>
      <c r="W632" s="168"/>
      <c r="X632" s="469"/>
      <c r="Y632" s="168"/>
      <c r="Z632" s="176"/>
      <c r="AA632" s="176"/>
      <c r="AB632" s="176"/>
      <c r="AC632" s="176"/>
      <c r="AD632" s="176"/>
      <c r="AE632" s="469"/>
      <c r="AF632" s="469"/>
      <c r="AG632" s="168"/>
      <c r="AH632" s="168"/>
      <c r="AI632" s="166"/>
      <c r="AJ632" s="469"/>
      <c r="AK632" s="469"/>
      <c r="AL632" s="469"/>
      <c r="AM632" s="469"/>
      <c r="AN632" s="469"/>
      <c r="AO632" s="469"/>
      <c r="AP632" s="469"/>
      <c r="AQ632" s="469"/>
      <c r="AR632" s="469"/>
      <c r="AS632" s="469"/>
      <c r="AT632" s="469"/>
    </row>
    <row r="633" spans="1:46" ht="18" customHeight="1">
      <c r="A633" s="164"/>
      <c r="B633" s="469"/>
      <c r="C633" s="469"/>
      <c r="D633" s="469"/>
      <c r="E633" s="469"/>
      <c r="F633" s="469"/>
      <c r="G633" s="469"/>
      <c r="H633" s="469"/>
      <c r="I633" s="469" t="s">
        <v>166</v>
      </c>
      <c r="J633" s="469"/>
      <c r="K633" s="467"/>
      <c r="L633" s="176"/>
      <c r="M633" s="176"/>
      <c r="N633" s="176"/>
      <c r="O633" s="469"/>
      <c r="P633" s="469"/>
      <c r="Q633" s="469"/>
      <c r="R633" s="469"/>
      <c r="S633" s="469"/>
      <c r="T633" s="469"/>
      <c r="U633" s="167"/>
      <c r="V633" s="167"/>
      <c r="W633" s="167"/>
      <c r="X633" s="469"/>
      <c r="Y633" s="168"/>
      <c r="Z633" s="176"/>
      <c r="AA633" s="176"/>
      <c r="AB633" s="176"/>
      <c r="AC633" s="176"/>
      <c r="AD633" s="176"/>
      <c r="AE633" s="469"/>
      <c r="AF633" s="469"/>
      <c r="AG633" s="168"/>
      <c r="AH633" s="168"/>
      <c r="AI633" s="166"/>
      <c r="AJ633" s="469"/>
      <c r="AK633" s="469"/>
      <c r="AL633" s="469"/>
      <c r="AM633" s="469"/>
      <c r="AN633" s="469"/>
      <c r="AO633" s="469"/>
      <c r="AP633" s="469"/>
      <c r="AQ633" s="469"/>
      <c r="AR633" s="469"/>
      <c r="AS633" s="469"/>
      <c r="AT633" s="469"/>
    </row>
    <row r="634" spans="1:46" ht="18" customHeight="1">
      <c r="A634" s="164"/>
      <c r="B634" s="469"/>
      <c r="C634" s="469"/>
      <c r="D634" s="469"/>
      <c r="E634" s="469"/>
      <c r="F634" s="469"/>
      <c r="G634" s="469"/>
      <c r="H634" s="469"/>
      <c r="I634" s="469"/>
      <c r="J634" s="469"/>
      <c r="K634" s="467"/>
      <c r="L634" s="176"/>
      <c r="M634" s="176"/>
      <c r="N634" s="176"/>
      <c r="O634" s="469"/>
      <c r="P634" s="469"/>
      <c r="Q634" s="469"/>
      <c r="R634" s="823" t="e">
        <f ca="1">MAX(L629,L632)</f>
        <v>#N/A</v>
      </c>
      <c r="S634" s="823"/>
      <c r="T634" s="823"/>
      <c r="U634" s="823"/>
      <c r="V634" s="823">
        <f>P629</f>
        <v>0</v>
      </c>
      <c r="W634" s="823"/>
      <c r="X634" s="823"/>
      <c r="Y634" s="823"/>
      <c r="Z634" s="469"/>
      <c r="AA634" s="167"/>
      <c r="AB634" s="469"/>
      <c r="AC634" s="168"/>
      <c r="AD634" s="469"/>
      <c r="AE634" s="168"/>
      <c r="AF634" s="176"/>
      <c r="AG634" s="176"/>
      <c r="AH634" s="168"/>
      <c r="AI634" s="166"/>
      <c r="AJ634" s="469"/>
      <c r="AK634" s="469"/>
      <c r="AL634" s="469"/>
      <c r="AM634" s="469"/>
      <c r="AN634" s="469"/>
      <c r="AO634" s="469"/>
      <c r="AP634" s="469"/>
      <c r="AQ634" s="469"/>
      <c r="AR634" s="469"/>
      <c r="AS634" s="469"/>
      <c r="AT634" s="469"/>
    </row>
    <row r="635" spans="1:46" ht="18" customHeight="1">
      <c r="A635" s="164"/>
      <c r="B635" s="469"/>
      <c r="C635" s="469"/>
      <c r="D635" s="469"/>
      <c r="E635" s="469"/>
      <c r="F635" s="469"/>
      <c r="G635" s="469"/>
      <c r="H635" s="469"/>
      <c r="I635" s="469"/>
      <c r="J635" s="469"/>
      <c r="K635" s="469"/>
      <c r="L635" s="469"/>
      <c r="M635" s="469"/>
      <c r="N635" s="469"/>
      <c r="O635" s="469"/>
      <c r="P635" s="178"/>
      <c r="Q635" s="836" t="e">
        <f>TEXT($AJ$419,"0.000 000 0 ")&amp;$AJ$420</f>
        <v>#DIV/0!</v>
      </c>
      <c r="R635" s="836"/>
      <c r="S635" s="836"/>
      <c r="T635" s="836"/>
      <c r="U635" s="836"/>
      <c r="V635" s="836"/>
      <c r="W635" s="836"/>
      <c r="X635" s="836"/>
      <c r="Y635" s="836"/>
      <c r="Z635" s="836"/>
      <c r="AA635" s="836"/>
      <c r="AB635" s="829" t="s">
        <v>494</v>
      </c>
      <c r="AC635" s="838" t="e">
        <f ca="1">R634</f>
        <v>#N/A</v>
      </c>
      <c r="AD635" s="838"/>
      <c r="AE635" s="838"/>
      <c r="AF635" s="838"/>
      <c r="AG635" s="829" t="s">
        <v>67</v>
      </c>
      <c r="AH635" s="822" t="e">
        <f ca="1">P555</f>
        <v>#N/A</v>
      </c>
      <c r="AI635" s="822"/>
      <c r="AJ635" s="822"/>
      <c r="AK635" s="822"/>
      <c r="AL635" s="823">
        <f>V555</f>
        <v>0</v>
      </c>
      <c r="AM635" s="823"/>
      <c r="AN635" s="823"/>
      <c r="AO635" s="469"/>
      <c r="AP635" s="469"/>
      <c r="AQ635" s="469"/>
      <c r="AR635" s="469"/>
      <c r="AS635" s="469"/>
      <c r="AT635" s="469"/>
    </row>
    <row r="636" spans="1:46" ht="18" customHeight="1">
      <c r="A636" s="164"/>
      <c r="B636" s="469"/>
      <c r="C636" s="469"/>
      <c r="D636" s="469"/>
      <c r="E636" s="469"/>
      <c r="F636" s="469"/>
      <c r="G636" s="469"/>
      <c r="H636" s="469"/>
      <c r="I636" s="469"/>
      <c r="J636" s="469"/>
      <c r="K636" s="469"/>
      <c r="L636" s="469"/>
      <c r="M636" s="469"/>
      <c r="N636" s="469"/>
      <c r="O636" s="469"/>
      <c r="P636" s="178"/>
      <c r="Q636" s="836"/>
      <c r="R636" s="836"/>
      <c r="S636" s="836"/>
      <c r="T636" s="836"/>
      <c r="U636" s="836"/>
      <c r="V636" s="836"/>
      <c r="W636" s="836"/>
      <c r="X636" s="836"/>
      <c r="Y636" s="836"/>
      <c r="Z636" s="836"/>
      <c r="AA636" s="836"/>
      <c r="AB636" s="829"/>
      <c r="AC636" s="177"/>
      <c r="AD636" s="177"/>
      <c r="AE636" s="177"/>
      <c r="AF636" s="177"/>
      <c r="AG636" s="829"/>
      <c r="AH636" s="822"/>
      <c r="AI636" s="822"/>
      <c r="AJ636" s="822"/>
      <c r="AK636" s="822"/>
      <c r="AL636" s="823"/>
      <c r="AM636" s="823"/>
      <c r="AN636" s="823"/>
      <c r="AO636" s="469"/>
      <c r="AP636" s="469"/>
      <c r="AQ636" s="469"/>
      <c r="AR636" s="469"/>
      <c r="AS636" s="469"/>
      <c r="AT636" s="469"/>
    </row>
    <row r="637" spans="1:46" ht="18" customHeight="1">
      <c r="A637" s="164"/>
      <c r="B637" s="469" t="s">
        <v>524</v>
      </c>
      <c r="C637" s="469"/>
      <c r="D637" s="469"/>
      <c r="E637" s="469"/>
      <c r="F637" s="469"/>
      <c r="G637" s="469"/>
      <c r="H637" s="826" t="str">
        <f>X555</f>
        <v>직사각형</v>
      </c>
      <c r="I637" s="826"/>
      <c r="J637" s="826"/>
      <c r="K637" s="826"/>
      <c r="L637" s="826"/>
      <c r="M637" s="469"/>
      <c r="N637" s="469"/>
      <c r="O637" s="469"/>
      <c r="P637" s="469"/>
      <c r="Q637" s="469"/>
      <c r="R637" s="469"/>
      <c r="S637" s="469"/>
      <c r="T637" s="469"/>
      <c r="U637" s="469"/>
      <c r="V637" s="469"/>
      <c r="W637" s="469"/>
      <c r="X637" s="469"/>
      <c r="Y637" s="469"/>
      <c r="Z637" s="469"/>
      <c r="AA637" s="469"/>
      <c r="AB637" s="469"/>
      <c r="AC637" s="469"/>
      <c r="AD637" s="469"/>
      <c r="AE637" s="469"/>
      <c r="AF637" s="469"/>
      <c r="AG637" s="469"/>
      <c r="AH637" s="469"/>
      <c r="AI637" s="469"/>
      <c r="AJ637" s="469"/>
      <c r="AK637" s="469"/>
      <c r="AL637" s="469"/>
      <c r="AM637" s="469"/>
      <c r="AN637" s="469"/>
      <c r="AO637" s="469"/>
      <c r="AP637" s="469"/>
      <c r="AQ637" s="469"/>
      <c r="AR637" s="469"/>
      <c r="AS637" s="469"/>
      <c r="AT637" s="469"/>
    </row>
    <row r="638" spans="1:46" ht="18" customHeight="1">
      <c r="A638" s="164"/>
      <c r="B638" s="826" t="s">
        <v>525</v>
      </c>
      <c r="C638" s="826"/>
      <c r="D638" s="826"/>
      <c r="E638" s="826"/>
      <c r="F638" s="826"/>
      <c r="G638" s="826"/>
      <c r="H638" s="469"/>
      <c r="I638" s="469"/>
      <c r="J638" s="469"/>
      <c r="K638" s="469"/>
      <c r="L638" s="469"/>
      <c r="M638" s="469"/>
      <c r="N638" s="469"/>
      <c r="O638" s="469"/>
      <c r="P638" s="469"/>
      <c r="Q638" s="469"/>
      <c r="R638" s="469"/>
      <c r="S638" s="469"/>
      <c r="T638" s="469"/>
      <c r="U638" s="469"/>
      <c r="V638" s="469"/>
      <c r="W638" s="469"/>
      <c r="X638" s="469"/>
      <c r="Y638" s="469"/>
      <c r="Z638" s="469"/>
      <c r="AA638" s="469"/>
      <c r="AB638" s="469"/>
      <c r="AC638" s="469"/>
      <c r="AD638" s="469"/>
      <c r="AE638" s="469"/>
      <c r="AF638" s="469"/>
      <c r="AG638" s="469"/>
      <c r="AH638" s="469"/>
      <c r="AI638" s="469"/>
      <c r="AJ638" s="469"/>
      <c r="AK638" s="469"/>
      <c r="AL638" s="469"/>
      <c r="AM638" s="469"/>
      <c r="AN638" s="469"/>
      <c r="AO638" s="469"/>
      <c r="AP638" s="469"/>
      <c r="AQ638" s="469"/>
      <c r="AR638" s="469"/>
      <c r="AS638" s="469"/>
      <c r="AT638" s="469"/>
    </row>
    <row r="639" spans="1:46" ht="18" customHeight="1">
      <c r="A639" s="164"/>
      <c r="B639" s="826"/>
      <c r="C639" s="826"/>
      <c r="D639" s="826"/>
      <c r="E639" s="826"/>
      <c r="F639" s="826"/>
      <c r="G639" s="826"/>
      <c r="H639" s="469"/>
      <c r="I639" s="469"/>
      <c r="J639" s="469"/>
      <c r="K639" s="469"/>
      <c r="L639" s="469"/>
      <c r="M639" s="469"/>
      <c r="N639" s="469"/>
      <c r="O639" s="469"/>
      <c r="P639" s="469"/>
      <c r="Q639" s="469"/>
      <c r="R639" s="469"/>
      <c r="S639" s="469"/>
      <c r="T639" s="469"/>
      <c r="U639" s="469"/>
      <c r="V639" s="469"/>
      <c r="W639" s="469"/>
      <c r="X639" s="469"/>
      <c r="Y639" s="469"/>
      <c r="Z639" s="469"/>
      <c r="AA639" s="469"/>
      <c r="AB639" s="469"/>
      <c r="AC639" s="469"/>
      <c r="AD639" s="469"/>
      <c r="AE639" s="469"/>
      <c r="AF639" s="469"/>
      <c r="AG639" s="469"/>
      <c r="AH639" s="469"/>
      <c r="AI639" s="469"/>
      <c r="AJ639" s="469"/>
      <c r="AK639" s="469"/>
      <c r="AL639" s="469"/>
      <c r="AM639" s="469"/>
      <c r="AN639" s="469"/>
      <c r="AO639" s="469"/>
      <c r="AP639" s="469"/>
      <c r="AQ639" s="469"/>
      <c r="AR639" s="469"/>
      <c r="AS639" s="469"/>
      <c r="AT639" s="469"/>
    </row>
    <row r="640" spans="1:46" ht="18" customHeight="1">
      <c r="A640" s="164"/>
      <c r="B640" s="469" t="s">
        <v>526</v>
      </c>
      <c r="C640" s="469"/>
      <c r="D640" s="469"/>
      <c r="E640" s="469"/>
      <c r="F640" s="469"/>
      <c r="G640" s="469"/>
      <c r="H640" s="469"/>
      <c r="I640" s="469"/>
      <c r="J640" s="469"/>
      <c r="K640" s="169" t="s">
        <v>162</v>
      </c>
      <c r="L640" s="823" t="e">
        <f ca="1">AH635</f>
        <v>#N/A</v>
      </c>
      <c r="M640" s="823"/>
      <c r="N640" s="823"/>
      <c r="O640" s="823"/>
      <c r="P640" s="822">
        <f>AL635</f>
        <v>0</v>
      </c>
      <c r="Q640" s="822"/>
      <c r="R640" s="170" t="s">
        <v>528</v>
      </c>
      <c r="S640" s="823" t="e">
        <f ca="1">1*L640</f>
        <v>#N/A</v>
      </c>
      <c r="T640" s="823"/>
      <c r="U640" s="823"/>
      <c r="V640" s="823"/>
      <c r="W640" s="822">
        <f>P640</f>
        <v>0</v>
      </c>
      <c r="X640" s="822"/>
      <c r="Y640" s="468"/>
      <c r="Z640" s="286"/>
      <c r="AA640" s="469"/>
      <c r="AB640" s="469"/>
      <c r="AC640" s="469"/>
      <c r="AD640" s="469"/>
      <c r="AE640" s="469"/>
      <c r="AF640" s="469"/>
      <c r="AG640" s="469"/>
      <c r="AH640" s="469"/>
      <c r="AI640" s="469"/>
      <c r="AJ640" s="469"/>
      <c r="AK640" s="469"/>
      <c r="AL640" s="469"/>
      <c r="AM640" s="469"/>
      <c r="AN640" s="469"/>
      <c r="AO640" s="469"/>
      <c r="AP640" s="469"/>
      <c r="AQ640" s="469"/>
      <c r="AR640" s="469"/>
      <c r="AS640" s="469"/>
      <c r="AT640" s="469"/>
    </row>
    <row r="641" spans="1:46" ht="18" customHeight="1">
      <c r="A641" s="164"/>
      <c r="B641" s="469" t="s">
        <v>529</v>
      </c>
      <c r="C641" s="469"/>
      <c r="D641" s="469"/>
      <c r="E641" s="469"/>
      <c r="F641" s="469"/>
      <c r="G641" s="469"/>
      <c r="H641" s="469"/>
      <c r="I641" s="469"/>
      <c r="J641" s="469"/>
      <c r="K641" s="171"/>
      <c r="P641" s="831">
        <f>AP555</f>
        <v>12.5</v>
      </c>
      <c r="Q641" s="831"/>
      <c r="R641" s="831"/>
      <c r="S641" s="831"/>
      <c r="T641" s="831"/>
      <c r="U641" s="469"/>
      <c r="V641" s="469"/>
      <c r="W641" s="469"/>
      <c r="X641" s="469"/>
      <c r="Y641" s="469"/>
      <c r="Z641" s="469"/>
      <c r="AA641" s="469"/>
      <c r="AB641" s="469"/>
      <c r="AC641" s="469"/>
      <c r="AD641" s="469"/>
      <c r="AE641" s="469"/>
      <c r="AK641" s="469"/>
      <c r="AL641" s="469"/>
      <c r="AM641" s="469"/>
      <c r="AN641" s="469"/>
      <c r="AO641" s="469"/>
      <c r="AP641" s="469"/>
      <c r="AQ641" s="469"/>
      <c r="AR641" s="469"/>
      <c r="AS641" s="469"/>
      <c r="AT641" s="469"/>
    </row>
    <row r="642" spans="1:46" ht="18" customHeight="1">
      <c r="A642" s="164"/>
      <c r="B642" s="469"/>
      <c r="C642" s="469"/>
      <c r="D642" s="469"/>
      <c r="E642" s="469"/>
      <c r="F642" s="469"/>
      <c r="G642" s="469"/>
      <c r="H642" s="469"/>
      <c r="I642" s="469"/>
      <c r="J642" s="469"/>
      <c r="K642" s="171"/>
      <c r="L642" s="471"/>
      <c r="M642" s="471"/>
      <c r="N642" s="471"/>
      <c r="O642" s="471"/>
      <c r="P642" s="831"/>
      <c r="Q642" s="831"/>
      <c r="R642" s="831"/>
      <c r="S642" s="831"/>
      <c r="T642" s="831"/>
      <c r="U642" s="469"/>
      <c r="V642" s="469"/>
      <c r="W642" s="469"/>
      <c r="X642" s="469"/>
      <c r="Y642" s="469"/>
      <c r="Z642" s="469"/>
      <c r="AA642" s="469"/>
      <c r="AB642" s="469"/>
      <c r="AC642" s="469"/>
      <c r="AD642" s="469"/>
      <c r="AE642" s="469"/>
      <c r="AF642" s="469"/>
      <c r="AG642" s="469"/>
      <c r="AH642" s="469"/>
      <c r="AI642" s="469"/>
      <c r="AJ642" s="469"/>
      <c r="AK642" s="469"/>
      <c r="AL642" s="469"/>
      <c r="AM642" s="469"/>
      <c r="AN642" s="469"/>
      <c r="AO642" s="469"/>
      <c r="AP642" s="469"/>
      <c r="AQ642" s="469"/>
      <c r="AR642" s="469"/>
      <c r="AS642" s="469"/>
      <c r="AT642" s="469"/>
    </row>
    <row r="643" spans="1:46" ht="18" customHeight="1">
      <c r="A643" s="164"/>
      <c r="B643" s="469"/>
      <c r="C643" s="469"/>
      <c r="D643" s="469"/>
      <c r="E643" s="469"/>
      <c r="F643" s="469"/>
      <c r="G643" s="469"/>
      <c r="H643" s="469"/>
      <c r="I643" s="469"/>
      <c r="J643" s="469"/>
      <c r="K643" s="469"/>
      <c r="L643" s="469"/>
      <c r="M643" s="469"/>
      <c r="N643" s="469"/>
      <c r="O643" s="469"/>
      <c r="P643" s="469"/>
      <c r="Q643" s="469"/>
      <c r="R643" s="469"/>
      <c r="S643" s="469"/>
      <c r="T643" s="469"/>
      <c r="U643" s="469"/>
      <c r="V643" s="469"/>
      <c r="W643" s="469"/>
      <c r="X643" s="469"/>
      <c r="Y643" s="469"/>
      <c r="Z643" s="469"/>
      <c r="AA643" s="469"/>
      <c r="AB643" s="469"/>
      <c r="AC643" s="469"/>
      <c r="AD643" s="469"/>
      <c r="AE643" s="469"/>
      <c r="AF643" s="469"/>
      <c r="AG643" s="469"/>
      <c r="AH643" s="469"/>
      <c r="AI643" s="469"/>
      <c r="AJ643" s="469"/>
      <c r="AK643" s="469"/>
      <c r="AL643" s="469"/>
      <c r="AM643" s="469"/>
      <c r="AN643" s="469"/>
      <c r="AO643" s="469"/>
      <c r="AP643" s="469"/>
      <c r="AQ643" s="469"/>
      <c r="AR643" s="469"/>
      <c r="AS643" s="469"/>
      <c r="AT643" s="469"/>
    </row>
    <row r="644" spans="1:46" ht="18" customHeight="1">
      <c r="A644" s="164"/>
      <c r="B644" s="164" t="s">
        <v>530</v>
      </c>
      <c r="C644" s="469"/>
      <c r="D644" s="469"/>
      <c r="E644" s="469"/>
      <c r="F644" s="469"/>
      <c r="G644" s="469"/>
      <c r="H644" s="469"/>
      <c r="I644" s="469"/>
      <c r="J644" s="469"/>
      <c r="K644" s="469"/>
      <c r="L644" s="469"/>
      <c r="M644" s="469"/>
      <c r="N644" s="469"/>
      <c r="O644" s="469"/>
      <c r="P644" s="469"/>
      <c r="Q644" s="469"/>
      <c r="R644" s="469"/>
      <c r="S644" s="469"/>
      <c r="T644" s="469"/>
      <c r="U644" s="469"/>
      <c r="V644" s="469"/>
      <c r="W644" s="469"/>
      <c r="X644" s="469"/>
      <c r="Y644" s="469"/>
      <c r="Z644" s="469"/>
      <c r="AA644" s="469"/>
      <c r="AB644" s="469"/>
      <c r="AC644" s="469"/>
      <c r="AD644" s="469"/>
      <c r="AE644" s="469"/>
      <c r="AF644" s="469"/>
      <c r="AG644" s="469"/>
      <c r="AH644" s="469"/>
      <c r="AI644" s="469"/>
      <c r="AJ644" s="469"/>
      <c r="AK644" s="469"/>
      <c r="AL644" s="469"/>
      <c r="AM644" s="469"/>
      <c r="AN644" s="469"/>
      <c r="AO644" s="469"/>
      <c r="AP644" s="469"/>
      <c r="AQ644" s="469"/>
      <c r="AR644" s="469"/>
      <c r="AS644" s="469"/>
      <c r="AT644" s="469"/>
    </row>
    <row r="645" spans="1:46" ht="18" customHeight="1">
      <c r="A645" s="164"/>
      <c r="B645" s="469" t="s">
        <v>167</v>
      </c>
      <c r="C645" s="469"/>
      <c r="D645" s="469"/>
      <c r="E645" s="469"/>
      <c r="F645" s="469"/>
      <c r="G645" s="831">
        <f>I593</f>
        <v>0</v>
      </c>
      <c r="H645" s="831"/>
      <c r="I645" s="831"/>
      <c r="J645" s="831"/>
      <c r="K645" s="831"/>
      <c r="L645" s="825"/>
      <c r="M645" s="825"/>
      <c r="N645" s="825"/>
      <c r="O645" s="825"/>
      <c r="P645" s="825"/>
      <c r="Q645" s="825"/>
      <c r="R645" s="469"/>
      <c r="S645" s="469"/>
      <c r="T645" s="469"/>
      <c r="U645" s="469"/>
      <c r="V645" s="469"/>
      <c r="W645" s="469"/>
      <c r="X645" s="469"/>
      <c r="Y645" s="469"/>
      <c r="Z645" s="469"/>
      <c r="AA645" s="469"/>
      <c r="AB645" s="469"/>
      <c r="AC645" s="469"/>
      <c r="AD645" s="469"/>
      <c r="AE645" s="469"/>
      <c r="AF645" s="469"/>
      <c r="AG645" s="469"/>
      <c r="AH645" s="469"/>
      <c r="AI645" s="469"/>
      <c r="AJ645" s="469"/>
      <c r="AK645" s="469"/>
      <c r="AL645" s="469"/>
      <c r="AM645" s="469"/>
      <c r="AN645" s="469"/>
      <c r="AO645" s="469"/>
      <c r="AP645" s="469"/>
      <c r="AQ645" s="469"/>
      <c r="AR645" s="469"/>
      <c r="AS645" s="469"/>
      <c r="AT645" s="469"/>
    </row>
    <row r="646" spans="1:46" ht="18" customHeight="1">
      <c r="A646" s="164"/>
      <c r="B646" s="469" t="s">
        <v>168</v>
      </c>
      <c r="C646" s="469"/>
      <c r="D646" s="469"/>
      <c r="E646" s="469"/>
      <c r="F646" s="469"/>
      <c r="G646" s="469"/>
      <c r="H646" s="469"/>
      <c r="I646" s="469" t="s">
        <v>169</v>
      </c>
      <c r="J646" s="469"/>
      <c r="K646" s="469"/>
      <c r="L646" s="469"/>
      <c r="M646" s="469"/>
      <c r="N646" s="469"/>
      <c r="O646" s="469"/>
      <c r="P646" s="469"/>
      <c r="Q646" s="469"/>
      <c r="R646" s="469"/>
      <c r="S646" s="469"/>
      <c r="T646" s="469"/>
      <c r="U646" s="167"/>
      <c r="V646" s="167"/>
      <c r="W646" s="167"/>
      <c r="X646" s="469"/>
      <c r="Y646" s="168"/>
      <c r="Z646" s="168"/>
      <c r="AA646" s="168"/>
      <c r="AB646" s="166"/>
      <c r="AC646" s="166"/>
      <c r="AD646" s="469"/>
      <c r="AE646" s="469"/>
      <c r="AF646" s="469"/>
      <c r="AG646" s="469"/>
      <c r="AH646" s="469"/>
      <c r="AI646" s="469"/>
      <c r="AJ646" s="469"/>
      <c r="AK646" s="469"/>
      <c r="AL646" s="469"/>
      <c r="AM646" s="469"/>
      <c r="AN646" s="469"/>
      <c r="AO646" s="469"/>
      <c r="AP646" s="469"/>
      <c r="AQ646" s="469"/>
      <c r="AR646" s="469"/>
      <c r="AS646" s="469"/>
      <c r="AT646" s="469"/>
    </row>
    <row r="647" spans="1:46" ht="18" customHeight="1">
      <c r="A647" s="164"/>
      <c r="B647" s="469"/>
      <c r="C647" s="469"/>
      <c r="D647" s="469"/>
      <c r="E647" s="469"/>
      <c r="F647" s="469"/>
      <c r="G647" s="469"/>
      <c r="H647" s="469"/>
      <c r="I647" s="469"/>
      <c r="J647" s="469"/>
      <c r="K647" s="469"/>
      <c r="L647" s="469"/>
      <c r="M647" s="469"/>
      <c r="N647" s="469"/>
      <c r="O647" s="469"/>
      <c r="P647" s="469"/>
      <c r="Q647" s="469"/>
      <c r="R647" s="469"/>
      <c r="S647" s="469"/>
      <c r="T647" s="469"/>
      <c r="U647" s="167"/>
      <c r="V647" s="167"/>
      <c r="W647" s="167"/>
      <c r="X647" s="469"/>
      <c r="Y647" s="168"/>
      <c r="Z647" s="168"/>
      <c r="AA647" s="822" t="e">
        <f ca="1">Z368</f>
        <v>#N/A</v>
      </c>
      <c r="AB647" s="822"/>
      <c r="AC647" s="822"/>
      <c r="AD647" s="822"/>
      <c r="AE647" s="823">
        <f>Calcu_ADJ!J44</f>
        <v>0</v>
      </c>
      <c r="AF647" s="823"/>
      <c r="AG647" s="823"/>
      <c r="AH647" s="469"/>
      <c r="AI647" s="469"/>
      <c r="AJ647" s="469"/>
      <c r="AK647" s="469"/>
      <c r="AL647" s="469"/>
      <c r="AM647" s="469"/>
      <c r="AN647" s="469"/>
      <c r="AO647" s="469"/>
      <c r="AP647" s="469"/>
      <c r="AQ647" s="469"/>
      <c r="AR647" s="469"/>
      <c r="AS647" s="469"/>
      <c r="AT647" s="469"/>
    </row>
    <row r="648" spans="1:46" ht="18" customHeight="1">
      <c r="A648" s="164"/>
      <c r="B648" s="469"/>
      <c r="C648" s="469"/>
      <c r="D648" s="469"/>
      <c r="E648" s="469"/>
      <c r="F648" s="469"/>
      <c r="G648" s="469"/>
      <c r="H648" s="469"/>
      <c r="I648" s="469"/>
      <c r="J648" s="469"/>
      <c r="K648" s="469"/>
      <c r="L648" s="469"/>
      <c r="M648" s="469"/>
      <c r="N648" s="469"/>
      <c r="O648" s="469"/>
      <c r="P648" s="469"/>
      <c r="Q648" s="469"/>
      <c r="R648" s="469"/>
      <c r="S648" s="469"/>
      <c r="T648" s="469"/>
      <c r="U648" s="167"/>
      <c r="V648" s="167"/>
      <c r="W648" s="167"/>
      <c r="X648" s="469"/>
      <c r="Y648" s="168"/>
      <c r="Z648" s="168"/>
      <c r="AA648" s="822"/>
      <c r="AB648" s="822"/>
      <c r="AC648" s="822"/>
      <c r="AD648" s="822"/>
      <c r="AE648" s="823"/>
      <c r="AF648" s="823"/>
      <c r="AG648" s="823"/>
      <c r="AH648" s="469"/>
      <c r="AI648" s="469"/>
      <c r="AJ648" s="469"/>
      <c r="AK648" s="469"/>
      <c r="AL648" s="469"/>
      <c r="AM648" s="469"/>
      <c r="AN648" s="469"/>
      <c r="AO648" s="469"/>
      <c r="AP648" s="469"/>
      <c r="AQ648" s="469"/>
      <c r="AR648" s="469"/>
      <c r="AS648" s="469"/>
      <c r="AT648" s="469"/>
    </row>
    <row r="649" spans="1:46" ht="18" customHeight="1">
      <c r="A649" s="164"/>
      <c r="B649" s="469"/>
      <c r="C649" s="469"/>
      <c r="D649" s="469"/>
      <c r="E649" s="469"/>
      <c r="F649" s="469"/>
      <c r="G649" s="469"/>
      <c r="H649" s="469"/>
      <c r="I649" s="469"/>
      <c r="J649" s="469"/>
      <c r="K649" s="469"/>
      <c r="L649" s="469"/>
      <c r="M649" s="469"/>
      <c r="N649" s="469"/>
      <c r="O649" s="469"/>
      <c r="P649" s="178"/>
      <c r="Q649" s="836" t="e">
        <f>TEXT($AJ$419,"0.000 000 0 ")&amp;$AJ$420</f>
        <v>#DIV/0!</v>
      </c>
      <c r="R649" s="836"/>
      <c r="S649" s="836"/>
      <c r="T649" s="836"/>
      <c r="U649" s="836"/>
      <c r="V649" s="836"/>
      <c r="W649" s="836"/>
      <c r="X649" s="836"/>
      <c r="Y649" s="836"/>
      <c r="Z649" s="836"/>
      <c r="AA649" s="836"/>
      <c r="AB649" s="829" t="s">
        <v>531</v>
      </c>
      <c r="AC649" s="838" t="e">
        <f ca="1">ABS(AA647)</f>
        <v>#N/A</v>
      </c>
      <c r="AD649" s="838"/>
      <c r="AE649" s="838"/>
      <c r="AF649" s="838"/>
      <c r="AG649" s="829" t="s">
        <v>532</v>
      </c>
      <c r="AH649" s="822" t="e">
        <f ca="1">P556</f>
        <v>#N/A</v>
      </c>
      <c r="AI649" s="822"/>
      <c r="AJ649" s="822"/>
      <c r="AK649" s="822"/>
      <c r="AL649" s="823">
        <f>V556</f>
        <v>0</v>
      </c>
      <c r="AM649" s="823"/>
      <c r="AN649" s="823"/>
      <c r="AO649" s="469"/>
      <c r="AP649" s="469"/>
      <c r="AQ649" s="469"/>
      <c r="AR649" s="469"/>
      <c r="AS649" s="469"/>
      <c r="AT649" s="469"/>
    </row>
    <row r="650" spans="1:46" ht="18" customHeight="1">
      <c r="A650" s="164"/>
      <c r="B650" s="469"/>
      <c r="C650" s="469"/>
      <c r="D650" s="469"/>
      <c r="E650" s="469"/>
      <c r="F650" s="469"/>
      <c r="G650" s="469"/>
      <c r="H650" s="469"/>
      <c r="I650" s="469"/>
      <c r="J650" s="469"/>
      <c r="K650" s="469"/>
      <c r="L650" s="469"/>
      <c r="M650" s="469"/>
      <c r="N650" s="469"/>
      <c r="O650" s="469"/>
      <c r="P650" s="178"/>
      <c r="Q650" s="836"/>
      <c r="R650" s="836"/>
      <c r="S650" s="836"/>
      <c r="T650" s="836"/>
      <c r="U650" s="836"/>
      <c r="V650" s="836"/>
      <c r="W650" s="836"/>
      <c r="X650" s="836"/>
      <c r="Y650" s="836"/>
      <c r="Z650" s="836"/>
      <c r="AA650" s="836"/>
      <c r="AB650" s="829"/>
      <c r="AC650" s="177"/>
      <c r="AD650" s="177"/>
      <c r="AE650" s="177"/>
      <c r="AF650" s="177"/>
      <c r="AG650" s="829"/>
      <c r="AH650" s="822"/>
      <c r="AI650" s="822"/>
      <c r="AJ650" s="822"/>
      <c r="AK650" s="822"/>
      <c r="AL650" s="823"/>
      <c r="AM650" s="823"/>
      <c r="AN650" s="823"/>
      <c r="AO650" s="469"/>
      <c r="AP650" s="469"/>
      <c r="AQ650" s="469"/>
      <c r="AR650" s="469"/>
      <c r="AS650" s="469"/>
      <c r="AT650" s="469"/>
    </row>
    <row r="651" spans="1:46" ht="18" customHeight="1">
      <c r="A651" s="164"/>
      <c r="B651" s="469" t="s">
        <v>533</v>
      </c>
      <c r="C651" s="469"/>
      <c r="D651" s="469"/>
      <c r="E651" s="469"/>
      <c r="F651" s="469"/>
      <c r="G651" s="469"/>
      <c r="H651" s="826" t="str">
        <f>X556</f>
        <v>직사각형</v>
      </c>
      <c r="I651" s="826"/>
      <c r="J651" s="826"/>
      <c r="K651" s="826"/>
      <c r="L651" s="826"/>
      <c r="M651" s="469"/>
      <c r="N651" s="469"/>
      <c r="O651" s="469"/>
      <c r="P651" s="469"/>
      <c r="Q651" s="469"/>
      <c r="R651" s="469"/>
      <c r="S651" s="469"/>
      <c r="T651" s="469"/>
      <c r="U651" s="469"/>
      <c r="V651" s="469"/>
      <c r="W651" s="469"/>
      <c r="X651" s="469"/>
      <c r="Y651" s="469"/>
      <c r="Z651" s="469"/>
      <c r="AA651" s="469"/>
      <c r="AB651" s="469"/>
      <c r="AC651" s="469"/>
      <c r="AD651" s="469"/>
      <c r="AE651" s="469"/>
      <c r="AF651" s="469"/>
      <c r="AG651" s="469"/>
      <c r="AH651" s="469"/>
      <c r="AI651" s="469"/>
      <c r="AJ651" s="469"/>
      <c r="AK651" s="469"/>
      <c r="AL651" s="469"/>
      <c r="AM651" s="469"/>
      <c r="AN651" s="469"/>
      <c r="AO651" s="469"/>
      <c r="AP651" s="469"/>
      <c r="AQ651" s="469"/>
      <c r="AR651" s="469"/>
      <c r="AS651" s="469"/>
      <c r="AT651" s="469"/>
    </row>
    <row r="652" spans="1:46" ht="18" customHeight="1">
      <c r="A652" s="164"/>
      <c r="B652" s="826" t="s">
        <v>170</v>
      </c>
      <c r="C652" s="826"/>
      <c r="D652" s="826"/>
      <c r="E652" s="826"/>
      <c r="F652" s="826"/>
      <c r="G652" s="826"/>
      <c r="H652" s="469"/>
      <c r="I652" s="469"/>
      <c r="J652" s="469"/>
      <c r="K652" s="469"/>
      <c r="L652" s="469"/>
      <c r="M652" s="469"/>
      <c r="N652" s="469"/>
      <c r="O652" s="469"/>
      <c r="P652" s="469"/>
      <c r="Q652" s="469"/>
      <c r="R652" s="469"/>
      <c r="S652" s="469"/>
      <c r="T652" s="469"/>
      <c r="U652" s="469"/>
      <c r="V652" s="469"/>
      <c r="W652" s="469"/>
      <c r="X652" s="469"/>
      <c r="Y652" s="469"/>
      <c r="Z652" s="469"/>
      <c r="AA652" s="469"/>
      <c r="AB652" s="469"/>
      <c r="AC652" s="469"/>
      <c r="AD652" s="469"/>
      <c r="AE652" s="469"/>
      <c r="AF652" s="469"/>
      <c r="AG652" s="469"/>
      <c r="AH652" s="469"/>
      <c r="AI652" s="469"/>
      <c r="AJ652" s="469"/>
      <c r="AK652" s="469"/>
      <c r="AL652" s="469"/>
      <c r="AM652" s="469"/>
      <c r="AN652" s="469"/>
      <c r="AO652" s="469"/>
      <c r="AP652" s="469"/>
      <c r="AQ652" s="469"/>
      <c r="AR652" s="469"/>
      <c r="AS652" s="469"/>
      <c r="AT652" s="469"/>
    </row>
    <row r="653" spans="1:46" ht="18" customHeight="1">
      <c r="A653" s="164"/>
      <c r="B653" s="826"/>
      <c r="C653" s="826"/>
      <c r="D653" s="826"/>
      <c r="E653" s="826"/>
      <c r="F653" s="826"/>
      <c r="G653" s="826"/>
      <c r="H653" s="469"/>
      <c r="I653" s="469"/>
      <c r="J653" s="469"/>
      <c r="K653" s="469"/>
      <c r="L653" s="469"/>
      <c r="M653" s="469"/>
      <c r="N653" s="469"/>
      <c r="O653" s="469"/>
      <c r="P653" s="469"/>
      <c r="Q653" s="469"/>
      <c r="R653" s="469"/>
      <c r="S653" s="469"/>
      <c r="T653" s="469"/>
      <c r="U653" s="469"/>
      <c r="V653" s="469"/>
      <c r="W653" s="469"/>
      <c r="X653" s="469"/>
      <c r="Y653" s="469"/>
      <c r="Z653" s="469"/>
      <c r="AA653" s="469"/>
      <c r="AB653" s="469"/>
      <c r="AC653" s="469"/>
      <c r="AD653" s="469"/>
      <c r="AE653" s="469"/>
      <c r="AF653" s="469"/>
      <c r="AG653" s="469"/>
      <c r="AH653" s="469"/>
      <c r="AI653" s="469"/>
      <c r="AJ653" s="469"/>
      <c r="AK653" s="469"/>
      <c r="AL653" s="469"/>
      <c r="AM653" s="469"/>
      <c r="AN653" s="469"/>
      <c r="AO653" s="469"/>
      <c r="AP653" s="469"/>
      <c r="AQ653" s="469"/>
      <c r="AR653" s="469"/>
      <c r="AS653" s="469"/>
      <c r="AT653" s="469"/>
    </row>
    <row r="654" spans="1:46" ht="18" customHeight="1">
      <c r="A654" s="164"/>
      <c r="B654" s="469" t="s">
        <v>534</v>
      </c>
      <c r="C654" s="469"/>
      <c r="D654" s="469"/>
      <c r="E654" s="469"/>
      <c r="F654" s="469"/>
      <c r="G654" s="469"/>
      <c r="H654" s="469"/>
      <c r="I654" s="469"/>
      <c r="J654" s="469"/>
      <c r="K654" s="169" t="s">
        <v>162</v>
      </c>
      <c r="L654" s="823" t="e">
        <f ca="1">AH649</f>
        <v>#N/A</v>
      </c>
      <c r="M654" s="823"/>
      <c r="N654" s="823"/>
      <c r="O654" s="823"/>
      <c r="P654" s="822">
        <f>AL649</f>
        <v>0</v>
      </c>
      <c r="Q654" s="822"/>
      <c r="R654" s="170" t="s">
        <v>67</v>
      </c>
      <c r="S654" s="823" t="e">
        <f ca="1">1*L654</f>
        <v>#N/A</v>
      </c>
      <c r="T654" s="823"/>
      <c r="U654" s="823"/>
      <c r="V654" s="823"/>
      <c r="W654" s="822">
        <f>P654</f>
        <v>0</v>
      </c>
      <c r="X654" s="822"/>
      <c r="Y654" s="468"/>
      <c r="Z654" s="286"/>
      <c r="AA654" s="469"/>
      <c r="AB654" s="469"/>
      <c r="AC654" s="469"/>
      <c r="AD654" s="469"/>
      <c r="AE654" s="469"/>
      <c r="AF654" s="469"/>
      <c r="AG654" s="469"/>
      <c r="AH654" s="469"/>
      <c r="AI654" s="469"/>
      <c r="AJ654" s="469"/>
      <c r="AK654" s="469"/>
      <c r="AL654" s="469"/>
      <c r="AM654" s="469"/>
      <c r="AN654" s="469"/>
      <c r="AO654" s="469"/>
      <c r="AP654" s="469"/>
      <c r="AQ654" s="469"/>
      <c r="AR654" s="469"/>
      <c r="AS654" s="469"/>
      <c r="AT654" s="469"/>
    </row>
    <row r="655" spans="1:46" ht="18" customHeight="1">
      <c r="A655" s="164"/>
      <c r="B655" s="469" t="s">
        <v>535</v>
      </c>
      <c r="C655" s="469"/>
      <c r="D655" s="469"/>
      <c r="E655" s="469"/>
      <c r="F655" s="469"/>
      <c r="G655" s="469"/>
      <c r="H655" s="469"/>
      <c r="I655" s="469"/>
      <c r="J655" s="469"/>
      <c r="K655" s="171"/>
      <c r="P655" s="831">
        <f>AP556</f>
        <v>12.5</v>
      </c>
      <c r="Q655" s="831"/>
      <c r="R655" s="831"/>
      <c r="S655" s="831"/>
      <c r="T655" s="831"/>
      <c r="U655" s="469"/>
      <c r="V655" s="469"/>
      <c r="W655" s="469"/>
      <c r="X655" s="469"/>
      <c r="Y655" s="469"/>
      <c r="Z655" s="469"/>
      <c r="AA655" s="469"/>
      <c r="AB655" s="469"/>
      <c r="AC655" s="469"/>
      <c r="AD655" s="469"/>
      <c r="AE655" s="469"/>
      <c r="AF655" s="469"/>
      <c r="AG655" s="469"/>
      <c r="AH655" s="469"/>
      <c r="AI655" s="469"/>
      <c r="AJ655" s="469"/>
      <c r="AK655" s="469"/>
      <c r="AL655" s="469"/>
      <c r="AM655" s="469"/>
      <c r="AN655" s="469"/>
      <c r="AO655" s="469"/>
      <c r="AP655" s="469"/>
      <c r="AQ655" s="469"/>
      <c r="AR655" s="469"/>
      <c r="AS655" s="469"/>
      <c r="AT655" s="469"/>
    </row>
    <row r="656" spans="1:46" ht="18" customHeight="1">
      <c r="A656" s="164"/>
      <c r="B656" s="469"/>
      <c r="C656" s="469"/>
      <c r="D656" s="469"/>
      <c r="E656" s="469"/>
      <c r="F656" s="469"/>
      <c r="G656" s="469"/>
      <c r="H656" s="469"/>
      <c r="I656" s="469"/>
      <c r="J656" s="469"/>
      <c r="K656" s="171"/>
      <c r="L656" s="471"/>
      <c r="M656" s="471"/>
      <c r="N656" s="471"/>
      <c r="O656" s="471"/>
      <c r="P656" s="831"/>
      <c r="Q656" s="831"/>
      <c r="R656" s="831"/>
      <c r="S656" s="831"/>
      <c r="T656" s="831"/>
      <c r="U656" s="469"/>
      <c r="V656" s="469"/>
      <c r="W656" s="469"/>
      <c r="X656" s="469"/>
      <c r="Y656" s="469"/>
      <c r="Z656" s="469"/>
      <c r="AA656" s="469"/>
      <c r="AB656" s="469"/>
      <c r="AC656" s="469"/>
      <c r="AD656" s="469"/>
      <c r="AE656" s="469"/>
      <c r="AF656" s="469"/>
      <c r="AG656" s="469"/>
      <c r="AH656" s="469"/>
      <c r="AI656" s="469"/>
      <c r="AJ656" s="469"/>
      <c r="AK656" s="469"/>
      <c r="AL656" s="469"/>
      <c r="AM656" s="469"/>
      <c r="AN656" s="469"/>
      <c r="AO656" s="469"/>
      <c r="AP656" s="469"/>
      <c r="AQ656" s="469"/>
      <c r="AR656" s="469"/>
      <c r="AS656" s="469"/>
      <c r="AT656" s="469"/>
    </row>
    <row r="657" spans="1:46" ht="18" customHeight="1">
      <c r="A657" s="164"/>
      <c r="B657" s="164"/>
      <c r="C657" s="469"/>
      <c r="D657" s="469"/>
      <c r="E657" s="469"/>
      <c r="F657" s="469"/>
      <c r="G657" s="469"/>
      <c r="H657" s="469"/>
      <c r="I657" s="469"/>
      <c r="J657" s="469"/>
      <c r="K657" s="469"/>
      <c r="L657" s="469"/>
      <c r="M657" s="469"/>
      <c r="N657" s="469"/>
      <c r="O657" s="469"/>
      <c r="P657" s="469"/>
      <c r="Q657" s="469"/>
      <c r="R657" s="469"/>
      <c r="S657" s="469"/>
      <c r="T657" s="469"/>
      <c r="U657" s="469"/>
      <c r="V657" s="469"/>
      <c r="W657" s="469"/>
      <c r="X657" s="469"/>
      <c r="Y657" s="469"/>
      <c r="Z657" s="469"/>
      <c r="AA657" s="469"/>
      <c r="AB657" s="469"/>
      <c r="AC657" s="469"/>
      <c r="AD657" s="469"/>
      <c r="AE657" s="469"/>
      <c r="AF657" s="469"/>
      <c r="AG657" s="469"/>
      <c r="AH657" s="469"/>
      <c r="AI657" s="469"/>
      <c r="AJ657" s="469"/>
      <c r="AK657" s="469"/>
      <c r="AL657" s="469"/>
      <c r="AM657" s="469"/>
      <c r="AN657" s="469"/>
      <c r="AO657" s="469"/>
      <c r="AP657" s="469"/>
      <c r="AQ657" s="469"/>
      <c r="AR657" s="469"/>
      <c r="AS657" s="469"/>
      <c r="AT657" s="469"/>
    </row>
    <row r="658" spans="1:46" s="180" customFormat="1" ht="18" customHeight="1">
      <c r="A658" s="164" t="s">
        <v>536</v>
      </c>
      <c r="B658" s="472"/>
      <c r="C658" s="472"/>
      <c r="D658" s="472"/>
      <c r="E658" s="472"/>
      <c r="F658" s="472"/>
      <c r="G658" s="472"/>
      <c r="H658" s="472"/>
      <c r="I658" s="472"/>
      <c r="J658" s="472"/>
      <c r="K658" s="472"/>
      <c r="L658" s="472"/>
      <c r="M658" s="472"/>
      <c r="N658" s="472"/>
      <c r="O658" s="472"/>
      <c r="P658" s="472"/>
      <c r="Q658" s="472"/>
      <c r="R658" s="472"/>
      <c r="S658" s="472"/>
      <c r="T658" s="472"/>
      <c r="U658" s="179"/>
      <c r="V658" s="160"/>
      <c r="W658" s="160"/>
      <c r="X658" s="160"/>
      <c r="Y658" s="160"/>
      <c r="Z658" s="160"/>
      <c r="AA658" s="160"/>
      <c r="AB658" s="160"/>
      <c r="AC658" s="160"/>
      <c r="AD658" s="160"/>
      <c r="AE658" s="160"/>
      <c r="AK658" s="160"/>
      <c r="AL658" s="160"/>
      <c r="AM658" s="160"/>
      <c r="AN658" s="160"/>
      <c r="AO658" s="472"/>
      <c r="AP658" s="472"/>
      <c r="AQ658" s="472"/>
      <c r="AR658" s="472"/>
      <c r="AS658" s="472"/>
      <c r="AT658" s="472"/>
    </row>
    <row r="659" spans="1:46" s="180" customFormat="1" ht="18" customHeight="1">
      <c r="A659" s="472"/>
      <c r="B659" s="472"/>
      <c r="C659" s="472"/>
      <c r="D659" s="472"/>
      <c r="E659" s="472"/>
      <c r="F659" s="472"/>
      <c r="G659" s="472"/>
      <c r="H659" s="472"/>
      <c r="I659" s="472"/>
      <c r="J659" s="472"/>
      <c r="K659" s="472"/>
      <c r="L659" s="472"/>
      <c r="M659" s="472"/>
      <c r="N659" s="472"/>
      <c r="O659" s="472"/>
      <c r="P659" s="472"/>
      <c r="Q659" s="472"/>
      <c r="R659" s="472"/>
      <c r="S659" s="472"/>
      <c r="T659" s="472"/>
      <c r="U659" s="472"/>
      <c r="V659" s="472"/>
      <c r="W659" s="472"/>
      <c r="X659" s="472"/>
      <c r="Y659" s="472"/>
      <c r="Z659" s="472"/>
      <c r="AA659" s="472"/>
      <c r="AB659" s="472"/>
      <c r="AC659" s="472"/>
      <c r="AD659" s="472"/>
      <c r="AE659" s="472"/>
      <c r="AF659" s="472"/>
      <c r="AG659" s="160"/>
      <c r="AH659" s="472"/>
      <c r="AI659" s="472"/>
      <c r="AJ659" s="472"/>
      <c r="AK659" s="472"/>
      <c r="AL659" s="472"/>
      <c r="AM659" s="472"/>
      <c r="AN659" s="472"/>
      <c r="AO659" s="472"/>
      <c r="AP659" s="472"/>
      <c r="AQ659" s="472"/>
      <c r="AR659" s="472"/>
      <c r="AS659" s="472"/>
      <c r="AT659" s="472"/>
    </row>
    <row r="660" spans="1:46" s="180" customFormat="1" ht="18" customHeight="1">
      <c r="A660" s="160"/>
      <c r="B660" s="160"/>
      <c r="C660" s="160"/>
      <c r="D660" s="160"/>
      <c r="E660" s="472" t="s">
        <v>67</v>
      </c>
      <c r="F660" s="160"/>
      <c r="G660" s="839" t="e">
        <f ca="1">S581</f>
        <v>#N/A</v>
      </c>
      <c r="H660" s="839"/>
      <c r="I660" s="839"/>
      <c r="J660" s="839"/>
      <c r="K660" s="839"/>
      <c r="L660" s="193"/>
      <c r="M660" s="834" t="s">
        <v>148</v>
      </c>
      <c r="N660" s="834"/>
      <c r="O660" s="839" t="e">
        <f ca="1">S592</f>
        <v>#N/A</v>
      </c>
      <c r="P660" s="839"/>
      <c r="Q660" s="839"/>
      <c r="R660" s="839"/>
      <c r="S660" s="839"/>
      <c r="T660" s="193"/>
      <c r="U660" s="160"/>
      <c r="V660" s="181"/>
      <c r="W660" s="181"/>
      <c r="X660" s="160"/>
      <c r="Y660" s="182"/>
      <c r="Z660" s="193"/>
      <c r="AA660" s="193"/>
      <c r="AB660" s="193"/>
      <c r="AC660" s="193"/>
      <c r="AD660" s="193"/>
      <c r="AE660" s="181"/>
      <c r="AF660" s="181"/>
      <c r="AG660" s="181"/>
      <c r="AH660" s="181"/>
      <c r="AI660" s="181"/>
      <c r="AJ660" s="181"/>
      <c r="AK660" s="182"/>
      <c r="AL660" s="181"/>
      <c r="AM660" s="181"/>
      <c r="AN660" s="181"/>
      <c r="AO660" s="181"/>
      <c r="AP660" s="181"/>
      <c r="AQ660" s="181"/>
      <c r="AR660" s="181"/>
      <c r="AS660" s="183"/>
      <c r="AT660" s="160"/>
    </row>
    <row r="661" spans="1:46" s="184" customFormat="1" ht="18" customHeight="1">
      <c r="A661" s="160"/>
      <c r="B661" s="160"/>
      <c r="C661" s="160"/>
      <c r="D661" s="160"/>
      <c r="E661" s="472" t="s">
        <v>532</v>
      </c>
      <c r="F661" s="160"/>
      <c r="G661" s="839" t="e">
        <f ca="1">SQRT(SUMSQ(G660,O660))</f>
        <v>#N/A</v>
      </c>
      <c r="H661" s="839"/>
      <c r="I661" s="839"/>
      <c r="J661" s="839"/>
      <c r="K661" s="839"/>
      <c r="L661" s="193"/>
      <c r="M661" s="160"/>
      <c r="N661" s="472"/>
      <c r="O661" s="472"/>
      <c r="P661" s="472"/>
      <c r="Q661" s="472"/>
      <c r="R661" s="472"/>
      <c r="S661" s="472"/>
      <c r="T661" s="472"/>
      <c r="U661" s="472"/>
      <c r="V661" s="472"/>
      <c r="W661" s="472"/>
      <c r="X661" s="472"/>
      <c r="Y661" s="160"/>
      <c r="Z661" s="160"/>
      <c r="AA661" s="160"/>
      <c r="AB661" s="160"/>
      <c r="AC661" s="160"/>
      <c r="AD661" s="160"/>
      <c r="AE661" s="472"/>
      <c r="AF661" s="160"/>
      <c r="AG661" s="160"/>
      <c r="AH661" s="160"/>
      <c r="AI661" s="160"/>
      <c r="AJ661" s="160"/>
      <c r="AK661" s="160"/>
      <c r="AL661" s="160"/>
      <c r="AM661" s="160"/>
      <c r="AN661" s="160"/>
      <c r="AO661" s="160"/>
      <c r="AP661" s="160"/>
      <c r="AQ661" s="160"/>
      <c r="AR661" s="160"/>
      <c r="AS661" s="160"/>
      <c r="AT661" s="160"/>
    </row>
    <row r="662" spans="1:46" s="160" customFormat="1" ht="18" customHeight="1">
      <c r="E662" s="472"/>
      <c r="F662" s="185"/>
      <c r="G662" s="185"/>
      <c r="H662" s="185"/>
      <c r="I662" s="185"/>
    </row>
    <row r="663" spans="1:46" s="160" customFormat="1" ht="18" customHeight="1">
      <c r="E663" s="186" t="s">
        <v>538</v>
      </c>
      <c r="F663" s="840" t="e">
        <f ca="1">G661</f>
        <v>#N/A</v>
      </c>
      <c r="G663" s="840"/>
      <c r="H663" s="840"/>
      <c r="I663" s="840"/>
      <c r="J663" s="822">
        <f>AM557</f>
        <v>0</v>
      </c>
      <c r="K663" s="822"/>
      <c r="L663" s="473"/>
      <c r="M663" s="473"/>
      <c r="P663" s="468"/>
      <c r="Q663" s="286"/>
      <c r="R663" s="469"/>
      <c r="S663" s="469"/>
      <c r="T663" s="469"/>
      <c r="U663" s="469"/>
      <c r="V663" s="469"/>
      <c r="AN663" s="187"/>
      <c r="AO663" s="187"/>
      <c r="AP663" s="187"/>
      <c r="AQ663" s="187"/>
      <c r="AR663" s="187"/>
      <c r="AS663" s="187"/>
    </row>
    <row r="664" spans="1:46" s="160" customFormat="1" ht="18" customHeight="1">
      <c r="E664" s="186"/>
      <c r="F664" s="188"/>
      <c r="G664" s="188"/>
      <c r="H664" s="188"/>
      <c r="I664" s="188"/>
      <c r="J664" s="188"/>
      <c r="K664" s="188"/>
      <c r="L664" s="188"/>
      <c r="M664" s="188"/>
      <c r="AN664" s="187"/>
      <c r="AO664" s="187"/>
      <c r="AP664" s="187"/>
      <c r="AQ664" s="187"/>
      <c r="AR664" s="187"/>
      <c r="AS664" s="187"/>
    </row>
    <row r="665" spans="1:46" ht="18" customHeight="1">
      <c r="A665" s="194" t="s">
        <v>618</v>
      </c>
      <c r="B665" s="469"/>
      <c r="C665" s="469"/>
      <c r="D665" s="469"/>
      <c r="E665" s="469"/>
      <c r="F665" s="469"/>
      <c r="G665" s="469"/>
      <c r="H665" s="469"/>
      <c r="I665" s="469"/>
      <c r="J665" s="469"/>
      <c r="K665" s="469"/>
      <c r="L665" s="469"/>
      <c r="M665" s="469"/>
      <c r="N665" s="469"/>
      <c r="O665" s="469"/>
      <c r="P665" s="469"/>
      <c r="Q665" s="469"/>
      <c r="R665" s="469"/>
      <c r="S665" s="469"/>
      <c r="T665" s="469"/>
      <c r="U665" s="469"/>
      <c r="V665" s="469"/>
      <c r="W665" s="469"/>
      <c r="X665" s="469"/>
      <c r="Y665" s="469"/>
      <c r="Z665" s="469"/>
      <c r="AA665" s="469"/>
      <c r="AB665" s="469"/>
      <c r="AC665" s="469"/>
      <c r="AD665" s="469"/>
      <c r="AE665" s="469"/>
      <c r="AF665" s="469"/>
      <c r="AG665" s="469"/>
      <c r="AH665" s="469"/>
      <c r="AI665" s="469"/>
      <c r="AJ665" s="469"/>
      <c r="AK665" s="469"/>
      <c r="AL665" s="469"/>
      <c r="AM665" s="469"/>
      <c r="AN665" s="469"/>
      <c r="AO665" s="469"/>
      <c r="AP665" s="469"/>
      <c r="AQ665" s="469"/>
      <c r="AR665" s="469"/>
      <c r="AS665" s="469"/>
      <c r="AT665" s="469"/>
    </row>
    <row r="666" spans="1:46" ht="18" customHeight="1">
      <c r="A666" s="469"/>
      <c r="B666" s="847" t="s">
        <v>137</v>
      </c>
      <c r="C666" s="848"/>
      <c r="D666" s="625" t="s">
        <v>626</v>
      </c>
      <c r="E666" s="711"/>
      <c r="F666" s="711"/>
      <c r="G666" s="711"/>
      <c r="H666" s="711"/>
      <c r="I666" s="711"/>
      <c r="J666" s="711"/>
      <c r="K666" s="711"/>
      <c r="L666" s="711"/>
      <c r="M666" s="712"/>
      <c r="N666" s="720" t="s">
        <v>627</v>
      </c>
      <c r="O666" s="720"/>
      <c r="P666" s="720"/>
      <c r="Q666" s="720"/>
      <c r="R666" s="720"/>
      <c r="S666" s="720"/>
      <c r="T666" s="720"/>
      <c r="U666" s="720"/>
      <c r="V666" s="720"/>
      <c r="W666" s="720"/>
      <c r="X666" s="720"/>
      <c r="Y666" s="720"/>
      <c r="Z666" s="720"/>
      <c r="AA666" s="720"/>
      <c r="AB666" s="720"/>
      <c r="AC666" s="720"/>
      <c r="AD666" s="720"/>
      <c r="AE666" s="720"/>
      <c r="AF666" s="720"/>
      <c r="AG666" s="720"/>
      <c r="AH666" s="720"/>
      <c r="AI666" s="720"/>
      <c r="AJ666" s="720"/>
      <c r="AK666" s="720"/>
      <c r="AL666" s="720"/>
      <c r="AM666" s="720" t="s">
        <v>628</v>
      </c>
      <c r="AN666" s="720"/>
      <c r="AO666" s="720"/>
      <c r="AP666" s="720"/>
      <c r="AQ666" s="720"/>
      <c r="AR666" s="720"/>
      <c r="AS666" s="720"/>
    </row>
    <row r="667" spans="1:46" ht="18" customHeight="1">
      <c r="A667" s="469"/>
      <c r="B667" s="658"/>
      <c r="C667" s="709"/>
      <c r="D667" s="849" t="s">
        <v>629</v>
      </c>
      <c r="E667" s="850"/>
      <c r="F667" s="850"/>
      <c r="G667" s="850"/>
      <c r="H667" s="851"/>
      <c r="I667" s="847" t="s">
        <v>630</v>
      </c>
      <c r="J667" s="850"/>
      <c r="K667" s="850"/>
      <c r="L667" s="850"/>
      <c r="M667" s="851"/>
      <c r="N667" s="625" t="s">
        <v>621</v>
      </c>
      <c r="O667" s="711"/>
      <c r="P667" s="711"/>
      <c r="Q667" s="711"/>
      <c r="R667" s="711"/>
      <c r="S667" s="711"/>
      <c r="T667" s="711"/>
      <c r="U667" s="711"/>
      <c r="V667" s="711"/>
      <c r="W667" s="711"/>
      <c r="X667" s="711"/>
      <c r="Y667" s="711"/>
      <c r="Z667" s="711"/>
      <c r="AA667" s="711"/>
      <c r="AB667" s="711"/>
      <c r="AC667" s="711"/>
      <c r="AD667" s="711"/>
      <c r="AE667" s="711"/>
      <c r="AF667" s="711"/>
      <c r="AG667" s="712"/>
      <c r="AH667" s="841" t="s">
        <v>620</v>
      </c>
      <c r="AI667" s="842"/>
      <c r="AJ667" s="842"/>
      <c r="AK667" s="842"/>
      <c r="AL667" s="843"/>
      <c r="AM667" s="847" t="s">
        <v>619</v>
      </c>
      <c r="AN667" s="858"/>
      <c r="AO667" s="858"/>
      <c r="AP667" s="858"/>
      <c r="AQ667" s="848"/>
      <c r="AR667" s="841" t="s">
        <v>631</v>
      </c>
      <c r="AS667" s="843"/>
    </row>
    <row r="668" spans="1:46" ht="18" customHeight="1">
      <c r="A668" s="469"/>
      <c r="B668" s="658"/>
      <c r="C668" s="709"/>
      <c r="D668" s="767"/>
      <c r="E668" s="834"/>
      <c r="F668" s="834"/>
      <c r="G668" s="834"/>
      <c r="H668" s="768"/>
      <c r="I668" s="767"/>
      <c r="J668" s="834"/>
      <c r="K668" s="834"/>
      <c r="L668" s="834"/>
      <c r="M668" s="768"/>
      <c r="N668" s="841" t="s">
        <v>632</v>
      </c>
      <c r="O668" s="842"/>
      <c r="P668" s="842"/>
      <c r="Q668" s="842"/>
      <c r="R668" s="843"/>
      <c r="S668" s="841" t="s">
        <v>362</v>
      </c>
      <c r="T668" s="842"/>
      <c r="U668" s="842"/>
      <c r="V668" s="842"/>
      <c r="W668" s="843"/>
      <c r="X668" s="841" t="s">
        <v>633</v>
      </c>
      <c r="Y668" s="842"/>
      <c r="Z668" s="842"/>
      <c r="AA668" s="842"/>
      <c r="AB668" s="843"/>
      <c r="AC668" s="841" t="s">
        <v>70</v>
      </c>
      <c r="AD668" s="842"/>
      <c r="AE668" s="842"/>
      <c r="AF668" s="842"/>
      <c r="AG668" s="843"/>
      <c r="AH668" s="855"/>
      <c r="AI668" s="856"/>
      <c r="AJ668" s="856"/>
      <c r="AK668" s="856"/>
      <c r="AL668" s="857"/>
      <c r="AM668" s="658"/>
      <c r="AN668" s="681"/>
      <c r="AO668" s="681"/>
      <c r="AP668" s="681"/>
      <c r="AQ668" s="709"/>
      <c r="AR668" s="855"/>
      <c r="AS668" s="857"/>
    </row>
    <row r="669" spans="1:46" ht="18" customHeight="1">
      <c r="A669" s="469"/>
      <c r="B669" s="658"/>
      <c r="C669" s="709"/>
      <c r="D669" s="852"/>
      <c r="E669" s="853"/>
      <c r="F669" s="853"/>
      <c r="G669" s="853"/>
      <c r="H669" s="854"/>
      <c r="I669" s="852"/>
      <c r="J669" s="853"/>
      <c r="K669" s="853"/>
      <c r="L669" s="853"/>
      <c r="M669" s="854"/>
      <c r="N669" s="844"/>
      <c r="O669" s="845"/>
      <c r="P669" s="845"/>
      <c r="Q669" s="845"/>
      <c r="R669" s="846"/>
      <c r="S669" s="844"/>
      <c r="T669" s="845"/>
      <c r="U669" s="845"/>
      <c r="V669" s="845"/>
      <c r="W669" s="846"/>
      <c r="X669" s="844"/>
      <c r="Y669" s="845"/>
      <c r="Z669" s="845"/>
      <c r="AA669" s="845"/>
      <c r="AB669" s="846"/>
      <c r="AC669" s="844"/>
      <c r="AD669" s="845"/>
      <c r="AE669" s="845"/>
      <c r="AF669" s="845"/>
      <c r="AG669" s="846"/>
      <c r="AH669" s="844"/>
      <c r="AI669" s="845"/>
      <c r="AJ669" s="845"/>
      <c r="AK669" s="845"/>
      <c r="AL669" s="846"/>
      <c r="AM669" s="672"/>
      <c r="AN669" s="688"/>
      <c r="AO669" s="688"/>
      <c r="AP669" s="688"/>
      <c r="AQ669" s="710"/>
      <c r="AR669" s="844"/>
      <c r="AS669" s="846"/>
    </row>
    <row r="670" spans="1:46" ht="18" customHeight="1">
      <c r="A670" s="469"/>
      <c r="B670" s="672"/>
      <c r="C670" s="710"/>
      <c r="D670" s="628">
        <f>E479</f>
        <v>0</v>
      </c>
      <c r="E670" s="631"/>
      <c r="F670" s="631"/>
      <c r="G670" s="631"/>
      <c r="H670" s="632"/>
      <c r="I670" s="650">
        <f>D670</f>
        <v>0</v>
      </c>
      <c r="J670" s="651"/>
      <c r="K670" s="651"/>
      <c r="L670" s="651"/>
      <c r="M670" s="652"/>
      <c r="N670" s="650">
        <f>I670</f>
        <v>0</v>
      </c>
      <c r="O670" s="651"/>
      <c r="P670" s="651"/>
      <c r="Q670" s="651"/>
      <c r="R670" s="652"/>
      <c r="S670" s="650">
        <f>N670</f>
        <v>0</v>
      </c>
      <c r="T670" s="651"/>
      <c r="U670" s="651"/>
      <c r="V670" s="651"/>
      <c r="W670" s="652"/>
      <c r="X670" s="650">
        <f>S670</f>
        <v>0</v>
      </c>
      <c r="Y670" s="651"/>
      <c r="Z670" s="651"/>
      <c r="AA670" s="651"/>
      <c r="AB670" s="652"/>
      <c r="AC670" s="650">
        <f>X670</f>
        <v>0</v>
      </c>
      <c r="AD670" s="651"/>
      <c r="AE670" s="651"/>
      <c r="AF670" s="651"/>
      <c r="AG670" s="652"/>
      <c r="AH670" s="650">
        <f>AC670</f>
        <v>0</v>
      </c>
      <c r="AI670" s="651"/>
      <c r="AJ670" s="651"/>
      <c r="AK670" s="651"/>
      <c r="AL670" s="652"/>
      <c r="AM670" s="650">
        <f>AH670</f>
        <v>0</v>
      </c>
      <c r="AN670" s="651"/>
      <c r="AO670" s="651"/>
      <c r="AP670" s="651"/>
      <c r="AQ670" s="652"/>
      <c r="AR670" s="650" t="s">
        <v>634</v>
      </c>
      <c r="AS670" s="652"/>
    </row>
    <row r="671" spans="1:46" ht="18" customHeight="1">
      <c r="A671" s="469"/>
      <c r="B671" s="625">
        <v>1</v>
      </c>
      <c r="C671" s="712"/>
      <c r="D671" s="743" t="str">
        <f>Calcu_ADJ!D45</f>
        <v/>
      </c>
      <c r="E671" s="744"/>
      <c r="F671" s="744"/>
      <c r="G671" s="744"/>
      <c r="H671" s="745"/>
      <c r="I671" s="743" t="str">
        <f>Calcu_ADJ!L45</f>
        <v/>
      </c>
      <c r="J671" s="744"/>
      <c r="K671" s="744"/>
      <c r="L671" s="744"/>
      <c r="M671" s="745"/>
      <c r="N671" s="743" t="str">
        <f>Calcu_ADJ!M45</f>
        <v/>
      </c>
      <c r="O671" s="744"/>
      <c r="P671" s="744"/>
      <c r="Q671" s="744"/>
      <c r="R671" s="745"/>
      <c r="S671" s="743" t="str">
        <f>Calcu_ADJ!N45</f>
        <v/>
      </c>
      <c r="T671" s="744"/>
      <c r="U671" s="744"/>
      <c r="V671" s="744"/>
      <c r="W671" s="745"/>
      <c r="X671" s="743" t="str">
        <f>Calcu_ADJ!O45</f>
        <v/>
      </c>
      <c r="Y671" s="744"/>
      <c r="Z671" s="744"/>
      <c r="AA671" s="744"/>
      <c r="AB671" s="745"/>
      <c r="AC671" s="743" t="str">
        <f>Calcu_ADJ!P45</f>
        <v/>
      </c>
      <c r="AD671" s="744"/>
      <c r="AE671" s="744"/>
      <c r="AF671" s="744"/>
      <c r="AG671" s="745"/>
      <c r="AH671" s="743" t="str">
        <f>Calcu_ADJ!Q45</f>
        <v/>
      </c>
      <c r="AI671" s="744"/>
      <c r="AJ671" s="744"/>
      <c r="AK671" s="744"/>
      <c r="AL671" s="745"/>
      <c r="AM671" s="743" t="str">
        <f>Calcu_ADJ!R45</f>
        <v/>
      </c>
      <c r="AN671" s="744"/>
      <c r="AO671" s="744"/>
      <c r="AP671" s="744"/>
      <c r="AQ671" s="745"/>
      <c r="AR671" s="650" t="str">
        <f t="shared" ref="AR671:AR685" si="39">IF(AM671="","",IF(N671/AH671*100&gt;70,"∞",AM671^4/SUM(S671^4/12.5,X671^4/12.5,AC671^4/12.5)))</f>
        <v/>
      </c>
      <c r="AS671" s="652"/>
    </row>
    <row r="672" spans="1:46" ht="18" customHeight="1">
      <c r="A672" s="469"/>
      <c r="B672" s="625">
        <v>2</v>
      </c>
      <c r="C672" s="712"/>
      <c r="D672" s="743" t="str">
        <f>Calcu_ADJ!D46</f>
        <v/>
      </c>
      <c r="E672" s="744"/>
      <c r="F672" s="744"/>
      <c r="G672" s="744"/>
      <c r="H672" s="745"/>
      <c r="I672" s="743" t="str">
        <f>Calcu_ADJ!L46</f>
        <v/>
      </c>
      <c r="J672" s="744"/>
      <c r="K672" s="744"/>
      <c r="L672" s="744"/>
      <c r="M672" s="745"/>
      <c r="N672" s="743" t="str">
        <f>Calcu_ADJ!M46</f>
        <v/>
      </c>
      <c r="O672" s="744"/>
      <c r="P672" s="744"/>
      <c r="Q672" s="744"/>
      <c r="R672" s="745"/>
      <c r="S672" s="743" t="str">
        <f>Calcu_ADJ!N46</f>
        <v/>
      </c>
      <c r="T672" s="744"/>
      <c r="U672" s="744"/>
      <c r="V672" s="744"/>
      <c r="W672" s="745"/>
      <c r="X672" s="743" t="str">
        <f>Calcu_ADJ!O46</f>
        <v/>
      </c>
      <c r="Y672" s="744"/>
      <c r="Z672" s="744"/>
      <c r="AA672" s="744"/>
      <c r="AB672" s="745"/>
      <c r="AC672" s="743" t="str">
        <f>Calcu_ADJ!P46</f>
        <v/>
      </c>
      <c r="AD672" s="744"/>
      <c r="AE672" s="744"/>
      <c r="AF672" s="744"/>
      <c r="AG672" s="745"/>
      <c r="AH672" s="743" t="str">
        <f>Calcu_ADJ!Q46</f>
        <v/>
      </c>
      <c r="AI672" s="744"/>
      <c r="AJ672" s="744"/>
      <c r="AK672" s="744"/>
      <c r="AL672" s="745"/>
      <c r="AM672" s="743" t="str">
        <f>Calcu_ADJ!R46</f>
        <v/>
      </c>
      <c r="AN672" s="744"/>
      <c r="AO672" s="744"/>
      <c r="AP672" s="744"/>
      <c r="AQ672" s="745"/>
      <c r="AR672" s="650" t="str">
        <f t="shared" si="39"/>
        <v/>
      </c>
      <c r="AS672" s="652"/>
    </row>
    <row r="673" spans="1:46" ht="18" customHeight="1">
      <c r="A673" s="469"/>
      <c r="B673" s="625">
        <v>3</v>
      </c>
      <c r="C673" s="712"/>
      <c r="D673" s="743" t="str">
        <f>Calcu_ADJ!D47</f>
        <v/>
      </c>
      <c r="E673" s="744"/>
      <c r="F673" s="744"/>
      <c r="G673" s="744"/>
      <c r="H673" s="745"/>
      <c r="I673" s="743" t="str">
        <f>Calcu_ADJ!L47</f>
        <v/>
      </c>
      <c r="J673" s="744"/>
      <c r="K673" s="744"/>
      <c r="L673" s="744"/>
      <c r="M673" s="745"/>
      <c r="N673" s="743" t="str">
        <f>Calcu_ADJ!M47</f>
        <v/>
      </c>
      <c r="O673" s="744"/>
      <c r="P673" s="744"/>
      <c r="Q673" s="744"/>
      <c r="R673" s="745"/>
      <c r="S673" s="743" t="str">
        <f>Calcu_ADJ!N47</f>
        <v/>
      </c>
      <c r="T673" s="744"/>
      <c r="U673" s="744"/>
      <c r="V673" s="744"/>
      <c r="W673" s="745"/>
      <c r="X673" s="743" t="str">
        <f>Calcu_ADJ!O47</f>
        <v/>
      </c>
      <c r="Y673" s="744"/>
      <c r="Z673" s="744"/>
      <c r="AA673" s="744"/>
      <c r="AB673" s="745"/>
      <c r="AC673" s="743" t="str">
        <f>Calcu_ADJ!P47</f>
        <v/>
      </c>
      <c r="AD673" s="744"/>
      <c r="AE673" s="744"/>
      <c r="AF673" s="744"/>
      <c r="AG673" s="745"/>
      <c r="AH673" s="743" t="str">
        <f>Calcu_ADJ!Q47</f>
        <v/>
      </c>
      <c r="AI673" s="744"/>
      <c r="AJ673" s="744"/>
      <c r="AK673" s="744"/>
      <c r="AL673" s="745"/>
      <c r="AM673" s="743" t="str">
        <f>Calcu_ADJ!R47</f>
        <v/>
      </c>
      <c r="AN673" s="744"/>
      <c r="AO673" s="744"/>
      <c r="AP673" s="744"/>
      <c r="AQ673" s="745"/>
      <c r="AR673" s="650" t="str">
        <f t="shared" si="39"/>
        <v/>
      </c>
      <c r="AS673" s="652"/>
    </row>
    <row r="674" spans="1:46" ht="18" customHeight="1">
      <c r="A674" s="469"/>
      <c r="B674" s="625">
        <v>4</v>
      </c>
      <c r="C674" s="712"/>
      <c r="D674" s="743" t="str">
        <f>Calcu_ADJ!D48</f>
        <v/>
      </c>
      <c r="E674" s="744"/>
      <c r="F674" s="744"/>
      <c r="G674" s="744"/>
      <c r="H674" s="745"/>
      <c r="I674" s="743" t="str">
        <f>Calcu_ADJ!L48</f>
        <v/>
      </c>
      <c r="J674" s="744"/>
      <c r="K674" s="744"/>
      <c r="L674" s="744"/>
      <c r="M674" s="745"/>
      <c r="N674" s="743" t="str">
        <f>Calcu_ADJ!M48</f>
        <v/>
      </c>
      <c r="O674" s="744"/>
      <c r="P674" s="744"/>
      <c r="Q674" s="744"/>
      <c r="R674" s="745"/>
      <c r="S674" s="743" t="str">
        <f>Calcu_ADJ!N48</f>
        <v/>
      </c>
      <c r="T674" s="744"/>
      <c r="U674" s="744"/>
      <c r="V674" s="744"/>
      <c r="W674" s="745"/>
      <c r="X674" s="743" t="str">
        <f>Calcu_ADJ!O48</f>
        <v/>
      </c>
      <c r="Y674" s="744"/>
      <c r="Z674" s="744"/>
      <c r="AA674" s="744"/>
      <c r="AB674" s="745"/>
      <c r="AC674" s="743" t="str">
        <f>Calcu_ADJ!P48</f>
        <v/>
      </c>
      <c r="AD674" s="744"/>
      <c r="AE674" s="744"/>
      <c r="AF674" s="744"/>
      <c r="AG674" s="745"/>
      <c r="AH674" s="743" t="str">
        <f>Calcu_ADJ!Q48</f>
        <v/>
      </c>
      <c r="AI674" s="744"/>
      <c r="AJ674" s="744"/>
      <c r="AK674" s="744"/>
      <c r="AL674" s="745"/>
      <c r="AM674" s="743" t="str">
        <f>Calcu_ADJ!R48</f>
        <v/>
      </c>
      <c r="AN674" s="744"/>
      <c r="AO674" s="744"/>
      <c r="AP674" s="744"/>
      <c r="AQ674" s="745"/>
      <c r="AR674" s="650" t="str">
        <f t="shared" si="39"/>
        <v/>
      </c>
      <c r="AS674" s="652"/>
    </row>
    <row r="675" spans="1:46" ht="18" customHeight="1">
      <c r="A675" s="469"/>
      <c r="B675" s="625">
        <v>5</v>
      </c>
      <c r="C675" s="712"/>
      <c r="D675" s="743" t="str">
        <f>Calcu_ADJ!D49</f>
        <v/>
      </c>
      <c r="E675" s="744"/>
      <c r="F675" s="744"/>
      <c r="G675" s="744"/>
      <c r="H675" s="745"/>
      <c r="I675" s="743" t="str">
        <f>Calcu_ADJ!L49</f>
        <v/>
      </c>
      <c r="J675" s="744"/>
      <c r="K675" s="744"/>
      <c r="L675" s="744"/>
      <c r="M675" s="745"/>
      <c r="N675" s="743" t="str">
        <f>Calcu_ADJ!M49</f>
        <v/>
      </c>
      <c r="O675" s="744"/>
      <c r="P675" s="744"/>
      <c r="Q675" s="744"/>
      <c r="R675" s="745"/>
      <c r="S675" s="743" t="str">
        <f>Calcu_ADJ!N49</f>
        <v/>
      </c>
      <c r="T675" s="744"/>
      <c r="U675" s="744"/>
      <c r="V675" s="744"/>
      <c r="W675" s="745"/>
      <c r="X675" s="743" t="str">
        <f>Calcu_ADJ!O49</f>
        <v/>
      </c>
      <c r="Y675" s="744"/>
      <c r="Z675" s="744"/>
      <c r="AA675" s="744"/>
      <c r="AB675" s="745"/>
      <c r="AC675" s="743" t="str">
        <f>Calcu_ADJ!P49</f>
        <v/>
      </c>
      <c r="AD675" s="744"/>
      <c r="AE675" s="744"/>
      <c r="AF675" s="744"/>
      <c r="AG675" s="745"/>
      <c r="AH675" s="743" t="str">
        <f>Calcu_ADJ!Q49</f>
        <v/>
      </c>
      <c r="AI675" s="744"/>
      <c r="AJ675" s="744"/>
      <c r="AK675" s="744"/>
      <c r="AL675" s="745"/>
      <c r="AM675" s="743" t="str">
        <f>Calcu_ADJ!R49</f>
        <v/>
      </c>
      <c r="AN675" s="744"/>
      <c r="AO675" s="744"/>
      <c r="AP675" s="744"/>
      <c r="AQ675" s="745"/>
      <c r="AR675" s="650" t="str">
        <f t="shared" si="39"/>
        <v/>
      </c>
      <c r="AS675" s="652"/>
    </row>
    <row r="676" spans="1:46" ht="18" customHeight="1">
      <c r="A676" s="469"/>
      <c r="B676" s="625">
        <v>6</v>
      </c>
      <c r="C676" s="712"/>
      <c r="D676" s="743" t="str">
        <f>Calcu_ADJ!D50</f>
        <v/>
      </c>
      <c r="E676" s="744"/>
      <c r="F676" s="744"/>
      <c r="G676" s="744"/>
      <c r="H676" s="745"/>
      <c r="I676" s="743" t="str">
        <f>Calcu_ADJ!L50</f>
        <v/>
      </c>
      <c r="J676" s="744"/>
      <c r="K676" s="744"/>
      <c r="L676" s="744"/>
      <c r="M676" s="745"/>
      <c r="N676" s="743" t="str">
        <f>Calcu_ADJ!M50</f>
        <v/>
      </c>
      <c r="O676" s="744"/>
      <c r="P676" s="744"/>
      <c r="Q676" s="744"/>
      <c r="R676" s="745"/>
      <c r="S676" s="743" t="str">
        <f>Calcu_ADJ!N50</f>
        <v/>
      </c>
      <c r="T676" s="744"/>
      <c r="U676" s="744"/>
      <c r="V676" s="744"/>
      <c r="W676" s="745"/>
      <c r="X676" s="743" t="str">
        <f>Calcu_ADJ!O50</f>
        <v/>
      </c>
      <c r="Y676" s="744"/>
      <c r="Z676" s="744"/>
      <c r="AA676" s="744"/>
      <c r="AB676" s="745"/>
      <c r="AC676" s="743" t="str">
        <f>Calcu_ADJ!P50</f>
        <v/>
      </c>
      <c r="AD676" s="744"/>
      <c r="AE676" s="744"/>
      <c r="AF676" s="744"/>
      <c r="AG676" s="745"/>
      <c r="AH676" s="743" t="str">
        <f>Calcu_ADJ!Q50</f>
        <v/>
      </c>
      <c r="AI676" s="744"/>
      <c r="AJ676" s="744"/>
      <c r="AK676" s="744"/>
      <c r="AL676" s="745"/>
      <c r="AM676" s="743" t="str">
        <f>Calcu_ADJ!R50</f>
        <v/>
      </c>
      <c r="AN676" s="744"/>
      <c r="AO676" s="744"/>
      <c r="AP676" s="744"/>
      <c r="AQ676" s="745"/>
      <c r="AR676" s="650" t="str">
        <f t="shared" si="39"/>
        <v/>
      </c>
      <c r="AS676" s="652"/>
    </row>
    <row r="677" spans="1:46" ht="18" customHeight="1">
      <c r="A677" s="469"/>
      <c r="B677" s="625">
        <v>7</v>
      </c>
      <c r="C677" s="712"/>
      <c r="D677" s="743" t="str">
        <f>Calcu_ADJ!D51</f>
        <v/>
      </c>
      <c r="E677" s="744"/>
      <c r="F677" s="744"/>
      <c r="G677" s="744"/>
      <c r="H677" s="745"/>
      <c r="I677" s="743" t="str">
        <f>Calcu_ADJ!L51</f>
        <v/>
      </c>
      <c r="J677" s="744"/>
      <c r="K677" s="744"/>
      <c r="L677" s="744"/>
      <c r="M677" s="745"/>
      <c r="N677" s="743" t="str">
        <f>Calcu_ADJ!M51</f>
        <v/>
      </c>
      <c r="O677" s="744"/>
      <c r="P677" s="744"/>
      <c r="Q677" s="744"/>
      <c r="R677" s="745"/>
      <c r="S677" s="743" t="str">
        <f>Calcu_ADJ!N51</f>
        <v/>
      </c>
      <c r="T677" s="744"/>
      <c r="U677" s="744"/>
      <c r="V677" s="744"/>
      <c r="W677" s="745"/>
      <c r="X677" s="743" t="str">
        <f>Calcu_ADJ!O51</f>
        <v/>
      </c>
      <c r="Y677" s="744"/>
      <c r="Z677" s="744"/>
      <c r="AA677" s="744"/>
      <c r="AB677" s="745"/>
      <c r="AC677" s="743" t="str">
        <f>Calcu_ADJ!P51</f>
        <v/>
      </c>
      <c r="AD677" s="744"/>
      <c r="AE677" s="744"/>
      <c r="AF677" s="744"/>
      <c r="AG677" s="745"/>
      <c r="AH677" s="743" t="str">
        <f>Calcu_ADJ!Q51</f>
        <v/>
      </c>
      <c r="AI677" s="744"/>
      <c r="AJ677" s="744"/>
      <c r="AK677" s="744"/>
      <c r="AL677" s="745"/>
      <c r="AM677" s="743" t="str">
        <f>Calcu_ADJ!R51</f>
        <v/>
      </c>
      <c r="AN677" s="744"/>
      <c r="AO677" s="744"/>
      <c r="AP677" s="744"/>
      <c r="AQ677" s="745"/>
      <c r="AR677" s="650" t="str">
        <f t="shared" si="39"/>
        <v/>
      </c>
      <c r="AS677" s="652"/>
    </row>
    <row r="678" spans="1:46" ht="18" customHeight="1">
      <c r="A678" s="469"/>
      <c r="B678" s="625">
        <v>8</v>
      </c>
      <c r="C678" s="712"/>
      <c r="D678" s="743" t="str">
        <f>Calcu_ADJ!D52</f>
        <v/>
      </c>
      <c r="E678" s="744"/>
      <c r="F678" s="744"/>
      <c r="G678" s="744"/>
      <c r="H678" s="745"/>
      <c r="I678" s="743" t="str">
        <f>Calcu_ADJ!L52</f>
        <v/>
      </c>
      <c r="J678" s="744"/>
      <c r="K678" s="744"/>
      <c r="L678" s="744"/>
      <c r="M678" s="745"/>
      <c r="N678" s="743" t="str">
        <f>Calcu_ADJ!M52</f>
        <v/>
      </c>
      <c r="O678" s="744"/>
      <c r="P678" s="744"/>
      <c r="Q678" s="744"/>
      <c r="R678" s="745"/>
      <c r="S678" s="743" t="str">
        <f>Calcu_ADJ!N52</f>
        <v/>
      </c>
      <c r="T678" s="744"/>
      <c r="U678" s="744"/>
      <c r="V678" s="744"/>
      <c r="W678" s="745"/>
      <c r="X678" s="743" t="str">
        <f>Calcu_ADJ!O52</f>
        <v/>
      </c>
      <c r="Y678" s="744"/>
      <c r="Z678" s="744"/>
      <c r="AA678" s="744"/>
      <c r="AB678" s="745"/>
      <c r="AC678" s="743" t="str">
        <f>Calcu_ADJ!P52</f>
        <v/>
      </c>
      <c r="AD678" s="744"/>
      <c r="AE678" s="744"/>
      <c r="AF678" s="744"/>
      <c r="AG678" s="745"/>
      <c r="AH678" s="743" t="str">
        <f>Calcu_ADJ!Q52</f>
        <v/>
      </c>
      <c r="AI678" s="744"/>
      <c r="AJ678" s="744"/>
      <c r="AK678" s="744"/>
      <c r="AL678" s="745"/>
      <c r="AM678" s="743" t="str">
        <f>Calcu_ADJ!R52</f>
        <v/>
      </c>
      <c r="AN678" s="744"/>
      <c r="AO678" s="744"/>
      <c r="AP678" s="744"/>
      <c r="AQ678" s="745"/>
      <c r="AR678" s="650" t="str">
        <f t="shared" si="39"/>
        <v/>
      </c>
      <c r="AS678" s="652"/>
    </row>
    <row r="679" spans="1:46" ht="18" customHeight="1">
      <c r="A679" s="469"/>
      <c r="B679" s="625">
        <v>9</v>
      </c>
      <c r="C679" s="712"/>
      <c r="D679" s="743" t="str">
        <f>Calcu_ADJ!D53</f>
        <v/>
      </c>
      <c r="E679" s="744"/>
      <c r="F679" s="744"/>
      <c r="G679" s="744"/>
      <c r="H679" s="745"/>
      <c r="I679" s="743" t="str">
        <f>Calcu_ADJ!L53</f>
        <v/>
      </c>
      <c r="J679" s="744"/>
      <c r="K679" s="744"/>
      <c r="L679" s="744"/>
      <c r="M679" s="745"/>
      <c r="N679" s="743" t="str">
        <f>Calcu_ADJ!M53</f>
        <v/>
      </c>
      <c r="O679" s="744"/>
      <c r="P679" s="744"/>
      <c r="Q679" s="744"/>
      <c r="R679" s="745"/>
      <c r="S679" s="743" t="str">
        <f>Calcu_ADJ!N53</f>
        <v/>
      </c>
      <c r="T679" s="744"/>
      <c r="U679" s="744"/>
      <c r="V679" s="744"/>
      <c r="W679" s="745"/>
      <c r="X679" s="743" t="str">
        <f>Calcu_ADJ!O53</f>
        <v/>
      </c>
      <c r="Y679" s="744"/>
      <c r="Z679" s="744"/>
      <c r="AA679" s="744"/>
      <c r="AB679" s="745"/>
      <c r="AC679" s="743" t="str">
        <f>Calcu_ADJ!P53</f>
        <v/>
      </c>
      <c r="AD679" s="744"/>
      <c r="AE679" s="744"/>
      <c r="AF679" s="744"/>
      <c r="AG679" s="745"/>
      <c r="AH679" s="743" t="str">
        <f>Calcu_ADJ!Q53</f>
        <v/>
      </c>
      <c r="AI679" s="744"/>
      <c r="AJ679" s="744"/>
      <c r="AK679" s="744"/>
      <c r="AL679" s="745"/>
      <c r="AM679" s="743" t="str">
        <f>Calcu_ADJ!R53</f>
        <v/>
      </c>
      <c r="AN679" s="744"/>
      <c r="AO679" s="744"/>
      <c r="AP679" s="744"/>
      <c r="AQ679" s="745"/>
      <c r="AR679" s="650" t="str">
        <f t="shared" si="39"/>
        <v/>
      </c>
      <c r="AS679" s="652"/>
    </row>
    <row r="680" spans="1:46" ht="18" customHeight="1">
      <c r="A680" s="469"/>
      <c r="B680" s="625">
        <v>10</v>
      </c>
      <c r="C680" s="712"/>
      <c r="D680" s="743" t="str">
        <f>Calcu_ADJ!D54</f>
        <v/>
      </c>
      <c r="E680" s="744"/>
      <c r="F680" s="744"/>
      <c r="G680" s="744"/>
      <c r="H680" s="745"/>
      <c r="I680" s="743" t="str">
        <f>Calcu_ADJ!L54</f>
        <v/>
      </c>
      <c r="J680" s="744"/>
      <c r="K680" s="744"/>
      <c r="L680" s="744"/>
      <c r="M680" s="745"/>
      <c r="N680" s="743" t="str">
        <f>Calcu_ADJ!M54</f>
        <v/>
      </c>
      <c r="O680" s="744"/>
      <c r="P680" s="744"/>
      <c r="Q680" s="744"/>
      <c r="R680" s="745"/>
      <c r="S680" s="743" t="str">
        <f>Calcu_ADJ!N54</f>
        <v/>
      </c>
      <c r="T680" s="744"/>
      <c r="U680" s="744"/>
      <c r="V680" s="744"/>
      <c r="W680" s="745"/>
      <c r="X680" s="743" t="str">
        <f>Calcu_ADJ!O54</f>
        <v/>
      </c>
      <c r="Y680" s="744"/>
      <c r="Z680" s="744"/>
      <c r="AA680" s="744"/>
      <c r="AB680" s="745"/>
      <c r="AC680" s="743" t="str">
        <f>Calcu_ADJ!P54</f>
        <v/>
      </c>
      <c r="AD680" s="744"/>
      <c r="AE680" s="744"/>
      <c r="AF680" s="744"/>
      <c r="AG680" s="745"/>
      <c r="AH680" s="743" t="str">
        <f>Calcu_ADJ!Q54</f>
        <v/>
      </c>
      <c r="AI680" s="744"/>
      <c r="AJ680" s="744"/>
      <c r="AK680" s="744"/>
      <c r="AL680" s="745"/>
      <c r="AM680" s="743" t="str">
        <f>Calcu_ADJ!R54</f>
        <v/>
      </c>
      <c r="AN680" s="744"/>
      <c r="AO680" s="744"/>
      <c r="AP680" s="744"/>
      <c r="AQ680" s="745"/>
      <c r="AR680" s="650" t="str">
        <f t="shared" si="39"/>
        <v/>
      </c>
      <c r="AS680" s="652"/>
    </row>
    <row r="681" spans="1:46" ht="18" customHeight="1">
      <c r="A681" s="469"/>
      <c r="B681" s="625">
        <v>11</v>
      </c>
      <c r="C681" s="712"/>
      <c r="D681" s="743" t="str">
        <f>Calcu_ADJ!D55</f>
        <v/>
      </c>
      <c r="E681" s="744"/>
      <c r="F681" s="744"/>
      <c r="G681" s="744"/>
      <c r="H681" s="745"/>
      <c r="I681" s="743" t="str">
        <f>Calcu_ADJ!L55</f>
        <v/>
      </c>
      <c r="J681" s="744"/>
      <c r="K681" s="744"/>
      <c r="L681" s="744"/>
      <c r="M681" s="745"/>
      <c r="N681" s="743" t="str">
        <f>Calcu_ADJ!M55</f>
        <v/>
      </c>
      <c r="O681" s="744"/>
      <c r="P681" s="744"/>
      <c r="Q681" s="744"/>
      <c r="R681" s="745"/>
      <c r="S681" s="743" t="str">
        <f>Calcu_ADJ!N55</f>
        <v/>
      </c>
      <c r="T681" s="744"/>
      <c r="U681" s="744"/>
      <c r="V681" s="744"/>
      <c r="W681" s="745"/>
      <c r="X681" s="743" t="str">
        <f>Calcu_ADJ!O55</f>
        <v/>
      </c>
      <c r="Y681" s="744"/>
      <c r="Z681" s="744"/>
      <c r="AA681" s="744"/>
      <c r="AB681" s="745"/>
      <c r="AC681" s="743" t="str">
        <f>Calcu_ADJ!P55</f>
        <v/>
      </c>
      <c r="AD681" s="744"/>
      <c r="AE681" s="744"/>
      <c r="AF681" s="744"/>
      <c r="AG681" s="745"/>
      <c r="AH681" s="743" t="str">
        <f>Calcu_ADJ!Q55</f>
        <v/>
      </c>
      <c r="AI681" s="744"/>
      <c r="AJ681" s="744"/>
      <c r="AK681" s="744"/>
      <c r="AL681" s="745"/>
      <c r="AM681" s="743" t="str">
        <f>Calcu_ADJ!R55</f>
        <v/>
      </c>
      <c r="AN681" s="744"/>
      <c r="AO681" s="744"/>
      <c r="AP681" s="744"/>
      <c r="AQ681" s="745"/>
      <c r="AR681" s="650" t="str">
        <f t="shared" si="39"/>
        <v/>
      </c>
      <c r="AS681" s="652"/>
    </row>
    <row r="682" spans="1:46" ht="18" customHeight="1">
      <c r="A682" s="469"/>
      <c r="B682" s="625">
        <v>12</v>
      </c>
      <c r="C682" s="712"/>
      <c r="D682" s="743" t="str">
        <f>Calcu_ADJ!D56</f>
        <v/>
      </c>
      <c r="E682" s="744"/>
      <c r="F682" s="744"/>
      <c r="G682" s="744"/>
      <c r="H682" s="745"/>
      <c r="I682" s="743" t="str">
        <f>Calcu_ADJ!L56</f>
        <v/>
      </c>
      <c r="J682" s="744"/>
      <c r="K682" s="744"/>
      <c r="L682" s="744"/>
      <c r="M682" s="745"/>
      <c r="N682" s="743" t="str">
        <f>Calcu_ADJ!M56</f>
        <v/>
      </c>
      <c r="O682" s="744"/>
      <c r="P682" s="744"/>
      <c r="Q682" s="744"/>
      <c r="R682" s="745"/>
      <c r="S682" s="743" t="str">
        <f>Calcu_ADJ!N56</f>
        <v/>
      </c>
      <c r="T682" s="744"/>
      <c r="U682" s="744"/>
      <c r="V682" s="744"/>
      <c r="W682" s="745"/>
      <c r="X682" s="743" t="str">
        <f>Calcu_ADJ!O56</f>
        <v/>
      </c>
      <c r="Y682" s="744"/>
      <c r="Z682" s="744"/>
      <c r="AA682" s="744"/>
      <c r="AB682" s="745"/>
      <c r="AC682" s="743" t="str">
        <f>Calcu_ADJ!P56</f>
        <v/>
      </c>
      <c r="AD682" s="744"/>
      <c r="AE682" s="744"/>
      <c r="AF682" s="744"/>
      <c r="AG682" s="745"/>
      <c r="AH682" s="743" t="str">
        <f>Calcu_ADJ!Q56</f>
        <v/>
      </c>
      <c r="AI682" s="744"/>
      <c r="AJ682" s="744"/>
      <c r="AK682" s="744"/>
      <c r="AL682" s="745"/>
      <c r="AM682" s="743" t="str">
        <f>Calcu_ADJ!R56</f>
        <v/>
      </c>
      <c r="AN682" s="744"/>
      <c r="AO682" s="744"/>
      <c r="AP682" s="744"/>
      <c r="AQ682" s="745"/>
      <c r="AR682" s="650" t="str">
        <f t="shared" si="39"/>
        <v/>
      </c>
      <c r="AS682" s="652"/>
    </row>
    <row r="683" spans="1:46" ht="18" customHeight="1">
      <c r="A683" s="469"/>
      <c r="B683" s="625">
        <v>13</v>
      </c>
      <c r="C683" s="712"/>
      <c r="D683" s="743" t="str">
        <f>Calcu_ADJ!D57</f>
        <v/>
      </c>
      <c r="E683" s="744"/>
      <c r="F683" s="744"/>
      <c r="G683" s="744"/>
      <c r="H683" s="745"/>
      <c r="I683" s="743" t="str">
        <f>Calcu_ADJ!L57</f>
        <v/>
      </c>
      <c r="J683" s="744"/>
      <c r="K683" s="744"/>
      <c r="L683" s="744"/>
      <c r="M683" s="745"/>
      <c r="N683" s="743" t="str">
        <f>Calcu_ADJ!M57</f>
        <v/>
      </c>
      <c r="O683" s="744"/>
      <c r="P683" s="744"/>
      <c r="Q683" s="744"/>
      <c r="R683" s="745"/>
      <c r="S683" s="743" t="str">
        <f>Calcu_ADJ!N57</f>
        <v/>
      </c>
      <c r="T683" s="744"/>
      <c r="U683" s="744"/>
      <c r="V683" s="744"/>
      <c r="W683" s="745"/>
      <c r="X683" s="743" t="str">
        <f>Calcu_ADJ!O57</f>
        <v/>
      </c>
      <c r="Y683" s="744"/>
      <c r="Z683" s="744"/>
      <c r="AA683" s="744"/>
      <c r="AB683" s="745"/>
      <c r="AC683" s="743" t="str">
        <f>Calcu_ADJ!P57</f>
        <v/>
      </c>
      <c r="AD683" s="744"/>
      <c r="AE683" s="744"/>
      <c r="AF683" s="744"/>
      <c r="AG683" s="745"/>
      <c r="AH683" s="743" t="str">
        <f>Calcu_ADJ!Q57</f>
        <v/>
      </c>
      <c r="AI683" s="744"/>
      <c r="AJ683" s="744"/>
      <c r="AK683" s="744"/>
      <c r="AL683" s="745"/>
      <c r="AM683" s="743" t="str">
        <f>Calcu_ADJ!R57</f>
        <v/>
      </c>
      <c r="AN683" s="744"/>
      <c r="AO683" s="744"/>
      <c r="AP683" s="744"/>
      <c r="AQ683" s="745"/>
      <c r="AR683" s="650" t="str">
        <f t="shared" si="39"/>
        <v/>
      </c>
      <c r="AS683" s="652"/>
    </row>
    <row r="684" spans="1:46" ht="18" customHeight="1">
      <c r="A684" s="469"/>
      <c r="B684" s="625">
        <v>14</v>
      </c>
      <c r="C684" s="712"/>
      <c r="D684" s="743" t="str">
        <f>Calcu_ADJ!D58</f>
        <v/>
      </c>
      <c r="E684" s="744"/>
      <c r="F684" s="744"/>
      <c r="G684" s="744"/>
      <c r="H684" s="745"/>
      <c r="I684" s="743" t="str">
        <f>Calcu_ADJ!L58</f>
        <v/>
      </c>
      <c r="J684" s="744"/>
      <c r="K684" s="744"/>
      <c r="L684" s="744"/>
      <c r="M684" s="745"/>
      <c r="N684" s="743" t="str">
        <f>Calcu_ADJ!M58</f>
        <v/>
      </c>
      <c r="O684" s="744"/>
      <c r="P684" s="744"/>
      <c r="Q684" s="744"/>
      <c r="R684" s="745"/>
      <c r="S684" s="743" t="str">
        <f>Calcu_ADJ!N58</f>
        <v/>
      </c>
      <c r="T684" s="744"/>
      <c r="U684" s="744"/>
      <c r="V684" s="744"/>
      <c r="W684" s="745"/>
      <c r="X684" s="743" t="str">
        <f>Calcu_ADJ!O58</f>
        <v/>
      </c>
      <c r="Y684" s="744"/>
      <c r="Z684" s="744"/>
      <c r="AA684" s="744"/>
      <c r="AB684" s="745"/>
      <c r="AC684" s="743" t="str">
        <f>Calcu_ADJ!P58</f>
        <v/>
      </c>
      <c r="AD684" s="744"/>
      <c r="AE684" s="744"/>
      <c r="AF684" s="744"/>
      <c r="AG684" s="745"/>
      <c r="AH684" s="743" t="str">
        <f>Calcu_ADJ!Q58</f>
        <v/>
      </c>
      <c r="AI684" s="744"/>
      <c r="AJ684" s="744"/>
      <c r="AK684" s="744"/>
      <c r="AL684" s="745"/>
      <c r="AM684" s="743" t="str">
        <f>Calcu_ADJ!R58</f>
        <v/>
      </c>
      <c r="AN684" s="744"/>
      <c r="AO684" s="744"/>
      <c r="AP684" s="744"/>
      <c r="AQ684" s="745"/>
      <c r="AR684" s="650" t="str">
        <f t="shared" si="39"/>
        <v/>
      </c>
      <c r="AS684" s="652"/>
    </row>
    <row r="685" spans="1:46" ht="18" customHeight="1">
      <c r="A685" s="469"/>
      <c r="B685" s="625">
        <v>15</v>
      </c>
      <c r="C685" s="712"/>
      <c r="D685" s="743" t="str">
        <f>Calcu_ADJ!D59</f>
        <v/>
      </c>
      <c r="E685" s="744"/>
      <c r="F685" s="744"/>
      <c r="G685" s="744"/>
      <c r="H685" s="745"/>
      <c r="I685" s="743" t="str">
        <f>Calcu_ADJ!L59</f>
        <v/>
      </c>
      <c r="J685" s="744"/>
      <c r="K685" s="744"/>
      <c r="L685" s="744"/>
      <c r="M685" s="745"/>
      <c r="N685" s="743" t="str">
        <f>Calcu_ADJ!M59</f>
        <v/>
      </c>
      <c r="O685" s="744"/>
      <c r="P685" s="744"/>
      <c r="Q685" s="744"/>
      <c r="R685" s="745"/>
      <c r="S685" s="743" t="str">
        <f>Calcu_ADJ!N59</f>
        <v/>
      </c>
      <c r="T685" s="744"/>
      <c r="U685" s="744"/>
      <c r="V685" s="744"/>
      <c r="W685" s="745"/>
      <c r="X685" s="743" t="str">
        <f>Calcu_ADJ!O59</f>
        <v/>
      </c>
      <c r="Y685" s="744"/>
      <c r="Z685" s="744"/>
      <c r="AA685" s="744"/>
      <c r="AB685" s="745"/>
      <c r="AC685" s="743" t="str">
        <f>Calcu_ADJ!P59</f>
        <v/>
      </c>
      <c r="AD685" s="744"/>
      <c r="AE685" s="744"/>
      <c r="AF685" s="744"/>
      <c r="AG685" s="745"/>
      <c r="AH685" s="743" t="str">
        <f>Calcu_ADJ!Q59</f>
        <v/>
      </c>
      <c r="AI685" s="744"/>
      <c r="AJ685" s="744"/>
      <c r="AK685" s="744"/>
      <c r="AL685" s="745"/>
      <c r="AM685" s="743" t="str">
        <f>Calcu_ADJ!R59</f>
        <v/>
      </c>
      <c r="AN685" s="744"/>
      <c r="AO685" s="744"/>
      <c r="AP685" s="744"/>
      <c r="AQ685" s="745"/>
      <c r="AR685" s="650" t="str">
        <f t="shared" si="39"/>
        <v/>
      </c>
      <c r="AS685" s="652"/>
    </row>
    <row r="686" spans="1:46" s="469" customFormat="1" ht="18" customHeight="1">
      <c r="B686" s="461"/>
      <c r="C686" s="461"/>
      <c r="D686" s="461"/>
      <c r="E686" s="461"/>
      <c r="F686" s="461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/>
      <c r="Q686" s="461"/>
      <c r="R686" s="461"/>
      <c r="S686" s="461"/>
      <c r="T686" s="461"/>
      <c r="U686" s="461"/>
      <c r="V686" s="461"/>
      <c r="W686" s="461"/>
      <c r="X686" s="461"/>
      <c r="Y686" s="461"/>
      <c r="Z686" s="461"/>
      <c r="AA686" s="461"/>
      <c r="AB686" s="461"/>
      <c r="AC686" s="461"/>
      <c r="AD686" s="461"/>
      <c r="AE686" s="461"/>
      <c r="AF686" s="461"/>
      <c r="AG686" s="461"/>
      <c r="AH686" s="461"/>
      <c r="AI686" s="461"/>
      <c r="AJ686" s="461"/>
      <c r="AK686" s="461"/>
      <c r="AL686" s="461"/>
      <c r="AM686" s="461"/>
      <c r="AN686" s="461"/>
      <c r="AO686" s="461"/>
      <c r="AP686" s="461"/>
      <c r="AQ686" s="461"/>
      <c r="AR686" s="154"/>
      <c r="AS686" s="154"/>
    </row>
    <row r="687" spans="1:46" s="157" customFormat="1" ht="18" customHeight="1">
      <c r="A687" s="164" t="s">
        <v>539</v>
      </c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60"/>
      <c r="V687" s="160"/>
      <c r="W687" s="160"/>
      <c r="X687" s="160"/>
      <c r="Y687" s="160"/>
      <c r="Z687" s="160"/>
      <c r="AA687" s="160"/>
      <c r="AB687" s="160"/>
      <c r="AC687" s="160"/>
      <c r="AD687" s="160"/>
      <c r="AE687" s="160"/>
      <c r="AF687" s="160"/>
      <c r="AG687" s="160"/>
      <c r="AH687" s="160"/>
      <c r="AI687" s="160"/>
      <c r="AJ687" s="160"/>
      <c r="AK687" s="160"/>
      <c r="AL687" s="160"/>
      <c r="AM687" s="156"/>
      <c r="AN687" s="156"/>
      <c r="AO687" s="156"/>
      <c r="AP687" s="156"/>
      <c r="AQ687" s="156"/>
      <c r="AR687" s="156"/>
      <c r="AS687" s="156"/>
      <c r="AT687" s="156"/>
    </row>
    <row r="688" spans="1:46" s="157" customFormat="1" ht="18" customHeight="1">
      <c r="A688" s="156"/>
      <c r="B688" s="156"/>
      <c r="C688" s="156"/>
      <c r="D688" s="156"/>
      <c r="E688" s="156"/>
      <c r="F688" s="156"/>
      <c r="G688" s="156"/>
      <c r="H688" s="156"/>
      <c r="I688" s="156"/>
      <c r="J688" s="835" t="e">
        <f ca="1">F663</f>
        <v>#N/A</v>
      </c>
      <c r="K688" s="835"/>
      <c r="L688" s="835"/>
      <c r="M688" s="835"/>
      <c r="N688" s="835"/>
      <c r="O688" s="835"/>
      <c r="P688" s="835"/>
      <c r="Q688" s="835"/>
      <c r="R688" s="835"/>
      <c r="S688" s="835"/>
      <c r="T688" s="835"/>
      <c r="U688" s="834" t="s">
        <v>532</v>
      </c>
      <c r="V688" s="859" t="s">
        <v>462</v>
      </c>
      <c r="W688" s="859"/>
      <c r="X688" s="859"/>
      <c r="Y688" s="859"/>
      <c r="Z688" s="859"/>
      <c r="AA688" s="859"/>
      <c r="AB688" s="160"/>
      <c r="AC688" s="160"/>
      <c r="AD688" s="160"/>
      <c r="AE688" s="160"/>
      <c r="AF688" s="160"/>
      <c r="AG688" s="160"/>
      <c r="AH688" s="160"/>
      <c r="AI688" s="160"/>
      <c r="AJ688" s="160"/>
      <c r="AK688" s="160"/>
      <c r="AL688" s="160"/>
      <c r="AM688" s="156"/>
      <c r="AN688" s="156"/>
      <c r="AO688" s="156"/>
      <c r="AP688" s="156"/>
      <c r="AQ688" s="156"/>
      <c r="AR688" s="156"/>
      <c r="AS688" s="156"/>
      <c r="AT688" s="156"/>
    </row>
    <row r="689" spans="1:46" s="157" customFormat="1" ht="18" customHeight="1">
      <c r="A689" s="156"/>
      <c r="B689" s="156"/>
      <c r="C689" s="156"/>
      <c r="D689" s="156"/>
      <c r="E689" s="156"/>
      <c r="F689" s="156"/>
      <c r="G689" s="156"/>
      <c r="H689" s="156"/>
      <c r="I689" s="156"/>
      <c r="J689" s="832" t="e">
        <f ca="1">G660</f>
        <v>#N/A</v>
      </c>
      <c r="K689" s="832"/>
      <c r="L689" s="832"/>
      <c r="M689" s="832"/>
      <c r="N689" s="832"/>
      <c r="O689" s="833" t="s">
        <v>148</v>
      </c>
      <c r="P689" s="832" t="e">
        <f ca="1">O660</f>
        <v>#N/A</v>
      </c>
      <c r="Q689" s="832"/>
      <c r="R689" s="832"/>
      <c r="S689" s="832"/>
      <c r="T689" s="832"/>
      <c r="U689" s="834"/>
      <c r="V689" s="859"/>
      <c r="W689" s="859"/>
      <c r="X689" s="859"/>
      <c r="Y689" s="859"/>
      <c r="Z689" s="859"/>
      <c r="AA689" s="859"/>
      <c r="AB689" s="160"/>
      <c r="AC689" s="160"/>
      <c r="AD689" s="160"/>
      <c r="AE689" s="160"/>
      <c r="AF689" s="160"/>
      <c r="AG689" s="160"/>
      <c r="AH689" s="160"/>
      <c r="AI689" s="160"/>
      <c r="AJ689" s="160"/>
      <c r="AK689" s="160"/>
      <c r="AL689" s="160"/>
      <c r="AM689" s="156"/>
      <c r="AN689" s="156"/>
      <c r="AO689" s="156"/>
      <c r="AP689" s="156"/>
      <c r="AQ689" s="156"/>
      <c r="AR689" s="156"/>
      <c r="AS689" s="156"/>
      <c r="AT689" s="156"/>
    </row>
    <row r="690" spans="1:46" s="157" customFormat="1" ht="18" customHeight="1">
      <c r="A690" s="156"/>
      <c r="B690" s="156"/>
      <c r="C690" s="156"/>
      <c r="D690" s="156"/>
      <c r="E690" s="156"/>
      <c r="F690" s="156"/>
      <c r="G690" s="156"/>
      <c r="H690" s="156"/>
      <c r="I690" s="156"/>
      <c r="J690" s="834" t="str">
        <f>AP551</f>
        <v>∞</v>
      </c>
      <c r="K690" s="834"/>
      <c r="L690" s="834"/>
      <c r="M690" s="834"/>
      <c r="N690" s="834"/>
      <c r="O690" s="834"/>
      <c r="P690" s="834" t="e">
        <f ca="1">AP552</f>
        <v>#N/A</v>
      </c>
      <c r="Q690" s="834"/>
      <c r="R690" s="834"/>
      <c r="S690" s="834"/>
      <c r="T690" s="834"/>
      <c r="U690" s="160"/>
      <c r="V690" s="160"/>
      <c r="W690" s="160"/>
      <c r="X690" s="160"/>
      <c r="Y690" s="160"/>
      <c r="Z690" s="160"/>
      <c r="AA690" s="160"/>
      <c r="AB690" s="160"/>
      <c r="AC690" s="160"/>
      <c r="AD690" s="160"/>
      <c r="AE690" s="160"/>
      <c r="AF690" s="160"/>
      <c r="AG690" s="160"/>
      <c r="AH690" s="160"/>
      <c r="AI690" s="160"/>
      <c r="AJ690" s="160"/>
      <c r="AK690" s="160"/>
      <c r="AL690" s="160"/>
      <c r="AM690" s="156"/>
      <c r="AN690" s="156"/>
      <c r="AO690" s="156"/>
      <c r="AP690" s="156"/>
      <c r="AQ690" s="156"/>
      <c r="AR690" s="156"/>
      <c r="AS690" s="156"/>
      <c r="AT690" s="156"/>
    </row>
    <row r="691" spans="1:46" s="157" customFormat="1" ht="18" customHeight="1">
      <c r="A691" s="156"/>
      <c r="B691" s="156"/>
      <c r="C691" s="156"/>
      <c r="D691" s="189"/>
      <c r="E691" s="472"/>
      <c r="F691" s="189"/>
      <c r="G691" s="189"/>
      <c r="H691" s="472"/>
      <c r="I691" s="190"/>
      <c r="J691" s="190"/>
      <c r="K691" s="191"/>
      <c r="L691" s="156"/>
      <c r="M691" s="156"/>
      <c r="N691" s="156"/>
      <c r="O691" s="156"/>
      <c r="P691" s="156"/>
      <c r="Q691" s="156"/>
      <c r="R691" s="156"/>
      <c r="S691" s="156"/>
      <c r="T691" s="156"/>
      <c r="U691" s="160"/>
      <c r="V691" s="160"/>
      <c r="W691" s="160"/>
      <c r="X691" s="160"/>
      <c r="Y691" s="160"/>
      <c r="Z691" s="160"/>
      <c r="AA691" s="160"/>
      <c r="AB691" s="160"/>
      <c r="AC691" s="160"/>
      <c r="AD691" s="160"/>
      <c r="AE691" s="160"/>
      <c r="AF691" s="160"/>
      <c r="AG691" s="160"/>
      <c r="AH691" s="160"/>
      <c r="AI691" s="160"/>
      <c r="AJ691" s="160"/>
      <c r="AK691" s="160"/>
      <c r="AL691" s="160"/>
      <c r="AM691" s="156"/>
      <c r="AN691" s="156"/>
      <c r="AO691" s="156"/>
      <c r="AP691" s="156"/>
      <c r="AQ691" s="156"/>
      <c r="AR691" s="156"/>
      <c r="AS691" s="156"/>
      <c r="AT691" s="156"/>
    </row>
    <row r="692" spans="1:46" s="157" customFormat="1" ht="18" customHeight="1">
      <c r="A692" s="164" t="s">
        <v>675</v>
      </c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  <c r="AB692" s="156"/>
      <c r="AC692" s="156"/>
      <c r="AD692" s="156"/>
      <c r="AE692" s="156"/>
      <c r="AF692" s="156"/>
      <c r="AG692" s="156"/>
      <c r="AH692" s="156"/>
      <c r="AI692" s="156"/>
      <c r="AJ692" s="156"/>
      <c r="AK692" s="156"/>
      <c r="AL692" s="156"/>
      <c r="AM692" s="156"/>
      <c r="AN692" s="156"/>
      <c r="AO692" s="156"/>
      <c r="AP692" s="156"/>
      <c r="AQ692" s="156"/>
      <c r="AR692" s="156"/>
      <c r="AS692" s="156"/>
      <c r="AT692" s="156"/>
    </row>
    <row r="693" spans="1:46" s="157" customFormat="1" ht="18" customHeight="1">
      <c r="B693" s="160" t="s">
        <v>677</v>
      </c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  <c r="AB693" s="156"/>
      <c r="AC693" s="156"/>
      <c r="AD693" s="156"/>
      <c r="AE693" s="156"/>
      <c r="AF693" s="156"/>
      <c r="AG693" s="156"/>
      <c r="AH693" s="156"/>
      <c r="AI693" s="156"/>
      <c r="AJ693" s="156"/>
      <c r="AK693" s="156"/>
      <c r="AL693" s="156"/>
      <c r="AM693" s="156"/>
      <c r="AN693" s="156"/>
      <c r="AO693" s="156"/>
      <c r="AP693" s="156"/>
      <c r="AQ693" s="156"/>
      <c r="AR693" s="156"/>
      <c r="AS693" s="156"/>
      <c r="AT693" s="156"/>
    </row>
    <row r="694" spans="1:46" s="157" customFormat="1" ht="18" customHeight="1">
      <c r="A694" s="156"/>
      <c r="B694" s="156"/>
      <c r="C694" s="472"/>
      <c r="D694" s="156"/>
      <c r="E694" s="192"/>
      <c r="F694" s="156"/>
      <c r="G694" s="186" t="s">
        <v>541</v>
      </c>
      <c r="H694" s="866" t="s">
        <v>171</v>
      </c>
      <c r="I694" s="866"/>
      <c r="J694" s="840" t="e">
        <f ca="1">F663</f>
        <v>#N/A</v>
      </c>
      <c r="K694" s="840"/>
      <c r="L694" s="840"/>
      <c r="M694" s="840"/>
      <c r="N694" s="473">
        <f>J663</f>
        <v>0</v>
      </c>
      <c r="O694" s="468"/>
      <c r="P694" s="466" t="s">
        <v>542</v>
      </c>
      <c r="Q694" s="840" t="e">
        <f ca="1">J694*2</f>
        <v>#N/A</v>
      </c>
      <c r="R694" s="840"/>
      <c r="S694" s="840"/>
      <c r="T694" s="840"/>
      <c r="U694" s="473">
        <f>N694</f>
        <v>0</v>
      </c>
      <c r="V694" s="469"/>
      <c r="W694" s="469"/>
      <c r="X694" s="469"/>
      <c r="Y694" s="469"/>
      <c r="Z694" s="156"/>
      <c r="AA694" s="156"/>
      <c r="AB694" s="156"/>
      <c r="AC694" s="156"/>
      <c r="AD694" s="156"/>
      <c r="AE694" s="156"/>
      <c r="AF694" s="156"/>
      <c r="AG694" s="156"/>
      <c r="AH694" s="156"/>
      <c r="AI694" s="156"/>
      <c r="AJ694" s="156"/>
      <c r="AK694" s="156"/>
      <c r="AL694" s="156"/>
      <c r="AM694" s="156"/>
      <c r="AN694" s="156"/>
      <c r="AO694" s="156"/>
      <c r="AP694" s="156"/>
      <c r="AQ694" s="156"/>
      <c r="AR694" s="156"/>
      <c r="AS694" s="156"/>
      <c r="AT694" s="156"/>
    </row>
    <row r="695" spans="1:46" ht="18" customHeight="1">
      <c r="A695" s="469"/>
      <c r="B695" s="469"/>
      <c r="C695" s="469"/>
      <c r="D695" s="469"/>
      <c r="E695" s="469"/>
      <c r="F695" s="469"/>
      <c r="G695" s="469"/>
      <c r="H695" s="469"/>
      <c r="I695" s="469"/>
      <c r="J695" s="469"/>
      <c r="K695" s="469"/>
      <c r="L695" s="469"/>
      <c r="M695" s="469"/>
      <c r="N695" s="469"/>
      <c r="O695" s="469"/>
      <c r="P695" s="469"/>
      <c r="Q695" s="469"/>
      <c r="R695" s="469"/>
      <c r="S695" s="469"/>
      <c r="T695" s="469"/>
      <c r="U695" s="469"/>
      <c r="V695" s="469"/>
      <c r="W695" s="469"/>
      <c r="X695" s="469"/>
      <c r="Y695" s="469"/>
      <c r="Z695" s="469"/>
      <c r="AA695" s="469"/>
      <c r="AB695" s="469"/>
      <c r="AC695" s="469"/>
      <c r="AD695" s="469"/>
      <c r="AE695" s="469"/>
      <c r="AF695" s="469"/>
      <c r="AG695" s="469"/>
      <c r="AH695" s="469"/>
      <c r="AI695" s="469"/>
      <c r="AJ695" s="469"/>
      <c r="AK695" s="469"/>
      <c r="AL695" s="469"/>
      <c r="AM695" s="469"/>
      <c r="AN695" s="469"/>
      <c r="AO695" s="469"/>
      <c r="AP695" s="469"/>
      <c r="AQ695" s="469"/>
      <c r="AR695" s="469"/>
      <c r="AS695" s="469"/>
      <c r="AT695" s="469"/>
    </row>
    <row r="696" spans="1:46" ht="18" customHeight="1">
      <c r="A696" s="194" t="s">
        <v>622</v>
      </c>
      <c r="B696" s="469"/>
      <c r="C696" s="469"/>
      <c r="D696" s="469"/>
      <c r="E696" s="469"/>
      <c r="F696" s="469"/>
      <c r="G696" s="469"/>
      <c r="H696" s="469"/>
      <c r="I696" s="469"/>
      <c r="J696" s="469"/>
      <c r="K696" s="469"/>
      <c r="L696" s="469"/>
      <c r="M696" s="469"/>
      <c r="N696" s="469"/>
      <c r="O696" s="469"/>
      <c r="P696" s="469"/>
      <c r="Q696" s="469"/>
      <c r="R696" s="469"/>
      <c r="S696" s="469"/>
      <c r="T696" s="469"/>
      <c r="U696" s="469"/>
      <c r="V696" s="469"/>
      <c r="W696" s="469"/>
      <c r="X696" s="469"/>
      <c r="Y696" s="469"/>
      <c r="Z696" s="469"/>
      <c r="AA696" s="469"/>
      <c r="AB696" s="469"/>
      <c r="AC696" s="469"/>
      <c r="AD696" s="469"/>
      <c r="AE696" s="469"/>
      <c r="AF696" s="469"/>
      <c r="AG696" s="469"/>
      <c r="AH696" s="469"/>
      <c r="AI696" s="469"/>
      <c r="AJ696" s="469"/>
      <c r="AK696" s="469"/>
      <c r="AL696" s="469"/>
      <c r="AM696" s="469"/>
      <c r="AN696" s="469"/>
      <c r="AO696" s="469"/>
      <c r="AP696" s="469"/>
      <c r="AQ696" s="469"/>
      <c r="AR696" s="469"/>
      <c r="AS696" s="469"/>
      <c r="AT696" s="469"/>
    </row>
    <row r="697" spans="1:46" ht="18" customHeight="1">
      <c r="A697" s="469"/>
      <c r="B697" s="847" t="s">
        <v>57</v>
      </c>
      <c r="C697" s="858"/>
      <c r="D697" s="858"/>
      <c r="E697" s="848"/>
      <c r="F697" s="625" t="s">
        <v>69</v>
      </c>
      <c r="G697" s="711"/>
      <c r="H697" s="711"/>
      <c r="I697" s="711"/>
      <c r="J697" s="711"/>
      <c r="K697" s="712"/>
      <c r="L697" s="625" t="e">
        <f>Calcu_ADJ!#REF!</f>
        <v>#REF!</v>
      </c>
      <c r="M697" s="711"/>
      <c r="N697" s="711"/>
      <c r="O697" s="711"/>
      <c r="P697" s="711"/>
      <c r="Q697" s="711"/>
      <c r="R697" s="711"/>
      <c r="S697" s="711"/>
      <c r="T697" s="711"/>
      <c r="U697" s="711"/>
      <c r="V697" s="711"/>
      <c r="W697" s="711"/>
      <c r="X697" s="711"/>
      <c r="Y697" s="711"/>
      <c r="Z697" s="711"/>
      <c r="AA697" s="711"/>
      <c r="AB697" s="711"/>
      <c r="AC697" s="711"/>
      <c r="AD697" s="711"/>
      <c r="AE697" s="711"/>
      <c r="AF697" s="711"/>
      <c r="AG697" s="711"/>
      <c r="AH697" s="711"/>
      <c r="AI697" s="712"/>
      <c r="AJ697" s="469"/>
      <c r="AK697" s="469"/>
      <c r="AL697" s="469"/>
      <c r="AM697" s="469"/>
      <c r="AN697" s="469"/>
      <c r="AO697" s="469"/>
      <c r="AP697" s="469"/>
      <c r="AQ697" s="469"/>
      <c r="AR697" s="469"/>
      <c r="AS697" s="469"/>
    </row>
    <row r="698" spans="1:46" ht="18" customHeight="1">
      <c r="A698" s="469"/>
      <c r="B698" s="658"/>
      <c r="C698" s="681"/>
      <c r="D698" s="681"/>
      <c r="E698" s="709"/>
      <c r="F698" s="847" t="s">
        <v>625</v>
      </c>
      <c r="G698" s="858"/>
      <c r="H698" s="858"/>
      <c r="I698" s="858"/>
      <c r="J698" s="858"/>
      <c r="K698" s="848"/>
      <c r="L698" s="847" t="s">
        <v>623</v>
      </c>
      <c r="M698" s="858"/>
      <c r="N698" s="858"/>
      <c r="O698" s="858"/>
      <c r="P698" s="858"/>
      <c r="Q698" s="858"/>
      <c r="R698" s="858"/>
      <c r="S698" s="858"/>
      <c r="T698" s="858"/>
      <c r="U698" s="858"/>
      <c r="V698" s="858"/>
      <c r="W698" s="848"/>
      <c r="X698" s="847" t="s">
        <v>121</v>
      </c>
      <c r="Y698" s="858"/>
      <c r="Z698" s="858"/>
      <c r="AA698" s="858"/>
      <c r="AB698" s="858"/>
      <c r="AC698" s="848"/>
      <c r="AD698" s="847" t="s">
        <v>624</v>
      </c>
      <c r="AE698" s="858"/>
      <c r="AF698" s="858"/>
      <c r="AG698" s="858"/>
      <c r="AH698" s="858"/>
      <c r="AI698" s="848"/>
      <c r="AJ698" s="469"/>
      <c r="AK698" s="469"/>
      <c r="AL698" s="469"/>
      <c r="AM698" s="469"/>
      <c r="AN698" s="469"/>
      <c r="AO698" s="469"/>
      <c r="AP698" s="469"/>
      <c r="AQ698" s="469"/>
      <c r="AR698" s="469"/>
      <c r="AS698" s="469"/>
    </row>
    <row r="699" spans="1:46" ht="18" customHeight="1">
      <c r="A699" s="469"/>
      <c r="B699" s="658"/>
      <c r="C699" s="681"/>
      <c r="D699" s="681"/>
      <c r="E699" s="709"/>
      <c r="F699" s="658"/>
      <c r="G699" s="681"/>
      <c r="H699" s="681"/>
      <c r="I699" s="681"/>
      <c r="J699" s="681"/>
      <c r="K699" s="709"/>
      <c r="L699" s="658"/>
      <c r="M699" s="681"/>
      <c r="N699" s="681"/>
      <c r="O699" s="681"/>
      <c r="P699" s="681"/>
      <c r="Q699" s="681"/>
      <c r="R699" s="681"/>
      <c r="S699" s="681"/>
      <c r="T699" s="681"/>
      <c r="U699" s="681"/>
      <c r="V699" s="681"/>
      <c r="W699" s="709"/>
      <c r="X699" s="658"/>
      <c r="Y699" s="681"/>
      <c r="Z699" s="681"/>
      <c r="AA699" s="681"/>
      <c r="AB699" s="681"/>
      <c r="AC699" s="709"/>
      <c r="AD699" s="658"/>
      <c r="AE699" s="681"/>
      <c r="AF699" s="681"/>
      <c r="AG699" s="681"/>
      <c r="AH699" s="681"/>
      <c r="AI699" s="709"/>
      <c r="AJ699" s="469"/>
      <c r="AK699" s="469"/>
      <c r="AL699" s="469"/>
      <c r="AM699" s="469"/>
      <c r="AN699" s="469"/>
      <c r="AO699" s="469"/>
      <c r="AP699" s="469"/>
      <c r="AQ699" s="469"/>
      <c r="AR699" s="469"/>
      <c r="AS699" s="469"/>
    </row>
    <row r="700" spans="1:46" ht="18" customHeight="1">
      <c r="A700" s="469"/>
      <c r="B700" s="658"/>
      <c r="C700" s="681"/>
      <c r="D700" s="681"/>
      <c r="E700" s="709"/>
      <c r="F700" s="658"/>
      <c r="G700" s="681"/>
      <c r="H700" s="681"/>
      <c r="I700" s="681"/>
      <c r="J700" s="681"/>
      <c r="K700" s="709"/>
      <c r="L700" s="658"/>
      <c r="M700" s="681"/>
      <c r="N700" s="681"/>
      <c r="O700" s="681"/>
      <c r="P700" s="681"/>
      <c r="Q700" s="681"/>
      <c r="R700" s="681"/>
      <c r="S700" s="681"/>
      <c r="T700" s="681"/>
      <c r="U700" s="681"/>
      <c r="V700" s="681"/>
      <c r="W700" s="709"/>
      <c r="X700" s="658"/>
      <c r="Y700" s="681"/>
      <c r="Z700" s="681"/>
      <c r="AA700" s="681"/>
      <c r="AB700" s="681"/>
      <c r="AC700" s="709"/>
      <c r="AD700" s="658"/>
      <c r="AE700" s="681"/>
      <c r="AF700" s="681"/>
      <c r="AG700" s="681"/>
      <c r="AH700" s="681"/>
      <c r="AI700" s="709"/>
      <c r="AJ700" s="469"/>
      <c r="AK700" s="469"/>
      <c r="AL700" s="469"/>
      <c r="AM700" s="469"/>
      <c r="AN700" s="469"/>
      <c r="AO700" s="469"/>
      <c r="AP700" s="469"/>
      <c r="AQ700" s="469"/>
      <c r="AR700" s="469"/>
      <c r="AS700" s="469"/>
    </row>
    <row r="701" spans="1:46" ht="18" customHeight="1">
      <c r="A701" s="469"/>
      <c r="B701" s="658"/>
      <c r="C701" s="681"/>
      <c r="D701" s="681"/>
      <c r="E701" s="709"/>
      <c r="F701" s="658"/>
      <c r="G701" s="681"/>
      <c r="H701" s="681"/>
      <c r="I701" s="681"/>
      <c r="J701" s="681"/>
      <c r="K701" s="709"/>
      <c r="L701" s="372"/>
      <c r="N701" s="860" t="e">
        <f>TEXT($AJ$419,"0.000 000 0 ")&amp;$AJ$420</f>
        <v>#DIV/0!</v>
      </c>
      <c r="O701" s="860"/>
      <c r="P701" s="860"/>
      <c r="Q701" s="860"/>
      <c r="R701" s="860"/>
      <c r="S701" s="860"/>
      <c r="T701" s="860"/>
      <c r="U701" s="860"/>
      <c r="V701" s="860"/>
      <c r="W701" s="861"/>
      <c r="X701" s="658"/>
      <c r="Y701" s="681"/>
      <c r="Z701" s="681"/>
      <c r="AA701" s="681"/>
      <c r="AB701" s="681"/>
      <c r="AC701" s="709"/>
      <c r="AD701" s="658"/>
      <c r="AE701" s="681"/>
      <c r="AF701" s="681"/>
      <c r="AG701" s="681"/>
      <c r="AH701" s="681"/>
      <c r="AI701" s="709"/>
      <c r="AJ701" s="469"/>
      <c r="AK701" s="469"/>
      <c r="AL701" s="469"/>
      <c r="AM701" s="469"/>
      <c r="AN701" s="469"/>
      <c r="AO701" s="469"/>
      <c r="AP701" s="469"/>
      <c r="AQ701" s="469"/>
      <c r="AR701" s="469"/>
      <c r="AS701" s="469"/>
    </row>
    <row r="702" spans="1:46" ht="18" customHeight="1">
      <c r="A702" s="469"/>
      <c r="B702" s="658"/>
      <c r="C702" s="681"/>
      <c r="D702" s="681"/>
      <c r="E702" s="709"/>
      <c r="F702" s="658"/>
      <c r="G702" s="681"/>
      <c r="H702" s="681"/>
      <c r="I702" s="681"/>
      <c r="J702" s="681"/>
      <c r="K702" s="709"/>
      <c r="L702" s="371"/>
      <c r="M702" s="373"/>
      <c r="N702" s="862"/>
      <c r="O702" s="862"/>
      <c r="P702" s="862"/>
      <c r="Q702" s="862"/>
      <c r="R702" s="862"/>
      <c r="S702" s="862"/>
      <c r="T702" s="862"/>
      <c r="U702" s="862"/>
      <c r="V702" s="862"/>
      <c r="W702" s="863"/>
      <c r="X702" s="658"/>
      <c r="Y702" s="681"/>
      <c r="Z702" s="681"/>
      <c r="AA702" s="681"/>
      <c r="AB702" s="681"/>
      <c r="AC702" s="709"/>
      <c r="AD702" s="658"/>
      <c r="AE702" s="681"/>
      <c r="AF702" s="681"/>
      <c r="AG702" s="681"/>
      <c r="AH702" s="681"/>
      <c r="AI702" s="709"/>
      <c r="AJ702" s="469"/>
      <c r="AK702" s="469"/>
      <c r="AL702" s="469"/>
      <c r="AM702" s="469"/>
      <c r="AN702" s="469"/>
      <c r="AO702" s="469"/>
      <c r="AP702" s="469"/>
      <c r="AQ702" s="469"/>
    </row>
    <row r="703" spans="1:46" ht="18" customHeight="1">
      <c r="A703" s="469"/>
      <c r="B703" s="658"/>
      <c r="C703" s="681"/>
      <c r="D703" s="681"/>
      <c r="E703" s="709"/>
      <c r="F703" s="672"/>
      <c r="G703" s="688"/>
      <c r="H703" s="688"/>
      <c r="I703" s="688"/>
      <c r="J703" s="688"/>
      <c r="K703" s="710"/>
      <c r="L703" s="625"/>
      <c r="M703" s="711"/>
      <c r="N703" s="711"/>
      <c r="O703" s="711"/>
      <c r="P703" s="711"/>
      <c r="Q703" s="712"/>
      <c r="R703" s="644" t="s">
        <v>439</v>
      </c>
      <c r="S703" s="864"/>
      <c r="T703" s="864"/>
      <c r="U703" s="864"/>
      <c r="V703" s="864"/>
      <c r="W703" s="865"/>
      <c r="X703" s="672"/>
      <c r="Y703" s="688"/>
      <c r="Z703" s="688"/>
      <c r="AA703" s="688"/>
      <c r="AB703" s="688"/>
      <c r="AC703" s="710"/>
      <c r="AD703" s="672"/>
      <c r="AE703" s="688"/>
      <c r="AF703" s="688"/>
      <c r="AG703" s="688"/>
      <c r="AH703" s="688"/>
      <c r="AI703" s="710"/>
      <c r="AJ703" s="469"/>
      <c r="AK703" s="469"/>
      <c r="AL703" s="469"/>
      <c r="AM703" s="469"/>
      <c r="AN703" s="469"/>
      <c r="AO703" s="469"/>
      <c r="AP703" s="469"/>
      <c r="AQ703" s="469"/>
    </row>
    <row r="704" spans="1:46" ht="18" customHeight="1">
      <c r="A704" s="469"/>
      <c r="B704" s="672"/>
      <c r="C704" s="688"/>
      <c r="D704" s="688"/>
      <c r="E704" s="710"/>
      <c r="F704" s="625">
        <f t="shared" ref="F704:F719" si="40">D670</f>
        <v>0</v>
      </c>
      <c r="G704" s="711"/>
      <c r="H704" s="711"/>
      <c r="I704" s="711"/>
      <c r="J704" s="711"/>
      <c r="K704" s="712"/>
      <c r="L704" s="625">
        <f>P373</f>
        <v>0</v>
      </c>
      <c r="M704" s="711"/>
      <c r="N704" s="711"/>
      <c r="O704" s="711"/>
      <c r="P704" s="711"/>
      <c r="Q704" s="712"/>
      <c r="R704" s="625">
        <f>F704</f>
        <v>0</v>
      </c>
      <c r="S704" s="711"/>
      <c r="T704" s="711"/>
      <c r="U704" s="711"/>
      <c r="V704" s="711"/>
      <c r="W704" s="712"/>
      <c r="X704" s="625">
        <f>R704</f>
        <v>0</v>
      </c>
      <c r="Y704" s="711"/>
      <c r="Z704" s="711"/>
      <c r="AA704" s="711"/>
      <c r="AB704" s="711"/>
      <c r="AC704" s="712"/>
      <c r="AD704" s="625">
        <f>X704</f>
        <v>0</v>
      </c>
      <c r="AE704" s="711"/>
      <c r="AF704" s="711"/>
      <c r="AG704" s="711"/>
      <c r="AH704" s="711"/>
      <c r="AI704" s="712"/>
      <c r="AJ704" s="469"/>
      <c r="AK704" s="469"/>
      <c r="AL704" s="469"/>
      <c r="AM704" s="469"/>
      <c r="AN704" s="469"/>
      <c r="AO704" s="469"/>
      <c r="AP704" s="469"/>
      <c r="AQ704" s="469"/>
      <c r="AR704" s="469"/>
      <c r="AS704" s="469"/>
    </row>
    <row r="705" spans="1:45" ht="18" customHeight="1">
      <c r="A705" s="469"/>
      <c r="B705" s="720">
        <v>1</v>
      </c>
      <c r="C705" s="720"/>
      <c r="D705" s="720"/>
      <c r="E705" s="720"/>
      <c r="F705" s="743" t="str">
        <f t="shared" si="40"/>
        <v/>
      </c>
      <c r="G705" s="711"/>
      <c r="H705" s="711"/>
      <c r="I705" s="711"/>
      <c r="J705" s="711"/>
      <c r="K705" s="712"/>
      <c r="L705" s="625" t="str">
        <f>Calcu_ADJ!G45</f>
        <v/>
      </c>
      <c r="M705" s="711"/>
      <c r="N705" s="711"/>
      <c r="O705" s="711"/>
      <c r="P705" s="711"/>
      <c r="Q705" s="712"/>
      <c r="R705" s="625" t="str">
        <f>Calcu_ADJ!H45</f>
        <v/>
      </c>
      <c r="S705" s="711"/>
      <c r="T705" s="711"/>
      <c r="U705" s="711"/>
      <c r="V705" s="711"/>
      <c r="W705" s="712"/>
      <c r="X705" s="625" t="str">
        <f>Calcu_ADJ!I45</f>
        <v/>
      </c>
      <c r="Y705" s="711"/>
      <c r="Z705" s="711"/>
      <c r="AA705" s="711"/>
      <c r="AB705" s="711"/>
      <c r="AC705" s="712"/>
      <c r="AD705" s="625" t="str">
        <f>Calcu_ADJ!S45</f>
        <v/>
      </c>
      <c r="AE705" s="711"/>
      <c r="AF705" s="711"/>
      <c r="AG705" s="711"/>
      <c r="AH705" s="711"/>
      <c r="AI705" s="712"/>
      <c r="AJ705" s="469"/>
      <c r="AK705" s="469"/>
      <c r="AL705" s="469"/>
      <c r="AM705" s="469"/>
      <c r="AN705" s="469"/>
      <c r="AO705" s="469"/>
      <c r="AP705" s="469"/>
      <c r="AQ705" s="469"/>
      <c r="AR705" s="469"/>
      <c r="AS705" s="469"/>
    </row>
    <row r="706" spans="1:45" ht="18" customHeight="1">
      <c r="A706" s="469"/>
      <c r="B706" s="720">
        <v>2</v>
      </c>
      <c r="C706" s="720"/>
      <c r="D706" s="720"/>
      <c r="E706" s="720"/>
      <c r="F706" s="743" t="str">
        <f t="shared" si="40"/>
        <v/>
      </c>
      <c r="G706" s="711"/>
      <c r="H706" s="711"/>
      <c r="I706" s="711"/>
      <c r="J706" s="711"/>
      <c r="K706" s="712"/>
      <c r="L706" s="625" t="str">
        <f>Calcu_ADJ!G46</f>
        <v/>
      </c>
      <c r="M706" s="711"/>
      <c r="N706" s="711"/>
      <c r="O706" s="711"/>
      <c r="P706" s="711"/>
      <c r="Q706" s="712"/>
      <c r="R706" s="625" t="str">
        <f>Calcu_ADJ!H46</f>
        <v/>
      </c>
      <c r="S706" s="711"/>
      <c r="T706" s="711"/>
      <c r="U706" s="711"/>
      <c r="V706" s="711"/>
      <c r="W706" s="712"/>
      <c r="X706" s="625" t="str">
        <f>Calcu_ADJ!I46</f>
        <v/>
      </c>
      <c r="Y706" s="711"/>
      <c r="Z706" s="711"/>
      <c r="AA706" s="711"/>
      <c r="AB706" s="711"/>
      <c r="AC706" s="712"/>
      <c r="AD706" s="625" t="str">
        <f>Calcu_ADJ!S46</f>
        <v/>
      </c>
      <c r="AE706" s="711"/>
      <c r="AF706" s="711"/>
      <c r="AG706" s="711"/>
      <c r="AH706" s="711"/>
      <c r="AI706" s="712"/>
      <c r="AJ706" s="469"/>
      <c r="AK706" s="469"/>
      <c r="AL706" s="469"/>
      <c r="AM706" s="469"/>
      <c r="AN706" s="469"/>
      <c r="AO706" s="469"/>
      <c r="AP706" s="469"/>
      <c r="AQ706" s="469"/>
      <c r="AR706" s="469"/>
      <c r="AS706" s="469"/>
    </row>
    <row r="707" spans="1:45" ht="18" customHeight="1">
      <c r="A707" s="469"/>
      <c r="B707" s="720">
        <v>3</v>
      </c>
      <c r="C707" s="720"/>
      <c r="D707" s="720"/>
      <c r="E707" s="720"/>
      <c r="F707" s="743" t="str">
        <f t="shared" si="40"/>
        <v/>
      </c>
      <c r="G707" s="711"/>
      <c r="H707" s="711"/>
      <c r="I707" s="711"/>
      <c r="J707" s="711"/>
      <c r="K707" s="712"/>
      <c r="L707" s="625" t="str">
        <f>Calcu_ADJ!G47</f>
        <v/>
      </c>
      <c r="M707" s="711"/>
      <c r="N707" s="711"/>
      <c r="O707" s="711"/>
      <c r="P707" s="711"/>
      <c r="Q707" s="712"/>
      <c r="R707" s="625" t="str">
        <f>Calcu_ADJ!H47</f>
        <v/>
      </c>
      <c r="S707" s="711"/>
      <c r="T707" s="711"/>
      <c r="U707" s="711"/>
      <c r="V707" s="711"/>
      <c r="W707" s="712"/>
      <c r="X707" s="625" t="str">
        <f>Calcu_ADJ!I47</f>
        <v/>
      </c>
      <c r="Y707" s="711"/>
      <c r="Z707" s="711"/>
      <c r="AA707" s="711"/>
      <c r="AB707" s="711"/>
      <c r="AC707" s="712"/>
      <c r="AD707" s="625" t="str">
        <f>Calcu_ADJ!S47</f>
        <v/>
      </c>
      <c r="AE707" s="711"/>
      <c r="AF707" s="711"/>
      <c r="AG707" s="711"/>
      <c r="AH707" s="711"/>
      <c r="AI707" s="712"/>
      <c r="AJ707" s="469"/>
      <c r="AK707" s="469"/>
      <c r="AL707" s="469"/>
      <c r="AM707" s="469"/>
      <c r="AN707" s="469"/>
      <c r="AO707" s="469"/>
      <c r="AP707" s="469"/>
      <c r="AQ707" s="469"/>
      <c r="AR707" s="469"/>
      <c r="AS707" s="469"/>
    </row>
    <row r="708" spans="1:45" ht="18" customHeight="1">
      <c r="A708" s="469"/>
      <c r="B708" s="720">
        <v>4</v>
      </c>
      <c r="C708" s="720"/>
      <c r="D708" s="720"/>
      <c r="E708" s="720"/>
      <c r="F708" s="743" t="str">
        <f t="shared" si="40"/>
        <v/>
      </c>
      <c r="G708" s="711"/>
      <c r="H708" s="711"/>
      <c r="I708" s="711"/>
      <c r="J708" s="711"/>
      <c r="K708" s="712"/>
      <c r="L708" s="625" t="str">
        <f>Calcu_ADJ!G48</f>
        <v/>
      </c>
      <c r="M708" s="711"/>
      <c r="N708" s="711"/>
      <c r="O708" s="711"/>
      <c r="P708" s="711"/>
      <c r="Q708" s="712"/>
      <c r="R708" s="625" t="str">
        <f>Calcu_ADJ!H48</f>
        <v/>
      </c>
      <c r="S708" s="711"/>
      <c r="T708" s="711"/>
      <c r="U708" s="711"/>
      <c r="V708" s="711"/>
      <c r="W708" s="712"/>
      <c r="X708" s="625" t="str">
        <f>Calcu_ADJ!I48</f>
        <v/>
      </c>
      <c r="Y708" s="711"/>
      <c r="Z708" s="711"/>
      <c r="AA708" s="711"/>
      <c r="AB708" s="711"/>
      <c r="AC708" s="712"/>
      <c r="AD708" s="625" t="str">
        <f>Calcu_ADJ!S48</f>
        <v/>
      </c>
      <c r="AE708" s="711"/>
      <c r="AF708" s="711"/>
      <c r="AG708" s="711"/>
      <c r="AH708" s="711"/>
      <c r="AI708" s="712"/>
      <c r="AJ708" s="469"/>
      <c r="AK708" s="469"/>
      <c r="AL708" s="469"/>
      <c r="AM708" s="469"/>
      <c r="AN708" s="469"/>
      <c r="AO708" s="469"/>
      <c r="AP708" s="469"/>
      <c r="AQ708" s="469"/>
      <c r="AR708" s="469"/>
      <c r="AS708" s="469"/>
    </row>
    <row r="709" spans="1:45" ht="18" customHeight="1">
      <c r="A709" s="469"/>
      <c r="B709" s="720">
        <v>5</v>
      </c>
      <c r="C709" s="720"/>
      <c r="D709" s="720"/>
      <c r="E709" s="720"/>
      <c r="F709" s="743" t="str">
        <f t="shared" si="40"/>
        <v/>
      </c>
      <c r="G709" s="711"/>
      <c r="H709" s="711"/>
      <c r="I709" s="711"/>
      <c r="J709" s="711"/>
      <c r="K709" s="712"/>
      <c r="L709" s="625" t="str">
        <f>Calcu_ADJ!G49</f>
        <v/>
      </c>
      <c r="M709" s="711"/>
      <c r="N709" s="711"/>
      <c r="O709" s="711"/>
      <c r="P709" s="711"/>
      <c r="Q709" s="712"/>
      <c r="R709" s="625" t="str">
        <f>Calcu_ADJ!H49</f>
        <v/>
      </c>
      <c r="S709" s="711"/>
      <c r="T709" s="711"/>
      <c r="U709" s="711"/>
      <c r="V709" s="711"/>
      <c r="W709" s="712"/>
      <c r="X709" s="625" t="str">
        <f>Calcu_ADJ!I49</f>
        <v/>
      </c>
      <c r="Y709" s="711"/>
      <c r="Z709" s="711"/>
      <c r="AA709" s="711"/>
      <c r="AB709" s="711"/>
      <c r="AC709" s="712"/>
      <c r="AD709" s="625" t="str">
        <f>Calcu_ADJ!S49</f>
        <v/>
      </c>
      <c r="AE709" s="711"/>
      <c r="AF709" s="711"/>
      <c r="AG709" s="711"/>
      <c r="AH709" s="711"/>
      <c r="AI709" s="712"/>
      <c r="AJ709" s="469"/>
      <c r="AK709" s="469"/>
      <c r="AL709" s="469"/>
      <c r="AM709" s="469"/>
      <c r="AN709" s="469"/>
      <c r="AO709" s="469"/>
      <c r="AP709" s="469"/>
      <c r="AQ709" s="469"/>
      <c r="AR709" s="469"/>
      <c r="AS709" s="469"/>
    </row>
    <row r="710" spans="1:45" ht="18" customHeight="1">
      <c r="A710" s="469"/>
      <c r="B710" s="720">
        <v>6</v>
      </c>
      <c r="C710" s="720"/>
      <c r="D710" s="720"/>
      <c r="E710" s="720"/>
      <c r="F710" s="743" t="str">
        <f t="shared" si="40"/>
        <v/>
      </c>
      <c r="G710" s="711"/>
      <c r="H710" s="711"/>
      <c r="I710" s="711"/>
      <c r="J710" s="711"/>
      <c r="K710" s="712"/>
      <c r="L710" s="625" t="str">
        <f>Calcu_ADJ!G50</f>
        <v/>
      </c>
      <c r="M710" s="711"/>
      <c r="N710" s="711"/>
      <c r="O710" s="711"/>
      <c r="P710" s="711"/>
      <c r="Q710" s="712"/>
      <c r="R710" s="625" t="str">
        <f>Calcu_ADJ!H50</f>
        <v/>
      </c>
      <c r="S710" s="711"/>
      <c r="T710" s="711"/>
      <c r="U710" s="711"/>
      <c r="V710" s="711"/>
      <c r="W710" s="712"/>
      <c r="X710" s="625" t="str">
        <f>Calcu_ADJ!I50</f>
        <v/>
      </c>
      <c r="Y710" s="711"/>
      <c r="Z710" s="711"/>
      <c r="AA710" s="711"/>
      <c r="AB710" s="711"/>
      <c r="AC710" s="712"/>
      <c r="AD710" s="625" t="str">
        <f>Calcu_ADJ!S50</f>
        <v/>
      </c>
      <c r="AE710" s="711"/>
      <c r="AF710" s="711"/>
      <c r="AG710" s="711"/>
      <c r="AH710" s="711"/>
      <c r="AI710" s="712"/>
      <c r="AJ710" s="469"/>
      <c r="AK710" s="469"/>
      <c r="AL710" s="469"/>
      <c r="AM710" s="469"/>
      <c r="AN710" s="469"/>
      <c r="AO710" s="469"/>
      <c r="AP710" s="469"/>
      <c r="AQ710" s="469"/>
      <c r="AR710" s="469"/>
      <c r="AS710" s="469"/>
    </row>
    <row r="711" spans="1:45" ht="18" customHeight="1">
      <c r="A711" s="469"/>
      <c r="B711" s="720">
        <v>7</v>
      </c>
      <c r="C711" s="720"/>
      <c r="D711" s="720"/>
      <c r="E711" s="720"/>
      <c r="F711" s="743" t="str">
        <f t="shared" si="40"/>
        <v/>
      </c>
      <c r="G711" s="711"/>
      <c r="H711" s="711"/>
      <c r="I711" s="711"/>
      <c r="J711" s="711"/>
      <c r="K711" s="712"/>
      <c r="L711" s="625" t="str">
        <f>Calcu_ADJ!G51</f>
        <v/>
      </c>
      <c r="M711" s="711"/>
      <c r="N711" s="711"/>
      <c r="O711" s="711"/>
      <c r="P711" s="711"/>
      <c r="Q711" s="712"/>
      <c r="R711" s="625" t="str">
        <f>Calcu_ADJ!H51</f>
        <v/>
      </c>
      <c r="S711" s="711"/>
      <c r="T711" s="711"/>
      <c r="U711" s="711"/>
      <c r="V711" s="711"/>
      <c r="W711" s="712"/>
      <c r="X711" s="625" t="str">
        <f>Calcu_ADJ!I51</f>
        <v/>
      </c>
      <c r="Y711" s="711"/>
      <c r="Z711" s="711"/>
      <c r="AA711" s="711"/>
      <c r="AB711" s="711"/>
      <c r="AC711" s="712"/>
      <c r="AD711" s="625" t="str">
        <f>Calcu_ADJ!S51</f>
        <v/>
      </c>
      <c r="AE711" s="711"/>
      <c r="AF711" s="711"/>
      <c r="AG711" s="711"/>
      <c r="AH711" s="711"/>
      <c r="AI711" s="712"/>
      <c r="AJ711" s="469"/>
      <c r="AK711" s="469"/>
      <c r="AL711" s="469"/>
      <c r="AM711" s="469"/>
      <c r="AN711" s="469"/>
      <c r="AO711" s="469"/>
      <c r="AP711" s="469"/>
      <c r="AQ711" s="469"/>
      <c r="AR711" s="469"/>
      <c r="AS711" s="469"/>
    </row>
    <row r="712" spans="1:45" ht="18" customHeight="1">
      <c r="A712" s="469"/>
      <c r="B712" s="720">
        <v>8</v>
      </c>
      <c r="C712" s="720"/>
      <c r="D712" s="720"/>
      <c r="E712" s="720"/>
      <c r="F712" s="743" t="str">
        <f t="shared" si="40"/>
        <v/>
      </c>
      <c r="G712" s="711"/>
      <c r="H712" s="711"/>
      <c r="I712" s="711"/>
      <c r="J712" s="711"/>
      <c r="K712" s="712"/>
      <c r="L712" s="625" t="str">
        <f>Calcu_ADJ!G52</f>
        <v/>
      </c>
      <c r="M712" s="711"/>
      <c r="N712" s="711"/>
      <c r="O712" s="711"/>
      <c r="P712" s="711"/>
      <c r="Q712" s="712"/>
      <c r="R712" s="625" t="str">
        <f>Calcu_ADJ!H52</f>
        <v/>
      </c>
      <c r="S712" s="711"/>
      <c r="T712" s="711"/>
      <c r="U712" s="711"/>
      <c r="V712" s="711"/>
      <c r="W712" s="712"/>
      <c r="X712" s="625" t="str">
        <f>Calcu_ADJ!I52</f>
        <v/>
      </c>
      <c r="Y712" s="711"/>
      <c r="Z712" s="711"/>
      <c r="AA712" s="711"/>
      <c r="AB712" s="711"/>
      <c r="AC712" s="712"/>
      <c r="AD712" s="625" t="str">
        <f>Calcu_ADJ!S52</f>
        <v/>
      </c>
      <c r="AE712" s="711"/>
      <c r="AF712" s="711"/>
      <c r="AG712" s="711"/>
      <c r="AH712" s="711"/>
      <c r="AI712" s="712"/>
      <c r="AJ712" s="469"/>
      <c r="AK712" s="469"/>
      <c r="AL712" s="469"/>
      <c r="AM712" s="469"/>
      <c r="AN712" s="469"/>
      <c r="AO712" s="469"/>
      <c r="AP712" s="469"/>
      <c r="AQ712" s="469"/>
      <c r="AR712" s="469"/>
      <c r="AS712" s="469"/>
    </row>
    <row r="713" spans="1:45" ht="18" customHeight="1">
      <c r="A713" s="469"/>
      <c r="B713" s="720">
        <v>9</v>
      </c>
      <c r="C713" s="720"/>
      <c r="D713" s="720"/>
      <c r="E713" s="720"/>
      <c r="F713" s="743" t="str">
        <f t="shared" si="40"/>
        <v/>
      </c>
      <c r="G713" s="711"/>
      <c r="H713" s="711"/>
      <c r="I713" s="711"/>
      <c r="J713" s="711"/>
      <c r="K713" s="712"/>
      <c r="L713" s="625" t="str">
        <f>Calcu_ADJ!G53</f>
        <v/>
      </c>
      <c r="M713" s="711"/>
      <c r="N713" s="711"/>
      <c r="O713" s="711"/>
      <c r="P713" s="711"/>
      <c r="Q713" s="712"/>
      <c r="R713" s="625" t="str">
        <f>Calcu_ADJ!H53</f>
        <v/>
      </c>
      <c r="S713" s="711"/>
      <c r="T713" s="711"/>
      <c r="U713" s="711"/>
      <c r="V713" s="711"/>
      <c r="W713" s="712"/>
      <c r="X713" s="625" t="str">
        <f>Calcu_ADJ!I53</f>
        <v/>
      </c>
      <c r="Y713" s="711"/>
      <c r="Z713" s="711"/>
      <c r="AA713" s="711"/>
      <c r="AB713" s="711"/>
      <c r="AC713" s="712"/>
      <c r="AD713" s="625" t="str">
        <f>Calcu_ADJ!S53</f>
        <v/>
      </c>
      <c r="AE713" s="711"/>
      <c r="AF713" s="711"/>
      <c r="AG713" s="711"/>
      <c r="AH713" s="711"/>
      <c r="AI713" s="712"/>
      <c r="AJ713" s="469"/>
      <c r="AK713" s="469"/>
      <c r="AL713" s="469"/>
      <c r="AM713" s="469"/>
      <c r="AN713" s="469"/>
      <c r="AO713" s="469"/>
      <c r="AP713" s="469"/>
      <c r="AQ713" s="469"/>
      <c r="AR713" s="469"/>
      <c r="AS713" s="469"/>
    </row>
    <row r="714" spans="1:45" ht="18" customHeight="1">
      <c r="A714" s="469"/>
      <c r="B714" s="720">
        <v>10</v>
      </c>
      <c r="C714" s="720"/>
      <c r="D714" s="720"/>
      <c r="E714" s="720"/>
      <c r="F714" s="743" t="str">
        <f t="shared" si="40"/>
        <v/>
      </c>
      <c r="G714" s="711"/>
      <c r="H714" s="711"/>
      <c r="I714" s="711"/>
      <c r="J714" s="711"/>
      <c r="K714" s="712"/>
      <c r="L714" s="625" t="str">
        <f>Calcu_ADJ!G54</f>
        <v/>
      </c>
      <c r="M714" s="711"/>
      <c r="N714" s="711"/>
      <c r="O714" s="711"/>
      <c r="P714" s="711"/>
      <c r="Q714" s="712"/>
      <c r="R714" s="625" t="str">
        <f>Calcu_ADJ!H54</f>
        <v/>
      </c>
      <c r="S714" s="711"/>
      <c r="T714" s="711"/>
      <c r="U714" s="711"/>
      <c r="V714" s="711"/>
      <c r="W714" s="712"/>
      <c r="X714" s="625" t="str">
        <f>Calcu_ADJ!I54</f>
        <v/>
      </c>
      <c r="Y714" s="711"/>
      <c r="Z714" s="711"/>
      <c r="AA714" s="711"/>
      <c r="AB714" s="711"/>
      <c r="AC714" s="712"/>
      <c r="AD714" s="625" t="str">
        <f>Calcu_ADJ!S54</f>
        <v/>
      </c>
      <c r="AE714" s="711"/>
      <c r="AF714" s="711"/>
      <c r="AG714" s="711"/>
      <c r="AH714" s="711"/>
      <c r="AI714" s="712"/>
      <c r="AJ714" s="469"/>
      <c r="AK714" s="469"/>
      <c r="AL714" s="469"/>
      <c r="AM714" s="469"/>
      <c r="AN714" s="469"/>
      <c r="AO714" s="469"/>
      <c r="AP714" s="469"/>
      <c r="AQ714" s="469"/>
      <c r="AR714" s="469"/>
      <c r="AS714" s="469"/>
    </row>
    <row r="715" spans="1:45" ht="18" customHeight="1">
      <c r="A715" s="469"/>
      <c r="B715" s="720">
        <v>11</v>
      </c>
      <c r="C715" s="720"/>
      <c r="D715" s="720"/>
      <c r="E715" s="720"/>
      <c r="F715" s="743" t="str">
        <f t="shared" si="40"/>
        <v/>
      </c>
      <c r="G715" s="711"/>
      <c r="H715" s="711"/>
      <c r="I715" s="711"/>
      <c r="J715" s="711"/>
      <c r="K715" s="712"/>
      <c r="L715" s="625" t="str">
        <f>Calcu_ADJ!G55</f>
        <v/>
      </c>
      <c r="M715" s="711"/>
      <c r="N715" s="711"/>
      <c r="O715" s="711"/>
      <c r="P715" s="711"/>
      <c r="Q715" s="712"/>
      <c r="R715" s="625" t="str">
        <f>Calcu_ADJ!H55</f>
        <v/>
      </c>
      <c r="S715" s="711"/>
      <c r="T715" s="711"/>
      <c r="U715" s="711"/>
      <c r="V715" s="711"/>
      <c r="W715" s="712"/>
      <c r="X715" s="625" t="str">
        <f>Calcu_ADJ!I55</f>
        <v/>
      </c>
      <c r="Y715" s="711"/>
      <c r="Z715" s="711"/>
      <c r="AA715" s="711"/>
      <c r="AB715" s="711"/>
      <c r="AC715" s="712"/>
      <c r="AD715" s="625" t="str">
        <f>Calcu_ADJ!S55</f>
        <v/>
      </c>
      <c r="AE715" s="711"/>
      <c r="AF715" s="711"/>
      <c r="AG715" s="711"/>
      <c r="AH715" s="711"/>
      <c r="AI715" s="712"/>
      <c r="AJ715" s="469"/>
      <c r="AK715" s="469"/>
      <c r="AL715" s="469"/>
      <c r="AM715" s="469"/>
      <c r="AN715" s="469"/>
      <c r="AO715" s="469"/>
      <c r="AP715" s="469"/>
      <c r="AQ715" s="469"/>
      <c r="AR715" s="469"/>
      <c r="AS715" s="469"/>
    </row>
    <row r="716" spans="1:45" ht="18" customHeight="1">
      <c r="B716" s="720">
        <v>12</v>
      </c>
      <c r="C716" s="720"/>
      <c r="D716" s="720"/>
      <c r="E716" s="720"/>
      <c r="F716" s="743" t="str">
        <f t="shared" si="40"/>
        <v/>
      </c>
      <c r="G716" s="711"/>
      <c r="H716" s="711"/>
      <c r="I716" s="711"/>
      <c r="J716" s="711"/>
      <c r="K716" s="712"/>
      <c r="L716" s="625" t="str">
        <f>Calcu_ADJ!G56</f>
        <v/>
      </c>
      <c r="M716" s="711"/>
      <c r="N716" s="711"/>
      <c r="O716" s="711"/>
      <c r="P716" s="711"/>
      <c r="Q716" s="712"/>
      <c r="R716" s="625" t="str">
        <f>Calcu_ADJ!H56</f>
        <v/>
      </c>
      <c r="S716" s="711"/>
      <c r="T716" s="711"/>
      <c r="U716" s="711"/>
      <c r="V716" s="711"/>
      <c r="W716" s="712"/>
      <c r="X716" s="625" t="str">
        <f>Calcu_ADJ!I56</f>
        <v/>
      </c>
      <c r="Y716" s="711"/>
      <c r="Z716" s="711"/>
      <c r="AA716" s="711"/>
      <c r="AB716" s="711"/>
      <c r="AC716" s="712"/>
      <c r="AD716" s="625" t="str">
        <f>Calcu_ADJ!S56</f>
        <v/>
      </c>
      <c r="AE716" s="711"/>
      <c r="AF716" s="711"/>
      <c r="AG716" s="711"/>
      <c r="AH716" s="711"/>
      <c r="AI716" s="712"/>
      <c r="AJ716" s="469"/>
      <c r="AK716" s="469"/>
      <c r="AL716" s="469"/>
      <c r="AM716" s="469"/>
      <c r="AN716" s="469"/>
      <c r="AO716" s="469"/>
      <c r="AP716" s="469"/>
      <c r="AQ716" s="469"/>
      <c r="AR716" s="469"/>
      <c r="AS716" s="469"/>
    </row>
    <row r="717" spans="1:45" ht="18" customHeight="1">
      <c r="B717" s="720">
        <v>13</v>
      </c>
      <c r="C717" s="720"/>
      <c r="D717" s="720"/>
      <c r="E717" s="720"/>
      <c r="F717" s="743" t="str">
        <f t="shared" si="40"/>
        <v/>
      </c>
      <c r="G717" s="711"/>
      <c r="H717" s="711"/>
      <c r="I717" s="711"/>
      <c r="J717" s="711"/>
      <c r="K717" s="712"/>
      <c r="L717" s="625" t="str">
        <f>Calcu_ADJ!G57</f>
        <v/>
      </c>
      <c r="M717" s="711"/>
      <c r="N717" s="711"/>
      <c r="O717" s="711"/>
      <c r="P717" s="711"/>
      <c r="Q717" s="712"/>
      <c r="R717" s="625" t="str">
        <f>Calcu_ADJ!H57</f>
        <v/>
      </c>
      <c r="S717" s="711"/>
      <c r="T717" s="711"/>
      <c r="U717" s="711"/>
      <c r="V717" s="711"/>
      <c r="W717" s="712"/>
      <c r="X717" s="625" t="str">
        <f>Calcu_ADJ!I57</f>
        <v/>
      </c>
      <c r="Y717" s="711"/>
      <c r="Z717" s="711"/>
      <c r="AA717" s="711"/>
      <c r="AB717" s="711"/>
      <c r="AC717" s="712"/>
      <c r="AD717" s="625" t="str">
        <f>Calcu_ADJ!S57</f>
        <v/>
      </c>
      <c r="AE717" s="711"/>
      <c r="AF717" s="711"/>
      <c r="AG717" s="711"/>
      <c r="AH717" s="711"/>
      <c r="AI717" s="712"/>
    </row>
    <row r="718" spans="1:45" ht="18" customHeight="1">
      <c r="B718" s="720">
        <v>14</v>
      </c>
      <c r="C718" s="720"/>
      <c r="D718" s="720"/>
      <c r="E718" s="720"/>
      <c r="F718" s="743" t="str">
        <f t="shared" si="40"/>
        <v/>
      </c>
      <c r="G718" s="711"/>
      <c r="H718" s="711"/>
      <c r="I718" s="711"/>
      <c r="J718" s="711"/>
      <c r="K718" s="712"/>
      <c r="L718" s="625" t="str">
        <f>Calcu_ADJ!G58</f>
        <v/>
      </c>
      <c r="M718" s="711"/>
      <c r="N718" s="711"/>
      <c r="O718" s="711"/>
      <c r="P718" s="711"/>
      <c r="Q718" s="712"/>
      <c r="R718" s="625" t="str">
        <f>Calcu_ADJ!H58</f>
        <v/>
      </c>
      <c r="S718" s="711"/>
      <c r="T718" s="711"/>
      <c r="U718" s="711"/>
      <c r="V718" s="711"/>
      <c r="W718" s="712"/>
      <c r="X718" s="625" t="str">
        <f>Calcu_ADJ!I58</f>
        <v/>
      </c>
      <c r="Y718" s="711"/>
      <c r="Z718" s="711"/>
      <c r="AA718" s="711"/>
      <c r="AB718" s="711"/>
      <c r="AC718" s="712"/>
      <c r="AD718" s="625" t="str">
        <f>Calcu_ADJ!S58</f>
        <v/>
      </c>
      <c r="AE718" s="711"/>
      <c r="AF718" s="711"/>
      <c r="AG718" s="711"/>
      <c r="AH718" s="711"/>
      <c r="AI718" s="712"/>
    </row>
    <row r="719" spans="1:45" ht="18" customHeight="1">
      <c r="B719" s="720">
        <v>15</v>
      </c>
      <c r="C719" s="720"/>
      <c r="D719" s="720"/>
      <c r="E719" s="720"/>
      <c r="F719" s="743" t="str">
        <f t="shared" si="40"/>
        <v/>
      </c>
      <c r="G719" s="711"/>
      <c r="H719" s="711"/>
      <c r="I719" s="711"/>
      <c r="J719" s="711"/>
      <c r="K719" s="712"/>
      <c r="L719" s="625" t="str">
        <f>Calcu_ADJ!G59</f>
        <v/>
      </c>
      <c r="M719" s="711"/>
      <c r="N719" s="711"/>
      <c r="O719" s="711"/>
      <c r="P719" s="711"/>
      <c r="Q719" s="712"/>
      <c r="R719" s="625" t="str">
        <f>Calcu_ADJ!H59</f>
        <v/>
      </c>
      <c r="S719" s="711"/>
      <c r="T719" s="711"/>
      <c r="U719" s="711"/>
      <c r="V719" s="711"/>
      <c r="W719" s="712"/>
      <c r="X719" s="625" t="str">
        <f>Calcu_ADJ!I59</f>
        <v/>
      </c>
      <c r="Y719" s="711"/>
      <c r="Z719" s="711"/>
      <c r="AA719" s="711"/>
      <c r="AB719" s="711"/>
      <c r="AC719" s="712"/>
      <c r="AD719" s="625" t="str">
        <f>Calcu_ADJ!S59</f>
        <v/>
      </c>
      <c r="AE719" s="711"/>
      <c r="AF719" s="711"/>
      <c r="AG719" s="711"/>
      <c r="AH719" s="711"/>
      <c r="AI719" s="712"/>
    </row>
  </sheetData>
  <mergeCells count="2712">
    <mergeCell ref="B350:E350"/>
    <mergeCell ref="F350:K350"/>
    <mergeCell ref="L350:Q350"/>
    <mergeCell ref="R350:W350"/>
    <mergeCell ref="X350:AC350"/>
    <mergeCell ref="AD350:AI350"/>
    <mergeCell ref="R345:W345"/>
    <mergeCell ref="X345:AC345"/>
    <mergeCell ref="AD345:AI345"/>
    <mergeCell ref="B355:E355"/>
    <mergeCell ref="B356:E356"/>
    <mergeCell ref="B357:E357"/>
    <mergeCell ref="F354:K354"/>
    <mergeCell ref="L354:Q354"/>
    <mergeCell ref="R354:W354"/>
    <mergeCell ref="X354:AC354"/>
    <mergeCell ref="AD354:AI354"/>
    <mergeCell ref="F355:K355"/>
    <mergeCell ref="L355:Q355"/>
    <mergeCell ref="R355:W355"/>
    <mergeCell ref="X355:AC355"/>
    <mergeCell ref="AD355:AI355"/>
    <mergeCell ref="F356:K356"/>
    <mergeCell ref="L356:Q356"/>
    <mergeCell ref="R356:W356"/>
    <mergeCell ref="X356:AC356"/>
    <mergeCell ref="AD356:AI356"/>
    <mergeCell ref="F357:K357"/>
    <mergeCell ref="L357:Q357"/>
    <mergeCell ref="R357:W357"/>
    <mergeCell ref="X357:AC357"/>
    <mergeCell ref="AD357:AI357"/>
    <mergeCell ref="B352:E352"/>
    <mergeCell ref="F352:K352"/>
    <mergeCell ref="L352:Q352"/>
    <mergeCell ref="R352:W352"/>
    <mergeCell ref="X352:AC352"/>
    <mergeCell ref="AD352:AI352"/>
    <mergeCell ref="B353:E353"/>
    <mergeCell ref="F353:K353"/>
    <mergeCell ref="L353:Q353"/>
    <mergeCell ref="R353:W353"/>
    <mergeCell ref="X353:AC353"/>
    <mergeCell ref="AD353:AI353"/>
    <mergeCell ref="B351:E351"/>
    <mergeCell ref="F351:K351"/>
    <mergeCell ref="L351:Q351"/>
    <mergeCell ref="R351:W351"/>
    <mergeCell ref="X351:AC351"/>
    <mergeCell ref="AD351:AI351"/>
    <mergeCell ref="B354:E354"/>
    <mergeCell ref="B348:E348"/>
    <mergeCell ref="F348:K348"/>
    <mergeCell ref="L348:Q348"/>
    <mergeCell ref="R348:W348"/>
    <mergeCell ref="X348:AC348"/>
    <mergeCell ref="AD348:AI348"/>
    <mergeCell ref="B349:E349"/>
    <mergeCell ref="F349:K349"/>
    <mergeCell ref="L349:Q349"/>
    <mergeCell ref="B344:E344"/>
    <mergeCell ref="F344:K344"/>
    <mergeCell ref="L344:Q344"/>
    <mergeCell ref="R344:W344"/>
    <mergeCell ref="X344:AC344"/>
    <mergeCell ref="AD344:AI344"/>
    <mergeCell ref="B345:E345"/>
    <mergeCell ref="F345:K345"/>
    <mergeCell ref="L345:Q345"/>
    <mergeCell ref="R349:W349"/>
    <mergeCell ref="X349:AC349"/>
    <mergeCell ref="AD349:AI349"/>
    <mergeCell ref="B347:E347"/>
    <mergeCell ref="F347:K347"/>
    <mergeCell ref="L347:Q347"/>
    <mergeCell ref="R347:W347"/>
    <mergeCell ref="X347:AC347"/>
    <mergeCell ref="AD347:AI347"/>
    <mergeCell ref="B346:E346"/>
    <mergeCell ref="F346:K346"/>
    <mergeCell ref="L346:Q346"/>
    <mergeCell ref="R346:W346"/>
    <mergeCell ref="X346:AC346"/>
    <mergeCell ref="AD346:AI346"/>
    <mergeCell ref="B343:E343"/>
    <mergeCell ref="F343:K343"/>
    <mergeCell ref="L343:Q343"/>
    <mergeCell ref="R343:W343"/>
    <mergeCell ref="X343:AC343"/>
    <mergeCell ref="AD343:AI343"/>
    <mergeCell ref="R341:W341"/>
    <mergeCell ref="R342:W342"/>
    <mergeCell ref="X342:AC342"/>
    <mergeCell ref="AD342:AI342"/>
    <mergeCell ref="B335:E342"/>
    <mergeCell ref="L335:AI335"/>
    <mergeCell ref="F335:K335"/>
    <mergeCell ref="L341:Q341"/>
    <mergeCell ref="F342:K342"/>
    <mergeCell ref="L342:Q342"/>
    <mergeCell ref="F336:K341"/>
    <mergeCell ref="L336:W337"/>
    <mergeCell ref="L338:W338"/>
    <mergeCell ref="AD336:AI341"/>
    <mergeCell ref="X336:AC341"/>
    <mergeCell ref="AR323:AS323"/>
    <mergeCell ref="AR321:AS321"/>
    <mergeCell ref="D322:H322"/>
    <mergeCell ref="I322:M322"/>
    <mergeCell ref="N322:R322"/>
    <mergeCell ref="S322:W322"/>
    <mergeCell ref="X322:AB322"/>
    <mergeCell ref="AC322:AG322"/>
    <mergeCell ref="AH322:AL322"/>
    <mergeCell ref="AM322:AQ322"/>
    <mergeCell ref="AR322:AS322"/>
    <mergeCell ref="AR319:AS319"/>
    <mergeCell ref="D320:H320"/>
    <mergeCell ref="I320:M320"/>
    <mergeCell ref="N320:R320"/>
    <mergeCell ref="S320:W320"/>
    <mergeCell ref="X320:AB320"/>
    <mergeCell ref="AC320:AG320"/>
    <mergeCell ref="AH320:AL320"/>
    <mergeCell ref="AM320:AQ320"/>
    <mergeCell ref="AR320:AS320"/>
    <mergeCell ref="AR317:AS317"/>
    <mergeCell ref="D318:H318"/>
    <mergeCell ref="I318:M318"/>
    <mergeCell ref="N318:R318"/>
    <mergeCell ref="S318:W318"/>
    <mergeCell ref="X318:AB318"/>
    <mergeCell ref="AC318:AG318"/>
    <mergeCell ref="AH318:AL318"/>
    <mergeCell ref="AM318:AQ318"/>
    <mergeCell ref="AR318:AS318"/>
    <mergeCell ref="AR315:AS315"/>
    <mergeCell ref="D316:H316"/>
    <mergeCell ref="I316:M316"/>
    <mergeCell ref="N316:R316"/>
    <mergeCell ref="S316:W316"/>
    <mergeCell ref="X316:AB316"/>
    <mergeCell ref="AC316:AG316"/>
    <mergeCell ref="AH316:AL316"/>
    <mergeCell ref="AM316:AQ316"/>
    <mergeCell ref="AR316:AS316"/>
    <mergeCell ref="AR313:AS313"/>
    <mergeCell ref="D314:H314"/>
    <mergeCell ref="I314:M314"/>
    <mergeCell ref="N314:R314"/>
    <mergeCell ref="S314:W314"/>
    <mergeCell ref="X314:AB314"/>
    <mergeCell ref="AC314:AG314"/>
    <mergeCell ref="AH314:AL314"/>
    <mergeCell ref="AM314:AQ314"/>
    <mergeCell ref="AR314:AS314"/>
    <mergeCell ref="AR311:AS311"/>
    <mergeCell ref="D312:H312"/>
    <mergeCell ref="I312:M312"/>
    <mergeCell ref="N312:R312"/>
    <mergeCell ref="S312:W312"/>
    <mergeCell ref="X312:AB312"/>
    <mergeCell ref="AC312:AG312"/>
    <mergeCell ref="AH312:AL312"/>
    <mergeCell ref="AM312:AQ312"/>
    <mergeCell ref="AR312:AS312"/>
    <mergeCell ref="AH311:AL311"/>
    <mergeCell ref="AM311:AQ311"/>
    <mergeCell ref="AR309:AS309"/>
    <mergeCell ref="D310:H310"/>
    <mergeCell ref="I310:M310"/>
    <mergeCell ref="N310:R310"/>
    <mergeCell ref="S310:W310"/>
    <mergeCell ref="X310:AB310"/>
    <mergeCell ref="AC310:AG310"/>
    <mergeCell ref="AH310:AL310"/>
    <mergeCell ref="AM310:AQ310"/>
    <mergeCell ref="AR310:AS310"/>
    <mergeCell ref="AM304:AS304"/>
    <mergeCell ref="N305:AG305"/>
    <mergeCell ref="D308:H308"/>
    <mergeCell ref="B304:C308"/>
    <mergeCell ref="I308:M308"/>
    <mergeCell ref="N308:R308"/>
    <mergeCell ref="S308:W308"/>
    <mergeCell ref="X308:AB308"/>
    <mergeCell ref="AC308:AG308"/>
    <mergeCell ref="AH308:AL308"/>
    <mergeCell ref="AM308:AQ308"/>
    <mergeCell ref="AR308:AS308"/>
    <mergeCell ref="D304:M304"/>
    <mergeCell ref="N306:R307"/>
    <mergeCell ref="S306:W307"/>
    <mergeCell ref="X306:AB307"/>
    <mergeCell ref="AC306:AG307"/>
    <mergeCell ref="D305:H307"/>
    <mergeCell ref="I305:M307"/>
    <mergeCell ref="AH305:AL307"/>
    <mergeCell ref="AM305:AQ307"/>
    <mergeCell ref="AR305:AS307"/>
    <mergeCell ref="B322:C322"/>
    <mergeCell ref="B323:C323"/>
    <mergeCell ref="D323:H323"/>
    <mergeCell ref="I323:M323"/>
    <mergeCell ref="N323:R323"/>
    <mergeCell ref="S323:W323"/>
    <mergeCell ref="X323:AB323"/>
    <mergeCell ref="AC323:AG323"/>
    <mergeCell ref="AH323:AL323"/>
    <mergeCell ref="AM323:AQ323"/>
    <mergeCell ref="B320:C320"/>
    <mergeCell ref="B321:C321"/>
    <mergeCell ref="D321:H321"/>
    <mergeCell ref="I321:M321"/>
    <mergeCell ref="N321:R321"/>
    <mergeCell ref="S321:W321"/>
    <mergeCell ref="X321:AB321"/>
    <mergeCell ref="AC321:AG321"/>
    <mergeCell ref="AH321:AL321"/>
    <mergeCell ref="AM321:AQ321"/>
    <mergeCell ref="B318:C318"/>
    <mergeCell ref="B319:C319"/>
    <mergeCell ref="D319:H319"/>
    <mergeCell ref="I319:M319"/>
    <mergeCell ref="N319:R319"/>
    <mergeCell ref="S319:W319"/>
    <mergeCell ref="X319:AB319"/>
    <mergeCell ref="AC319:AG319"/>
    <mergeCell ref="AH319:AL319"/>
    <mergeCell ref="AM319:AQ319"/>
    <mergeCell ref="B316:C316"/>
    <mergeCell ref="B317:C317"/>
    <mergeCell ref="D317:H317"/>
    <mergeCell ref="I317:M317"/>
    <mergeCell ref="N317:R317"/>
    <mergeCell ref="S317:W317"/>
    <mergeCell ref="X317:AB317"/>
    <mergeCell ref="AC317:AG317"/>
    <mergeCell ref="AH317:AL317"/>
    <mergeCell ref="AM317:AQ317"/>
    <mergeCell ref="B309:C309"/>
    <mergeCell ref="D309:H309"/>
    <mergeCell ref="I309:M309"/>
    <mergeCell ref="N309:R309"/>
    <mergeCell ref="S309:W309"/>
    <mergeCell ref="X309:AB309"/>
    <mergeCell ref="AC309:AG309"/>
    <mergeCell ref="AH309:AL309"/>
    <mergeCell ref="AM309:AQ309"/>
    <mergeCell ref="B314:C314"/>
    <mergeCell ref="B315:C315"/>
    <mergeCell ref="D315:H315"/>
    <mergeCell ref="I315:M315"/>
    <mergeCell ref="N315:R315"/>
    <mergeCell ref="S315:W315"/>
    <mergeCell ref="X315:AB315"/>
    <mergeCell ref="AC315:AG315"/>
    <mergeCell ref="AH315:AL315"/>
    <mergeCell ref="AM315:AQ315"/>
    <mergeCell ref="B312:C312"/>
    <mergeCell ref="B313:C313"/>
    <mergeCell ref="D313:H313"/>
    <mergeCell ref="I313:M313"/>
    <mergeCell ref="N313:R313"/>
    <mergeCell ref="S313:W313"/>
    <mergeCell ref="X313:AB313"/>
    <mergeCell ref="AC313:AG313"/>
    <mergeCell ref="AH313:AL313"/>
    <mergeCell ref="AM313:AQ313"/>
    <mergeCell ref="H332:I332"/>
    <mergeCell ref="J332:M332"/>
    <mergeCell ref="Q332:T332"/>
    <mergeCell ref="G299:K299"/>
    <mergeCell ref="F301:I301"/>
    <mergeCell ref="J301:K301"/>
    <mergeCell ref="J326:T326"/>
    <mergeCell ref="U326:U327"/>
    <mergeCell ref="V326:AA327"/>
    <mergeCell ref="J327:N327"/>
    <mergeCell ref="O327:O328"/>
    <mergeCell ref="P327:T327"/>
    <mergeCell ref="J328:N328"/>
    <mergeCell ref="P328:T328"/>
    <mergeCell ref="N304:AL304"/>
    <mergeCell ref="B290:G291"/>
    <mergeCell ref="L292:O292"/>
    <mergeCell ref="P292:Q292"/>
    <mergeCell ref="S292:V292"/>
    <mergeCell ref="W292:X292"/>
    <mergeCell ref="P293:T294"/>
    <mergeCell ref="G298:K298"/>
    <mergeCell ref="M298:N298"/>
    <mergeCell ref="O298:S298"/>
    <mergeCell ref="B310:C310"/>
    <mergeCell ref="B311:C311"/>
    <mergeCell ref="D311:H311"/>
    <mergeCell ref="I311:M311"/>
    <mergeCell ref="N311:R311"/>
    <mergeCell ref="S311:W311"/>
    <mergeCell ref="X311:AB311"/>
    <mergeCell ref="AC311:AG311"/>
    <mergeCell ref="AA285:AD286"/>
    <mergeCell ref="AE285:AG286"/>
    <mergeCell ref="Q287:AA288"/>
    <mergeCell ref="AB287:AB288"/>
    <mergeCell ref="AC287:AF287"/>
    <mergeCell ref="AG287:AG288"/>
    <mergeCell ref="AH287:AK288"/>
    <mergeCell ref="AL287:AN288"/>
    <mergeCell ref="H289:L289"/>
    <mergeCell ref="AL273:AN274"/>
    <mergeCell ref="H275:L275"/>
    <mergeCell ref="B276:G277"/>
    <mergeCell ref="L278:O278"/>
    <mergeCell ref="P278:Q278"/>
    <mergeCell ref="S278:V278"/>
    <mergeCell ref="W278:X278"/>
    <mergeCell ref="P279:T280"/>
    <mergeCell ref="G283:K283"/>
    <mergeCell ref="L283:Q283"/>
    <mergeCell ref="L270:O270"/>
    <mergeCell ref="P270:S270"/>
    <mergeCell ref="R272:U272"/>
    <mergeCell ref="V272:Y272"/>
    <mergeCell ref="Q273:AA274"/>
    <mergeCell ref="AB273:AB274"/>
    <mergeCell ref="AC273:AF273"/>
    <mergeCell ref="AG273:AG274"/>
    <mergeCell ref="AH273:AK274"/>
    <mergeCell ref="B255:G256"/>
    <mergeCell ref="L257:O257"/>
    <mergeCell ref="P257:Q257"/>
    <mergeCell ref="S257:V257"/>
    <mergeCell ref="W257:X257"/>
    <mergeCell ref="P258:T259"/>
    <mergeCell ref="G262:K262"/>
    <mergeCell ref="L262:Q262"/>
    <mergeCell ref="L267:O267"/>
    <mergeCell ref="P267:S267"/>
    <mergeCell ref="Z250:AC251"/>
    <mergeCell ref="AD250:AF251"/>
    <mergeCell ref="P252:Z253"/>
    <mergeCell ref="AA252:AA253"/>
    <mergeCell ref="AB252:AE252"/>
    <mergeCell ref="AF252:AF253"/>
    <mergeCell ref="AG252:AJ253"/>
    <mergeCell ref="AK252:AM253"/>
    <mergeCell ref="H254:L254"/>
    <mergeCell ref="H241:L241"/>
    <mergeCell ref="B242:G243"/>
    <mergeCell ref="L244:O244"/>
    <mergeCell ref="P244:Q244"/>
    <mergeCell ref="S244:V244"/>
    <mergeCell ref="W244:X244"/>
    <mergeCell ref="L245:P245"/>
    <mergeCell ref="G248:K248"/>
    <mergeCell ref="L248:Q248"/>
    <mergeCell ref="G236:K236"/>
    <mergeCell ref="L236:Q236"/>
    <mergeCell ref="O239:Y240"/>
    <mergeCell ref="Z239:Z240"/>
    <mergeCell ref="AA239:AD239"/>
    <mergeCell ref="AE239:AE240"/>
    <mergeCell ref="AF239:AI240"/>
    <mergeCell ref="AJ239:AL240"/>
    <mergeCell ref="AA240:AD240"/>
    <mergeCell ref="Q231:AM231"/>
    <mergeCell ref="AN231:AN232"/>
    <mergeCell ref="AO231:AS232"/>
    <mergeCell ref="Q232:U232"/>
    <mergeCell ref="V232:V233"/>
    <mergeCell ref="W232:AA232"/>
    <mergeCell ref="AB232:AB233"/>
    <mergeCell ref="AC232:AG232"/>
    <mergeCell ref="AH232:AH233"/>
    <mergeCell ref="AI232:AM232"/>
    <mergeCell ref="Q233:U233"/>
    <mergeCell ref="W233:AA233"/>
    <mergeCell ref="AC233:AG233"/>
    <mergeCell ref="AI233:AM233"/>
    <mergeCell ref="Z226:AB226"/>
    <mergeCell ref="AF226:AH226"/>
    <mergeCell ref="AK226:AN226"/>
    <mergeCell ref="AO226:AP226"/>
    <mergeCell ref="H227:L227"/>
    <mergeCell ref="B228:G229"/>
    <mergeCell ref="L230:O230"/>
    <mergeCell ref="P230:Q230"/>
    <mergeCell ref="S230:V230"/>
    <mergeCell ref="W230:X230"/>
    <mergeCell ref="L219:O219"/>
    <mergeCell ref="P219:Q219"/>
    <mergeCell ref="S219:V219"/>
    <mergeCell ref="W219:X219"/>
    <mergeCell ref="L220:P220"/>
    <mergeCell ref="G223:K223"/>
    <mergeCell ref="L223:Q223"/>
    <mergeCell ref="P225:Q225"/>
    <mergeCell ref="N226:P226"/>
    <mergeCell ref="T226:V226"/>
    <mergeCell ref="N214:R215"/>
    <mergeCell ref="S214:S215"/>
    <mergeCell ref="T214:X214"/>
    <mergeCell ref="Y214:Y215"/>
    <mergeCell ref="Z214:AC215"/>
    <mergeCell ref="AD214:AF215"/>
    <mergeCell ref="T215:X215"/>
    <mergeCell ref="H216:L216"/>
    <mergeCell ref="B217:G218"/>
    <mergeCell ref="AP195:AS195"/>
    <mergeCell ref="G199:K199"/>
    <mergeCell ref="L199:Q199"/>
    <mergeCell ref="AA203:AD204"/>
    <mergeCell ref="AE203:AG204"/>
    <mergeCell ref="L207:O207"/>
    <mergeCell ref="P207:R207"/>
    <mergeCell ref="J209:P209"/>
    <mergeCell ref="J210:P210"/>
    <mergeCell ref="B195:C195"/>
    <mergeCell ref="D195:H195"/>
    <mergeCell ref="I195:L195"/>
    <mergeCell ref="M195:O195"/>
    <mergeCell ref="P195:W195"/>
    <mergeCell ref="X195:AB195"/>
    <mergeCell ref="AC195:AG195"/>
    <mergeCell ref="AH195:AL195"/>
    <mergeCell ref="AM195:AO195"/>
    <mergeCell ref="AP193:AS193"/>
    <mergeCell ref="B194:C194"/>
    <mergeCell ref="D194:H194"/>
    <mergeCell ref="I194:O194"/>
    <mergeCell ref="P194:U194"/>
    <mergeCell ref="V194:W194"/>
    <mergeCell ref="X194:AB194"/>
    <mergeCell ref="AC194:AG194"/>
    <mergeCell ref="AH194:AM194"/>
    <mergeCell ref="AN194:AO194"/>
    <mergeCell ref="AP194:AS194"/>
    <mergeCell ref="B193:C193"/>
    <mergeCell ref="D193:H193"/>
    <mergeCell ref="I193:O193"/>
    <mergeCell ref="P193:U193"/>
    <mergeCell ref="V193:W193"/>
    <mergeCell ref="X193:AB193"/>
    <mergeCell ref="AC193:AG193"/>
    <mergeCell ref="AH193:AM193"/>
    <mergeCell ref="AN193:AO193"/>
    <mergeCell ref="AP191:AS191"/>
    <mergeCell ref="B192:C192"/>
    <mergeCell ref="D192:H192"/>
    <mergeCell ref="I192:O192"/>
    <mergeCell ref="P192:U192"/>
    <mergeCell ref="V192:W192"/>
    <mergeCell ref="X192:AB192"/>
    <mergeCell ref="AC192:AG192"/>
    <mergeCell ref="AH192:AM192"/>
    <mergeCell ref="AN192:AO192"/>
    <mergeCell ref="AP192:AS192"/>
    <mergeCell ref="B191:C191"/>
    <mergeCell ref="D191:H191"/>
    <mergeCell ref="I191:O191"/>
    <mergeCell ref="P191:U191"/>
    <mergeCell ref="V191:W191"/>
    <mergeCell ref="X191:AB191"/>
    <mergeCell ref="AC191:AG191"/>
    <mergeCell ref="AH191:AM191"/>
    <mergeCell ref="AN191:AO191"/>
    <mergeCell ref="AP189:AS189"/>
    <mergeCell ref="B190:C190"/>
    <mergeCell ref="D190:H190"/>
    <mergeCell ref="I190:L190"/>
    <mergeCell ref="M190:O190"/>
    <mergeCell ref="U190:W190"/>
    <mergeCell ref="X190:AB190"/>
    <mergeCell ref="AC190:AG190"/>
    <mergeCell ref="AH190:AL190"/>
    <mergeCell ref="AM190:AO190"/>
    <mergeCell ref="AP190:AS190"/>
    <mergeCell ref="B189:C189"/>
    <mergeCell ref="D189:H189"/>
    <mergeCell ref="I189:L189"/>
    <mergeCell ref="M189:O189"/>
    <mergeCell ref="U189:W189"/>
    <mergeCell ref="X189:AB189"/>
    <mergeCell ref="AC189:AG189"/>
    <mergeCell ref="AH189:AL189"/>
    <mergeCell ref="AM189:AO189"/>
    <mergeCell ref="P189:T189"/>
    <mergeCell ref="P190:T190"/>
    <mergeCell ref="B186:C188"/>
    <mergeCell ref="D186:H186"/>
    <mergeCell ref="I186:O186"/>
    <mergeCell ref="P186:W186"/>
    <mergeCell ref="X186:AB186"/>
    <mergeCell ref="AC186:AG186"/>
    <mergeCell ref="AH186:AO186"/>
    <mergeCell ref="AP186:AS186"/>
    <mergeCell ref="D187:H188"/>
    <mergeCell ref="I187:O187"/>
    <mergeCell ref="P187:W187"/>
    <mergeCell ref="X187:AB187"/>
    <mergeCell ref="AC187:AG187"/>
    <mergeCell ref="AH187:AO187"/>
    <mergeCell ref="AP187:AS187"/>
    <mergeCell ref="I188:O188"/>
    <mergeCell ref="P188:W188"/>
    <mergeCell ref="X188:AB188"/>
    <mergeCell ref="AC188:AG188"/>
    <mergeCell ref="AH188:AO188"/>
    <mergeCell ref="AP188:AS188"/>
    <mergeCell ref="B182:G182"/>
    <mergeCell ref="H182:M182"/>
    <mergeCell ref="N182:S182"/>
    <mergeCell ref="T182:Y182"/>
    <mergeCell ref="Z182:AE182"/>
    <mergeCell ref="AF182:AL182"/>
    <mergeCell ref="AM182:AS182"/>
    <mergeCell ref="B183:G183"/>
    <mergeCell ref="H183:M183"/>
    <mergeCell ref="N183:S183"/>
    <mergeCell ref="T183:Y183"/>
    <mergeCell ref="Z183:AE183"/>
    <mergeCell ref="AF183:AL183"/>
    <mergeCell ref="AM183:AS183"/>
    <mergeCell ref="B179:G181"/>
    <mergeCell ref="H179:M180"/>
    <mergeCell ref="N179:AS179"/>
    <mergeCell ref="N180:S180"/>
    <mergeCell ref="T180:Y180"/>
    <mergeCell ref="Z180:AE180"/>
    <mergeCell ref="AF180:AS180"/>
    <mergeCell ref="H181:M181"/>
    <mergeCell ref="N181:S181"/>
    <mergeCell ref="T181:Y181"/>
    <mergeCell ref="Z181:AE181"/>
    <mergeCell ref="AF181:AL181"/>
    <mergeCell ref="AM181:AS181"/>
    <mergeCell ref="B175:F175"/>
    <mergeCell ref="G175:L175"/>
    <mergeCell ref="M175:Q175"/>
    <mergeCell ref="R175:V175"/>
    <mergeCell ref="W175:AA175"/>
    <mergeCell ref="AB175:AG176"/>
    <mergeCell ref="AH175:AM176"/>
    <mergeCell ref="AN175:AS176"/>
    <mergeCell ref="B176:F176"/>
    <mergeCell ref="G176:L176"/>
    <mergeCell ref="M176:Q176"/>
    <mergeCell ref="R176:V176"/>
    <mergeCell ref="W176:AA176"/>
    <mergeCell ref="B172:F174"/>
    <mergeCell ref="G172:L173"/>
    <mergeCell ref="M172:AS172"/>
    <mergeCell ref="M173:Q173"/>
    <mergeCell ref="R173:V173"/>
    <mergeCell ref="W173:AA173"/>
    <mergeCell ref="AB173:AM173"/>
    <mergeCell ref="AN173:AS173"/>
    <mergeCell ref="G174:L174"/>
    <mergeCell ref="M174:Q174"/>
    <mergeCell ref="R174:V174"/>
    <mergeCell ref="W174:AA174"/>
    <mergeCell ref="AB174:AG174"/>
    <mergeCell ref="AH174:AM174"/>
    <mergeCell ref="AN174:AS174"/>
    <mergeCell ref="X146:AC146"/>
    <mergeCell ref="AD146:AJ146"/>
    <mergeCell ref="AK146:AQ146"/>
    <mergeCell ref="B147:D147"/>
    <mergeCell ref="E147:K147"/>
    <mergeCell ref="L147:Q147"/>
    <mergeCell ref="R147:W147"/>
    <mergeCell ref="X147:AC147"/>
    <mergeCell ref="AD147:AJ147"/>
    <mergeCell ref="AK147:AQ147"/>
    <mergeCell ref="AD144:AJ144"/>
    <mergeCell ref="AK144:AQ144"/>
    <mergeCell ref="B145:D145"/>
    <mergeCell ref="E145:K145"/>
    <mergeCell ref="L145:Q145"/>
    <mergeCell ref="R145:W145"/>
    <mergeCell ref="X145:AC145"/>
    <mergeCell ref="AD145:AJ145"/>
    <mergeCell ref="AK145:AQ145"/>
    <mergeCell ref="B144:D144"/>
    <mergeCell ref="E144:K144"/>
    <mergeCell ref="L144:Q144"/>
    <mergeCell ref="R144:W144"/>
    <mergeCell ref="X144:AC144"/>
    <mergeCell ref="B146:D146"/>
    <mergeCell ref="E146:K146"/>
    <mergeCell ref="L146:Q146"/>
    <mergeCell ref="R146:W146"/>
    <mergeCell ref="AD142:AJ142"/>
    <mergeCell ref="AK142:AQ142"/>
    <mergeCell ref="B143:D143"/>
    <mergeCell ref="E143:K143"/>
    <mergeCell ref="L143:Q143"/>
    <mergeCell ref="R143:W143"/>
    <mergeCell ref="X143:AC143"/>
    <mergeCell ref="AD143:AJ143"/>
    <mergeCell ref="AK143:AQ143"/>
    <mergeCell ref="B140:D140"/>
    <mergeCell ref="E140:K140"/>
    <mergeCell ref="L140:Q140"/>
    <mergeCell ref="R140:W140"/>
    <mergeCell ref="X140:AC140"/>
    <mergeCell ref="AD140:AJ140"/>
    <mergeCell ref="AK140:AQ140"/>
    <mergeCell ref="B141:D141"/>
    <mergeCell ref="E141:K141"/>
    <mergeCell ref="L141:Q141"/>
    <mergeCell ref="R141:W141"/>
    <mergeCell ref="X141:AC141"/>
    <mergeCell ref="AD141:AJ141"/>
    <mergeCell ref="AK141:AQ141"/>
    <mergeCell ref="B142:D142"/>
    <mergeCell ref="E142:K142"/>
    <mergeCell ref="L142:Q142"/>
    <mergeCell ref="R142:W142"/>
    <mergeCell ref="X142:AC142"/>
    <mergeCell ref="B138:D138"/>
    <mergeCell ref="E138:K138"/>
    <mergeCell ref="L138:Q138"/>
    <mergeCell ref="R138:W138"/>
    <mergeCell ref="X138:AC138"/>
    <mergeCell ref="AD138:AJ138"/>
    <mergeCell ref="AK138:AQ138"/>
    <mergeCell ref="B139:D139"/>
    <mergeCell ref="E139:K139"/>
    <mergeCell ref="L139:Q139"/>
    <mergeCell ref="R139:W139"/>
    <mergeCell ref="X139:AC139"/>
    <mergeCell ref="AD139:AJ139"/>
    <mergeCell ref="AK139:AQ139"/>
    <mergeCell ref="B136:D136"/>
    <mergeCell ref="E136:K136"/>
    <mergeCell ref="L136:Q136"/>
    <mergeCell ref="R136:W136"/>
    <mergeCell ref="X136:AC136"/>
    <mergeCell ref="AD136:AJ136"/>
    <mergeCell ref="AK136:AQ136"/>
    <mergeCell ref="B137:D137"/>
    <mergeCell ref="E137:K137"/>
    <mergeCell ref="L137:Q137"/>
    <mergeCell ref="R137:W137"/>
    <mergeCell ref="X137:AC137"/>
    <mergeCell ref="AD137:AJ137"/>
    <mergeCell ref="AK137:AQ137"/>
    <mergeCell ref="B134:D134"/>
    <mergeCell ref="E134:K134"/>
    <mergeCell ref="L134:Q134"/>
    <mergeCell ref="R134:W134"/>
    <mergeCell ref="X134:AC134"/>
    <mergeCell ref="AD134:AJ134"/>
    <mergeCell ref="AK134:AQ134"/>
    <mergeCell ref="B135:D135"/>
    <mergeCell ref="E135:K135"/>
    <mergeCell ref="R135:W135"/>
    <mergeCell ref="X135:AC135"/>
    <mergeCell ref="AD135:AJ135"/>
    <mergeCell ref="AK135:AQ135"/>
    <mergeCell ref="B132:D132"/>
    <mergeCell ref="E132:K132"/>
    <mergeCell ref="L132:Q132"/>
    <mergeCell ref="R132:W132"/>
    <mergeCell ref="X132:AC132"/>
    <mergeCell ref="AD132:AJ132"/>
    <mergeCell ref="AK132:AQ132"/>
    <mergeCell ref="B133:D133"/>
    <mergeCell ref="E133:K133"/>
    <mergeCell ref="L133:Q133"/>
    <mergeCell ref="R133:W133"/>
    <mergeCell ref="X133:AC133"/>
    <mergeCell ref="AD133:AJ133"/>
    <mergeCell ref="AK133:AQ133"/>
    <mergeCell ref="B130:D130"/>
    <mergeCell ref="E130:K130"/>
    <mergeCell ref="L130:Q130"/>
    <mergeCell ref="R130:W130"/>
    <mergeCell ref="X130:AC130"/>
    <mergeCell ref="AD130:AJ130"/>
    <mergeCell ref="AK130:AQ130"/>
    <mergeCell ref="B131:D131"/>
    <mergeCell ref="E131:K131"/>
    <mergeCell ref="L131:Q131"/>
    <mergeCell ref="R131:W131"/>
    <mergeCell ref="X131:AC131"/>
    <mergeCell ref="AD131:AJ131"/>
    <mergeCell ref="AK131:AQ131"/>
    <mergeCell ref="B128:D128"/>
    <mergeCell ref="E128:K128"/>
    <mergeCell ref="L128:Q128"/>
    <mergeCell ref="R128:W128"/>
    <mergeCell ref="X128:AC128"/>
    <mergeCell ref="AD128:AJ128"/>
    <mergeCell ref="AK128:AQ128"/>
    <mergeCell ref="B129:D129"/>
    <mergeCell ref="E129:K129"/>
    <mergeCell ref="L129:Q129"/>
    <mergeCell ref="R129:W129"/>
    <mergeCell ref="X129:AC129"/>
    <mergeCell ref="AD129:AJ129"/>
    <mergeCell ref="AK129:AQ129"/>
    <mergeCell ref="B126:D126"/>
    <mergeCell ref="E126:K126"/>
    <mergeCell ref="L126:Q126"/>
    <mergeCell ref="R126:W126"/>
    <mergeCell ref="X126:AC126"/>
    <mergeCell ref="AD126:AJ126"/>
    <mergeCell ref="AK126:AQ126"/>
    <mergeCell ref="B127:D127"/>
    <mergeCell ref="E127:K127"/>
    <mergeCell ref="L127:Q127"/>
    <mergeCell ref="R127:W127"/>
    <mergeCell ref="X127:AC127"/>
    <mergeCell ref="AD127:AJ127"/>
    <mergeCell ref="AK127:AQ127"/>
    <mergeCell ref="B124:D124"/>
    <mergeCell ref="E124:K124"/>
    <mergeCell ref="L124:Q124"/>
    <mergeCell ref="R124:W124"/>
    <mergeCell ref="X124:AC124"/>
    <mergeCell ref="AD124:AJ124"/>
    <mergeCell ref="AK124:AQ124"/>
    <mergeCell ref="B125:D125"/>
    <mergeCell ref="E125:K125"/>
    <mergeCell ref="L125:Q125"/>
    <mergeCell ref="R125:W125"/>
    <mergeCell ref="X125:AC125"/>
    <mergeCell ref="AD125:AJ125"/>
    <mergeCell ref="AK125:AQ125"/>
    <mergeCell ref="B122:D122"/>
    <mergeCell ref="E122:K122"/>
    <mergeCell ref="L122:Q122"/>
    <mergeCell ref="R122:W122"/>
    <mergeCell ref="X122:AC122"/>
    <mergeCell ref="AD122:AJ122"/>
    <mergeCell ref="AK122:AQ122"/>
    <mergeCell ref="B123:D123"/>
    <mergeCell ref="E123:K123"/>
    <mergeCell ref="R123:W123"/>
    <mergeCell ref="X123:AC123"/>
    <mergeCell ref="AD123:AJ123"/>
    <mergeCell ref="AK123:AQ123"/>
    <mergeCell ref="B120:D120"/>
    <mergeCell ref="E120:K120"/>
    <mergeCell ref="L120:Q120"/>
    <mergeCell ref="R120:W120"/>
    <mergeCell ref="X120:AC120"/>
    <mergeCell ref="AD120:AJ120"/>
    <mergeCell ref="AK120:AQ120"/>
    <mergeCell ref="B121:D121"/>
    <mergeCell ref="E121:K121"/>
    <mergeCell ref="L121:Q121"/>
    <mergeCell ref="R121:W121"/>
    <mergeCell ref="X121:AC121"/>
    <mergeCell ref="AD121:AJ121"/>
    <mergeCell ref="AK121:AQ121"/>
    <mergeCell ref="B118:D118"/>
    <mergeCell ref="E118:K118"/>
    <mergeCell ref="L118:Q118"/>
    <mergeCell ref="R118:W118"/>
    <mergeCell ref="X118:AC118"/>
    <mergeCell ref="AD118:AJ118"/>
    <mergeCell ref="AK118:AQ118"/>
    <mergeCell ref="B119:D119"/>
    <mergeCell ref="E119:K119"/>
    <mergeCell ref="L119:Q119"/>
    <mergeCell ref="R119:W119"/>
    <mergeCell ref="X119:AC119"/>
    <mergeCell ref="AD119:AJ119"/>
    <mergeCell ref="AK119:AQ119"/>
    <mergeCell ref="B111:H111"/>
    <mergeCell ref="I111:O111"/>
    <mergeCell ref="P111:V111"/>
    <mergeCell ref="W111:AC111"/>
    <mergeCell ref="AD111:AJ111"/>
    <mergeCell ref="B112:H112"/>
    <mergeCell ref="I112:O112"/>
    <mergeCell ref="P112:V112"/>
    <mergeCell ref="W112:AC112"/>
    <mergeCell ref="AD112:AJ112"/>
    <mergeCell ref="B115:D117"/>
    <mergeCell ref="E115:K116"/>
    <mergeCell ref="L115:AQ115"/>
    <mergeCell ref="L116:Q116"/>
    <mergeCell ref="R116:W116"/>
    <mergeCell ref="X116:AC116"/>
    <mergeCell ref="AD116:AQ116"/>
    <mergeCell ref="E117:K117"/>
    <mergeCell ref="B109:H109"/>
    <mergeCell ref="I109:O109"/>
    <mergeCell ref="P109:V109"/>
    <mergeCell ref="W109:AC109"/>
    <mergeCell ref="AD109:AJ109"/>
    <mergeCell ref="B110:H110"/>
    <mergeCell ref="I110:O110"/>
    <mergeCell ref="P110:V110"/>
    <mergeCell ref="W110:AC110"/>
    <mergeCell ref="AD110:AJ110"/>
    <mergeCell ref="B107:H107"/>
    <mergeCell ref="I107:O107"/>
    <mergeCell ref="P107:V107"/>
    <mergeCell ref="W107:AC107"/>
    <mergeCell ref="AD107:AJ107"/>
    <mergeCell ref="B108:H108"/>
    <mergeCell ref="I108:O108"/>
    <mergeCell ref="P108:V108"/>
    <mergeCell ref="W108:AC108"/>
    <mergeCell ref="AD108:AJ108"/>
    <mergeCell ref="B105:H105"/>
    <mergeCell ref="I105:O105"/>
    <mergeCell ref="P105:V105"/>
    <mergeCell ref="W105:AC105"/>
    <mergeCell ref="AD105:AJ105"/>
    <mergeCell ref="B106:H106"/>
    <mergeCell ref="I106:O106"/>
    <mergeCell ref="P106:V106"/>
    <mergeCell ref="W106:AC106"/>
    <mergeCell ref="AD106:AJ106"/>
    <mergeCell ref="B103:H103"/>
    <mergeCell ref="I103:O103"/>
    <mergeCell ref="P103:V103"/>
    <mergeCell ref="W103:AC103"/>
    <mergeCell ref="AD103:AJ103"/>
    <mergeCell ref="B104:H104"/>
    <mergeCell ref="I104:O104"/>
    <mergeCell ref="P104:V104"/>
    <mergeCell ref="W104:AC104"/>
    <mergeCell ref="AD104:AJ104"/>
    <mergeCell ref="B101:H101"/>
    <mergeCell ref="I101:O101"/>
    <mergeCell ref="P101:V101"/>
    <mergeCell ref="W101:AC101"/>
    <mergeCell ref="AD101:AJ101"/>
    <mergeCell ref="B102:H102"/>
    <mergeCell ref="I102:O102"/>
    <mergeCell ref="P102:V102"/>
    <mergeCell ref="W102:AC102"/>
    <mergeCell ref="AD102:AJ102"/>
    <mergeCell ref="B99:H99"/>
    <mergeCell ref="I99:O99"/>
    <mergeCell ref="P99:V99"/>
    <mergeCell ref="W99:AC99"/>
    <mergeCell ref="AD99:AJ99"/>
    <mergeCell ref="B100:H100"/>
    <mergeCell ref="I100:O100"/>
    <mergeCell ref="P100:V100"/>
    <mergeCell ref="W100:AC100"/>
    <mergeCell ref="AD100:AJ100"/>
    <mergeCell ref="B97:H97"/>
    <mergeCell ref="I97:O97"/>
    <mergeCell ref="P97:V97"/>
    <mergeCell ref="W97:AC97"/>
    <mergeCell ref="AD97:AJ97"/>
    <mergeCell ref="B98:H98"/>
    <mergeCell ref="I98:O98"/>
    <mergeCell ref="P98:V98"/>
    <mergeCell ref="W98:AC98"/>
    <mergeCell ref="AD98:AJ98"/>
    <mergeCell ref="B95:H95"/>
    <mergeCell ref="I95:O95"/>
    <mergeCell ref="P95:V95"/>
    <mergeCell ref="W95:AC95"/>
    <mergeCell ref="AD95:AJ95"/>
    <mergeCell ref="B96:H96"/>
    <mergeCell ref="I96:O96"/>
    <mergeCell ref="P96:V96"/>
    <mergeCell ref="W96:AC96"/>
    <mergeCell ref="AD96:AJ96"/>
    <mergeCell ref="B93:H93"/>
    <mergeCell ref="I93:O93"/>
    <mergeCell ref="P93:V93"/>
    <mergeCell ref="W93:AC93"/>
    <mergeCell ref="AD93:AJ93"/>
    <mergeCell ref="B94:H94"/>
    <mergeCell ref="I94:O94"/>
    <mergeCell ref="P94:V94"/>
    <mergeCell ref="W94:AC94"/>
    <mergeCell ref="AD94:AJ94"/>
    <mergeCell ref="B91:H91"/>
    <mergeCell ref="I91:O91"/>
    <mergeCell ref="P91:V91"/>
    <mergeCell ref="W91:AC91"/>
    <mergeCell ref="AD91:AJ91"/>
    <mergeCell ref="B92:H92"/>
    <mergeCell ref="I92:O92"/>
    <mergeCell ref="P92:V92"/>
    <mergeCell ref="W92:AC92"/>
    <mergeCell ref="AD92:AJ92"/>
    <mergeCell ref="I79:O81"/>
    <mergeCell ref="P79:AJ79"/>
    <mergeCell ref="P80:V81"/>
    <mergeCell ref="W80:AC81"/>
    <mergeCell ref="AD80:AJ81"/>
    <mergeCell ref="B89:H89"/>
    <mergeCell ref="I89:O89"/>
    <mergeCell ref="P89:V89"/>
    <mergeCell ref="W89:AC89"/>
    <mergeCell ref="AD89:AJ89"/>
    <mergeCell ref="B90:H90"/>
    <mergeCell ref="I90:O90"/>
    <mergeCell ref="P90:V90"/>
    <mergeCell ref="W90:AC90"/>
    <mergeCell ref="AD90:AJ90"/>
    <mergeCell ref="B87:H87"/>
    <mergeCell ref="I87:O87"/>
    <mergeCell ref="P87:V87"/>
    <mergeCell ref="W87:AC87"/>
    <mergeCell ref="AD87:AJ87"/>
    <mergeCell ref="B88:H88"/>
    <mergeCell ref="I88:O88"/>
    <mergeCell ref="P88:V88"/>
    <mergeCell ref="W88:AC88"/>
    <mergeCell ref="AD88:AJ88"/>
    <mergeCell ref="AG73:AQ73"/>
    <mergeCell ref="B74:D74"/>
    <mergeCell ref="E74:K74"/>
    <mergeCell ref="L74:R74"/>
    <mergeCell ref="S74:Y74"/>
    <mergeCell ref="Z74:AF74"/>
    <mergeCell ref="AG74:AQ74"/>
    <mergeCell ref="B85:H85"/>
    <mergeCell ref="I85:O85"/>
    <mergeCell ref="P85:V85"/>
    <mergeCell ref="W85:AC85"/>
    <mergeCell ref="AD85:AJ85"/>
    <mergeCell ref="B86:H86"/>
    <mergeCell ref="I86:O86"/>
    <mergeCell ref="P86:V86"/>
    <mergeCell ref="W86:AC86"/>
    <mergeCell ref="AD86:AJ86"/>
    <mergeCell ref="P82:V82"/>
    <mergeCell ref="W82:AC82"/>
    <mergeCell ref="AD82:AJ82"/>
    <mergeCell ref="B83:H83"/>
    <mergeCell ref="P83:V83"/>
    <mergeCell ref="W83:AC83"/>
    <mergeCell ref="AD83:AJ83"/>
    <mergeCell ref="B84:H84"/>
    <mergeCell ref="I84:O84"/>
    <mergeCell ref="P84:V84"/>
    <mergeCell ref="W84:AC84"/>
    <mergeCell ref="AD84:AJ84"/>
    <mergeCell ref="I83:O83"/>
    <mergeCell ref="I82:O82"/>
    <mergeCell ref="B79:H82"/>
    <mergeCell ref="B66:D66"/>
    <mergeCell ref="E66:K66"/>
    <mergeCell ref="L66:R66"/>
    <mergeCell ref="S66:Y66"/>
    <mergeCell ref="Z66:AF66"/>
    <mergeCell ref="AG66:AQ66"/>
    <mergeCell ref="B67:D67"/>
    <mergeCell ref="E67:K67"/>
    <mergeCell ref="L67:R67"/>
    <mergeCell ref="S67:Y67"/>
    <mergeCell ref="Z67:AF67"/>
    <mergeCell ref="AG67:AQ67"/>
    <mergeCell ref="B75:D75"/>
    <mergeCell ref="E75:K75"/>
    <mergeCell ref="L75:R75"/>
    <mergeCell ref="S75:Y75"/>
    <mergeCell ref="Z75:AF75"/>
    <mergeCell ref="AG75:AQ75"/>
    <mergeCell ref="E68:K68"/>
    <mergeCell ref="L68:R68"/>
    <mergeCell ref="S68:Y68"/>
    <mergeCell ref="Z68:AF68"/>
    <mergeCell ref="AG68:AQ68"/>
    <mergeCell ref="B69:D69"/>
    <mergeCell ref="E69:K69"/>
    <mergeCell ref="L69:R69"/>
    <mergeCell ref="S69:Y69"/>
    <mergeCell ref="Z69:AF69"/>
    <mergeCell ref="AG69:AQ69"/>
    <mergeCell ref="B73:D73"/>
    <mergeCell ref="E73:K73"/>
    <mergeCell ref="L73:R73"/>
    <mergeCell ref="B63:D63"/>
    <mergeCell ref="E63:K63"/>
    <mergeCell ref="L63:R63"/>
    <mergeCell ref="S63:Y63"/>
    <mergeCell ref="Z63:AF63"/>
    <mergeCell ref="AG63:AQ63"/>
    <mergeCell ref="B64:D64"/>
    <mergeCell ref="E64:K64"/>
    <mergeCell ref="L64:R64"/>
    <mergeCell ref="S64:Y64"/>
    <mergeCell ref="Z64:AF64"/>
    <mergeCell ref="AG64:AQ64"/>
    <mergeCell ref="B61:D61"/>
    <mergeCell ref="E61:K61"/>
    <mergeCell ref="L61:R61"/>
    <mergeCell ref="S61:Y61"/>
    <mergeCell ref="Z61:AF61"/>
    <mergeCell ref="AG61:AQ61"/>
    <mergeCell ref="B62:D62"/>
    <mergeCell ref="E62:K62"/>
    <mergeCell ref="L62:R62"/>
    <mergeCell ref="S62:Y62"/>
    <mergeCell ref="Z62:AF62"/>
    <mergeCell ref="AG62:AQ62"/>
    <mergeCell ref="B59:D59"/>
    <mergeCell ref="E59:K59"/>
    <mergeCell ref="L59:R59"/>
    <mergeCell ref="S59:Y59"/>
    <mergeCell ref="Z59:AF59"/>
    <mergeCell ref="AG59:AQ59"/>
    <mergeCell ref="B60:D60"/>
    <mergeCell ref="E60:K60"/>
    <mergeCell ref="L60:R60"/>
    <mergeCell ref="S60:Y60"/>
    <mergeCell ref="Z60:AF60"/>
    <mergeCell ref="AG60:AQ60"/>
    <mergeCell ref="B57:D57"/>
    <mergeCell ref="E57:K57"/>
    <mergeCell ref="L57:R57"/>
    <mergeCell ref="S57:Y57"/>
    <mergeCell ref="Z57:AF57"/>
    <mergeCell ref="AG57:AI57"/>
    <mergeCell ref="AJ57:AQ57"/>
    <mergeCell ref="B58:D58"/>
    <mergeCell ref="E58:K58"/>
    <mergeCell ref="L58:R58"/>
    <mergeCell ref="S58:Y58"/>
    <mergeCell ref="Z58:AF58"/>
    <mergeCell ref="AJ58:AQ58"/>
    <mergeCell ref="B55:D55"/>
    <mergeCell ref="E55:K55"/>
    <mergeCell ref="L55:R55"/>
    <mergeCell ref="S55:Y55"/>
    <mergeCell ref="Z55:AF55"/>
    <mergeCell ref="AG55:AQ55"/>
    <mergeCell ref="B56:D56"/>
    <mergeCell ref="E56:K56"/>
    <mergeCell ref="L56:R56"/>
    <mergeCell ref="S56:Y56"/>
    <mergeCell ref="Z56:AF56"/>
    <mergeCell ref="AG56:AQ56"/>
    <mergeCell ref="B53:D53"/>
    <mergeCell ref="E53:K53"/>
    <mergeCell ref="L53:R53"/>
    <mergeCell ref="S53:Y53"/>
    <mergeCell ref="Z53:AF53"/>
    <mergeCell ref="AG53:AI53"/>
    <mergeCell ref="AJ53:AQ53"/>
    <mergeCell ref="B54:D54"/>
    <mergeCell ref="E54:K54"/>
    <mergeCell ref="L54:R54"/>
    <mergeCell ref="S54:Y54"/>
    <mergeCell ref="Z54:AF54"/>
    <mergeCell ref="AJ54:AQ54"/>
    <mergeCell ref="Z51:AF51"/>
    <mergeCell ref="AG51:AQ51"/>
    <mergeCell ref="B52:D52"/>
    <mergeCell ref="E52:K52"/>
    <mergeCell ref="L52:R52"/>
    <mergeCell ref="S52:Y52"/>
    <mergeCell ref="Z52:AF52"/>
    <mergeCell ref="AG52:AQ52"/>
    <mergeCell ref="B49:D49"/>
    <mergeCell ref="E49:K49"/>
    <mergeCell ref="L49:R49"/>
    <mergeCell ref="S49:Y49"/>
    <mergeCell ref="Z49:AF49"/>
    <mergeCell ref="AG49:AK49"/>
    <mergeCell ref="AL49:AQ49"/>
    <mergeCell ref="B50:D50"/>
    <mergeCell ref="E50:K50"/>
    <mergeCell ref="L50:R50"/>
    <mergeCell ref="S50:Y50"/>
    <mergeCell ref="Z50:AF50"/>
    <mergeCell ref="AG50:AQ50"/>
    <mergeCell ref="BD5:BI5"/>
    <mergeCell ref="N6:Q6"/>
    <mergeCell ref="R6:S6"/>
    <mergeCell ref="BD6:BI6"/>
    <mergeCell ref="P9:AQ9"/>
    <mergeCell ref="AK10:AQ10"/>
    <mergeCell ref="AK11:AQ11"/>
    <mergeCell ref="AK12:AQ12"/>
    <mergeCell ref="AK13:AQ13"/>
    <mergeCell ref="AR6:AW6"/>
    <mergeCell ref="AX6:BC6"/>
    <mergeCell ref="P18:V18"/>
    <mergeCell ref="W18:AC18"/>
    <mergeCell ref="AD18:AJ18"/>
    <mergeCell ref="AX5:BC5"/>
    <mergeCell ref="AR5:AW5"/>
    <mergeCell ref="W15:AC15"/>
    <mergeCell ref="AD15:AJ15"/>
    <mergeCell ref="P10:V10"/>
    <mergeCell ref="W10:AC10"/>
    <mergeCell ref="AK14:AQ14"/>
    <mergeCell ref="AK15:AQ15"/>
    <mergeCell ref="AK16:AQ16"/>
    <mergeCell ref="AK17:AQ17"/>
    <mergeCell ref="AK18:AQ18"/>
    <mergeCell ref="AK35:AQ35"/>
    <mergeCell ref="AK36:AQ36"/>
    <mergeCell ref="AK37:AQ37"/>
    <mergeCell ref="AD20:AJ20"/>
    <mergeCell ref="AG48:AK48"/>
    <mergeCell ref="AL48:AQ48"/>
    <mergeCell ref="AK41:AQ41"/>
    <mergeCell ref="B44:D46"/>
    <mergeCell ref="E44:K45"/>
    <mergeCell ref="L44:AQ44"/>
    <mergeCell ref="L45:R45"/>
    <mergeCell ref="S45:Y45"/>
    <mergeCell ref="Z45:AF45"/>
    <mergeCell ref="AG45:AQ46"/>
    <mergeCell ref="E46:K46"/>
    <mergeCell ref="L46:R46"/>
    <mergeCell ref="S46:Y46"/>
    <mergeCell ref="Z46:AF46"/>
    <mergeCell ref="B36:H36"/>
    <mergeCell ref="I36:O36"/>
    <mergeCell ref="P36:V36"/>
    <mergeCell ref="E48:K48"/>
    <mergeCell ref="L48:R48"/>
    <mergeCell ref="S48:Y48"/>
    <mergeCell ref="Z48:AF48"/>
    <mergeCell ref="I23:O23"/>
    <mergeCell ref="P23:V23"/>
    <mergeCell ref="W23:AC23"/>
    <mergeCell ref="I34:O34"/>
    <mergeCell ref="P34:V34"/>
    <mergeCell ref="W34:AC34"/>
    <mergeCell ref="AD34:AJ34"/>
    <mergeCell ref="AK19:AQ19"/>
    <mergeCell ref="AK20:AQ20"/>
    <mergeCell ref="AK21:AQ21"/>
    <mergeCell ref="AK22:AQ22"/>
    <mergeCell ref="AK32:AQ32"/>
    <mergeCell ref="AK33:AQ33"/>
    <mergeCell ref="AK34:AQ34"/>
    <mergeCell ref="L123:Q123"/>
    <mergeCell ref="L135:Q135"/>
    <mergeCell ref="AG71:AQ71"/>
    <mergeCell ref="B76:D76"/>
    <mergeCell ref="E76:K76"/>
    <mergeCell ref="L76:R76"/>
    <mergeCell ref="S76:Y76"/>
    <mergeCell ref="Z76:AF76"/>
    <mergeCell ref="AG76:AQ76"/>
    <mergeCell ref="S73:Y73"/>
    <mergeCell ref="Z73:AF73"/>
    <mergeCell ref="AK38:AQ38"/>
    <mergeCell ref="AK39:AQ39"/>
    <mergeCell ref="AK40:AQ40"/>
    <mergeCell ref="AK23:AQ23"/>
    <mergeCell ref="AK24:AQ24"/>
    <mergeCell ref="AK25:AQ25"/>
    <mergeCell ref="AK26:AQ26"/>
    <mergeCell ref="AK27:AQ27"/>
    <mergeCell ref="AK28:AQ28"/>
    <mergeCell ref="AK29:AQ29"/>
    <mergeCell ref="AK30:AQ30"/>
    <mergeCell ref="AK31:AQ31"/>
    <mergeCell ref="L117:Q117"/>
    <mergeCell ref="R117:W117"/>
    <mergeCell ref="X117:AC117"/>
    <mergeCell ref="AD117:AJ117"/>
    <mergeCell ref="AK117:AQ117"/>
    <mergeCell ref="W36:AC36"/>
    <mergeCell ref="I28:O28"/>
    <mergeCell ref="P28:V28"/>
    <mergeCell ref="W28:AC28"/>
    <mergeCell ref="B5:G5"/>
    <mergeCell ref="N5:S5"/>
    <mergeCell ref="H5:M5"/>
    <mergeCell ref="T5:Y5"/>
    <mergeCell ref="Z5:AE5"/>
    <mergeCell ref="B40:H40"/>
    <mergeCell ref="I40:O40"/>
    <mergeCell ref="P40:V40"/>
    <mergeCell ref="W40:AC40"/>
    <mergeCell ref="AD40:AJ40"/>
    <mergeCell ref="B41:H41"/>
    <mergeCell ref="I41:O41"/>
    <mergeCell ref="P41:V41"/>
    <mergeCell ref="W41:AC41"/>
    <mergeCell ref="AD41:AJ41"/>
    <mergeCell ref="AD31:AJ31"/>
    <mergeCell ref="AF5:AQ5"/>
    <mergeCell ref="B6:G6"/>
    <mergeCell ref="H6:M6"/>
    <mergeCell ref="T6:Y6"/>
    <mergeCell ref="Z6:AE6"/>
    <mergeCell ref="AF6:AK6"/>
    <mergeCell ref="AL6:AQ6"/>
    <mergeCell ref="AD39:AJ39"/>
    <mergeCell ref="B34:H34"/>
    <mergeCell ref="B9:H11"/>
    <mergeCell ref="I9:O10"/>
    <mergeCell ref="B33:H33"/>
    <mergeCell ref="E72:K72"/>
    <mergeCell ref="L72:R72"/>
    <mergeCell ref="S72:Y72"/>
    <mergeCell ref="Z72:AF72"/>
    <mergeCell ref="AG72:AQ72"/>
    <mergeCell ref="B72:D72"/>
    <mergeCell ref="B65:D65"/>
    <mergeCell ref="E65:K65"/>
    <mergeCell ref="L65:R65"/>
    <mergeCell ref="S65:Y65"/>
    <mergeCell ref="Z65:AF65"/>
    <mergeCell ref="AG65:AQ65"/>
    <mergeCell ref="B68:D68"/>
    <mergeCell ref="B47:D47"/>
    <mergeCell ref="E47:K47"/>
    <mergeCell ref="L47:R47"/>
    <mergeCell ref="S47:Y47"/>
    <mergeCell ref="Z47:AF47"/>
    <mergeCell ref="AG47:AQ47"/>
    <mergeCell ref="B48:D48"/>
    <mergeCell ref="B70:D70"/>
    <mergeCell ref="E70:K70"/>
    <mergeCell ref="L70:R70"/>
    <mergeCell ref="S70:Y70"/>
    <mergeCell ref="Z70:AF70"/>
    <mergeCell ref="AG70:AQ70"/>
    <mergeCell ref="B71:D71"/>
    <mergeCell ref="E71:K71"/>
    <mergeCell ref="L71:R71"/>
    <mergeCell ref="S71:Y71"/>
    <mergeCell ref="Z71:AF71"/>
    <mergeCell ref="B51:D51"/>
    <mergeCell ref="AD27:AJ27"/>
    <mergeCell ref="I33:O33"/>
    <mergeCell ref="P33:V33"/>
    <mergeCell ref="W33:AC33"/>
    <mergeCell ref="AD33:AJ33"/>
    <mergeCell ref="B32:H32"/>
    <mergeCell ref="I32:O32"/>
    <mergeCell ref="P32:V32"/>
    <mergeCell ref="W32:AC32"/>
    <mergeCell ref="AD32:AJ32"/>
    <mergeCell ref="B31:H31"/>
    <mergeCell ref="I31:O31"/>
    <mergeCell ref="P31:V31"/>
    <mergeCell ref="W31:AC31"/>
    <mergeCell ref="B39:H39"/>
    <mergeCell ref="I39:O39"/>
    <mergeCell ref="P39:V39"/>
    <mergeCell ref="W39:AC39"/>
    <mergeCell ref="I35:O35"/>
    <mergeCell ref="P35:V35"/>
    <mergeCell ref="W35:AC35"/>
    <mergeCell ref="AD35:AJ35"/>
    <mergeCell ref="AD36:AJ36"/>
    <mergeCell ref="B37:H37"/>
    <mergeCell ref="I37:O37"/>
    <mergeCell ref="AD28:AJ28"/>
    <mergeCell ref="E51:K51"/>
    <mergeCell ref="L51:R51"/>
    <mergeCell ref="S51:Y51"/>
    <mergeCell ref="W19:AC19"/>
    <mergeCell ref="AD19:AJ19"/>
    <mergeCell ref="B18:H18"/>
    <mergeCell ref="I18:O18"/>
    <mergeCell ref="P37:V37"/>
    <mergeCell ref="W37:AC37"/>
    <mergeCell ref="AD37:AJ37"/>
    <mergeCell ref="B35:H35"/>
    <mergeCell ref="B38:H38"/>
    <mergeCell ref="I38:O38"/>
    <mergeCell ref="P38:V38"/>
    <mergeCell ref="W38:AC38"/>
    <mergeCell ref="AD38:AJ38"/>
    <mergeCell ref="AD23:AJ23"/>
    <mergeCell ref="B30:H30"/>
    <mergeCell ref="I30:O30"/>
    <mergeCell ref="P30:V30"/>
    <mergeCell ref="W30:AC30"/>
    <mergeCell ref="AD30:AJ30"/>
    <mergeCell ref="B29:H29"/>
    <mergeCell ref="I29:O29"/>
    <mergeCell ref="P29:V29"/>
    <mergeCell ref="W29:AC29"/>
    <mergeCell ref="AD29:AJ29"/>
    <mergeCell ref="B28:H28"/>
    <mergeCell ref="I20:O20"/>
    <mergeCell ref="P20:V20"/>
    <mergeCell ref="W20:AC20"/>
    <mergeCell ref="B27:H27"/>
    <mergeCell ref="I27:O27"/>
    <mergeCell ref="P27:V27"/>
    <mergeCell ref="W27:AC27"/>
    <mergeCell ref="B16:H16"/>
    <mergeCell ref="I16:O16"/>
    <mergeCell ref="P16:V16"/>
    <mergeCell ref="W16:AC16"/>
    <mergeCell ref="AD16:AJ16"/>
    <mergeCell ref="B15:H15"/>
    <mergeCell ref="I15:O15"/>
    <mergeCell ref="P15:V15"/>
    <mergeCell ref="B17:H17"/>
    <mergeCell ref="I17:O17"/>
    <mergeCell ref="P17:V17"/>
    <mergeCell ref="W17:AC17"/>
    <mergeCell ref="AD17:AJ17"/>
    <mergeCell ref="B26:H26"/>
    <mergeCell ref="I26:O26"/>
    <mergeCell ref="P26:V26"/>
    <mergeCell ref="W26:AC26"/>
    <mergeCell ref="AD26:AJ26"/>
    <mergeCell ref="B25:H25"/>
    <mergeCell ref="I25:O25"/>
    <mergeCell ref="P25:V25"/>
    <mergeCell ref="W25:AC25"/>
    <mergeCell ref="AD25:AJ25"/>
    <mergeCell ref="B24:H24"/>
    <mergeCell ref="I24:O24"/>
    <mergeCell ref="P24:V24"/>
    <mergeCell ref="W24:AC24"/>
    <mergeCell ref="AD24:AJ24"/>
    <mergeCell ref="B23:H23"/>
    <mergeCell ref="B19:H19"/>
    <mergeCell ref="I19:O19"/>
    <mergeCell ref="P19:V19"/>
    <mergeCell ref="B14:H14"/>
    <mergeCell ref="I14:O14"/>
    <mergeCell ref="P14:V14"/>
    <mergeCell ref="W14:AC14"/>
    <mergeCell ref="AD14:AJ14"/>
    <mergeCell ref="B13:H13"/>
    <mergeCell ref="I13:O13"/>
    <mergeCell ref="P13:V13"/>
    <mergeCell ref="W13:AC13"/>
    <mergeCell ref="AD13:AJ13"/>
    <mergeCell ref="N339:W340"/>
    <mergeCell ref="B12:H12"/>
    <mergeCell ref="I12:O12"/>
    <mergeCell ref="P12:V12"/>
    <mergeCell ref="W12:AC12"/>
    <mergeCell ref="AD12:AJ12"/>
    <mergeCell ref="AD10:AJ10"/>
    <mergeCell ref="I11:O11"/>
    <mergeCell ref="P11:V11"/>
    <mergeCell ref="B22:H22"/>
    <mergeCell ref="I22:O22"/>
    <mergeCell ref="P22:V22"/>
    <mergeCell ref="W22:AC22"/>
    <mergeCell ref="AD22:AJ22"/>
    <mergeCell ref="B21:H21"/>
    <mergeCell ref="I21:O21"/>
    <mergeCell ref="P21:V21"/>
    <mergeCell ref="W21:AC21"/>
    <mergeCell ref="AD21:AJ21"/>
    <mergeCell ref="W11:AC11"/>
    <mergeCell ref="AD11:AJ11"/>
    <mergeCell ref="B20:H20"/>
    <mergeCell ref="B719:E719"/>
    <mergeCell ref="F719:K719"/>
    <mergeCell ref="L719:Q719"/>
    <mergeCell ref="R719:W719"/>
    <mergeCell ref="X719:AC719"/>
    <mergeCell ref="AD719:AI719"/>
    <mergeCell ref="B718:E718"/>
    <mergeCell ref="F718:K718"/>
    <mergeCell ref="L718:Q718"/>
    <mergeCell ref="R718:W718"/>
    <mergeCell ref="X718:AC718"/>
    <mergeCell ref="AD718:AI718"/>
    <mergeCell ref="B717:E717"/>
    <mergeCell ref="F717:K717"/>
    <mergeCell ref="L717:Q717"/>
    <mergeCell ref="R717:W717"/>
    <mergeCell ref="X717:AC717"/>
    <mergeCell ref="AD717:AI717"/>
    <mergeCell ref="B716:E716"/>
    <mergeCell ref="F716:K716"/>
    <mergeCell ref="L716:Q716"/>
    <mergeCell ref="R716:W716"/>
    <mergeCell ref="X716:AC716"/>
    <mergeCell ref="AD716:AI716"/>
    <mergeCell ref="B715:E715"/>
    <mergeCell ref="F715:K715"/>
    <mergeCell ref="L715:Q715"/>
    <mergeCell ref="R715:W715"/>
    <mergeCell ref="X715:AC715"/>
    <mergeCell ref="AD715:AI715"/>
    <mergeCell ref="B714:E714"/>
    <mergeCell ref="F714:K714"/>
    <mergeCell ref="L714:Q714"/>
    <mergeCell ref="R714:W714"/>
    <mergeCell ref="X714:AC714"/>
    <mergeCell ref="AD714:AI714"/>
    <mergeCell ref="B713:E713"/>
    <mergeCell ref="F713:K713"/>
    <mergeCell ref="L713:Q713"/>
    <mergeCell ref="R713:W713"/>
    <mergeCell ref="X713:AC713"/>
    <mergeCell ref="AD713:AI713"/>
    <mergeCell ref="B712:E712"/>
    <mergeCell ref="F712:K712"/>
    <mergeCell ref="L712:Q712"/>
    <mergeCell ref="R712:W712"/>
    <mergeCell ref="X712:AC712"/>
    <mergeCell ref="AD712:AI712"/>
    <mergeCell ref="B711:E711"/>
    <mergeCell ref="F711:K711"/>
    <mergeCell ref="L711:Q711"/>
    <mergeCell ref="R711:W711"/>
    <mergeCell ref="X711:AC711"/>
    <mergeCell ref="AD711:AI711"/>
    <mergeCell ref="B710:E710"/>
    <mergeCell ref="F710:K710"/>
    <mergeCell ref="L710:Q710"/>
    <mergeCell ref="R710:W710"/>
    <mergeCell ref="X710:AC710"/>
    <mergeCell ref="AD710:AI710"/>
    <mergeCell ref="B709:E709"/>
    <mergeCell ref="F709:K709"/>
    <mergeCell ref="L709:Q709"/>
    <mergeCell ref="R709:W709"/>
    <mergeCell ref="X709:AC709"/>
    <mergeCell ref="AD709:AI709"/>
    <mergeCell ref="B708:E708"/>
    <mergeCell ref="F708:K708"/>
    <mergeCell ref="L708:Q708"/>
    <mergeCell ref="R708:W708"/>
    <mergeCell ref="X708:AC708"/>
    <mergeCell ref="AD708:AI708"/>
    <mergeCell ref="B707:E707"/>
    <mergeCell ref="F707:K707"/>
    <mergeCell ref="L707:Q707"/>
    <mergeCell ref="R707:W707"/>
    <mergeCell ref="X707:AC707"/>
    <mergeCell ref="AD707:AI707"/>
    <mergeCell ref="B706:E706"/>
    <mergeCell ref="F706:K706"/>
    <mergeCell ref="L706:Q706"/>
    <mergeCell ref="R706:W706"/>
    <mergeCell ref="X706:AC706"/>
    <mergeCell ref="AD706:AI706"/>
    <mergeCell ref="B705:E705"/>
    <mergeCell ref="F705:K705"/>
    <mergeCell ref="L705:Q705"/>
    <mergeCell ref="R705:W705"/>
    <mergeCell ref="X705:AC705"/>
    <mergeCell ref="AD705:AI705"/>
    <mergeCell ref="AD698:AI703"/>
    <mergeCell ref="L700:W700"/>
    <mergeCell ref="N701:W702"/>
    <mergeCell ref="L703:Q703"/>
    <mergeCell ref="R703:W703"/>
    <mergeCell ref="F704:K704"/>
    <mergeCell ref="L704:Q704"/>
    <mergeCell ref="R704:W704"/>
    <mergeCell ref="X704:AC704"/>
    <mergeCell ref="AD704:AI704"/>
    <mergeCell ref="P690:T690"/>
    <mergeCell ref="H694:I694"/>
    <mergeCell ref="J694:M694"/>
    <mergeCell ref="Q694:T694"/>
    <mergeCell ref="B697:E704"/>
    <mergeCell ref="F697:K697"/>
    <mergeCell ref="L697:AI697"/>
    <mergeCell ref="F698:K703"/>
    <mergeCell ref="L698:W699"/>
    <mergeCell ref="X698:AC703"/>
    <mergeCell ref="AH685:AL685"/>
    <mergeCell ref="AM685:AQ685"/>
    <mergeCell ref="AR685:AS685"/>
    <mergeCell ref="J688:T688"/>
    <mergeCell ref="U688:U689"/>
    <mergeCell ref="V688:AA689"/>
    <mergeCell ref="J689:N689"/>
    <mergeCell ref="O689:O690"/>
    <mergeCell ref="P689:T689"/>
    <mergeCell ref="J690:N690"/>
    <mergeCell ref="AH684:AL684"/>
    <mergeCell ref="AM684:AQ684"/>
    <mergeCell ref="AR684:AS684"/>
    <mergeCell ref="B685:C685"/>
    <mergeCell ref="D685:H685"/>
    <mergeCell ref="I685:M685"/>
    <mergeCell ref="N685:R685"/>
    <mergeCell ref="S685:W685"/>
    <mergeCell ref="X685:AB685"/>
    <mergeCell ref="AC685:AG685"/>
    <mergeCell ref="AH683:AL683"/>
    <mergeCell ref="AM683:AQ683"/>
    <mergeCell ref="AR683:AS683"/>
    <mergeCell ref="B684:C684"/>
    <mergeCell ref="D684:H684"/>
    <mergeCell ref="I684:M684"/>
    <mergeCell ref="N684:R684"/>
    <mergeCell ref="S684:W684"/>
    <mergeCell ref="X684:AB684"/>
    <mergeCell ref="AC684:AG684"/>
    <mergeCell ref="AH682:AL682"/>
    <mergeCell ref="AM682:AQ682"/>
    <mergeCell ref="AR682:AS682"/>
    <mergeCell ref="B683:C683"/>
    <mergeCell ref="D683:H683"/>
    <mergeCell ref="I683:M683"/>
    <mergeCell ref="N683:R683"/>
    <mergeCell ref="S683:W683"/>
    <mergeCell ref="X683:AB683"/>
    <mergeCell ref="AC683:AG683"/>
    <mergeCell ref="AH681:AL681"/>
    <mergeCell ref="AM681:AQ681"/>
    <mergeCell ref="AR681:AS681"/>
    <mergeCell ref="B682:C682"/>
    <mergeCell ref="D682:H682"/>
    <mergeCell ref="I682:M682"/>
    <mergeCell ref="N682:R682"/>
    <mergeCell ref="S682:W682"/>
    <mergeCell ref="X682:AB682"/>
    <mergeCell ref="AC682:AG682"/>
    <mergeCell ref="AH680:AL680"/>
    <mergeCell ref="AM680:AQ680"/>
    <mergeCell ref="AR680:AS680"/>
    <mergeCell ref="B681:C681"/>
    <mergeCell ref="D681:H681"/>
    <mergeCell ref="I681:M681"/>
    <mergeCell ref="N681:R681"/>
    <mergeCell ref="S681:W681"/>
    <mergeCell ref="X681:AB681"/>
    <mergeCell ref="AC681:AG681"/>
    <mergeCell ref="AH679:AL679"/>
    <mergeCell ref="AM679:AQ679"/>
    <mergeCell ref="AR679:AS679"/>
    <mergeCell ref="B680:C680"/>
    <mergeCell ref="D680:H680"/>
    <mergeCell ref="I680:M680"/>
    <mergeCell ref="N680:R680"/>
    <mergeCell ref="S680:W680"/>
    <mergeCell ref="X680:AB680"/>
    <mergeCell ref="AC680:AG680"/>
    <mergeCell ref="AH678:AL678"/>
    <mergeCell ref="AM678:AQ678"/>
    <mergeCell ref="AR678:AS678"/>
    <mergeCell ref="B679:C679"/>
    <mergeCell ref="D679:H679"/>
    <mergeCell ref="I679:M679"/>
    <mergeCell ref="N679:R679"/>
    <mergeCell ref="S679:W679"/>
    <mergeCell ref="X679:AB679"/>
    <mergeCell ref="AC679:AG679"/>
    <mergeCell ref="AH677:AL677"/>
    <mergeCell ref="AM677:AQ677"/>
    <mergeCell ref="AR677:AS677"/>
    <mergeCell ref="B678:C678"/>
    <mergeCell ref="D678:H678"/>
    <mergeCell ref="I678:M678"/>
    <mergeCell ref="N678:R678"/>
    <mergeCell ref="S678:W678"/>
    <mergeCell ref="X678:AB678"/>
    <mergeCell ref="AC678:AG678"/>
    <mergeCell ref="AH676:AL676"/>
    <mergeCell ref="AM676:AQ676"/>
    <mergeCell ref="AR676:AS676"/>
    <mergeCell ref="B677:C677"/>
    <mergeCell ref="D677:H677"/>
    <mergeCell ref="I677:M677"/>
    <mergeCell ref="N677:R677"/>
    <mergeCell ref="S677:W677"/>
    <mergeCell ref="X677:AB677"/>
    <mergeCell ref="AC677:AG677"/>
    <mergeCell ref="AH675:AL675"/>
    <mergeCell ref="AM675:AQ675"/>
    <mergeCell ref="AR675:AS675"/>
    <mergeCell ref="B676:C676"/>
    <mergeCell ref="D676:H676"/>
    <mergeCell ref="I676:M676"/>
    <mergeCell ref="N676:R676"/>
    <mergeCell ref="S676:W676"/>
    <mergeCell ref="X676:AB676"/>
    <mergeCell ref="AC676:AG676"/>
    <mergeCell ref="AH674:AL674"/>
    <mergeCell ref="AM674:AQ674"/>
    <mergeCell ref="AR674:AS674"/>
    <mergeCell ref="B675:C675"/>
    <mergeCell ref="D675:H675"/>
    <mergeCell ref="I675:M675"/>
    <mergeCell ref="N675:R675"/>
    <mergeCell ref="S675:W675"/>
    <mergeCell ref="X675:AB675"/>
    <mergeCell ref="AC675:AG675"/>
    <mergeCell ref="AH673:AL673"/>
    <mergeCell ref="AM673:AQ673"/>
    <mergeCell ref="AR673:AS673"/>
    <mergeCell ref="B674:C674"/>
    <mergeCell ref="D674:H674"/>
    <mergeCell ref="I674:M674"/>
    <mergeCell ref="N674:R674"/>
    <mergeCell ref="S674:W674"/>
    <mergeCell ref="X674:AB674"/>
    <mergeCell ref="AC674:AG674"/>
    <mergeCell ref="AH672:AL672"/>
    <mergeCell ref="AM672:AQ672"/>
    <mergeCell ref="AR672:AS672"/>
    <mergeCell ref="B673:C673"/>
    <mergeCell ref="D673:H673"/>
    <mergeCell ref="I673:M673"/>
    <mergeCell ref="N673:R673"/>
    <mergeCell ref="S673:W673"/>
    <mergeCell ref="X673:AB673"/>
    <mergeCell ref="AC673:AG673"/>
    <mergeCell ref="AH671:AL671"/>
    <mergeCell ref="AM671:AQ671"/>
    <mergeCell ref="AR671:AS671"/>
    <mergeCell ref="B672:C672"/>
    <mergeCell ref="D672:H672"/>
    <mergeCell ref="I672:M672"/>
    <mergeCell ref="N672:R672"/>
    <mergeCell ref="S672:W672"/>
    <mergeCell ref="X672:AB672"/>
    <mergeCell ref="AC672:AG672"/>
    <mergeCell ref="AH670:AL670"/>
    <mergeCell ref="AM670:AQ670"/>
    <mergeCell ref="AR670:AS670"/>
    <mergeCell ref="B671:C671"/>
    <mergeCell ref="D671:H671"/>
    <mergeCell ref="I671:M671"/>
    <mergeCell ref="N671:R671"/>
    <mergeCell ref="S671:W671"/>
    <mergeCell ref="X671:AB671"/>
    <mergeCell ref="AC671:AG671"/>
    <mergeCell ref="N668:R669"/>
    <mergeCell ref="S668:W669"/>
    <mergeCell ref="X668:AB669"/>
    <mergeCell ref="AC668:AG669"/>
    <mergeCell ref="D670:H670"/>
    <mergeCell ref="I670:M670"/>
    <mergeCell ref="N670:R670"/>
    <mergeCell ref="S670:W670"/>
    <mergeCell ref="X670:AB670"/>
    <mergeCell ref="AC670:AG670"/>
    <mergeCell ref="B666:C670"/>
    <mergeCell ref="D666:M666"/>
    <mergeCell ref="N666:AL666"/>
    <mergeCell ref="AM666:AS666"/>
    <mergeCell ref="D667:H669"/>
    <mergeCell ref="I667:M669"/>
    <mergeCell ref="N667:AG667"/>
    <mergeCell ref="AH667:AL669"/>
    <mergeCell ref="AM667:AQ669"/>
    <mergeCell ref="AR667:AS669"/>
    <mergeCell ref="P655:T656"/>
    <mergeCell ref="G660:K660"/>
    <mergeCell ref="M660:N660"/>
    <mergeCell ref="O660:S660"/>
    <mergeCell ref="G661:K661"/>
    <mergeCell ref="F663:I663"/>
    <mergeCell ref="J663:K663"/>
    <mergeCell ref="AH649:AK650"/>
    <mergeCell ref="AL649:AN650"/>
    <mergeCell ref="H651:L651"/>
    <mergeCell ref="B652:G653"/>
    <mergeCell ref="L654:O654"/>
    <mergeCell ref="P654:Q654"/>
    <mergeCell ref="S654:V654"/>
    <mergeCell ref="W654:X654"/>
    <mergeCell ref="P641:T642"/>
    <mergeCell ref="G645:K645"/>
    <mergeCell ref="L645:Q645"/>
    <mergeCell ref="AA647:AD648"/>
    <mergeCell ref="AE647:AG648"/>
    <mergeCell ref="Q649:AA650"/>
    <mergeCell ref="AB649:AB650"/>
    <mergeCell ref="AC649:AF649"/>
    <mergeCell ref="AG649:AG650"/>
    <mergeCell ref="AH635:AK636"/>
    <mergeCell ref="AL635:AN636"/>
    <mergeCell ref="H637:L637"/>
    <mergeCell ref="B638:G639"/>
    <mergeCell ref="L640:O640"/>
    <mergeCell ref="P640:Q640"/>
    <mergeCell ref="S640:V640"/>
    <mergeCell ref="W640:X640"/>
    <mergeCell ref="R634:U634"/>
    <mergeCell ref="V634:Y634"/>
    <mergeCell ref="Q635:AA636"/>
    <mergeCell ref="AB635:AB636"/>
    <mergeCell ref="AC635:AF635"/>
    <mergeCell ref="AG635:AG636"/>
    <mergeCell ref="P620:T621"/>
    <mergeCell ref="G624:K624"/>
    <mergeCell ref="L624:Q624"/>
    <mergeCell ref="L629:O629"/>
    <mergeCell ref="P629:S629"/>
    <mergeCell ref="L632:O632"/>
    <mergeCell ref="P632:S632"/>
    <mergeCell ref="AG614:AJ615"/>
    <mergeCell ref="AK614:AM615"/>
    <mergeCell ref="H616:L616"/>
    <mergeCell ref="B617:G618"/>
    <mergeCell ref="L619:O619"/>
    <mergeCell ref="P619:Q619"/>
    <mergeCell ref="S619:V619"/>
    <mergeCell ref="W619:X619"/>
    <mergeCell ref="L607:P607"/>
    <mergeCell ref="G610:K610"/>
    <mergeCell ref="L610:Q610"/>
    <mergeCell ref="Z612:AC613"/>
    <mergeCell ref="AD612:AF613"/>
    <mergeCell ref="P614:Z615"/>
    <mergeCell ref="AA614:AA615"/>
    <mergeCell ref="AB614:AE614"/>
    <mergeCell ref="AF614:AF615"/>
    <mergeCell ref="AA602:AD602"/>
    <mergeCell ref="H603:L603"/>
    <mergeCell ref="B604:G605"/>
    <mergeCell ref="L606:O606"/>
    <mergeCell ref="P606:Q606"/>
    <mergeCell ref="S606:V606"/>
    <mergeCell ref="W606:X606"/>
    <mergeCell ref="AC595:AG595"/>
    <mergeCell ref="AI595:AM595"/>
    <mergeCell ref="G598:K598"/>
    <mergeCell ref="L598:Q598"/>
    <mergeCell ref="O601:Y602"/>
    <mergeCell ref="Z601:Z602"/>
    <mergeCell ref="AA601:AD601"/>
    <mergeCell ref="AE601:AE602"/>
    <mergeCell ref="AF601:AI602"/>
    <mergeCell ref="AJ601:AL602"/>
    <mergeCell ref="AO593:AS594"/>
    <mergeCell ref="Q594:U594"/>
    <mergeCell ref="V594:V595"/>
    <mergeCell ref="W594:AA594"/>
    <mergeCell ref="AB594:AB595"/>
    <mergeCell ref="AC594:AG594"/>
    <mergeCell ref="AH594:AH595"/>
    <mergeCell ref="AI594:AM594"/>
    <mergeCell ref="Q595:U595"/>
    <mergeCell ref="W595:AA595"/>
    <mergeCell ref="L592:O592"/>
    <mergeCell ref="P592:Q592"/>
    <mergeCell ref="S592:V592"/>
    <mergeCell ref="W592:X592"/>
    <mergeCell ref="Q593:AM593"/>
    <mergeCell ref="AN593:AN594"/>
    <mergeCell ref="Z588:AB588"/>
    <mergeCell ref="AF588:AH588"/>
    <mergeCell ref="AK588:AN588"/>
    <mergeCell ref="AO588:AP588"/>
    <mergeCell ref="H589:L589"/>
    <mergeCell ref="B590:G591"/>
    <mergeCell ref="L582:P582"/>
    <mergeCell ref="G585:K585"/>
    <mergeCell ref="L585:Q585"/>
    <mergeCell ref="P587:Q587"/>
    <mergeCell ref="N588:P588"/>
    <mergeCell ref="T588:V588"/>
    <mergeCell ref="H578:L578"/>
    <mergeCell ref="B579:G580"/>
    <mergeCell ref="L581:O581"/>
    <mergeCell ref="P581:Q581"/>
    <mergeCell ref="S581:V581"/>
    <mergeCell ref="W581:X581"/>
    <mergeCell ref="N576:R577"/>
    <mergeCell ref="S576:S577"/>
    <mergeCell ref="T576:X576"/>
    <mergeCell ref="Y576:Y577"/>
    <mergeCell ref="Z576:AC577"/>
    <mergeCell ref="AD576:AF577"/>
    <mergeCell ref="T577:X577"/>
    <mergeCell ref="AA565:AD566"/>
    <mergeCell ref="AE565:AG566"/>
    <mergeCell ref="L569:O569"/>
    <mergeCell ref="P569:R569"/>
    <mergeCell ref="J571:P571"/>
    <mergeCell ref="J572:P572"/>
    <mergeCell ref="AC557:AG557"/>
    <mergeCell ref="AH557:AL557"/>
    <mergeCell ref="AM557:AO557"/>
    <mergeCell ref="AP557:AS557"/>
    <mergeCell ref="G561:K561"/>
    <mergeCell ref="L561:Q561"/>
    <mergeCell ref="AC556:AG556"/>
    <mergeCell ref="AH556:AM556"/>
    <mergeCell ref="AN556:AO556"/>
    <mergeCell ref="AP556:AS556"/>
    <mergeCell ref="B557:C557"/>
    <mergeCell ref="D557:H557"/>
    <mergeCell ref="I557:L557"/>
    <mergeCell ref="M557:O557"/>
    <mergeCell ref="P557:W557"/>
    <mergeCell ref="X557:AB557"/>
    <mergeCell ref="AC555:AG555"/>
    <mergeCell ref="AH555:AM555"/>
    <mergeCell ref="AN555:AO555"/>
    <mergeCell ref="AP555:AS555"/>
    <mergeCell ref="B556:C556"/>
    <mergeCell ref="D556:H556"/>
    <mergeCell ref="I556:O556"/>
    <mergeCell ref="P556:U556"/>
    <mergeCell ref="V556:W556"/>
    <mergeCell ref="X556:AB556"/>
    <mergeCell ref="AC554:AG554"/>
    <mergeCell ref="AH554:AM554"/>
    <mergeCell ref="AN554:AO554"/>
    <mergeCell ref="AP554:AS554"/>
    <mergeCell ref="B555:C555"/>
    <mergeCell ref="D555:H555"/>
    <mergeCell ref="I555:O555"/>
    <mergeCell ref="P555:U555"/>
    <mergeCell ref="V555:W555"/>
    <mergeCell ref="X555:AB555"/>
    <mergeCell ref="AC553:AG553"/>
    <mergeCell ref="AH553:AM553"/>
    <mergeCell ref="AN553:AO553"/>
    <mergeCell ref="AP553:AS553"/>
    <mergeCell ref="B554:C554"/>
    <mergeCell ref="D554:H554"/>
    <mergeCell ref="I554:O554"/>
    <mergeCell ref="P554:U554"/>
    <mergeCell ref="V554:W554"/>
    <mergeCell ref="X554:AB554"/>
    <mergeCell ref="B553:C553"/>
    <mergeCell ref="D553:H553"/>
    <mergeCell ref="I553:O553"/>
    <mergeCell ref="P553:U553"/>
    <mergeCell ref="V553:W553"/>
    <mergeCell ref="X553:AB553"/>
    <mergeCell ref="U552:W552"/>
    <mergeCell ref="X552:AB552"/>
    <mergeCell ref="AC552:AG552"/>
    <mergeCell ref="AH552:AL552"/>
    <mergeCell ref="AM552:AO552"/>
    <mergeCell ref="AP552:AS552"/>
    <mergeCell ref="X551:AB551"/>
    <mergeCell ref="AC551:AG551"/>
    <mergeCell ref="AH551:AL551"/>
    <mergeCell ref="AM551:AO551"/>
    <mergeCell ref="AP551:AS551"/>
    <mergeCell ref="B552:C552"/>
    <mergeCell ref="D552:H552"/>
    <mergeCell ref="I552:L552"/>
    <mergeCell ref="M552:O552"/>
    <mergeCell ref="P552:T552"/>
    <mergeCell ref="B551:C551"/>
    <mergeCell ref="D551:H551"/>
    <mergeCell ref="I551:L551"/>
    <mergeCell ref="M551:O551"/>
    <mergeCell ref="P551:T551"/>
    <mergeCell ref="U551:W551"/>
    <mergeCell ref="I550:O550"/>
    <mergeCell ref="P550:W550"/>
    <mergeCell ref="X550:AB550"/>
    <mergeCell ref="AC550:AG550"/>
    <mergeCell ref="AH550:AO550"/>
    <mergeCell ref="AP550:AS550"/>
    <mergeCell ref="I549:O549"/>
    <mergeCell ref="P549:W549"/>
    <mergeCell ref="X549:AB549"/>
    <mergeCell ref="AC549:AG549"/>
    <mergeCell ref="AH549:AO549"/>
    <mergeCell ref="AP549:AS549"/>
    <mergeCell ref="AM545:AS545"/>
    <mergeCell ref="B548:C550"/>
    <mergeCell ref="D548:H548"/>
    <mergeCell ref="I548:O548"/>
    <mergeCell ref="P548:W548"/>
    <mergeCell ref="X548:AB548"/>
    <mergeCell ref="AC548:AG548"/>
    <mergeCell ref="AH548:AO548"/>
    <mergeCell ref="AP548:AS548"/>
    <mergeCell ref="D549:H550"/>
    <mergeCell ref="B545:G545"/>
    <mergeCell ref="H545:M545"/>
    <mergeCell ref="N545:S545"/>
    <mergeCell ref="T545:Y545"/>
    <mergeCell ref="Z545:AE545"/>
    <mergeCell ref="AF545:AL545"/>
    <mergeCell ref="Z543:AE543"/>
    <mergeCell ref="AF543:AL543"/>
    <mergeCell ref="AM543:AS543"/>
    <mergeCell ref="B544:G544"/>
    <mergeCell ref="H544:M544"/>
    <mergeCell ref="N544:S544"/>
    <mergeCell ref="T544:Y544"/>
    <mergeCell ref="Z544:AE544"/>
    <mergeCell ref="AF544:AL544"/>
    <mergeCell ref="AM544:AS544"/>
    <mergeCell ref="B541:G543"/>
    <mergeCell ref="H541:M542"/>
    <mergeCell ref="N541:AS541"/>
    <mergeCell ref="N542:S542"/>
    <mergeCell ref="T542:Y542"/>
    <mergeCell ref="Z542:AE542"/>
    <mergeCell ref="AF542:AS542"/>
    <mergeCell ref="H543:M543"/>
    <mergeCell ref="N543:S543"/>
    <mergeCell ref="T543:Y543"/>
    <mergeCell ref="AH537:AM538"/>
    <mergeCell ref="AN537:AS538"/>
    <mergeCell ref="B538:F538"/>
    <mergeCell ref="G538:L538"/>
    <mergeCell ref="M538:Q538"/>
    <mergeCell ref="R538:V538"/>
    <mergeCell ref="W538:AA538"/>
    <mergeCell ref="B537:F537"/>
    <mergeCell ref="G537:L537"/>
    <mergeCell ref="M537:Q537"/>
    <mergeCell ref="R537:V537"/>
    <mergeCell ref="W537:AA537"/>
    <mergeCell ref="AB537:AG538"/>
    <mergeCell ref="M536:Q536"/>
    <mergeCell ref="R536:V536"/>
    <mergeCell ref="W536:AA536"/>
    <mergeCell ref="AB536:AG536"/>
    <mergeCell ref="AH536:AM536"/>
    <mergeCell ref="AN536:AS536"/>
    <mergeCell ref="AK509:AQ509"/>
    <mergeCell ref="B534:F536"/>
    <mergeCell ref="G534:L535"/>
    <mergeCell ref="M534:AS534"/>
    <mergeCell ref="M535:Q535"/>
    <mergeCell ref="R535:V535"/>
    <mergeCell ref="W535:AA535"/>
    <mergeCell ref="AB535:AM535"/>
    <mergeCell ref="AN535:AS535"/>
    <mergeCell ref="G536:L536"/>
    <mergeCell ref="B509:D509"/>
    <mergeCell ref="E509:K509"/>
    <mergeCell ref="L509:Q509"/>
    <mergeCell ref="R509:W509"/>
    <mergeCell ref="X509:AC509"/>
    <mergeCell ref="AD509:AJ509"/>
    <mergeCell ref="AK507:AQ507"/>
    <mergeCell ref="B508:D508"/>
    <mergeCell ref="E508:K508"/>
    <mergeCell ref="L508:Q508"/>
    <mergeCell ref="R508:W508"/>
    <mergeCell ref="X508:AC508"/>
    <mergeCell ref="AD508:AJ508"/>
    <mergeCell ref="AK508:AQ508"/>
    <mergeCell ref="B507:D507"/>
    <mergeCell ref="E507:K507"/>
    <mergeCell ref="L507:Q507"/>
    <mergeCell ref="R507:W507"/>
    <mergeCell ref="X507:AC507"/>
    <mergeCell ref="AD507:AJ507"/>
    <mergeCell ref="AK505:AQ505"/>
    <mergeCell ref="B506:D506"/>
    <mergeCell ref="E506:K506"/>
    <mergeCell ref="L506:Q506"/>
    <mergeCell ref="R506:W506"/>
    <mergeCell ref="X506:AC506"/>
    <mergeCell ref="AD506:AJ506"/>
    <mergeCell ref="AK506:AQ506"/>
    <mergeCell ref="B505:D505"/>
    <mergeCell ref="E505:K505"/>
    <mergeCell ref="L505:Q505"/>
    <mergeCell ref="R505:W505"/>
    <mergeCell ref="X505:AC505"/>
    <mergeCell ref="AD505:AJ505"/>
    <mergeCell ref="AK503:AQ503"/>
    <mergeCell ref="B504:D504"/>
    <mergeCell ref="E504:K504"/>
    <mergeCell ref="L504:Q504"/>
    <mergeCell ref="R504:W504"/>
    <mergeCell ref="X504:AC504"/>
    <mergeCell ref="AD504:AJ504"/>
    <mergeCell ref="AK504:AQ504"/>
    <mergeCell ref="B503:D503"/>
    <mergeCell ref="E503:K503"/>
    <mergeCell ref="L503:Q503"/>
    <mergeCell ref="R503:W503"/>
    <mergeCell ref="X503:AC503"/>
    <mergeCell ref="AD503:AJ503"/>
    <mergeCell ref="AK501:AQ501"/>
    <mergeCell ref="B502:D502"/>
    <mergeCell ref="E502:K502"/>
    <mergeCell ref="L502:Q502"/>
    <mergeCell ref="R502:W502"/>
    <mergeCell ref="X502:AC502"/>
    <mergeCell ref="AD502:AJ502"/>
    <mergeCell ref="AK502:AQ502"/>
    <mergeCell ref="B501:D501"/>
    <mergeCell ref="E501:K501"/>
    <mergeCell ref="L501:Q501"/>
    <mergeCell ref="R501:W501"/>
    <mergeCell ref="X501:AC501"/>
    <mergeCell ref="AD501:AJ501"/>
    <mergeCell ref="AK499:AQ499"/>
    <mergeCell ref="B500:D500"/>
    <mergeCell ref="E500:K500"/>
    <mergeCell ref="L500:Q500"/>
    <mergeCell ref="R500:W500"/>
    <mergeCell ref="X500:AC500"/>
    <mergeCell ref="AD500:AJ500"/>
    <mergeCell ref="AK500:AQ500"/>
    <mergeCell ref="B499:D499"/>
    <mergeCell ref="E499:K499"/>
    <mergeCell ref="L499:Q499"/>
    <mergeCell ref="R499:W499"/>
    <mergeCell ref="X499:AC499"/>
    <mergeCell ref="AD499:AJ499"/>
    <mergeCell ref="AK497:AQ497"/>
    <mergeCell ref="B498:D498"/>
    <mergeCell ref="E498:K498"/>
    <mergeCell ref="L498:Q498"/>
    <mergeCell ref="R498:W498"/>
    <mergeCell ref="X498:AC498"/>
    <mergeCell ref="AD498:AJ498"/>
    <mergeCell ref="AK498:AQ498"/>
    <mergeCell ref="B497:D497"/>
    <mergeCell ref="E497:K497"/>
    <mergeCell ref="L497:Q497"/>
    <mergeCell ref="R497:W497"/>
    <mergeCell ref="X497:AC497"/>
    <mergeCell ref="AD497:AJ497"/>
    <mergeCell ref="AK495:AQ495"/>
    <mergeCell ref="B496:D496"/>
    <mergeCell ref="E496:K496"/>
    <mergeCell ref="L496:Q496"/>
    <mergeCell ref="R496:W496"/>
    <mergeCell ref="X496:AC496"/>
    <mergeCell ref="AD496:AJ496"/>
    <mergeCell ref="AK496:AQ496"/>
    <mergeCell ref="B495:D495"/>
    <mergeCell ref="E495:K495"/>
    <mergeCell ref="L495:Q495"/>
    <mergeCell ref="R495:W495"/>
    <mergeCell ref="X495:AC495"/>
    <mergeCell ref="AD495:AJ495"/>
    <mergeCell ref="AK493:AQ493"/>
    <mergeCell ref="B494:D494"/>
    <mergeCell ref="E494:K494"/>
    <mergeCell ref="L494:Q494"/>
    <mergeCell ref="R494:W494"/>
    <mergeCell ref="X494:AC494"/>
    <mergeCell ref="AD494:AJ494"/>
    <mergeCell ref="AK494:AQ494"/>
    <mergeCell ref="B493:D493"/>
    <mergeCell ref="E493:K493"/>
    <mergeCell ref="L493:Q493"/>
    <mergeCell ref="R493:W493"/>
    <mergeCell ref="X493:AC493"/>
    <mergeCell ref="AD493:AJ493"/>
    <mergeCell ref="AK491:AQ491"/>
    <mergeCell ref="B492:D492"/>
    <mergeCell ref="E492:K492"/>
    <mergeCell ref="L492:Q492"/>
    <mergeCell ref="R492:W492"/>
    <mergeCell ref="X492:AC492"/>
    <mergeCell ref="AD492:AJ492"/>
    <mergeCell ref="AK492:AQ492"/>
    <mergeCell ref="B491:D491"/>
    <mergeCell ref="E491:K491"/>
    <mergeCell ref="L491:Q491"/>
    <mergeCell ref="R491:W491"/>
    <mergeCell ref="X491:AC491"/>
    <mergeCell ref="AD491:AJ491"/>
    <mergeCell ref="AK489:AQ489"/>
    <mergeCell ref="B490:D490"/>
    <mergeCell ref="E490:K490"/>
    <mergeCell ref="L490:Q490"/>
    <mergeCell ref="R490:W490"/>
    <mergeCell ref="X490:AC490"/>
    <mergeCell ref="AD490:AJ490"/>
    <mergeCell ref="AK490:AQ490"/>
    <mergeCell ref="B489:D489"/>
    <mergeCell ref="E489:K489"/>
    <mergeCell ref="L489:Q489"/>
    <mergeCell ref="R489:W489"/>
    <mergeCell ref="X489:AC489"/>
    <mergeCell ref="AD489:AJ489"/>
    <mergeCell ref="AK487:AQ487"/>
    <mergeCell ref="B488:D488"/>
    <mergeCell ref="E488:K488"/>
    <mergeCell ref="L488:Q488"/>
    <mergeCell ref="R488:W488"/>
    <mergeCell ref="X488:AC488"/>
    <mergeCell ref="AD488:AJ488"/>
    <mergeCell ref="AK488:AQ488"/>
    <mergeCell ref="B487:D487"/>
    <mergeCell ref="E487:K487"/>
    <mergeCell ref="L487:Q487"/>
    <mergeCell ref="R487:W487"/>
    <mergeCell ref="X487:AC487"/>
    <mergeCell ref="AD487:AJ487"/>
    <mergeCell ref="AK485:AQ485"/>
    <mergeCell ref="B486:D486"/>
    <mergeCell ref="E486:K486"/>
    <mergeCell ref="L486:Q486"/>
    <mergeCell ref="R486:W486"/>
    <mergeCell ref="X486:AC486"/>
    <mergeCell ref="AD486:AJ486"/>
    <mergeCell ref="AK486:AQ486"/>
    <mergeCell ref="B485:D485"/>
    <mergeCell ref="E485:K485"/>
    <mergeCell ref="L485:Q485"/>
    <mergeCell ref="R485:W485"/>
    <mergeCell ref="X485:AC485"/>
    <mergeCell ref="AD485:AJ485"/>
    <mergeCell ref="AK483:AQ483"/>
    <mergeCell ref="B484:D484"/>
    <mergeCell ref="E484:K484"/>
    <mergeCell ref="L484:Q484"/>
    <mergeCell ref="R484:W484"/>
    <mergeCell ref="X484:AC484"/>
    <mergeCell ref="AD484:AJ484"/>
    <mergeCell ref="AK484:AQ484"/>
    <mergeCell ref="B483:D483"/>
    <mergeCell ref="E483:K483"/>
    <mergeCell ref="L483:Q483"/>
    <mergeCell ref="R483:W483"/>
    <mergeCell ref="X483:AC483"/>
    <mergeCell ref="AD483:AJ483"/>
    <mergeCell ref="AK481:AQ481"/>
    <mergeCell ref="B482:D482"/>
    <mergeCell ref="E482:K482"/>
    <mergeCell ref="L482:Q482"/>
    <mergeCell ref="R482:W482"/>
    <mergeCell ref="X482:AC482"/>
    <mergeCell ref="AD482:AJ482"/>
    <mergeCell ref="AK482:AQ482"/>
    <mergeCell ref="B481:D481"/>
    <mergeCell ref="E481:K481"/>
    <mergeCell ref="L481:Q481"/>
    <mergeCell ref="R481:W481"/>
    <mergeCell ref="X481:AC481"/>
    <mergeCell ref="AD481:AJ481"/>
    <mergeCell ref="X479:AC479"/>
    <mergeCell ref="AD479:AJ479"/>
    <mergeCell ref="AK479:AQ479"/>
    <mergeCell ref="B480:D480"/>
    <mergeCell ref="E480:K480"/>
    <mergeCell ref="L480:Q480"/>
    <mergeCell ref="R480:W480"/>
    <mergeCell ref="X480:AC480"/>
    <mergeCell ref="AD480:AJ480"/>
    <mergeCell ref="AK480:AQ480"/>
    <mergeCell ref="B477:D479"/>
    <mergeCell ref="E477:K478"/>
    <mergeCell ref="L477:AQ477"/>
    <mergeCell ref="L478:Q478"/>
    <mergeCell ref="R478:W478"/>
    <mergeCell ref="X478:AC478"/>
    <mergeCell ref="AD478:AQ478"/>
    <mergeCell ref="E479:K479"/>
    <mergeCell ref="L479:Q479"/>
    <mergeCell ref="R479:W479"/>
    <mergeCell ref="B473:H473"/>
    <mergeCell ref="I473:O473"/>
    <mergeCell ref="P473:V473"/>
    <mergeCell ref="W473:AC473"/>
    <mergeCell ref="AD473:AJ473"/>
    <mergeCell ref="B474:H474"/>
    <mergeCell ref="I474:O474"/>
    <mergeCell ref="P474:V474"/>
    <mergeCell ref="W474:AC474"/>
    <mergeCell ref="AD474:AJ474"/>
    <mergeCell ref="B471:H471"/>
    <mergeCell ref="I471:O471"/>
    <mergeCell ref="P471:V471"/>
    <mergeCell ref="W471:AC471"/>
    <mergeCell ref="AD471:AJ471"/>
    <mergeCell ref="B472:H472"/>
    <mergeCell ref="I472:O472"/>
    <mergeCell ref="P472:V472"/>
    <mergeCell ref="W472:AC472"/>
    <mergeCell ref="AD472:AJ472"/>
    <mergeCell ref="B469:H469"/>
    <mergeCell ref="I469:O469"/>
    <mergeCell ref="P469:V469"/>
    <mergeCell ref="W469:AC469"/>
    <mergeCell ref="AD469:AJ469"/>
    <mergeCell ref="B470:H470"/>
    <mergeCell ref="I470:O470"/>
    <mergeCell ref="P470:V470"/>
    <mergeCell ref="W470:AC470"/>
    <mergeCell ref="AD470:AJ470"/>
    <mergeCell ref="B467:H467"/>
    <mergeCell ref="I467:O467"/>
    <mergeCell ref="P467:V467"/>
    <mergeCell ref="W467:AC467"/>
    <mergeCell ref="AD467:AJ467"/>
    <mergeCell ref="B468:H468"/>
    <mergeCell ref="I468:O468"/>
    <mergeCell ref="P468:V468"/>
    <mergeCell ref="W468:AC468"/>
    <mergeCell ref="AD468:AJ468"/>
    <mergeCell ref="B465:H465"/>
    <mergeCell ref="I465:O465"/>
    <mergeCell ref="P465:V465"/>
    <mergeCell ref="W465:AC465"/>
    <mergeCell ref="AD465:AJ465"/>
    <mergeCell ref="B466:H466"/>
    <mergeCell ref="I466:O466"/>
    <mergeCell ref="P466:V466"/>
    <mergeCell ref="W466:AC466"/>
    <mergeCell ref="AD466:AJ466"/>
    <mergeCell ref="B463:H463"/>
    <mergeCell ref="I463:O463"/>
    <mergeCell ref="P463:V463"/>
    <mergeCell ref="W463:AC463"/>
    <mergeCell ref="AD463:AJ463"/>
    <mergeCell ref="B464:H464"/>
    <mergeCell ref="I464:O464"/>
    <mergeCell ref="P464:V464"/>
    <mergeCell ref="W464:AC464"/>
    <mergeCell ref="AD464:AJ464"/>
    <mergeCell ref="B461:H461"/>
    <mergeCell ref="I461:O461"/>
    <mergeCell ref="P461:V461"/>
    <mergeCell ref="W461:AC461"/>
    <mergeCell ref="AD461:AJ461"/>
    <mergeCell ref="B462:H462"/>
    <mergeCell ref="I462:O462"/>
    <mergeCell ref="P462:V462"/>
    <mergeCell ref="W462:AC462"/>
    <mergeCell ref="AD462:AJ462"/>
    <mergeCell ref="B459:H459"/>
    <mergeCell ref="I459:O459"/>
    <mergeCell ref="P459:V459"/>
    <mergeCell ref="W459:AC459"/>
    <mergeCell ref="AD459:AJ459"/>
    <mergeCell ref="B460:H460"/>
    <mergeCell ref="I460:O460"/>
    <mergeCell ref="P460:V460"/>
    <mergeCell ref="W460:AC460"/>
    <mergeCell ref="AD460:AJ460"/>
    <mergeCell ref="B457:H457"/>
    <mergeCell ref="I457:O457"/>
    <mergeCell ref="P457:V457"/>
    <mergeCell ref="W457:AC457"/>
    <mergeCell ref="AD457:AJ457"/>
    <mergeCell ref="B458:H458"/>
    <mergeCell ref="I458:O458"/>
    <mergeCell ref="P458:V458"/>
    <mergeCell ref="W458:AC458"/>
    <mergeCell ref="AD458:AJ458"/>
    <mergeCell ref="B455:H455"/>
    <mergeCell ref="I455:O455"/>
    <mergeCell ref="P455:V455"/>
    <mergeCell ref="W455:AC455"/>
    <mergeCell ref="AD455:AJ455"/>
    <mergeCell ref="B456:H456"/>
    <mergeCell ref="I456:O456"/>
    <mergeCell ref="P456:V456"/>
    <mergeCell ref="W456:AC456"/>
    <mergeCell ref="AD456:AJ456"/>
    <mergeCell ref="B453:H453"/>
    <mergeCell ref="I453:O453"/>
    <mergeCell ref="P453:V453"/>
    <mergeCell ref="W453:AC453"/>
    <mergeCell ref="AD453:AJ453"/>
    <mergeCell ref="B454:H454"/>
    <mergeCell ref="I454:O454"/>
    <mergeCell ref="P454:V454"/>
    <mergeCell ref="W454:AC454"/>
    <mergeCell ref="AD454:AJ454"/>
    <mergeCell ref="B451:H451"/>
    <mergeCell ref="I451:O451"/>
    <mergeCell ref="P451:V451"/>
    <mergeCell ref="W451:AC451"/>
    <mergeCell ref="AD451:AJ451"/>
    <mergeCell ref="B452:H452"/>
    <mergeCell ref="I452:O452"/>
    <mergeCell ref="P452:V452"/>
    <mergeCell ref="W452:AC452"/>
    <mergeCell ref="AD452:AJ452"/>
    <mergeCell ref="B449:H449"/>
    <mergeCell ref="I449:O449"/>
    <mergeCell ref="P449:V449"/>
    <mergeCell ref="W449:AC449"/>
    <mergeCell ref="AD449:AJ449"/>
    <mergeCell ref="B450:H450"/>
    <mergeCell ref="I450:O450"/>
    <mergeCell ref="P450:V450"/>
    <mergeCell ref="W450:AC450"/>
    <mergeCell ref="AD450:AJ450"/>
    <mergeCell ref="B447:H447"/>
    <mergeCell ref="I447:O447"/>
    <mergeCell ref="P447:V447"/>
    <mergeCell ref="W447:AC447"/>
    <mergeCell ref="AD447:AJ447"/>
    <mergeCell ref="B448:H448"/>
    <mergeCell ref="I448:O448"/>
    <mergeCell ref="P448:V448"/>
    <mergeCell ref="W448:AC448"/>
    <mergeCell ref="AD448:AJ448"/>
    <mergeCell ref="B445:H445"/>
    <mergeCell ref="I445:O445"/>
    <mergeCell ref="P445:V445"/>
    <mergeCell ref="W445:AC445"/>
    <mergeCell ref="AD445:AJ445"/>
    <mergeCell ref="B446:H446"/>
    <mergeCell ref="I446:O446"/>
    <mergeCell ref="P446:V446"/>
    <mergeCell ref="W446:AC446"/>
    <mergeCell ref="AD446:AJ446"/>
    <mergeCell ref="B441:H444"/>
    <mergeCell ref="I441:O443"/>
    <mergeCell ref="P441:AJ441"/>
    <mergeCell ref="P442:V443"/>
    <mergeCell ref="W442:AC443"/>
    <mergeCell ref="AD442:AJ443"/>
    <mergeCell ref="I444:O444"/>
    <mergeCell ref="P444:V444"/>
    <mergeCell ref="W444:AC444"/>
    <mergeCell ref="AD444:AJ444"/>
    <mergeCell ref="B438:D438"/>
    <mergeCell ref="E438:K438"/>
    <mergeCell ref="L438:R438"/>
    <mergeCell ref="S438:Y438"/>
    <mergeCell ref="Z438:AF438"/>
    <mergeCell ref="AG438:AQ438"/>
    <mergeCell ref="B437:D437"/>
    <mergeCell ref="E437:K437"/>
    <mergeCell ref="L437:R437"/>
    <mergeCell ref="S437:Y437"/>
    <mergeCell ref="Z437:AF437"/>
    <mergeCell ref="AG437:AQ437"/>
    <mergeCell ref="B436:D436"/>
    <mergeCell ref="E436:K436"/>
    <mergeCell ref="L436:R436"/>
    <mergeCell ref="S436:Y436"/>
    <mergeCell ref="Z436:AF436"/>
    <mergeCell ref="AG436:AQ436"/>
    <mergeCell ref="B435:D435"/>
    <mergeCell ref="E435:K435"/>
    <mergeCell ref="L435:R435"/>
    <mergeCell ref="S435:Y435"/>
    <mergeCell ref="Z435:AF435"/>
    <mergeCell ref="AG435:AQ435"/>
    <mergeCell ref="B434:D434"/>
    <mergeCell ref="E434:K434"/>
    <mergeCell ref="L434:R434"/>
    <mergeCell ref="S434:Y434"/>
    <mergeCell ref="Z434:AF434"/>
    <mergeCell ref="AG434:AQ434"/>
    <mergeCell ref="B433:D433"/>
    <mergeCell ref="E433:K433"/>
    <mergeCell ref="L433:R433"/>
    <mergeCell ref="S433:Y433"/>
    <mergeCell ref="Z433:AF433"/>
    <mergeCell ref="AG433:AQ433"/>
    <mergeCell ref="B432:D432"/>
    <mergeCell ref="E432:K432"/>
    <mergeCell ref="L432:R432"/>
    <mergeCell ref="S432:Y432"/>
    <mergeCell ref="Z432:AF432"/>
    <mergeCell ref="AG432:AQ432"/>
    <mergeCell ref="B431:D431"/>
    <mergeCell ref="E431:K431"/>
    <mergeCell ref="L431:R431"/>
    <mergeCell ref="S431:Y431"/>
    <mergeCell ref="Z431:AF431"/>
    <mergeCell ref="AG431:AQ431"/>
    <mergeCell ref="B430:D430"/>
    <mergeCell ref="E430:K430"/>
    <mergeCell ref="L430:R430"/>
    <mergeCell ref="S430:Y430"/>
    <mergeCell ref="Z430:AF430"/>
    <mergeCell ref="AG430:AQ430"/>
    <mergeCell ref="B429:D429"/>
    <mergeCell ref="E429:K429"/>
    <mergeCell ref="L429:R429"/>
    <mergeCell ref="S429:Y429"/>
    <mergeCell ref="Z429:AF429"/>
    <mergeCell ref="AG429:AQ429"/>
    <mergeCell ref="B428:D428"/>
    <mergeCell ref="E428:K428"/>
    <mergeCell ref="L428:R428"/>
    <mergeCell ref="S428:Y428"/>
    <mergeCell ref="Z428:AF428"/>
    <mergeCell ref="AG428:AQ428"/>
    <mergeCell ref="B427:D427"/>
    <mergeCell ref="E427:K427"/>
    <mergeCell ref="L427:R427"/>
    <mergeCell ref="S427:Y427"/>
    <mergeCell ref="Z427:AF427"/>
    <mergeCell ref="AG427:AQ427"/>
    <mergeCell ref="B426:D426"/>
    <mergeCell ref="E426:K426"/>
    <mergeCell ref="L426:R426"/>
    <mergeCell ref="S426:Y426"/>
    <mergeCell ref="Z426:AF426"/>
    <mergeCell ref="AG426:AQ426"/>
    <mergeCell ref="B425:D425"/>
    <mergeCell ref="E425:K425"/>
    <mergeCell ref="L425:R425"/>
    <mergeCell ref="S425:Y425"/>
    <mergeCell ref="Z425:AF425"/>
    <mergeCell ref="AG425:AQ425"/>
    <mergeCell ref="B424:D424"/>
    <mergeCell ref="E424:K424"/>
    <mergeCell ref="L424:R424"/>
    <mergeCell ref="S424:Y424"/>
    <mergeCell ref="Z424:AF424"/>
    <mergeCell ref="AG424:AQ424"/>
    <mergeCell ref="B423:D423"/>
    <mergeCell ref="E423:K423"/>
    <mergeCell ref="L423:R423"/>
    <mergeCell ref="S423:Y423"/>
    <mergeCell ref="Z423:AF423"/>
    <mergeCell ref="AG423:AQ423"/>
    <mergeCell ref="B422:D422"/>
    <mergeCell ref="E422:K422"/>
    <mergeCell ref="L422:R422"/>
    <mergeCell ref="S422:Y422"/>
    <mergeCell ref="Z422:AF422"/>
    <mergeCell ref="AG422:AQ422"/>
    <mergeCell ref="B421:D421"/>
    <mergeCell ref="E421:K421"/>
    <mergeCell ref="L421:R421"/>
    <mergeCell ref="S421:Y421"/>
    <mergeCell ref="Z421:AF421"/>
    <mergeCell ref="AG421:AQ421"/>
    <mergeCell ref="AJ419:AQ419"/>
    <mergeCell ref="B420:D420"/>
    <mergeCell ref="E420:K420"/>
    <mergeCell ref="L420:R420"/>
    <mergeCell ref="S420:Y420"/>
    <mergeCell ref="Z420:AF420"/>
    <mergeCell ref="AJ420:AQ420"/>
    <mergeCell ref="B419:D419"/>
    <mergeCell ref="E419:K419"/>
    <mergeCell ref="L419:R419"/>
    <mergeCell ref="S419:Y419"/>
    <mergeCell ref="Z419:AF419"/>
    <mergeCell ref="AG419:AI419"/>
    <mergeCell ref="B418:D418"/>
    <mergeCell ref="E418:K418"/>
    <mergeCell ref="L418:R418"/>
    <mergeCell ref="S418:Y418"/>
    <mergeCell ref="Z418:AF418"/>
    <mergeCell ref="AG418:AQ418"/>
    <mergeCell ref="B417:D417"/>
    <mergeCell ref="E417:K417"/>
    <mergeCell ref="L417:R417"/>
    <mergeCell ref="S417:Y417"/>
    <mergeCell ref="Z417:AF417"/>
    <mergeCell ref="AG417:AQ417"/>
    <mergeCell ref="AJ415:AQ415"/>
    <mergeCell ref="B416:D416"/>
    <mergeCell ref="E416:K416"/>
    <mergeCell ref="L416:R416"/>
    <mergeCell ref="S416:Y416"/>
    <mergeCell ref="Z416:AF416"/>
    <mergeCell ref="AJ416:AQ416"/>
    <mergeCell ref="B415:D415"/>
    <mergeCell ref="E415:K415"/>
    <mergeCell ref="L415:R415"/>
    <mergeCell ref="S415:Y415"/>
    <mergeCell ref="Z415:AF415"/>
    <mergeCell ref="AG415:AI415"/>
    <mergeCell ref="B414:D414"/>
    <mergeCell ref="E414:K414"/>
    <mergeCell ref="L414:R414"/>
    <mergeCell ref="S414:Y414"/>
    <mergeCell ref="Z414:AF414"/>
    <mergeCell ref="AG414:AQ414"/>
    <mergeCell ref="B413:D413"/>
    <mergeCell ref="E413:K413"/>
    <mergeCell ref="L413:R413"/>
    <mergeCell ref="S413:Y413"/>
    <mergeCell ref="Z413:AF413"/>
    <mergeCell ref="AG413:AQ413"/>
    <mergeCell ref="AL411:AQ411"/>
    <mergeCell ref="B412:D412"/>
    <mergeCell ref="E412:K412"/>
    <mergeCell ref="L412:R412"/>
    <mergeCell ref="S412:Y412"/>
    <mergeCell ref="Z412:AF412"/>
    <mergeCell ref="AG412:AQ412"/>
    <mergeCell ref="B411:D411"/>
    <mergeCell ref="E411:K411"/>
    <mergeCell ref="L411:R411"/>
    <mergeCell ref="S411:Y411"/>
    <mergeCell ref="Z411:AF411"/>
    <mergeCell ref="AG411:AK411"/>
    <mergeCell ref="AG409:AQ409"/>
    <mergeCell ref="B410:D410"/>
    <mergeCell ref="E410:K410"/>
    <mergeCell ref="L410:R410"/>
    <mergeCell ref="S410:Y410"/>
    <mergeCell ref="Z410:AF410"/>
    <mergeCell ref="AG410:AK410"/>
    <mergeCell ref="AL410:AQ410"/>
    <mergeCell ref="Z408:AF408"/>
    <mergeCell ref="B409:D409"/>
    <mergeCell ref="E409:K409"/>
    <mergeCell ref="L409:R409"/>
    <mergeCell ref="S409:Y409"/>
    <mergeCell ref="Z409:AF409"/>
    <mergeCell ref="B406:D408"/>
    <mergeCell ref="E406:K407"/>
    <mergeCell ref="L406:AQ406"/>
    <mergeCell ref="L407:R407"/>
    <mergeCell ref="S407:Y407"/>
    <mergeCell ref="Z407:AF407"/>
    <mergeCell ref="AG407:AQ408"/>
    <mergeCell ref="E408:K408"/>
    <mergeCell ref="L408:R408"/>
    <mergeCell ref="S408:Y408"/>
    <mergeCell ref="B403:H403"/>
    <mergeCell ref="I403:O403"/>
    <mergeCell ref="P403:V403"/>
    <mergeCell ref="W403:AC403"/>
    <mergeCell ref="AD403:AJ403"/>
    <mergeCell ref="AK403:AQ403"/>
    <mergeCell ref="B402:H402"/>
    <mergeCell ref="I402:O402"/>
    <mergeCell ref="P402:V402"/>
    <mergeCell ref="W402:AC402"/>
    <mergeCell ref="AD402:AJ402"/>
    <mergeCell ref="AK402:AQ402"/>
    <mergeCell ref="B401:H401"/>
    <mergeCell ref="I401:O401"/>
    <mergeCell ref="P401:V401"/>
    <mergeCell ref="W401:AC401"/>
    <mergeCell ref="AD401:AJ401"/>
    <mergeCell ref="AK401:AQ401"/>
    <mergeCell ref="B400:H400"/>
    <mergeCell ref="I400:O400"/>
    <mergeCell ref="P400:V400"/>
    <mergeCell ref="W400:AC400"/>
    <mergeCell ref="AD400:AJ400"/>
    <mergeCell ref="AK400:AQ400"/>
    <mergeCell ref="B399:H399"/>
    <mergeCell ref="I399:O399"/>
    <mergeCell ref="P399:V399"/>
    <mergeCell ref="W399:AC399"/>
    <mergeCell ref="AD399:AJ399"/>
    <mergeCell ref="AK399:AQ399"/>
    <mergeCell ref="B398:H398"/>
    <mergeCell ref="I398:O398"/>
    <mergeCell ref="P398:V398"/>
    <mergeCell ref="W398:AC398"/>
    <mergeCell ref="AD398:AJ398"/>
    <mergeCell ref="AK398:AQ398"/>
    <mergeCell ref="B397:H397"/>
    <mergeCell ref="I397:O397"/>
    <mergeCell ref="P397:V397"/>
    <mergeCell ref="W397:AC397"/>
    <mergeCell ref="AD397:AJ397"/>
    <mergeCell ref="AK397:AQ397"/>
    <mergeCell ref="B396:H396"/>
    <mergeCell ref="I396:O396"/>
    <mergeCell ref="P396:V396"/>
    <mergeCell ref="W396:AC396"/>
    <mergeCell ref="AD396:AJ396"/>
    <mergeCell ref="AK396:AQ396"/>
    <mergeCell ref="B395:H395"/>
    <mergeCell ref="I395:O395"/>
    <mergeCell ref="P395:V395"/>
    <mergeCell ref="W395:AC395"/>
    <mergeCell ref="AD395:AJ395"/>
    <mergeCell ref="AK395:AQ395"/>
    <mergeCell ref="B394:H394"/>
    <mergeCell ref="I394:O394"/>
    <mergeCell ref="P394:V394"/>
    <mergeCell ref="W394:AC394"/>
    <mergeCell ref="AD394:AJ394"/>
    <mergeCell ref="AK394:AQ394"/>
    <mergeCell ref="B393:H393"/>
    <mergeCell ref="I393:O393"/>
    <mergeCell ref="P393:V393"/>
    <mergeCell ref="W393:AC393"/>
    <mergeCell ref="AD393:AJ393"/>
    <mergeCell ref="AK393:AQ393"/>
    <mergeCell ref="B392:H392"/>
    <mergeCell ref="I392:O392"/>
    <mergeCell ref="P392:V392"/>
    <mergeCell ref="W392:AC392"/>
    <mergeCell ref="AD392:AJ392"/>
    <mergeCell ref="AK392:AQ392"/>
    <mergeCell ref="B391:H391"/>
    <mergeCell ref="I391:O391"/>
    <mergeCell ref="P391:V391"/>
    <mergeCell ref="W391:AC391"/>
    <mergeCell ref="AD391:AJ391"/>
    <mergeCell ref="AK391:AQ391"/>
    <mergeCell ref="B390:H390"/>
    <mergeCell ref="I390:O390"/>
    <mergeCell ref="P390:V390"/>
    <mergeCell ref="W390:AC390"/>
    <mergeCell ref="AD390:AJ390"/>
    <mergeCell ref="AK390:AQ390"/>
    <mergeCell ref="B389:H389"/>
    <mergeCell ref="I389:O389"/>
    <mergeCell ref="P389:V389"/>
    <mergeCell ref="W389:AC389"/>
    <mergeCell ref="AD389:AJ389"/>
    <mergeCell ref="AK389:AQ389"/>
    <mergeCell ref="B388:H388"/>
    <mergeCell ref="I388:O388"/>
    <mergeCell ref="P388:V388"/>
    <mergeCell ref="W388:AC388"/>
    <mergeCell ref="AD388:AJ388"/>
    <mergeCell ref="AK388:AQ388"/>
    <mergeCell ref="B387:H387"/>
    <mergeCell ref="I387:O387"/>
    <mergeCell ref="P387:V387"/>
    <mergeCell ref="W387:AC387"/>
    <mergeCell ref="AD387:AJ387"/>
    <mergeCell ref="AK387:AQ387"/>
    <mergeCell ref="B386:H386"/>
    <mergeCell ref="I386:O386"/>
    <mergeCell ref="P386:V386"/>
    <mergeCell ref="W386:AC386"/>
    <mergeCell ref="AD386:AJ386"/>
    <mergeCell ref="AK386:AQ386"/>
    <mergeCell ref="B385:H385"/>
    <mergeCell ref="I385:O385"/>
    <mergeCell ref="P385:V385"/>
    <mergeCell ref="W385:AC385"/>
    <mergeCell ref="AD385:AJ385"/>
    <mergeCell ref="AK385:AQ385"/>
    <mergeCell ref="B384:H384"/>
    <mergeCell ref="I384:O384"/>
    <mergeCell ref="P384:V384"/>
    <mergeCell ref="W384:AC384"/>
    <mergeCell ref="AD384:AJ384"/>
    <mergeCell ref="AK384:AQ384"/>
    <mergeCell ref="B383:H383"/>
    <mergeCell ref="I383:O383"/>
    <mergeCell ref="P383:V383"/>
    <mergeCell ref="W383:AC383"/>
    <mergeCell ref="AD383:AJ383"/>
    <mergeCell ref="AK383:AQ383"/>
    <mergeCell ref="B382:H382"/>
    <mergeCell ref="I382:O382"/>
    <mergeCell ref="P382:V382"/>
    <mergeCell ref="W382:AC382"/>
    <mergeCell ref="AD382:AJ382"/>
    <mergeCell ref="AK382:AQ382"/>
    <mergeCell ref="B381:H381"/>
    <mergeCell ref="I381:O381"/>
    <mergeCell ref="P381:V381"/>
    <mergeCell ref="W381:AC381"/>
    <mergeCell ref="AD381:AJ381"/>
    <mergeCell ref="AK381:AQ381"/>
    <mergeCell ref="B380:H380"/>
    <mergeCell ref="I380:O380"/>
    <mergeCell ref="P380:V380"/>
    <mergeCell ref="W380:AC380"/>
    <mergeCell ref="AD380:AJ380"/>
    <mergeCell ref="AK380:AQ380"/>
    <mergeCell ref="B379:H379"/>
    <mergeCell ref="I379:O379"/>
    <mergeCell ref="P379:V379"/>
    <mergeCell ref="W379:AC379"/>
    <mergeCell ref="AD379:AJ379"/>
    <mergeCell ref="AK379:AQ379"/>
    <mergeCell ref="B378:H378"/>
    <mergeCell ref="I378:O378"/>
    <mergeCell ref="P378:V378"/>
    <mergeCell ref="W378:AC378"/>
    <mergeCell ref="AD378:AJ378"/>
    <mergeCell ref="AK378:AQ378"/>
    <mergeCell ref="B377:H377"/>
    <mergeCell ref="I377:O377"/>
    <mergeCell ref="P377:V377"/>
    <mergeCell ref="W377:AC377"/>
    <mergeCell ref="AD377:AJ377"/>
    <mergeCell ref="AK377:AQ377"/>
    <mergeCell ref="B376:H376"/>
    <mergeCell ref="I376:O376"/>
    <mergeCell ref="P376:V376"/>
    <mergeCell ref="W376:AC376"/>
    <mergeCell ref="AD376:AJ376"/>
    <mergeCell ref="AK376:AQ376"/>
    <mergeCell ref="B375:H375"/>
    <mergeCell ref="I375:O375"/>
    <mergeCell ref="P375:V375"/>
    <mergeCell ref="W375:AC375"/>
    <mergeCell ref="AD375:AJ375"/>
    <mergeCell ref="AK375:AQ375"/>
    <mergeCell ref="B374:H374"/>
    <mergeCell ref="I374:O374"/>
    <mergeCell ref="P374:V374"/>
    <mergeCell ref="W374:AC374"/>
    <mergeCell ref="AD374:AJ374"/>
    <mergeCell ref="AK374:AQ374"/>
    <mergeCell ref="AK372:AQ372"/>
    <mergeCell ref="I373:O373"/>
    <mergeCell ref="P373:V373"/>
    <mergeCell ref="W373:AC373"/>
    <mergeCell ref="AD373:AJ373"/>
    <mergeCell ref="AK373:AQ373"/>
    <mergeCell ref="AL368:AQ368"/>
    <mergeCell ref="AR368:AW368"/>
    <mergeCell ref="AX368:BC368"/>
    <mergeCell ref="BD368:BI368"/>
    <mergeCell ref="B371:H373"/>
    <mergeCell ref="I371:O372"/>
    <mergeCell ref="P371:AQ371"/>
    <mergeCell ref="P372:V372"/>
    <mergeCell ref="W372:AC372"/>
    <mergeCell ref="AD372:AJ372"/>
    <mergeCell ref="AR367:AW367"/>
    <mergeCell ref="AX367:BC367"/>
    <mergeCell ref="BD367:BI367"/>
    <mergeCell ref="B368:G368"/>
    <mergeCell ref="H368:M368"/>
    <mergeCell ref="N368:Q368"/>
    <mergeCell ref="R368:S368"/>
    <mergeCell ref="T368:Y368"/>
    <mergeCell ref="Z368:AE368"/>
    <mergeCell ref="AF368:AK368"/>
    <mergeCell ref="B367:G367"/>
    <mergeCell ref="H367:M367"/>
    <mergeCell ref="N367:S367"/>
    <mergeCell ref="T367:Y367"/>
    <mergeCell ref="Z367:AE367"/>
    <mergeCell ref="AF367:AQ367"/>
  </mergeCells>
  <phoneticPr fontId="5" type="noConversion"/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104" r:id="rId4">
          <objectPr defaultSize="0" r:id="rId5">
            <anchor moveWithCells="1">
              <from>
                <xdr:col>5</xdr:col>
                <xdr:colOff>123825</xdr:colOff>
                <xdr:row>297</xdr:row>
                <xdr:rowOff>0</xdr:rowOff>
              </from>
              <to>
                <xdr:col>11</xdr:col>
                <xdr:colOff>95250</xdr:colOff>
                <xdr:row>297</xdr:row>
                <xdr:rowOff>219075</xdr:rowOff>
              </to>
            </anchor>
          </objectPr>
        </oleObject>
      </mc:Choice>
      <mc:Fallback>
        <oleObject progId="Equation.3" shapeId="1104" r:id="rId4"/>
      </mc:Fallback>
    </mc:AlternateContent>
    <mc:AlternateContent xmlns:mc="http://schemas.openxmlformats.org/markup-compatibility/2006">
      <mc:Choice Requires="x14">
        <oleObject progId="Equation.3" shapeId="1105" r:id="rId6">
          <objectPr defaultSize="0" autoPict="0" r:id="rId7">
            <anchor moveWithCells="1">
              <from>
                <xdr:col>1</xdr:col>
                <xdr:colOff>38100</xdr:colOff>
                <xdr:row>325</xdr:row>
                <xdr:rowOff>19050</xdr:rowOff>
              </from>
              <to>
                <xdr:col>8</xdr:col>
                <xdr:colOff>95250</xdr:colOff>
                <xdr:row>327</xdr:row>
                <xdr:rowOff>171450</xdr:rowOff>
              </to>
            </anchor>
          </objectPr>
        </oleObject>
      </mc:Choice>
      <mc:Fallback>
        <oleObject progId="Equation.3" shapeId="1105" r:id="rId6"/>
      </mc:Fallback>
    </mc:AlternateContent>
    <mc:AlternateContent xmlns:mc="http://schemas.openxmlformats.org/markup-compatibility/2006">
      <mc:Choice Requires="x14">
        <oleObject progId="Equation.DSMT4" shapeId="1106" r:id="rId8">
          <objectPr defaultSize="0" r:id="rId9">
            <anchor moveWithCells="1">
              <from>
                <xdr:col>2</xdr:col>
                <xdr:colOff>0</xdr:colOff>
                <xdr:row>161</xdr:row>
                <xdr:rowOff>28575</xdr:rowOff>
              </from>
              <to>
                <xdr:col>7</xdr:col>
                <xdr:colOff>104775</xdr:colOff>
                <xdr:row>162</xdr:row>
                <xdr:rowOff>95250</xdr:rowOff>
              </to>
            </anchor>
          </objectPr>
        </oleObject>
      </mc:Choice>
      <mc:Fallback>
        <oleObject progId="Equation.DSMT4" shapeId="1106" r:id="rId8"/>
      </mc:Fallback>
    </mc:AlternateContent>
    <mc:AlternateContent xmlns:mc="http://schemas.openxmlformats.org/markup-compatibility/2006">
      <mc:Choice Requires="x14">
        <oleObject progId="Equation.DSMT4" shapeId="1107" r:id="rId10">
          <objectPr defaultSize="0" r:id="rId11">
            <anchor moveWithCells="1">
              <from>
                <xdr:col>3</xdr:col>
                <xdr:colOff>0</xdr:colOff>
                <xdr:row>165</xdr:row>
                <xdr:rowOff>0</xdr:rowOff>
              </from>
              <to>
                <xdr:col>29</xdr:col>
                <xdr:colOff>38100</xdr:colOff>
                <xdr:row>168</xdr:row>
                <xdr:rowOff>219075</xdr:rowOff>
              </to>
            </anchor>
          </objectPr>
        </oleObject>
      </mc:Choice>
      <mc:Fallback>
        <oleObject progId="Equation.DSMT4" shapeId="1107" r:id="rId10"/>
      </mc:Fallback>
    </mc:AlternateContent>
    <mc:AlternateContent xmlns:mc="http://schemas.openxmlformats.org/markup-compatibility/2006">
      <mc:Choice Requires="x14">
        <oleObject progId="Equation.3" shapeId="1108" r:id="rId12">
          <objectPr defaultSize="0" r:id="rId13">
            <anchor moveWithCells="1">
              <from>
                <xdr:col>8</xdr:col>
                <xdr:colOff>38100</xdr:colOff>
                <xdr:row>213</xdr:row>
                <xdr:rowOff>38100</xdr:rowOff>
              </from>
              <to>
                <xdr:col>13</xdr:col>
                <xdr:colOff>28575</xdr:colOff>
                <xdr:row>214</xdr:row>
                <xdr:rowOff>180975</xdr:rowOff>
              </to>
            </anchor>
          </objectPr>
        </oleObject>
      </mc:Choice>
      <mc:Fallback>
        <oleObject progId="Equation.3" shapeId="1108" r:id="rId12"/>
      </mc:Fallback>
    </mc:AlternateContent>
    <mc:AlternateContent xmlns:mc="http://schemas.openxmlformats.org/markup-compatibility/2006">
      <mc:Choice Requires="x14">
        <oleObject progId="Equation.DSMT4" shapeId="1109" r:id="rId14">
          <objectPr defaultSize="0" autoPict="0" r:id="rId15">
            <anchor moveWithCells="1">
              <from>
                <xdr:col>1</xdr:col>
                <xdr:colOff>133350</xdr:colOff>
                <xdr:row>149</xdr:row>
                <xdr:rowOff>0</xdr:rowOff>
              </from>
              <to>
                <xdr:col>16</xdr:col>
                <xdr:colOff>57150</xdr:colOff>
                <xdr:row>152</xdr:row>
                <xdr:rowOff>28575</xdr:rowOff>
              </to>
            </anchor>
          </objectPr>
        </oleObject>
      </mc:Choice>
      <mc:Fallback>
        <oleObject progId="Equation.DSMT4" shapeId="1109" r:id="rId14"/>
      </mc:Fallback>
    </mc:AlternateContent>
    <mc:AlternateContent xmlns:mc="http://schemas.openxmlformats.org/markup-compatibility/2006">
      <mc:Choice Requires="x14">
        <oleObject progId="Equation.3" shapeId="1110" r:id="rId16">
          <objectPr defaultSize="0" r:id="rId17">
            <anchor moveWithCells="1">
              <from>
                <xdr:col>8</xdr:col>
                <xdr:colOff>9525</xdr:colOff>
                <xdr:row>251</xdr:row>
                <xdr:rowOff>38100</xdr:rowOff>
              </from>
              <to>
                <xdr:col>14</xdr:col>
                <xdr:colOff>95250</xdr:colOff>
                <xdr:row>252</xdr:row>
                <xdr:rowOff>200025</xdr:rowOff>
              </to>
            </anchor>
          </objectPr>
        </oleObject>
      </mc:Choice>
      <mc:Fallback>
        <oleObject progId="Equation.3" shapeId="1110" r:id="rId16"/>
      </mc:Fallback>
    </mc:AlternateContent>
    <mc:AlternateContent xmlns:mc="http://schemas.openxmlformats.org/markup-compatibility/2006">
      <mc:Choice Requires="x14">
        <oleObject progId="Equation.3" shapeId="1111" r:id="rId18">
          <objectPr defaultSize="0" r:id="rId19">
            <anchor moveWithCells="1">
              <from>
                <xdr:col>8</xdr:col>
                <xdr:colOff>0</xdr:colOff>
                <xdr:row>249</xdr:row>
                <xdr:rowOff>95250</xdr:rowOff>
              </from>
              <to>
                <xdr:col>24</xdr:col>
                <xdr:colOff>104775</xdr:colOff>
                <xdr:row>250</xdr:row>
                <xdr:rowOff>142875</xdr:rowOff>
              </to>
            </anchor>
          </objectPr>
        </oleObject>
      </mc:Choice>
      <mc:Fallback>
        <oleObject progId="Equation.3" shapeId="1111" r:id="rId18"/>
      </mc:Fallback>
    </mc:AlternateContent>
    <mc:AlternateContent xmlns:mc="http://schemas.openxmlformats.org/markup-compatibility/2006">
      <mc:Choice Requires="x14">
        <oleObject progId="Equation.3" shapeId="1112" r:id="rId20">
          <objectPr defaultSize="0" r:id="rId21">
            <anchor moveWithCells="1">
              <from>
                <xdr:col>9</xdr:col>
                <xdr:colOff>9525</xdr:colOff>
                <xdr:row>272</xdr:row>
                <xdr:rowOff>38100</xdr:rowOff>
              </from>
              <to>
                <xdr:col>15</xdr:col>
                <xdr:colOff>76200</xdr:colOff>
                <xdr:row>273</xdr:row>
                <xdr:rowOff>200025</xdr:rowOff>
              </to>
            </anchor>
          </objectPr>
        </oleObject>
      </mc:Choice>
      <mc:Fallback>
        <oleObject progId="Equation.3" shapeId="1112" r:id="rId20"/>
      </mc:Fallback>
    </mc:AlternateContent>
    <mc:AlternateContent xmlns:mc="http://schemas.openxmlformats.org/markup-compatibility/2006">
      <mc:Choice Requires="x14">
        <oleObject progId="Equation.3" shapeId="1113" r:id="rId22">
          <objectPr defaultSize="0" r:id="rId23">
            <anchor moveWithCells="1">
              <from>
                <xdr:col>8</xdr:col>
                <xdr:colOff>66675</xdr:colOff>
                <xdr:row>264</xdr:row>
                <xdr:rowOff>209550</xdr:rowOff>
              </from>
              <to>
                <xdr:col>40</xdr:col>
                <xdr:colOff>133350</xdr:colOff>
                <xdr:row>266</xdr:row>
                <xdr:rowOff>47625</xdr:rowOff>
              </to>
            </anchor>
          </objectPr>
        </oleObject>
      </mc:Choice>
      <mc:Fallback>
        <oleObject progId="Equation.3" shapeId="1113" r:id="rId22"/>
      </mc:Fallback>
    </mc:AlternateContent>
    <mc:AlternateContent xmlns:mc="http://schemas.openxmlformats.org/markup-compatibility/2006">
      <mc:Choice Requires="x14">
        <oleObject progId="Equation.3" shapeId="1114" r:id="rId24">
          <objectPr defaultSize="0" r:id="rId25">
            <anchor moveWithCells="1">
              <from>
                <xdr:col>8</xdr:col>
                <xdr:colOff>66675</xdr:colOff>
                <xdr:row>267</xdr:row>
                <xdr:rowOff>209550</xdr:rowOff>
              </from>
              <to>
                <xdr:col>41</xdr:col>
                <xdr:colOff>57150</xdr:colOff>
                <xdr:row>269</xdr:row>
                <xdr:rowOff>47625</xdr:rowOff>
              </to>
            </anchor>
          </objectPr>
        </oleObject>
      </mc:Choice>
      <mc:Fallback>
        <oleObject progId="Equation.3" shapeId="1114" r:id="rId24"/>
      </mc:Fallback>
    </mc:AlternateContent>
    <mc:AlternateContent xmlns:mc="http://schemas.openxmlformats.org/markup-compatibility/2006">
      <mc:Choice Requires="x14">
        <oleObject progId="Equation.3" shapeId="1115" r:id="rId26">
          <objectPr defaultSize="0" r:id="rId27">
            <anchor moveWithCells="1">
              <from>
                <xdr:col>8</xdr:col>
                <xdr:colOff>76200</xdr:colOff>
                <xdr:row>271</xdr:row>
                <xdr:rowOff>0</xdr:rowOff>
              </from>
              <to>
                <xdr:col>16</xdr:col>
                <xdr:colOff>114300</xdr:colOff>
                <xdr:row>272</xdr:row>
                <xdr:rowOff>38100</xdr:rowOff>
              </to>
            </anchor>
          </objectPr>
        </oleObject>
      </mc:Choice>
      <mc:Fallback>
        <oleObject progId="Equation.3" shapeId="1115" r:id="rId26"/>
      </mc:Fallback>
    </mc:AlternateContent>
    <mc:AlternateContent xmlns:mc="http://schemas.openxmlformats.org/markup-compatibility/2006">
      <mc:Choice Requires="x14">
        <oleObject progId="Equation.3" shapeId="1116" r:id="rId28">
          <objectPr defaultSize="0" r:id="rId29">
            <anchor moveWithCells="1">
              <from>
                <xdr:col>9</xdr:col>
                <xdr:colOff>9525</xdr:colOff>
                <xdr:row>286</xdr:row>
                <xdr:rowOff>38100</xdr:rowOff>
              </from>
              <to>
                <xdr:col>15</xdr:col>
                <xdr:colOff>76200</xdr:colOff>
                <xdr:row>287</xdr:row>
                <xdr:rowOff>200025</xdr:rowOff>
              </to>
            </anchor>
          </objectPr>
        </oleObject>
      </mc:Choice>
      <mc:Fallback>
        <oleObject progId="Equation.3" shapeId="1116" r:id="rId28"/>
      </mc:Fallback>
    </mc:AlternateContent>
    <mc:AlternateContent xmlns:mc="http://schemas.openxmlformats.org/markup-compatibility/2006">
      <mc:Choice Requires="x14">
        <oleObject progId="Equation.3" shapeId="1117" r:id="rId30">
          <objectPr defaultSize="0" r:id="rId31">
            <anchor moveWithCells="1">
              <from>
                <xdr:col>8</xdr:col>
                <xdr:colOff>76200</xdr:colOff>
                <xdr:row>284</xdr:row>
                <xdr:rowOff>47625</xdr:rowOff>
              </from>
              <to>
                <xdr:col>25</xdr:col>
                <xdr:colOff>114300</xdr:colOff>
                <xdr:row>285</xdr:row>
                <xdr:rowOff>190500</xdr:rowOff>
              </to>
            </anchor>
          </objectPr>
        </oleObject>
      </mc:Choice>
      <mc:Fallback>
        <oleObject progId="Equation.3" shapeId="1117" r:id="rId30"/>
      </mc:Fallback>
    </mc:AlternateContent>
    <mc:AlternateContent xmlns:mc="http://schemas.openxmlformats.org/markup-compatibility/2006">
      <mc:Choice Requires="x14">
        <oleObject progId="Equation.3" shapeId="1118" r:id="rId32">
          <objectPr defaultSize="0" r:id="rId33">
            <anchor moveWithCells="1">
              <from>
                <xdr:col>8</xdr:col>
                <xdr:colOff>142875</xdr:colOff>
                <xdr:row>325</xdr:row>
                <xdr:rowOff>209550</xdr:rowOff>
              </from>
              <to>
                <xdr:col>14</xdr:col>
                <xdr:colOff>57150</xdr:colOff>
                <xdr:row>326</xdr:row>
                <xdr:rowOff>200025</xdr:rowOff>
              </to>
            </anchor>
          </objectPr>
        </oleObject>
      </mc:Choice>
      <mc:Fallback>
        <oleObject progId="Equation.3" shapeId="1118" r:id="rId32"/>
      </mc:Fallback>
    </mc:AlternateContent>
    <mc:AlternateContent xmlns:mc="http://schemas.openxmlformats.org/markup-compatibility/2006">
      <mc:Choice Requires="x14">
        <oleObject progId="Equation.3" shapeId="1119" r:id="rId34">
          <objectPr defaultSize="0" r:id="rId33">
            <anchor moveWithCells="1">
              <from>
                <xdr:col>14</xdr:col>
                <xdr:colOff>142875</xdr:colOff>
                <xdr:row>325</xdr:row>
                <xdr:rowOff>209550</xdr:rowOff>
              </from>
              <to>
                <xdr:col>20</xdr:col>
                <xdr:colOff>57150</xdr:colOff>
                <xdr:row>326</xdr:row>
                <xdr:rowOff>200025</xdr:rowOff>
              </to>
            </anchor>
          </objectPr>
        </oleObject>
      </mc:Choice>
      <mc:Fallback>
        <oleObject progId="Equation.3" shapeId="1119" r:id="rId34"/>
      </mc:Fallback>
    </mc:AlternateContent>
    <mc:AlternateContent xmlns:mc="http://schemas.openxmlformats.org/markup-compatibility/2006">
      <mc:Choice Requires="x14">
        <oleObject progId="Equation.3" shapeId="1120" r:id="rId35">
          <objectPr defaultSize="0" r:id="rId33">
            <anchor moveWithCells="1">
              <from>
                <xdr:col>12</xdr:col>
                <xdr:colOff>28575</xdr:colOff>
                <xdr:row>324</xdr:row>
                <xdr:rowOff>209550</xdr:rowOff>
              </from>
              <to>
                <xdr:col>17</xdr:col>
                <xdr:colOff>95250</xdr:colOff>
                <xdr:row>325</xdr:row>
                <xdr:rowOff>200025</xdr:rowOff>
              </to>
            </anchor>
          </objectPr>
        </oleObject>
      </mc:Choice>
      <mc:Fallback>
        <oleObject progId="Equation.3" shapeId="1120" r:id="rId35"/>
      </mc:Fallback>
    </mc:AlternateContent>
    <mc:AlternateContent xmlns:mc="http://schemas.openxmlformats.org/markup-compatibility/2006">
      <mc:Choice Requires="x14">
        <oleObject progId="Equation.DSMT4" shapeId="1121" r:id="rId36">
          <objectPr defaultSize="0" r:id="rId37">
            <anchor moveWithCells="1">
              <from>
                <xdr:col>2</xdr:col>
                <xdr:colOff>0</xdr:colOff>
                <xdr:row>162</xdr:row>
                <xdr:rowOff>180975</xdr:rowOff>
              </from>
              <to>
                <xdr:col>13</xdr:col>
                <xdr:colOff>38100</xdr:colOff>
                <xdr:row>163</xdr:row>
                <xdr:rowOff>209550</xdr:rowOff>
              </to>
            </anchor>
          </objectPr>
        </oleObject>
      </mc:Choice>
      <mc:Fallback>
        <oleObject progId="Equation.DSMT4" shapeId="1121" r:id="rId36"/>
      </mc:Fallback>
    </mc:AlternateContent>
    <mc:AlternateContent xmlns:mc="http://schemas.openxmlformats.org/markup-compatibility/2006">
      <mc:Choice Requires="x14">
        <oleObject progId="Equation.3" shapeId="1122" r:id="rId38">
          <objectPr defaultSize="0" r:id="rId39">
            <anchor moveWithCells="1">
              <from>
                <xdr:col>8</xdr:col>
                <xdr:colOff>9525</xdr:colOff>
                <xdr:row>238</xdr:row>
                <xdr:rowOff>38100</xdr:rowOff>
              </from>
              <to>
                <xdr:col>14</xdr:col>
                <xdr:colOff>19050</xdr:colOff>
                <xdr:row>239</xdr:row>
                <xdr:rowOff>180975</xdr:rowOff>
              </to>
            </anchor>
          </objectPr>
        </oleObject>
      </mc:Choice>
      <mc:Fallback>
        <oleObject progId="Equation.3" shapeId="1122" r:id="rId38"/>
      </mc:Fallback>
    </mc:AlternateContent>
    <mc:AlternateContent xmlns:mc="http://schemas.openxmlformats.org/markup-compatibility/2006">
      <mc:Choice Requires="x14">
        <oleObject progId="Equation.3" shapeId="1123" r:id="rId40">
          <objectPr defaultSize="0" r:id="rId41">
            <anchor moveWithCells="1">
              <from>
                <xdr:col>8</xdr:col>
                <xdr:colOff>9525</xdr:colOff>
                <xdr:row>223</xdr:row>
                <xdr:rowOff>209550</xdr:rowOff>
              </from>
              <to>
                <xdr:col>19</xdr:col>
                <xdr:colOff>114300</xdr:colOff>
                <xdr:row>225</xdr:row>
                <xdr:rowOff>28575</xdr:rowOff>
              </to>
            </anchor>
          </objectPr>
        </oleObject>
      </mc:Choice>
      <mc:Fallback>
        <oleObject progId="Equation.3" shapeId="1123" r:id="rId40"/>
      </mc:Fallback>
    </mc:AlternateContent>
    <mc:AlternateContent xmlns:mc="http://schemas.openxmlformats.org/markup-compatibility/2006">
      <mc:Choice Requires="x14">
        <oleObject progId="Equation.DSMT4" shapeId="1124" r:id="rId42">
          <objectPr defaultSize="0" r:id="rId43">
            <anchor moveWithCells="1">
              <from>
                <xdr:col>8</xdr:col>
                <xdr:colOff>0</xdr:colOff>
                <xdr:row>216</xdr:row>
                <xdr:rowOff>28575</xdr:rowOff>
              </from>
              <to>
                <xdr:col>13</xdr:col>
                <xdr:colOff>38100</xdr:colOff>
                <xdr:row>218</xdr:row>
                <xdr:rowOff>0</xdr:rowOff>
              </to>
            </anchor>
          </objectPr>
        </oleObject>
      </mc:Choice>
      <mc:Fallback>
        <oleObject progId="Equation.DSMT4" shapeId="1124" r:id="rId42"/>
      </mc:Fallback>
    </mc:AlternateContent>
    <mc:AlternateContent xmlns:mc="http://schemas.openxmlformats.org/markup-compatibility/2006">
      <mc:Choice Requires="x14">
        <oleObject progId="Equation.3" shapeId="1125" r:id="rId44">
          <objectPr defaultSize="0" r:id="rId45">
            <anchor moveWithCells="1">
              <from>
                <xdr:col>11</xdr:col>
                <xdr:colOff>28575</xdr:colOff>
                <xdr:row>224</xdr:row>
                <xdr:rowOff>209550</xdr:rowOff>
              </from>
              <to>
                <xdr:col>34</xdr:col>
                <xdr:colOff>57150</xdr:colOff>
                <xdr:row>225</xdr:row>
                <xdr:rowOff>219075</xdr:rowOff>
              </to>
            </anchor>
          </objectPr>
        </oleObject>
      </mc:Choice>
      <mc:Fallback>
        <oleObject progId="Equation.3" shapeId="1125" r:id="rId44"/>
      </mc:Fallback>
    </mc:AlternateContent>
    <mc:AlternateContent xmlns:mc="http://schemas.openxmlformats.org/markup-compatibility/2006">
      <mc:Choice Requires="x14">
        <oleObject progId="Equation.3" shapeId="1126" r:id="rId46">
          <objectPr defaultSize="0" r:id="rId47">
            <anchor moveWithCells="1">
              <from>
                <xdr:col>12</xdr:col>
                <xdr:colOff>38100</xdr:colOff>
                <xdr:row>224</xdr:row>
                <xdr:rowOff>209550</xdr:rowOff>
              </from>
              <to>
                <xdr:col>17</xdr:col>
                <xdr:colOff>0</xdr:colOff>
                <xdr:row>226</xdr:row>
                <xdr:rowOff>9525</xdr:rowOff>
              </to>
            </anchor>
          </objectPr>
        </oleObject>
      </mc:Choice>
      <mc:Fallback>
        <oleObject progId="Equation.3" shapeId="1126" r:id="rId46"/>
      </mc:Fallback>
    </mc:AlternateContent>
    <mc:AlternateContent xmlns:mc="http://schemas.openxmlformats.org/markup-compatibility/2006">
      <mc:Choice Requires="x14">
        <oleObject progId="Equation.3" shapeId="1127" r:id="rId48">
          <objectPr defaultSize="0" r:id="rId47">
            <anchor moveWithCells="1">
              <from>
                <xdr:col>18</xdr:col>
                <xdr:colOff>38100</xdr:colOff>
                <xdr:row>224</xdr:row>
                <xdr:rowOff>209550</xdr:rowOff>
              </from>
              <to>
                <xdr:col>23</xdr:col>
                <xdr:colOff>0</xdr:colOff>
                <xdr:row>226</xdr:row>
                <xdr:rowOff>9525</xdr:rowOff>
              </to>
            </anchor>
          </objectPr>
        </oleObject>
      </mc:Choice>
      <mc:Fallback>
        <oleObject progId="Equation.3" shapeId="1127" r:id="rId48"/>
      </mc:Fallback>
    </mc:AlternateContent>
    <mc:AlternateContent xmlns:mc="http://schemas.openxmlformats.org/markup-compatibility/2006">
      <mc:Choice Requires="x14">
        <oleObject progId="Equation.3" shapeId="1128" r:id="rId49">
          <objectPr defaultSize="0" r:id="rId47">
            <anchor moveWithCells="1">
              <from>
                <xdr:col>24</xdr:col>
                <xdr:colOff>38100</xdr:colOff>
                <xdr:row>224</xdr:row>
                <xdr:rowOff>209550</xdr:rowOff>
              </from>
              <to>
                <xdr:col>29</xdr:col>
                <xdr:colOff>0</xdr:colOff>
                <xdr:row>226</xdr:row>
                <xdr:rowOff>9525</xdr:rowOff>
              </to>
            </anchor>
          </objectPr>
        </oleObject>
      </mc:Choice>
      <mc:Fallback>
        <oleObject progId="Equation.3" shapeId="1128" r:id="rId49"/>
      </mc:Fallback>
    </mc:AlternateContent>
    <mc:AlternateContent xmlns:mc="http://schemas.openxmlformats.org/markup-compatibility/2006">
      <mc:Choice Requires="x14">
        <oleObject progId="Equation.3" shapeId="1129" r:id="rId50">
          <objectPr defaultSize="0" r:id="rId47">
            <anchor moveWithCells="1">
              <from>
                <xdr:col>30</xdr:col>
                <xdr:colOff>38100</xdr:colOff>
                <xdr:row>224</xdr:row>
                <xdr:rowOff>209550</xdr:rowOff>
              </from>
              <to>
                <xdr:col>35</xdr:col>
                <xdr:colOff>0</xdr:colOff>
                <xdr:row>226</xdr:row>
                <xdr:rowOff>9525</xdr:rowOff>
              </to>
            </anchor>
          </objectPr>
        </oleObject>
      </mc:Choice>
      <mc:Fallback>
        <oleObject progId="Equation.3" shapeId="1129" r:id="rId50"/>
      </mc:Fallback>
    </mc:AlternateContent>
    <mc:AlternateContent xmlns:mc="http://schemas.openxmlformats.org/markup-compatibility/2006">
      <mc:Choice Requires="x14">
        <oleObject progId="Equation.DSMT4" shapeId="1130" r:id="rId51">
          <objectPr defaultSize="0" r:id="rId52">
            <anchor moveWithCells="1">
              <from>
                <xdr:col>8</xdr:col>
                <xdr:colOff>0</xdr:colOff>
                <xdr:row>227</xdr:row>
                <xdr:rowOff>28575</xdr:rowOff>
              </from>
              <to>
                <xdr:col>13</xdr:col>
                <xdr:colOff>114300</xdr:colOff>
                <xdr:row>229</xdr:row>
                <xdr:rowOff>0</xdr:rowOff>
              </to>
            </anchor>
          </objectPr>
        </oleObject>
      </mc:Choice>
      <mc:Fallback>
        <oleObject progId="Equation.DSMT4" shapeId="1130" r:id="rId51"/>
      </mc:Fallback>
    </mc:AlternateContent>
    <mc:AlternateContent xmlns:mc="http://schemas.openxmlformats.org/markup-compatibility/2006">
      <mc:Choice Requires="x14">
        <oleObject progId="Equation.DSMT4" shapeId="1131" r:id="rId53">
          <objectPr defaultSize="0" r:id="rId54">
            <anchor moveWithCells="1">
              <from>
                <xdr:col>8</xdr:col>
                <xdr:colOff>0</xdr:colOff>
                <xdr:row>241</xdr:row>
                <xdr:rowOff>28575</xdr:rowOff>
              </from>
              <to>
                <xdr:col>15</xdr:col>
                <xdr:colOff>66675</xdr:colOff>
                <xdr:row>243</xdr:row>
                <xdr:rowOff>0</xdr:rowOff>
              </to>
            </anchor>
          </objectPr>
        </oleObject>
      </mc:Choice>
      <mc:Fallback>
        <oleObject progId="Equation.DSMT4" shapeId="1131" r:id="rId53"/>
      </mc:Fallback>
    </mc:AlternateContent>
    <mc:AlternateContent xmlns:mc="http://schemas.openxmlformats.org/markup-compatibility/2006">
      <mc:Choice Requires="x14">
        <oleObject progId="Equation.DSMT4" shapeId="1132" r:id="rId55">
          <objectPr defaultSize="0" r:id="rId56">
            <anchor moveWithCells="1">
              <from>
                <xdr:col>8</xdr:col>
                <xdr:colOff>0</xdr:colOff>
                <xdr:row>289</xdr:row>
                <xdr:rowOff>19050</xdr:rowOff>
              </from>
              <to>
                <xdr:col>14</xdr:col>
                <xdr:colOff>28575</xdr:colOff>
                <xdr:row>291</xdr:row>
                <xdr:rowOff>9525</xdr:rowOff>
              </to>
            </anchor>
          </objectPr>
        </oleObject>
      </mc:Choice>
      <mc:Fallback>
        <oleObject progId="Equation.DSMT4" shapeId="1132" r:id="rId55"/>
      </mc:Fallback>
    </mc:AlternateContent>
    <mc:AlternateContent xmlns:mc="http://schemas.openxmlformats.org/markup-compatibility/2006">
      <mc:Choice Requires="x14">
        <oleObject progId="Equation.DSMT4" shapeId="1133" r:id="rId57">
          <objectPr defaultSize="0" r:id="rId58">
            <anchor moveWithCells="1">
              <from>
                <xdr:col>8</xdr:col>
                <xdr:colOff>9525</xdr:colOff>
                <xdr:row>254</xdr:row>
                <xdr:rowOff>28575</xdr:rowOff>
              </from>
              <to>
                <xdr:col>14</xdr:col>
                <xdr:colOff>95250</xdr:colOff>
                <xdr:row>256</xdr:row>
                <xdr:rowOff>0</xdr:rowOff>
              </to>
            </anchor>
          </objectPr>
        </oleObject>
      </mc:Choice>
      <mc:Fallback>
        <oleObject progId="Equation.DSMT4" shapeId="1133" r:id="rId57"/>
      </mc:Fallback>
    </mc:AlternateContent>
    <mc:AlternateContent xmlns:mc="http://schemas.openxmlformats.org/markup-compatibility/2006">
      <mc:Choice Requires="x14">
        <oleObject progId="Equation.DSMT4" shapeId="1134" r:id="rId59">
          <objectPr defaultSize="0" r:id="rId60">
            <anchor moveWithCells="1">
              <from>
                <xdr:col>8</xdr:col>
                <xdr:colOff>0</xdr:colOff>
                <xdr:row>275</xdr:row>
                <xdr:rowOff>19050</xdr:rowOff>
              </from>
              <to>
                <xdr:col>14</xdr:col>
                <xdr:colOff>28575</xdr:colOff>
                <xdr:row>277</xdr:row>
                <xdr:rowOff>9525</xdr:rowOff>
              </to>
            </anchor>
          </objectPr>
        </oleObject>
      </mc:Choice>
      <mc:Fallback>
        <oleObject progId="Equation.DSMT4" shapeId="1134" r:id="rId59"/>
      </mc:Fallback>
    </mc:AlternateContent>
    <mc:AlternateContent xmlns:mc="http://schemas.openxmlformats.org/markup-compatibility/2006">
      <mc:Choice Requires="x14">
        <oleObject progId="Equation.DSMT4" shapeId="1135" r:id="rId61">
          <objectPr defaultSize="0" r:id="rId62">
            <anchor moveWithCells="1">
              <from>
                <xdr:col>2</xdr:col>
                <xdr:colOff>142875</xdr:colOff>
                <xdr:row>296</xdr:row>
                <xdr:rowOff>0</xdr:rowOff>
              </from>
              <to>
                <xdr:col>7</xdr:col>
                <xdr:colOff>133350</xdr:colOff>
                <xdr:row>297</xdr:row>
                <xdr:rowOff>9525</xdr:rowOff>
              </to>
            </anchor>
          </objectPr>
        </oleObject>
      </mc:Choice>
      <mc:Fallback>
        <oleObject progId="Equation.DSMT4" shapeId="1135" r:id="rId61"/>
      </mc:Fallback>
    </mc:AlternateContent>
    <mc:AlternateContent xmlns:mc="http://schemas.openxmlformats.org/markup-compatibility/2006">
      <mc:Choice Requires="x14">
        <oleObject progId="Equation.3" shapeId="1136" r:id="rId63">
          <objectPr defaultSize="0" r:id="rId64">
            <anchor moveWithCells="1">
              <from>
                <xdr:col>6</xdr:col>
                <xdr:colOff>0</xdr:colOff>
                <xdr:row>201</xdr:row>
                <xdr:rowOff>28575</xdr:rowOff>
              </from>
              <to>
                <xdr:col>25</xdr:col>
                <xdr:colOff>104775</xdr:colOff>
                <xdr:row>204</xdr:row>
                <xdr:rowOff>0</xdr:rowOff>
              </to>
            </anchor>
          </objectPr>
        </oleObject>
      </mc:Choice>
      <mc:Fallback>
        <oleObject progId="Equation.3" shapeId="1136" r:id="rId63"/>
      </mc:Fallback>
    </mc:AlternateContent>
    <mc:AlternateContent xmlns:mc="http://schemas.openxmlformats.org/markup-compatibility/2006">
      <mc:Choice Requires="x14">
        <oleObject progId="Equation.3" shapeId="1137" r:id="rId65">
          <objectPr defaultSize="0" r:id="rId66">
            <anchor moveWithCells="1">
              <from>
                <xdr:col>28</xdr:col>
                <xdr:colOff>0</xdr:colOff>
                <xdr:row>252</xdr:row>
                <xdr:rowOff>0</xdr:rowOff>
              </from>
              <to>
                <xdr:col>29</xdr:col>
                <xdr:colOff>142875</xdr:colOff>
                <xdr:row>252</xdr:row>
                <xdr:rowOff>219075</xdr:rowOff>
              </to>
            </anchor>
          </objectPr>
        </oleObject>
      </mc:Choice>
      <mc:Fallback>
        <oleObject progId="Equation.3" shapeId="1137" r:id="rId65"/>
      </mc:Fallback>
    </mc:AlternateContent>
    <mc:AlternateContent xmlns:mc="http://schemas.openxmlformats.org/markup-compatibility/2006">
      <mc:Choice Requires="x14">
        <oleObject progId="Equation.3" shapeId="1138" r:id="rId67">
          <objectPr defaultSize="0" r:id="rId66">
            <anchor moveWithCells="1">
              <from>
                <xdr:col>29</xdr:col>
                <xdr:colOff>0</xdr:colOff>
                <xdr:row>273</xdr:row>
                <xdr:rowOff>0</xdr:rowOff>
              </from>
              <to>
                <xdr:col>30</xdr:col>
                <xdr:colOff>142875</xdr:colOff>
                <xdr:row>273</xdr:row>
                <xdr:rowOff>219075</xdr:rowOff>
              </to>
            </anchor>
          </objectPr>
        </oleObject>
      </mc:Choice>
      <mc:Fallback>
        <oleObject progId="Equation.3" shapeId="1138" r:id="rId67"/>
      </mc:Fallback>
    </mc:AlternateContent>
    <mc:AlternateContent xmlns:mc="http://schemas.openxmlformats.org/markup-compatibility/2006">
      <mc:Choice Requires="x14">
        <oleObject progId="Equation.3" shapeId="1139" r:id="rId68">
          <objectPr defaultSize="0" r:id="rId66">
            <anchor moveWithCells="1">
              <from>
                <xdr:col>29</xdr:col>
                <xdr:colOff>0</xdr:colOff>
                <xdr:row>287</xdr:row>
                <xdr:rowOff>0</xdr:rowOff>
              </from>
              <to>
                <xdr:col>30</xdr:col>
                <xdr:colOff>142875</xdr:colOff>
                <xdr:row>287</xdr:row>
                <xdr:rowOff>219075</xdr:rowOff>
              </to>
            </anchor>
          </objectPr>
        </oleObject>
      </mc:Choice>
      <mc:Fallback>
        <oleObject progId="Equation.3" shapeId="1139" r:id="rId68"/>
      </mc:Fallback>
    </mc:AlternateContent>
    <mc:AlternateContent xmlns:mc="http://schemas.openxmlformats.org/markup-compatibility/2006">
      <mc:Choice Requires="x14">
        <oleObject progId="Equation.3" shapeId="1140" r:id="rId69">
          <objectPr defaultSize="0" r:id="rId70">
            <anchor moveWithCells="1">
              <from>
                <xdr:col>14</xdr:col>
                <xdr:colOff>0</xdr:colOff>
                <xdr:row>297</xdr:row>
                <xdr:rowOff>0</xdr:rowOff>
              </from>
              <to>
                <xdr:col>19</xdr:col>
                <xdr:colOff>123825</xdr:colOff>
                <xdr:row>297</xdr:row>
                <xdr:rowOff>219075</xdr:rowOff>
              </to>
            </anchor>
          </objectPr>
        </oleObject>
      </mc:Choice>
      <mc:Fallback>
        <oleObject progId="Equation.3" shapeId="1140" r:id="rId69"/>
      </mc:Fallback>
    </mc:AlternateContent>
    <mc:AlternateContent xmlns:mc="http://schemas.openxmlformats.org/markup-compatibility/2006">
      <mc:Choice Requires="x14">
        <oleObject progId="Equation.3" shapeId="1141" r:id="rId71">
          <objectPr defaultSize="0" r:id="rId72">
            <anchor moveWithCells="1">
              <from>
                <xdr:col>5</xdr:col>
                <xdr:colOff>123825</xdr:colOff>
                <xdr:row>298</xdr:row>
                <xdr:rowOff>0</xdr:rowOff>
              </from>
              <to>
                <xdr:col>11</xdr:col>
                <xdr:colOff>95250</xdr:colOff>
                <xdr:row>298</xdr:row>
                <xdr:rowOff>219075</xdr:rowOff>
              </to>
            </anchor>
          </objectPr>
        </oleObject>
      </mc:Choice>
      <mc:Fallback>
        <oleObject progId="Equation.3" shapeId="1141" r:id="rId71"/>
      </mc:Fallback>
    </mc:AlternateContent>
    <mc:AlternateContent xmlns:mc="http://schemas.openxmlformats.org/markup-compatibility/2006">
      <mc:Choice Requires="x14">
        <oleObject progId="Equation.3" shapeId="1142" r:id="rId73">
          <objectPr defaultSize="0" r:id="rId74">
            <anchor moveWithCells="1">
              <from>
                <xdr:col>6</xdr:col>
                <xdr:colOff>0</xdr:colOff>
                <xdr:row>206</xdr:row>
                <xdr:rowOff>28575</xdr:rowOff>
              </from>
              <to>
                <xdr:col>10</xdr:col>
                <xdr:colOff>38100</xdr:colOff>
                <xdr:row>206</xdr:row>
                <xdr:rowOff>190500</xdr:rowOff>
              </to>
            </anchor>
          </objectPr>
        </oleObject>
      </mc:Choice>
      <mc:Fallback>
        <oleObject progId="Equation.3" shapeId="1142" r:id="rId73"/>
      </mc:Fallback>
    </mc:AlternateContent>
    <mc:AlternateContent xmlns:mc="http://schemas.openxmlformats.org/markup-compatibility/2006">
      <mc:Choice Requires="x14">
        <oleObject progId="Equation.DSMT4" shapeId="1143" r:id="rId75">
          <objectPr defaultSize="0" r:id="rId76">
            <anchor moveWithCells="1">
              <from>
                <xdr:col>3</xdr:col>
                <xdr:colOff>9525</xdr:colOff>
                <xdr:row>157</xdr:row>
                <xdr:rowOff>28575</xdr:rowOff>
              </from>
              <to>
                <xdr:col>9</xdr:col>
                <xdr:colOff>28575</xdr:colOff>
                <xdr:row>158</xdr:row>
                <xdr:rowOff>209550</xdr:rowOff>
              </to>
            </anchor>
          </objectPr>
        </oleObject>
      </mc:Choice>
      <mc:Fallback>
        <oleObject progId="Equation.DSMT4" shapeId="1143" r:id="rId75"/>
      </mc:Fallback>
    </mc:AlternateContent>
    <mc:AlternateContent xmlns:mc="http://schemas.openxmlformats.org/markup-compatibility/2006">
      <mc:Choice Requires="x14">
        <oleObject progId="Equation.DSMT4" shapeId="1144" r:id="rId77">
          <objectPr defaultSize="0" r:id="rId78">
            <anchor moveWithCells="1">
              <from>
                <xdr:col>41</xdr:col>
                <xdr:colOff>28575</xdr:colOff>
                <xdr:row>9</xdr:row>
                <xdr:rowOff>0</xdr:rowOff>
              </from>
              <to>
                <xdr:col>42</xdr:col>
                <xdr:colOff>28575</xdr:colOff>
                <xdr:row>9</xdr:row>
                <xdr:rowOff>219075</xdr:rowOff>
              </to>
            </anchor>
          </objectPr>
        </oleObject>
      </mc:Choice>
      <mc:Fallback>
        <oleObject progId="Equation.DSMT4" shapeId="1144" r:id="rId77"/>
      </mc:Fallback>
    </mc:AlternateContent>
    <mc:AlternateContent xmlns:mc="http://schemas.openxmlformats.org/markup-compatibility/2006">
      <mc:Choice Requires="x14">
        <oleObject progId="Equation.DSMT4" shapeId="1145" r:id="rId79">
          <objectPr defaultSize="0" r:id="rId80">
            <anchor moveWithCells="1">
              <from>
                <xdr:col>33</xdr:col>
                <xdr:colOff>76200</xdr:colOff>
                <xdr:row>50</xdr:row>
                <xdr:rowOff>47625</xdr:rowOff>
              </from>
              <to>
                <xdr:col>37</xdr:col>
                <xdr:colOff>142875</xdr:colOff>
                <xdr:row>51</xdr:row>
                <xdr:rowOff>209550</xdr:rowOff>
              </to>
            </anchor>
          </objectPr>
        </oleObject>
      </mc:Choice>
      <mc:Fallback>
        <oleObject progId="Equation.DSMT4" shapeId="1145" r:id="rId79"/>
      </mc:Fallback>
    </mc:AlternateContent>
    <mc:AlternateContent xmlns:mc="http://schemas.openxmlformats.org/markup-compatibility/2006">
      <mc:Choice Requires="x14">
        <oleObject progId="Equation.DSMT4" shapeId="1146" r:id="rId81">
          <objectPr defaultSize="0" r:id="rId78">
            <anchor moveWithCells="1">
              <from>
                <xdr:col>20</xdr:col>
                <xdr:colOff>28575</xdr:colOff>
                <xdr:row>79</xdr:row>
                <xdr:rowOff>104775</xdr:rowOff>
              </from>
              <to>
                <xdr:col>21</xdr:col>
                <xdr:colOff>28575</xdr:colOff>
                <xdr:row>80</xdr:row>
                <xdr:rowOff>95250</xdr:rowOff>
              </to>
            </anchor>
          </objectPr>
        </oleObject>
      </mc:Choice>
      <mc:Fallback>
        <oleObject progId="Equation.DSMT4" shapeId="1146" r:id="rId81"/>
      </mc:Fallback>
    </mc:AlternateContent>
    <mc:AlternateContent xmlns:mc="http://schemas.openxmlformats.org/markup-compatibility/2006">
      <mc:Choice Requires="x14">
        <oleObject progId="Equation.3" shapeId="1147" r:id="rId82">
          <objectPr defaultSize="0" r:id="rId33">
            <anchor moveWithCells="1">
              <from>
                <xdr:col>16</xdr:col>
                <xdr:colOff>0</xdr:colOff>
                <xdr:row>230</xdr:row>
                <xdr:rowOff>209550</xdr:rowOff>
              </from>
              <to>
                <xdr:col>21</xdr:col>
                <xdr:colOff>66675</xdr:colOff>
                <xdr:row>231</xdr:row>
                <xdr:rowOff>200025</xdr:rowOff>
              </to>
            </anchor>
          </objectPr>
        </oleObject>
      </mc:Choice>
      <mc:Fallback>
        <oleObject progId="Equation.3" shapeId="1147" r:id="rId82"/>
      </mc:Fallback>
    </mc:AlternateContent>
    <mc:AlternateContent xmlns:mc="http://schemas.openxmlformats.org/markup-compatibility/2006">
      <mc:Choice Requires="x14">
        <oleObject progId="Equation.3" shapeId="1148" r:id="rId83">
          <objectPr defaultSize="0" r:id="rId33">
            <anchor moveWithCells="1">
              <from>
                <xdr:col>21</xdr:col>
                <xdr:colOff>142875</xdr:colOff>
                <xdr:row>230</xdr:row>
                <xdr:rowOff>209550</xdr:rowOff>
              </from>
              <to>
                <xdr:col>27</xdr:col>
                <xdr:colOff>57150</xdr:colOff>
                <xdr:row>231</xdr:row>
                <xdr:rowOff>200025</xdr:rowOff>
              </to>
            </anchor>
          </objectPr>
        </oleObject>
      </mc:Choice>
      <mc:Fallback>
        <oleObject progId="Equation.3" shapeId="1148" r:id="rId83"/>
      </mc:Fallback>
    </mc:AlternateContent>
    <mc:AlternateContent xmlns:mc="http://schemas.openxmlformats.org/markup-compatibility/2006">
      <mc:Choice Requires="x14">
        <oleObject progId="Equation.3" shapeId="1149" r:id="rId84">
          <objectPr defaultSize="0" r:id="rId33">
            <anchor moveWithCells="1">
              <from>
                <xdr:col>25</xdr:col>
                <xdr:colOff>9525</xdr:colOff>
                <xdr:row>229</xdr:row>
                <xdr:rowOff>209550</xdr:rowOff>
              </from>
              <to>
                <xdr:col>30</xdr:col>
                <xdr:colOff>76200</xdr:colOff>
                <xdr:row>230</xdr:row>
                <xdr:rowOff>200025</xdr:rowOff>
              </to>
            </anchor>
          </objectPr>
        </oleObject>
      </mc:Choice>
      <mc:Fallback>
        <oleObject progId="Equation.3" shapeId="1149" r:id="rId84"/>
      </mc:Fallback>
    </mc:AlternateContent>
    <mc:AlternateContent xmlns:mc="http://schemas.openxmlformats.org/markup-compatibility/2006">
      <mc:Choice Requires="x14">
        <oleObject progId="Equation.3" shapeId="1150" r:id="rId85">
          <objectPr defaultSize="0" autoPict="0" r:id="rId86">
            <anchor moveWithCells="1">
              <from>
                <xdr:col>8</xdr:col>
                <xdr:colOff>9525</xdr:colOff>
                <xdr:row>230</xdr:row>
                <xdr:rowOff>28575</xdr:rowOff>
              </from>
              <to>
                <xdr:col>15</xdr:col>
                <xdr:colOff>66675</xdr:colOff>
                <xdr:row>232</xdr:row>
                <xdr:rowOff>180975</xdr:rowOff>
              </to>
            </anchor>
          </objectPr>
        </oleObject>
      </mc:Choice>
      <mc:Fallback>
        <oleObject progId="Equation.3" shapeId="1150" r:id="rId85"/>
      </mc:Fallback>
    </mc:AlternateContent>
    <mc:AlternateContent xmlns:mc="http://schemas.openxmlformats.org/markup-compatibility/2006">
      <mc:Choice Requires="x14">
        <oleObject progId="Equation.3" shapeId="1151" r:id="rId87">
          <objectPr defaultSize="0" r:id="rId33">
            <anchor moveWithCells="1">
              <from>
                <xdr:col>27</xdr:col>
                <xdr:colOff>142875</xdr:colOff>
                <xdr:row>230</xdr:row>
                <xdr:rowOff>209550</xdr:rowOff>
              </from>
              <to>
                <xdr:col>33</xdr:col>
                <xdr:colOff>57150</xdr:colOff>
                <xdr:row>231</xdr:row>
                <xdr:rowOff>200025</xdr:rowOff>
              </to>
            </anchor>
          </objectPr>
        </oleObject>
      </mc:Choice>
      <mc:Fallback>
        <oleObject progId="Equation.3" shapeId="1151" r:id="rId87"/>
      </mc:Fallback>
    </mc:AlternateContent>
    <mc:AlternateContent xmlns:mc="http://schemas.openxmlformats.org/markup-compatibility/2006">
      <mc:Choice Requires="x14">
        <oleObject progId="Equation.3" shapeId="1152" r:id="rId88">
          <objectPr defaultSize="0" r:id="rId33">
            <anchor moveWithCells="1">
              <from>
                <xdr:col>33</xdr:col>
                <xdr:colOff>142875</xdr:colOff>
                <xdr:row>230</xdr:row>
                <xdr:rowOff>209550</xdr:rowOff>
              </from>
              <to>
                <xdr:col>39</xdr:col>
                <xdr:colOff>57150</xdr:colOff>
                <xdr:row>231</xdr:row>
                <xdr:rowOff>200025</xdr:rowOff>
              </to>
            </anchor>
          </objectPr>
        </oleObject>
      </mc:Choice>
      <mc:Fallback>
        <oleObject progId="Equation.3" shapeId="1152" r:id="rId88"/>
      </mc:Fallback>
    </mc:AlternateContent>
    <mc:AlternateContent xmlns:mc="http://schemas.openxmlformats.org/markup-compatibility/2006">
      <mc:Choice Requires="x14">
        <oleObject progId="Equation.DSMT4" shapeId="1153" r:id="rId89">
          <objectPr defaultSize="0" r:id="rId90">
            <anchor moveWithCells="1">
              <from>
                <xdr:col>7</xdr:col>
                <xdr:colOff>85725</xdr:colOff>
                <xdr:row>256</xdr:row>
                <xdr:rowOff>200025</xdr:rowOff>
              </from>
              <to>
                <xdr:col>15</xdr:col>
                <xdr:colOff>0</xdr:colOff>
                <xdr:row>258</xdr:row>
                <xdr:rowOff>219075</xdr:rowOff>
              </to>
            </anchor>
          </objectPr>
        </oleObject>
      </mc:Choice>
      <mc:Fallback>
        <oleObject progId="Equation.DSMT4" shapeId="1153" r:id="rId89"/>
      </mc:Fallback>
    </mc:AlternateContent>
    <mc:AlternateContent xmlns:mc="http://schemas.openxmlformats.org/markup-compatibility/2006">
      <mc:Choice Requires="x14">
        <oleObject progId="Equation.DSMT4" shapeId="1154" r:id="rId91">
          <objectPr defaultSize="0" r:id="rId92">
            <anchor moveWithCells="1">
              <from>
                <xdr:col>7</xdr:col>
                <xdr:colOff>123825</xdr:colOff>
                <xdr:row>277</xdr:row>
                <xdr:rowOff>200025</xdr:rowOff>
              </from>
              <to>
                <xdr:col>15</xdr:col>
                <xdr:colOff>0</xdr:colOff>
                <xdr:row>279</xdr:row>
                <xdr:rowOff>219075</xdr:rowOff>
              </to>
            </anchor>
          </objectPr>
        </oleObject>
      </mc:Choice>
      <mc:Fallback>
        <oleObject progId="Equation.DSMT4" shapeId="1154" r:id="rId91"/>
      </mc:Fallback>
    </mc:AlternateContent>
    <mc:AlternateContent xmlns:mc="http://schemas.openxmlformats.org/markup-compatibility/2006">
      <mc:Choice Requires="x14">
        <oleObject progId="Equation.DSMT4" shapeId="1155" r:id="rId93">
          <objectPr defaultSize="0" r:id="rId94">
            <anchor moveWithCells="1">
              <from>
                <xdr:col>7</xdr:col>
                <xdr:colOff>123825</xdr:colOff>
                <xdr:row>291</xdr:row>
                <xdr:rowOff>200025</xdr:rowOff>
              </from>
              <to>
                <xdr:col>15</xdr:col>
                <xdr:colOff>0</xdr:colOff>
                <xdr:row>293</xdr:row>
                <xdr:rowOff>219075</xdr:rowOff>
              </to>
            </anchor>
          </objectPr>
        </oleObject>
      </mc:Choice>
      <mc:Fallback>
        <oleObject progId="Equation.DSMT4" shapeId="1155" r:id="rId93"/>
      </mc:Fallback>
    </mc:AlternateContent>
    <mc:AlternateContent xmlns:mc="http://schemas.openxmlformats.org/markup-compatibility/2006">
      <mc:Choice Requires="x14">
        <oleObject progId="Equation.3" shapeId="1158" r:id="rId95">
          <objectPr defaultSize="0" r:id="rId96">
            <anchor moveWithCells="1">
              <from>
                <xdr:col>13</xdr:col>
                <xdr:colOff>95250</xdr:colOff>
                <xdr:row>340</xdr:row>
                <xdr:rowOff>9525</xdr:rowOff>
              </from>
              <to>
                <xdr:col>14</xdr:col>
                <xdr:colOff>95250</xdr:colOff>
                <xdr:row>341</xdr:row>
                <xdr:rowOff>0</xdr:rowOff>
              </to>
            </anchor>
          </objectPr>
        </oleObject>
      </mc:Choice>
      <mc:Fallback>
        <oleObject progId="Equation.3" shapeId="1158" r:id="rId95"/>
      </mc:Fallback>
    </mc:AlternateContent>
    <mc:AlternateContent xmlns:mc="http://schemas.openxmlformats.org/markup-compatibility/2006">
      <mc:Choice Requires="x14">
        <oleObject progId="Equation.3" shapeId="1159" r:id="rId97">
          <objectPr defaultSize="0" r:id="rId98">
            <anchor moveWithCells="1">
              <from>
                <xdr:col>15</xdr:col>
                <xdr:colOff>19050</xdr:colOff>
                <xdr:row>336</xdr:row>
                <xdr:rowOff>161925</xdr:rowOff>
              </from>
              <to>
                <xdr:col>18</xdr:col>
                <xdr:colOff>133350</xdr:colOff>
                <xdr:row>338</xdr:row>
                <xdr:rowOff>57150</xdr:rowOff>
              </to>
            </anchor>
          </objectPr>
        </oleObject>
      </mc:Choice>
      <mc:Fallback>
        <oleObject progId="Equation.3" shapeId="1159" r:id="rId97"/>
      </mc:Fallback>
    </mc:AlternateContent>
    <mc:AlternateContent xmlns:mc="http://schemas.openxmlformats.org/markup-compatibility/2006">
      <mc:Choice Requires="x14">
        <oleObject progId="Equation.3" shapeId="1160" r:id="rId99">
          <objectPr defaultSize="0" r:id="rId100">
            <anchor moveWithCells="1">
              <from>
                <xdr:col>11</xdr:col>
                <xdr:colOff>47625</xdr:colOff>
                <xdr:row>338</xdr:row>
                <xdr:rowOff>47625</xdr:rowOff>
              </from>
              <to>
                <xdr:col>13</xdr:col>
                <xdr:colOff>0</xdr:colOff>
                <xdr:row>339</xdr:row>
                <xdr:rowOff>171450</xdr:rowOff>
              </to>
            </anchor>
          </objectPr>
        </oleObject>
      </mc:Choice>
      <mc:Fallback>
        <oleObject progId="Equation.3" shapeId="1160" r:id="rId99"/>
      </mc:Fallback>
    </mc:AlternateContent>
    <mc:AlternateContent xmlns:mc="http://schemas.openxmlformats.org/markup-compatibility/2006">
      <mc:Choice Requires="x14">
        <oleObject progId="Equation.3" shapeId="1161" r:id="rId101">
          <objectPr defaultSize="0" r:id="rId96">
            <anchor moveWithCells="1">
              <from>
                <xdr:col>13</xdr:col>
                <xdr:colOff>95250</xdr:colOff>
                <xdr:row>340</xdr:row>
                <xdr:rowOff>9525</xdr:rowOff>
              </from>
              <to>
                <xdr:col>14</xdr:col>
                <xdr:colOff>95250</xdr:colOff>
                <xdr:row>341</xdr:row>
                <xdr:rowOff>0</xdr:rowOff>
              </to>
            </anchor>
          </objectPr>
        </oleObject>
      </mc:Choice>
      <mc:Fallback>
        <oleObject progId="Equation.3" shapeId="1161" r:id="rId101"/>
      </mc:Fallback>
    </mc:AlternateContent>
    <mc:AlternateContent xmlns:mc="http://schemas.openxmlformats.org/markup-compatibility/2006">
      <mc:Choice Requires="x14">
        <oleObject progId="Equation.3" shapeId="1162" r:id="rId102">
          <objectPr defaultSize="0" r:id="rId5">
            <anchor moveWithCells="1">
              <from>
                <xdr:col>5</xdr:col>
                <xdr:colOff>123825</xdr:colOff>
                <xdr:row>659</xdr:row>
                <xdr:rowOff>0</xdr:rowOff>
              </from>
              <to>
                <xdr:col>11</xdr:col>
                <xdr:colOff>95250</xdr:colOff>
                <xdr:row>659</xdr:row>
                <xdr:rowOff>219075</xdr:rowOff>
              </to>
            </anchor>
          </objectPr>
        </oleObject>
      </mc:Choice>
      <mc:Fallback>
        <oleObject progId="Equation.3" shapeId="1162" r:id="rId102"/>
      </mc:Fallback>
    </mc:AlternateContent>
    <mc:AlternateContent xmlns:mc="http://schemas.openxmlformats.org/markup-compatibility/2006">
      <mc:Choice Requires="x14">
        <oleObject progId="Equation.3" shapeId="1163" r:id="rId103">
          <objectPr defaultSize="0" autoPict="0" r:id="rId7">
            <anchor moveWithCells="1">
              <from>
                <xdr:col>1</xdr:col>
                <xdr:colOff>38100</xdr:colOff>
                <xdr:row>687</xdr:row>
                <xdr:rowOff>19050</xdr:rowOff>
              </from>
              <to>
                <xdr:col>8</xdr:col>
                <xdr:colOff>95250</xdr:colOff>
                <xdr:row>689</xdr:row>
                <xdr:rowOff>171450</xdr:rowOff>
              </to>
            </anchor>
          </objectPr>
        </oleObject>
      </mc:Choice>
      <mc:Fallback>
        <oleObject progId="Equation.3" shapeId="1163" r:id="rId103"/>
      </mc:Fallback>
    </mc:AlternateContent>
    <mc:AlternateContent xmlns:mc="http://schemas.openxmlformats.org/markup-compatibility/2006">
      <mc:Choice Requires="x14">
        <oleObject progId="Equation.DSMT4" shapeId="1164" r:id="rId104">
          <objectPr defaultSize="0" r:id="rId9">
            <anchor moveWithCells="1">
              <from>
                <xdr:col>2</xdr:col>
                <xdr:colOff>0</xdr:colOff>
                <xdr:row>523</xdr:row>
                <xdr:rowOff>28575</xdr:rowOff>
              </from>
              <to>
                <xdr:col>7</xdr:col>
                <xdr:colOff>104775</xdr:colOff>
                <xdr:row>524</xdr:row>
                <xdr:rowOff>95250</xdr:rowOff>
              </to>
            </anchor>
          </objectPr>
        </oleObject>
      </mc:Choice>
      <mc:Fallback>
        <oleObject progId="Equation.DSMT4" shapeId="1164" r:id="rId104"/>
      </mc:Fallback>
    </mc:AlternateContent>
    <mc:AlternateContent xmlns:mc="http://schemas.openxmlformats.org/markup-compatibility/2006">
      <mc:Choice Requires="x14">
        <oleObject progId="Equation.DSMT4" shapeId="1165" r:id="rId105">
          <objectPr defaultSize="0" r:id="rId11">
            <anchor moveWithCells="1">
              <from>
                <xdr:col>3</xdr:col>
                <xdr:colOff>0</xdr:colOff>
                <xdr:row>527</xdr:row>
                <xdr:rowOff>0</xdr:rowOff>
              </from>
              <to>
                <xdr:col>29</xdr:col>
                <xdr:colOff>38100</xdr:colOff>
                <xdr:row>530</xdr:row>
                <xdr:rowOff>219075</xdr:rowOff>
              </to>
            </anchor>
          </objectPr>
        </oleObject>
      </mc:Choice>
      <mc:Fallback>
        <oleObject progId="Equation.DSMT4" shapeId="1165" r:id="rId105"/>
      </mc:Fallback>
    </mc:AlternateContent>
    <mc:AlternateContent xmlns:mc="http://schemas.openxmlformats.org/markup-compatibility/2006">
      <mc:Choice Requires="x14">
        <oleObject progId="Equation.3" shapeId="1166" r:id="rId106">
          <objectPr defaultSize="0" r:id="rId13">
            <anchor moveWithCells="1">
              <from>
                <xdr:col>8</xdr:col>
                <xdr:colOff>38100</xdr:colOff>
                <xdr:row>575</xdr:row>
                <xdr:rowOff>38100</xdr:rowOff>
              </from>
              <to>
                <xdr:col>13</xdr:col>
                <xdr:colOff>28575</xdr:colOff>
                <xdr:row>576</xdr:row>
                <xdr:rowOff>180975</xdr:rowOff>
              </to>
            </anchor>
          </objectPr>
        </oleObject>
      </mc:Choice>
      <mc:Fallback>
        <oleObject progId="Equation.3" shapeId="1166" r:id="rId106"/>
      </mc:Fallback>
    </mc:AlternateContent>
    <mc:AlternateContent xmlns:mc="http://schemas.openxmlformats.org/markup-compatibility/2006">
      <mc:Choice Requires="x14">
        <oleObject progId="Equation.DSMT4" shapeId="1167" r:id="rId107">
          <objectPr defaultSize="0" autoPict="0" r:id="rId15">
            <anchor moveWithCells="1">
              <from>
                <xdr:col>1</xdr:col>
                <xdr:colOff>133350</xdr:colOff>
                <xdr:row>511</xdr:row>
                <xdr:rowOff>0</xdr:rowOff>
              </from>
              <to>
                <xdr:col>16</xdr:col>
                <xdr:colOff>57150</xdr:colOff>
                <xdr:row>514</xdr:row>
                <xdr:rowOff>28575</xdr:rowOff>
              </to>
            </anchor>
          </objectPr>
        </oleObject>
      </mc:Choice>
      <mc:Fallback>
        <oleObject progId="Equation.DSMT4" shapeId="1167" r:id="rId107"/>
      </mc:Fallback>
    </mc:AlternateContent>
    <mc:AlternateContent xmlns:mc="http://schemas.openxmlformats.org/markup-compatibility/2006">
      <mc:Choice Requires="x14">
        <oleObject progId="Equation.3" shapeId="1168" r:id="rId108">
          <objectPr defaultSize="0" r:id="rId17">
            <anchor moveWithCells="1">
              <from>
                <xdr:col>8</xdr:col>
                <xdr:colOff>9525</xdr:colOff>
                <xdr:row>613</xdr:row>
                <xdr:rowOff>38100</xdr:rowOff>
              </from>
              <to>
                <xdr:col>14</xdr:col>
                <xdr:colOff>95250</xdr:colOff>
                <xdr:row>614</xdr:row>
                <xdr:rowOff>200025</xdr:rowOff>
              </to>
            </anchor>
          </objectPr>
        </oleObject>
      </mc:Choice>
      <mc:Fallback>
        <oleObject progId="Equation.3" shapeId="1168" r:id="rId108"/>
      </mc:Fallback>
    </mc:AlternateContent>
    <mc:AlternateContent xmlns:mc="http://schemas.openxmlformats.org/markup-compatibility/2006">
      <mc:Choice Requires="x14">
        <oleObject progId="Equation.3" shapeId="1169" r:id="rId109">
          <objectPr defaultSize="0" r:id="rId19">
            <anchor moveWithCells="1">
              <from>
                <xdr:col>8</xdr:col>
                <xdr:colOff>0</xdr:colOff>
                <xdr:row>611</xdr:row>
                <xdr:rowOff>95250</xdr:rowOff>
              </from>
              <to>
                <xdr:col>24</xdr:col>
                <xdr:colOff>104775</xdr:colOff>
                <xdr:row>612</xdr:row>
                <xdr:rowOff>142875</xdr:rowOff>
              </to>
            </anchor>
          </objectPr>
        </oleObject>
      </mc:Choice>
      <mc:Fallback>
        <oleObject progId="Equation.3" shapeId="1169" r:id="rId109"/>
      </mc:Fallback>
    </mc:AlternateContent>
    <mc:AlternateContent xmlns:mc="http://schemas.openxmlformats.org/markup-compatibility/2006">
      <mc:Choice Requires="x14">
        <oleObject progId="Equation.3" shapeId="1170" r:id="rId110">
          <objectPr defaultSize="0" r:id="rId21">
            <anchor moveWithCells="1">
              <from>
                <xdr:col>9</xdr:col>
                <xdr:colOff>9525</xdr:colOff>
                <xdr:row>634</xdr:row>
                <xdr:rowOff>38100</xdr:rowOff>
              </from>
              <to>
                <xdr:col>15</xdr:col>
                <xdr:colOff>76200</xdr:colOff>
                <xdr:row>635</xdr:row>
                <xdr:rowOff>200025</xdr:rowOff>
              </to>
            </anchor>
          </objectPr>
        </oleObject>
      </mc:Choice>
      <mc:Fallback>
        <oleObject progId="Equation.3" shapeId="1170" r:id="rId110"/>
      </mc:Fallback>
    </mc:AlternateContent>
    <mc:AlternateContent xmlns:mc="http://schemas.openxmlformats.org/markup-compatibility/2006">
      <mc:Choice Requires="x14">
        <oleObject progId="Equation.3" shapeId="1171" r:id="rId111">
          <objectPr defaultSize="0" r:id="rId23">
            <anchor moveWithCells="1">
              <from>
                <xdr:col>8</xdr:col>
                <xdr:colOff>66675</xdr:colOff>
                <xdr:row>626</xdr:row>
                <xdr:rowOff>209550</xdr:rowOff>
              </from>
              <to>
                <xdr:col>40</xdr:col>
                <xdr:colOff>133350</xdr:colOff>
                <xdr:row>628</xdr:row>
                <xdr:rowOff>47625</xdr:rowOff>
              </to>
            </anchor>
          </objectPr>
        </oleObject>
      </mc:Choice>
      <mc:Fallback>
        <oleObject progId="Equation.3" shapeId="1171" r:id="rId111"/>
      </mc:Fallback>
    </mc:AlternateContent>
    <mc:AlternateContent xmlns:mc="http://schemas.openxmlformats.org/markup-compatibility/2006">
      <mc:Choice Requires="x14">
        <oleObject progId="Equation.3" shapeId="1172" r:id="rId112">
          <objectPr defaultSize="0" r:id="rId25">
            <anchor moveWithCells="1">
              <from>
                <xdr:col>8</xdr:col>
                <xdr:colOff>66675</xdr:colOff>
                <xdr:row>629</xdr:row>
                <xdr:rowOff>209550</xdr:rowOff>
              </from>
              <to>
                <xdr:col>41</xdr:col>
                <xdr:colOff>57150</xdr:colOff>
                <xdr:row>631</xdr:row>
                <xdr:rowOff>47625</xdr:rowOff>
              </to>
            </anchor>
          </objectPr>
        </oleObject>
      </mc:Choice>
      <mc:Fallback>
        <oleObject progId="Equation.3" shapeId="1172" r:id="rId112"/>
      </mc:Fallback>
    </mc:AlternateContent>
    <mc:AlternateContent xmlns:mc="http://schemas.openxmlformats.org/markup-compatibility/2006">
      <mc:Choice Requires="x14">
        <oleObject progId="Equation.3" shapeId="1173" r:id="rId113">
          <objectPr defaultSize="0" r:id="rId27">
            <anchor moveWithCells="1">
              <from>
                <xdr:col>8</xdr:col>
                <xdr:colOff>76200</xdr:colOff>
                <xdr:row>633</xdr:row>
                <xdr:rowOff>0</xdr:rowOff>
              </from>
              <to>
                <xdr:col>16</xdr:col>
                <xdr:colOff>114300</xdr:colOff>
                <xdr:row>634</xdr:row>
                <xdr:rowOff>38100</xdr:rowOff>
              </to>
            </anchor>
          </objectPr>
        </oleObject>
      </mc:Choice>
      <mc:Fallback>
        <oleObject progId="Equation.3" shapeId="1173" r:id="rId113"/>
      </mc:Fallback>
    </mc:AlternateContent>
    <mc:AlternateContent xmlns:mc="http://schemas.openxmlformats.org/markup-compatibility/2006">
      <mc:Choice Requires="x14">
        <oleObject progId="Equation.3" shapeId="1174" r:id="rId114">
          <objectPr defaultSize="0" r:id="rId29">
            <anchor moveWithCells="1">
              <from>
                <xdr:col>9</xdr:col>
                <xdr:colOff>9525</xdr:colOff>
                <xdr:row>648</xdr:row>
                <xdr:rowOff>38100</xdr:rowOff>
              </from>
              <to>
                <xdr:col>15</xdr:col>
                <xdr:colOff>76200</xdr:colOff>
                <xdr:row>649</xdr:row>
                <xdr:rowOff>200025</xdr:rowOff>
              </to>
            </anchor>
          </objectPr>
        </oleObject>
      </mc:Choice>
      <mc:Fallback>
        <oleObject progId="Equation.3" shapeId="1174" r:id="rId114"/>
      </mc:Fallback>
    </mc:AlternateContent>
    <mc:AlternateContent xmlns:mc="http://schemas.openxmlformats.org/markup-compatibility/2006">
      <mc:Choice Requires="x14">
        <oleObject progId="Equation.3" shapeId="1175" r:id="rId115">
          <objectPr defaultSize="0" r:id="rId31">
            <anchor moveWithCells="1">
              <from>
                <xdr:col>8</xdr:col>
                <xdr:colOff>76200</xdr:colOff>
                <xdr:row>646</xdr:row>
                <xdr:rowOff>47625</xdr:rowOff>
              </from>
              <to>
                <xdr:col>25</xdr:col>
                <xdr:colOff>114300</xdr:colOff>
                <xdr:row>647</xdr:row>
                <xdr:rowOff>190500</xdr:rowOff>
              </to>
            </anchor>
          </objectPr>
        </oleObject>
      </mc:Choice>
      <mc:Fallback>
        <oleObject progId="Equation.3" shapeId="1175" r:id="rId115"/>
      </mc:Fallback>
    </mc:AlternateContent>
    <mc:AlternateContent xmlns:mc="http://schemas.openxmlformats.org/markup-compatibility/2006">
      <mc:Choice Requires="x14">
        <oleObject progId="Equation.3" shapeId="1176" r:id="rId116">
          <objectPr defaultSize="0" r:id="rId33">
            <anchor moveWithCells="1">
              <from>
                <xdr:col>8</xdr:col>
                <xdr:colOff>142875</xdr:colOff>
                <xdr:row>687</xdr:row>
                <xdr:rowOff>209550</xdr:rowOff>
              </from>
              <to>
                <xdr:col>14</xdr:col>
                <xdr:colOff>57150</xdr:colOff>
                <xdr:row>688</xdr:row>
                <xdr:rowOff>200025</xdr:rowOff>
              </to>
            </anchor>
          </objectPr>
        </oleObject>
      </mc:Choice>
      <mc:Fallback>
        <oleObject progId="Equation.3" shapeId="1176" r:id="rId116"/>
      </mc:Fallback>
    </mc:AlternateContent>
    <mc:AlternateContent xmlns:mc="http://schemas.openxmlformats.org/markup-compatibility/2006">
      <mc:Choice Requires="x14">
        <oleObject progId="Equation.3" shapeId="1177" r:id="rId117">
          <objectPr defaultSize="0" r:id="rId33">
            <anchor moveWithCells="1">
              <from>
                <xdr:col>14</xdr:col>
                <xdr:colOff>142875</xdr:colOff>
                <xdr:row>687</xdr:row>
                <xdr:rowOff>209550</xdr:rowOff>
              </from>
              <to>
                <xdr:col>20</xdr:col>
                <xdr:colOff>57150</xdr:colOff>
                <xdr:row>688</xdr:row>
                <xdr:rowOff>200025</xdr:rowOff>
              </to>
            </anchor>
          </objectPr>
        </oleObject>
      </mc:Choice>
      <mc:Fallback>
        <oleObject progId="Equation.3" shapeId="1177" r:id="rId117"/>
      </mc:Fallback>
    </mc:AlternateContent>
    <mc:AlternateContent xmlns:mc="http://schemas.openxmlformats.org/markup-compatibility/2006">
      <mc:Choice Requires="x14">
        <oleObject progId="Equation.3" shapeId="1178" r:id="rId118">
          <objectPr defaultSize="0" r:id="rId33">
            <anchor moveWithCells="1">
              <from>
                <xdr:col>12</xdr:col>
                <xdr:colOff>28575</xdr:colOff>
                <xdr:row>686</xdr:row>
                <xdr:rowOff>209550</xdr:rowOff>
              </from>
              <to>
                <xdr:col>17</xdr:col>
                <xdr:colOff>95250</xdr:colOff>
                <xdr:row>687</xdr:row>
                <xdr:rowOff>200025</xdr:rowOff>
              </to>
            </anchor>
          </objectPr>
        </oleObject>
      </mc:Choice>
      <mc:Fallback>
        <oleObject progId="Equation.3" shapeId="1178" r:id="rId118"/>
      </mc:Fallback>
    </mc:AlternateContent>
    <mc:AlternateContent xmlns:mc="http://schemas.openxmlformats.org/markup-compatibility/2006">
      <mc:Choice Requires="x14">
        <oleObject progId="Equation.DSMT4" shapeId="1179" r:id="rId119">
          <objectPr defaultSize="0" r:id="rId37">
            <anchor moveWithCells="1">
              <from>
                <xdr:col>2</xdr:col>
                <xdr:colOff>0</xdr:colOff>
                <xdr:row>524</xdr:row>
                <xdr:rowOff>180975</xdr:rowOff>
              </from>
              <to>
                <xdr:col>13</xdr:col>
                <xdr:colOff>38100</xdr:colOff>
                <xdr:row>525</xdr:row>
                <xdr:rowOff>209550</xdr:rowOff>
              </to>
            </anchor>
          </objectPr>
        </oleObject>
      </mc:Choice>
      <mc:Fallback>
        <oleObject progId="Equation.DSMT4" shapeId="1179" r:id="rId119"/>
      </mc:Fallback>
    </mc:AlternateContent>
    <mc:AlternateContent xmlns:mc="http://schemas.openxmlformats.org/markup-compatibility/2006">
      <mc:Choice Requires="x14">
        <oleObject progId="Equation.3" shapeId="1180" r:id="rId120">
          <objectPr defaultSize="0" r:id="rId39">
            <anchor moveWithCells="1">
              <from>
                <xdr:col>8</xdr:col>
                <xdr:colOff>9525</xdr:colOff>
                <xdr:row>600</xdr:row>
                <xdr:rowOff>38100</xdr:rowOff>
              </from>
              <to>
                <xdr:col>14</xdr:col>
                <xdr:colOff>19050</xdr:colOff>
                <xdr:row>601</xdr:row>
                <xdr:rowOff>180975</xdr:rowOff>
              </to>
            </anchor>
          </objectPr>
        </oleObject>
      </mc:Choice>
      <mc:Fallback>
        <oleObject progId="Equation.3" shapeId="1180" r:id="rId120"/>
      </mc:Fallback>
    </mc:AlternateContent>
    <mc:AlternateContent xmlns:mc="http://schemas.openxmlformats.org/markup-compatibility/2006">
      <mc:Choice Requires="x14">
        <oleObject progId="Equation.3" shapeId="1181" r:id="rId121">
          <objectPr defaultSize="0" r:id="rId41">
            <anchor moveWithCells="1">
              <from>
                <xdr:col>8</xdr:col>
                <xdr:colOff>9525</xdr:colOff>
                <xdr:row>585</xdr:row>
                <xdr:rowOff>209550</xdr:rowOff>
              </from>
              <to>
                <xdr:col>19</xdr:col>
                <xdr:colOff>114300</xdr:colOff>
                <xdr:row>587</xdr:row>
                <xdr:rowOff>28575</xdr:rowOff>
              </to>
            </anchor>
          </objectPr>
        </oleObject>
      </mc:Choice>
      <mc:Fallback>
        <oleObject progId="Equation.3" shapeId="1181" r:id="rId121"/>
      </mc:Fallback>
    </mc:AlternateContent>
    <mc:AlternateContent xmlns:mc="http://schemas.openxmlformats.org/markup-compatibility/2006">
      <mc:Choice Requires="x14">
        <oleObject progId="Equation.DSMT4" shapeId="1182" r:id="rId122">
          <objectPr defaultSize="0" r:id="rId43">
            <anchor moveWithCells="1">
              <from>
                <xdr:col>8</xdr:col>
                <xdr:colOff>0</xdr:colOff>
                <xdr:row>578</xdr:row>
                <xdr:rowOff>28575</xdr:rowOff>
              </from>
              <to>
                <xdr:col>13</xdr:col>
                <xdr:colOff>38100</xdr:colOff>
                <xdr:row>580</xdr:row>
                <xdr:rowOff>0</xdr:rowOff>
              </to>
            </anchor>
          </objectPr>
        </oleObject>
      </mc:Choice>
      <mc:Fallback>
        <oleObject progId="Equation.DSMT4" shapeId="1182" r:id="rId122"/>
      </mc:Fallback>
    </mc:AlternateContent>
    <mc:AlternateContent xmlns:mc="http://schemas.openxmlformats.org/markup-compatibility/2006">
      <mc:Choice Requires="x14">
        <oleObject progId="Equation.3" shapeId="1183" r:id="rId123">
          <objectPr defaultSize="0" r:id="rId45">
            <anchor moveWithCells="1">
              <from>
                <xdr:col>11</xdr:col>
                <xdr:colOff>28575</xdr:colOff>
                <xdr:row>586</xdr:row>
                <xdr:rowOff>209550</xdr:rowOff>
              </from>
              <to>
                <xdr:col>34</xdr:col>
                <xdr:colOff>57150</xdr:colOff>
                <xdr:row>587</xdr:row>
                <xdr:rowOff>219075</xdr:rowOff>
              </to>
            </anchor>
          </objectPr>
        </oleObject>
      </mc:Choice>
      <mc:Fallback>
        <oleObject progId="Equation.3" shapeId="1183" r:id="rId123"/>
      </mc:Fallback>
    </mc:AlternateContent>
    <mc:AlternateContent xmlns:mc="http://schemas.openxmlformats.org/markup-compatibility/2006">
      <mc:Choice Requires="x14">
        <oleObject progId="Equation.3" shapeId="1184" r:id="rId124">
          <objectPr defaultSize="0" r:id="rId47">
            <anchor moveWithCells="1">
              <from>
                <xdr:col>12</xdr:col>
                <xdr:colOff>38100</xdr:colOff>
                <xdr:row>586</xdr:row>
                <xdr:rowOff>209550</xdr:rowOff>
              </from>
              <to>
                <xdr:col>17</xdr:col>
                <xdr:colOff>0</xdr:colOff>
                <xdr:row>588</xdr:row>
                <xdr:rowOff>9525</xdr:rowOff>
              </to>
            </anchor>
          </objectPr>
        </oleObject>
      </mc:Choice>
      <mc:Fallback>
        <oleObject progId="Equation.3" shapeId="1184" r:id="rId124"/>
      </mc:Fallback>
    </mc:AlternateContent>
    <mc:AlternateContent xmlns:mc="http://schemas.openxmlformats.org/markup-compatibility/2006">
      <mc:Choice Requires="x14">
        <oleObject progId="Equation.3" shapeId="1185" r:id="rId125">
          <objectPr defaultSize="0" r:id="rId47">
            <anchor moveWithCells="1">
              <from>
                <xdr:col>18</xdr:col>
                <xdr:colOff>38100</xdr:colOff>
                <xdr:row>586</xdr:row>
                <xdr:rowOff>209550</xdr:rowOff>
              </from>
              <to>
                <xdr:col>23</xdr:col>
                <xdr:colOff>0</xdr:colOff>
                <xdr:row>588</xdr:row>
                <xdr:rowOff>9525</xdr:rowOff>
              </to>
            </anchor>
          </objectPr>
        </oleObject>
      </mc:Choice>
      <mc:Fallback>
        <oleObject progId="Equation.3" shapeId="1185" r:id="rId125"/>
      </mc:Fallback>
    </mc:AlternateContent>
    <mc:AlternateContent xmlns:mc="http://schemas.openxmlformats.org/markup-compatibility/2006">
      <mc:Choice Requires="x14">
        <oleObject progId="Equation.3" shapeId="1186" r:id="rId126">
          <objectPr defaultSize="0" r:id="rId47">
            <anchor moveWithCells="1">
              <from>
                <xdr:col>24</xdr:col>
                <xdr:colOff>38100</xdr:colOff>
                <xdr:row>586</xdr:row>
                <xdr:rowOff>209550</xdr:rowOff>
              </from>
              <to>
                <xdr:col>29</xdr:col>
                <xdr:colOff>0</xdr:colOff>
                <xdr:row>588</xdr:row>
                <xdr:rowOff>9525</xdr:rowOff>
              </to>
            </anchor>
          </objectPr>
        </oleObject>
      </mc:Choice>
      <mc:Fallback>
        <oleObject progId="Equation.3" shapeId="1186" r:id="rId126"/>
      </mc:Fallback>
    </mc:AlternateContent>
    <mc:AlternateContent xmlns:mc="http://schemas.openxmlformats.org/markup-compatibility/2006">
      <mc:Choice Requires="x14">
        <oleObject progId="Equation.3" shapeId="1187" r:id="rId127">
          <objectPr defaultSize="0" r:id="rId47">
            <anchor moveWithCells="1">
              <from>
                <xdr:col>30</xdr:col>
                <xdr:colOff>38100</xdr:colOff>
                <xdr:row>586</xdr:row>
                <xdr:rowOff>209550</xdr:rowOff>
              </from>
              <to>
                <xdr:col>35</xdr:col>
                <xdr:colOff>0</xdr:colOff>
                <xdr:row>588</xdr:row>
                <xdr:rowOff>9525</xdr:rowOff>
              </to>
            </anchor>
          </objectPr>
        </oleObject>
      </mc:Choice>
      <mc:Fallback>
        <oleObject progId="Equation.3" shapeId="1187" r:id="rId127"/>
      </mc:Fallback>
    </mc:AlternateContent>
    <mc:AlternateContent xmlns:mc="http://schemas.openxmlformats.org/markup-compatibility/2006">
      <mc:Choice Requires="x14">
        <oleObject progId="Equation.DSMT4" shapeId="1188" r:id="rId128">
          <objectPr defaultSize="0" r:id="rId52">
            <anchor moveWithCells="1">
              <from>
                <xdr:col>8</xdr:col>
                <xdr:colOff>0</xdr:colOff>
                <xdr:row>589</xdr:row>
                <xdr:rowOff>28575</xdr:rowOff>
              </from>
              <to>
                <xdr:col>13</xdr:col>
                <xdr:colOff>114300</xdr:colOff>
                <xdr:row>591</xdr:row>
                <xdr:rowOff>0</xdr:rowOff>
              </to>
            </anchor>
          </objectPr>
        </oleObject>
      </mc:Choice>
      <mc:Fallback>
        <oleObject progId="Equation.DSMT4" shapeId="1188" r:id="rId128"/>
      </mc:Fallback>
    </mc:AlternateContent>
    <mc:AlternateContent xmlns:mc="http://schemas.openxmlformats.org/markup-compatibility/2006">
      <mc:Choice Requires="x14">
        <oleObject progId="Equation.DSMT4" shapeId="1189" r:id="rId129">
          <objectPr defaultSize="0" r:id="rId54">
            <anchor moveWithCells="1">
              <from>
                <xdr:col>8</xdr:col>
                <xdr:colOff>0</xdr:colOff>
                <xdr:row>603</xdr:row>
                <xdr:rowOff>28575</xdr:rowOff>
              </from>
              <to>
                <xdr:col>15</xdr:col>
                <xdr:colOff>66675</xdr:colOff>
                <xdr:row>605</xdr:row>
                <xdr:rowOff>0</xdr:rowOff>
              </to>
            </anchor>
          </objectPr>
        </oleObject>
      </mc:Choice>
      <mc:Fallback>
        <oleObject progId="Equation.DSMT4" shapeId="1189" r:id="rId129"/>
      </mc:Fallback>
    </mc:AlternateContent>
    <mc:AlternateContent xmlns:mc="http://schemas.openxmlformats.org/markup-compatibility/2006">
      <mc:Choice Requires="x14">
        <oleObject progId="Equation.DSMT4" shapeId="1190" r:id="rId130">
          <objectPr defaultSize="0" r:id="rId56">
            <anchor moveWithCells="1">
              <from>
                <xdr:col>8</xdr:col>
                <xdr:colOff>0</xdr:colOff>
                <xdr:row>651</xdr:row>
                <xdr:rowOff>19050</xdr:rowOff>
              </from>
              <to>
                <xdr:col>14</xdr:col>
                <xdr:colOff>28575</xdr:colOff>
                <xdr:row>653</xdr:row>
                <xdr:rowOff>9525</xdr:rowOff>
              </to>
            </anchor>
          </objectPr>
        </oleObject>
      </mc:Choice>
      <mc:Fallback>
        <oleObject progId="Equation.DSMT4" shapeId="1190" r:id="rId130"/>
      </mc:Fallback>
    </mc:AlternateContent>
    <mc:AlternateContent xmlns:mc="http://schemas.openxmlformats.org/markup-compatibility/2006">
      <mc:Choice Requires="x14">
        <oleObject progId="Equation.DSMT4" shapeId="1191" r:id="rId131">
          <objectPr defaultSize="0" r:id="rId58">
            <anchor moveWithCells="1">
              <from>
                <xdr:col>8</xdr:col>
                <xdr:colOff>9525</xdr:colOff>
                <xdr:row>616</xdr:row>
                <xdr:rowOff>28575</xdr:rowOff>
              </from>
              <to>
                <xdr:col>14</xdr:col>
                <xdr:colOff>95250</xdr:colOff>
                <xdr:row>618</xdr:row>
                <xdr:rowOff>0</xdr:rowOff>
              </to>
            </anchor>
          </objectPr>
        </oleObject>
      </mc:Choice>
      <mc:Fallback>
        <oleObject progId="Equation.DSMT4" shapeId="1191" r:id="rId131"/>
      </mc:Fallback>
    </mc:AlternateContent>
    <mc:AlternateContent xmlns:mc="http://schemas.openxmlformats.org/markup-compatibility/2006">
      <mc:Choice Requires="x14">
        <oleObject progId="Equation.DSMT4" shapeId="1192" r:id="rId132">
          <objectPr defaultSize="0" r:id="rId60">
            <anchor moveWithCells="1">
              <from>
                <xdr:col>8</xdr:col>
                <xdr:colOff>0</xdr:colOff>
                <xdr:row>637</xdr:row>
                <xdr:rowOff>19050</xdr:rowOff>
              </from>
              <to>
                <xdr:col>14</xdr:col>
                <xdr:colOff>28575</xdr:colOff>
                <xdr:row>639</xdr:row>
                <xdr:rowOff>9525</xdr:rowOff>
              </to>
            </anchor>
          </objectPr>
        </oleObject>
      </mc:Choice>
      <mc:Fallback>
        <oleObject progId="Equation.DSMT4" shapeId="1192" r:id="rId132"/>
      </mc:Fallback>
    </mc:AlternateContent>
    <mc:AlternateContent xmlns:mc="http://schemas.openxmlformats.org/markup-compatibility/2006">
      <mc:Choice Requires="x14">
        <oleObject progId="Equation.DSMT4" shapeId="1193" r:id="rId133">
          <objectPr defaultSize="0" r:id="rId62">
            <anchor moveWithCells="1">
              <from>
                <xdr:col>2</xdr:col>
                <xdr:colOff>142875</xdr:colOff>
                <xdr:row>658</xdr:row>
                <xdr:rowOff>0</xdr:rowOff>
              </from>
              <to>
                <xdr:col>7</xdr:col>
                <xdr:colOff>133350</xdr:colOff>
                <xdr:row>659</xdr:row>
                <xdr:rowOff>9525</xdr:rowOff>
              </to>
            </anchor>
          </objectPr>
        </oleObject>
      </mc:Choice>
      <mc:Fallback>
        <oleObject progId="Equation.DSMT4" shapeId="1193" r:id="rId133"/>
      </mc:Fallback>
    </mc:AlternateContent>
    <mc:AlternateContent xmlns:mc="http://schemas.openxmlformats.org/markup-compatibility/2006">
      <mc:Choice Requires="x14">
        <oleObject progId="Equation.3" shapeId="1194" r:id="rId134">
          <objectPr defaultSize="0" r:id="rId64">
            <anchor moveWithCells="1">
              <from>
                <xdr:col>6</xdr:col>
                <xdr:colOff>0</xdr:colOff>
                <xdr:row>563</xdr:row>
                <xdr:rowOff>28575</xdr:rowOff>
              </from>
              <to>
                <xdr:col>25</xdr:col>
                <xdr:colOff>104775</xdr:colOff>
                <xdr:row>566</xdr:row>
                <xdr:rowOff>0</xdr:rowOff>
              </to>
            </anchor>
          </objectPr>
        </oleObject>
      </mc:Choice>
      <mc:Fallback>
        <oleObject progId="Equation.3" shapeId="1194" r:id="rId134"/>
      </mc:Fallback>
    </mc:AlternateContent>
    <mc:AlternateContent xmlns:mc="http://schemas.openxmlformats.org/markup-compatibility/2006">
      <mc:Choice Requires="x14">
        <oleObject progId="Equation.3" shapeId="1195" r:id="rId135">
          <objectPr defaultSize="0" r:id="rId66">
            <anchor moveWithCells="1">
              <from>
                <xdr:col>28</xdr:col>
                <xdr:colOff>0</xdr:colOff>
                <xdr:row>614</xdr:row>
                <xdr:rowOff>0</xdr:rowOff>
              </from>
              <to>
                <xdr:col>29</xdr:col>
                <xdr:colOff>142875</xdr:colOff>
                <xdr:row>614</xdr:row>
                <xdr:rowOff>219075</xdr:rowOff>
              </to>
            </anchor>
          </objectPr>
        </oleObject>
      </mc:Choice>
      <mc:Fallback>
        <oleObject progId="Equation.3" shapeId="1195" r:id="rId135"/>
      </mc:Fallback>
    </mc:AlternateContent>
    <mc:AlternateContent xmlns:mc="http://schemas.openxmlformats.org/markup-compatibility/2006">
      <mc:Choice Requires="x14">
        <oleObject progId="Equation.3" shapeId="1196" r:id="rId136">
          <objectPr defaultSize="0" r:id="rId66">
            <anchor moveWithCells="1">
              <from>
                <xdr:col>29</xdr:col>
                <xdr:colOff>0</xdr:colOff>
                <xdr:row>635</xdr:row>
                <xdr:rowOff>0</xdr:rowOff>
              </from>
              <to>
                <xdr:col>30</xdr:col>
                <xdr:colOff>142875</xdr:colOff>
                <xdr:row>635</xdr:row>
                <xdr:rowOff>219075</xdr:rowOff>
              </to>
            </anchor>
          </objectPr>
        </oleObject>
      </mc:Choice>
      <mc:Fallback>
        <oleObject progId="Equation.3" shapeId="1196" r:id="rId136"/>
      </mc:Fallback>
    </mc:AlternateContent>
    <mc:AlternateContent xmlns:mc="http://schemas.openxmlformats.org/markup-compatibility/2006">
      <mc:Choice Requires="x14">
        <oleObject progId="Equation.3" shapeId="1197" r:id="rId137">
          <objectPr defaultSize="0" r:id="rId66">
            <anchor moveWithCells="1">
              <from>
                <xdr:col>29</xdr:col>
                <xdr:colOff>0</xdr:colOff>
                <xdr:row>649</xdr:row>
                <xdr:rowOff>0</xdr:rowOff>
              </from>
              <to>
                <xdr:col>30</xdr:col>
                <xdr:colOff>142875</xdr:colOff>
                <xdr:row>649</xdr:row>
                <xdr:rowOff>219075</xdr:rowOff>
              </to>
            </anchor>
          </objectPr>
        </oleObject>
      </mc:Choice>
      <mc:Fallback>
        <oleObject progId="Equation.3" shapeId="1197" r:id="rId137"/>
      </mc:Fallback>
    </mc:AlternateContent>
    <mc:AlternateContent xmlns:mc="http://schemas.openxmlformats.org/markup-compatibility/2006">
      <mc:Choice Requires="x14">
        <oleObject progId="Equation.3" shapeId="1198" r:id="rId138">
          <objectPr defaultSize="0" r:id="rId70">
            <anchor moveWithCells="1">
              <from>
                <xdr:col>14</xdr:col>
                <xdr:colOff>0</xdr:colOff>
                <xdr:row>659</xdr:row>
                <xdr:rowOff>0</xdr:rowOff>
              </from>
              <to>
                <xdr:col>19</xdr:col>
                <xdr:colOff>123825</xdr:colOff>
                <xdr:row>659</xdr:row>
                <xdr:rowOff>219075</xdr:rowOff>
              </to>
            </anchor>
          </objectPr>
        </oleObject>
      </mc:Choice>
      <mc:Fallback>
        <oleObject progId="Equation.3" shapeId="1198" r:id="rId138"/>
      </mc:Fallback>
    </mc:AlternateContent>
    <mc:AlternateContent xmlns:mc="http://schemas.openxmlformats.org/markup-compatibility/2006">
      <mc:Choice Requires="x14">
        <oleObject progId="Equation.3" shapeId="1199" r:id="rId139">
          <objectPr defaultSize="0" r:id="rId72">
            <anchor moveWithCells="1">
              <from>
                <xdr:col>5</xdr:col>
                <xdr:colOff>123825</xdr:colOff>
                <xdr:row>660</xdr:row>
                <xdr:rowOff>0</xdr:rowOff>
              </from>
              <to>
                <xdr:col>11</xdr:col>
                <xdr:colOff>95250</xdr:colOff>
                <xdr:row>660</xdr:row>
                <xdr:rowOff>219075</xdr:rowOff>
              </to>
            </anchor>
          </objectPr>
        </oleObject>
      </mc:Choice>
      <mc:Fallback>
        <oleObject progId="Equation.3" shapeId="1199" r:id="rId139"/>
      </mc:Fallback>
    </mc:AlternateContent>
    <mc:AlternateContent xmlns:mc="http://schemas.openxmlformats.org/markup-compatibility/2006">
      <mc:Choice Requires="x14">
        <oleObject progId="Equation.3" shapeId="1200" r:id="rId140">
          <objectPr defaultSize="0" r:id="rId74">
            <anchor moveWithCells="1">
              <from>
                <xdr:col>6</xdr:col>
                <xdr:colOff>0</xdr:colOff>
                <xdr:row>568</xdr:row>
                <xdr:rowOff>28575</xdr:rowOff>
              </from>
              <to>
                <xdr:col>10</xdr:col>
                <xdr:colOff>38100</xdr:colOff>
                <xdr:row>568</xdr:row>
                <xdr:rowOff>190500</xdr:rowOff>
              </to>
            </anchor>
          </objectPr>
        </oleObject>
      </mc:Choice>
      <mc:Fallback>
        <oleObject progId="Equation.3" shapeId="1200" r:id="rId140"/>
      </mc:Fallback>
    </mc:AlternateContent>
    <mc:AlternateContent xmlns:mc="http://schemas.openxmlformats.org/markup-compatibility/2006">
      <mc:Choice Requires="x14">
        <oleObject progId="Equation.DSMT4" shapeId="1201" r:id="rId141">
          <objectPr defaultSize="0" r:id="rId76">
            <anchor moveWithCells="1">
              <from>
                <xdr:col>3</xdr:col>
                <xdr:colOff>9525</xdr:colOff>
                <xdr:row>519</xdr:row>
                <xdr:rowOff>28575</xdr:rowOff>
              </from>
              <to>
                <xdr:col>9</xdr:col>
                <xdr:colOff>28575</xdr:colOff>
                <xdr:row>520</xdr:row>
                <xdr:rowOff>209550</xdr:rowOff>
              </to>
            </anchor>
          </objectPr>
        </oleObject>
      </mc:Choice>
      <mc:Fallback>
        <oleObject progId="Equation.DSMT4" shapeId="1201" r:id="rId141"/>
      </mc:Fallback>
    </mc:AlternateContent>
    <mc:AlternateContent xmlns:mc="http://schemas.openxmlformats.org/markup-compatibility/2006">
      <mc:Choice Requires="x14">
        <oleObject progId="Equation.DSMT4" shapeId="1202" r:id="rId142">
          <objectPr defaultSize="0" r:id="rId78">
            <anchor moveWithCells="1">
              <from>
                <xdr:col>41</xdr:col>
                <xdr:colOff>28575</xdr:colOff>
                <xdr:row>371</xdr:row>
                <xdr:rowOff>0</xdr:rowOff>
              </from>
              <to>
                <xdr:col>42</xdr:col>
                <xdr:colOff>28575</xdr:colOff>
                <xdr:row>371</xdr:row>
                <xdr:rowOff>219075</xdr:rowOff>
              </to>
            </anchor>
          </objectPr>
        </oleObject>
      </mc:Choice>
      <mc:Fallback>
        <oleObject progId="Equation.DSMT4" shapeId="1202" r:id="rId142"/>
      </mc:Fallback>
    </mc:AlternateContent>
    <mc:AlternateContent xmlns:mc="http://schemas.openxmlformats.org/markup-compatibility/2006">
      <mc:Choice Requires="x14">
        <oleObject progId="Equation.DSMT4" shapeId="1203" r:id="rId143">
          <objectPr defaultSize="0" r:id="rId80">
            <anchor moveWithCells="1">
              <from>
                <xdr:col>33</xdr:col>
                <xdr:colOff>76200</xdr:colOff>
                <xdr:row>412</xdr:row>
                <xdr:rowOff>47625</xdr:rowOff>
              </from>
              <to>
                <xdr:col>37</xdr:col>
                <xdr:colOff>142875</xdr:colOff>
                <xdr:row>413</xdr:row>
                <xdr:rowOff>209550</xdr:rowOff>
              </to>
            </anchor>
          </objectPr>
        </oleObject>
      </mc:Choice>
      <mc:Fallback>
        <oleObject progId="Equation.DSMT4" shapeId="1203" r:id="rId143"/>
      </mc:Fallback>
    </mc:AlternateContent>
    <mc:AlternateContent xmlns:mc="http://schemas.openxmlformats.org/markup-compatibility/2006">
      <mc:Choice Requires="x14">
        <oleObject progId="Equation.DSMT4" shapeId="1204" r:id="rId144">
          <objectPr defaultSize="0" r:id="rId78">
            <anchor moveWithCells="1">
              <from>
                <xdr:col>20</xdr:col>
                <xdr:colOff>28575</xdr:colOff>
                <xdr:row>441</xdr:row>
                <xdr:rowOff>104775</xdr:rowOff>
              </from>
              <to>
                <xdr:col>21</xdr:col>
                <xdr:colOff>28575</xdr:colOff>
                <xdr:row>442</xdr:row>
                <xdr:rowOff>95250</xdr:rowOff>
              </to>
            </anchor>
          </objectPr>
        </oleObject>
      </mc:Choice>
      <mc:Fallback>
        <oleObject progId="Equation.DSMT4" shapeId="1204" r:id="rId144"/>
      </mc:Fallback>
    </mc:AlternateContent>
    <mc:AlternateContent xmlns:mc="http://schemas.openxmlformats.org/markup-compatibility/2006">
      <mc:Choice Requires="x14">
        <oleObject progId="Equation.3" shapeId="1205" r:id="rId145">
          <objectPr defaultSize="0" r:id="rId33">
            <anchor moveWithCells="1">
              <from>
                <xdr:col>16</xdr:col>
                <xdr:colOff>0</xdr:colOff>
                <xdr:row>592</xdr:row>
                <xdr:rowOff>209550</xdr:rowOff>
              </from>
              <to>
                <xdr:col>21</xdr:col>
                <xdr:colOff>66675</xdr:colOff>
                <xdr:row>593</xdr:row>
                <xdr:rowOff>200025</xdr:rowOff>
              </to>
            </anchor>
          </objectPr>
        </oleObject>
      </mc:Choice>
      <mc:Fallback>
        <oleObject progId="Equation.3" shapeId="1205" r:id="rId145"/>
      </mc:Fallback>
    </mc:AlternateContent>
    <mc:AlternateContent xmlns:mc="http://schemas.openxmlformats.org/markup-compatibility/2006">
      <mc:Choice Requires="x14">
        <oleObject progId="Equation.3" shapeId="1206" r:id="rId146">
          <objectPr defaultSize="0" r:id="rId33">
            <anchor moveWithCells="1">
              <from>
                <xdr:col>21</xdr:col>
                <xdr:colOff>142875</xdr:colOff>
                <xdr:row>592</xdr:row>
                <xdr:rowOff>209550</xdr:rowOff>
              </from>
              <to>
                <xdr:col>27</xdr:col>
                <xdr:colOff>57150</xdr:colOff>
                <xdr:row>593</xdr:row>
                <xdr:rowOff>200025</xdr:rowOff>
              </to>
            </anchor>
          </objectPr>
        </oleObject>
      </mc:Choice>
      <mc:Fallback>
        <oleObject progId="Equation.3" shapeId="1206" r:id="rId146"/>
      </mc:Fallback>
    </mc:AlternateContent>
    <mc:AlternateContent xmlns:mc="http://schemas.openxmlformats.org/markup-compatibility/2006">
      <mc:Choice Requires="x14">
        <oleObject progId="Equation.3" shapeId="1207" r:id="rId147">
          <objectPr defaultSize="0" r:id="rId33">
            <anchor moveWithCells="1">
              <from>
                <xdr:col>25</xdr:col>
                <xdr:colOff>9525</xdr:colOff>
                <xdr:row>591</xdr:row>
                <xdr:rowOff>209550</xdr:rowOff>
              </from>
              <to>
                <xdr:col>30</xdr:col>
                <xdr:colOff>76200</xdr:colOff>
                <xdr:row>592</xdr:row>
                <xdr:rowOff>200025</xdr:rowOff>
              </to>
            </anchor>
          </objectPr>
        </oleObject>
      </mc:Choice>
      <mc:Fallback>
        <oleObject progId="Equation.3" shapeId="1207" r:id="rId147"/>
      </mc:Fallback>
    </mc:AlternateContent>
    <mc:AlternateContent xmlns:mc="http://schemas.openxmlformats.org/markup-compatibility/2006">
      <mc:Choice Requires="x14">
        <oleObject progId="Equation.3" shapeId="1208" r:id="rId148">
          <objectPr defaultSize="0" autoPict="0" r:id="rId86">
            <anchor moveWithCells="1">
              <from>
                <xdr:col>8</xdr:col>
                <xdr:colOff>9525</xdr:colOff>
                <xdr:row>592</xdr:row>
                <xdr:rowOff>28575</xdr:rowOff>
              </from>
              <to>
                <xdr:col>15</xdr:col>
                <xdr:colOff>66675</xdr:colOff>
                <xdr:row>594</xdr:row>
                <xdr:rowOff>180975</xdr:rowOff>
              </to>
            </anchor>
          </objectPr>
        </oleObject>
      </mc:Choice>
      <mc:Fallback>
        <oleObject progId="Equation.3" shapeId="1208" r:id="rId148"/>
      </mc:Fallback>
    </mc:AlternateContent>
    <mc:AlternateContent xmlns:mc="http://schemas.openxmlformats.org/markup-compatibility/2006">
      <mc:Choice Requires="x14">
        <oleObject progId="Equation.3" shapeId="1209" r:id="rId149">
          <objectPr defaultSize="0" r:id="rId33">
            <anchor moveWithCells="1">
              <from>
                <xdr:col>27</xdr:col>
                <xdr:colOff>142875</xdr:colOff>
                <xdr:row>592</xdr:row>
                <xdr:rowOff>209550</xdr:rowOff>
              </from>
              <to>
                <xdr:col>33</xdr:col>
                <xdr:colOff>57150</xdr:colOff>
                <xdr:row>593</xdr:row>
                <xdr:rowOff>200025</xdr:rowOff>
              </to>
            </anchor>
          </objectPr>
        </oleObject>
      </mc:Choice>
      <mc:Fallback>
        <oleObject progId="Equation.3" shapeId="1209" r:id="rId149"/>
      </mc:Fallback>
    </mc:AlternateContent>
    <mc:AlternateContent xmlns:mc="http://schemas.openxmlformats.org/markup-compatibility/2006">
      <mc:Choice Requires="x14">
        <oleObject progId="Equation.3" shapeId="1210" r:id="rId150">
          <objectPr defaultSize="0" r:id="rId33">
            <anchor moveWithCells="1">
              <from>
                <xdr:col>33</xdr:col>
                <xdr:colOff>142875</xdr:colOff>
                <xdr:row>592</xdr:row>
                <xdr:rowOff>209550</xdr:rowOff>
              </from>
              <to>
                <xdr:col>39</xdr:col>
                <xdr:colOff>57150</xdr:colOff>
                <xdr:row>593</xdr:row>
                <xdr:rowOff>200025</xdr:rowOff>
              </to>
            </anchor>
          </objectPr>
        </oleObject>
      </mc:Choice>
      <mc:Fallback>
        <oleObject progId="Equation.3" shapeId="1210" r:id="rId150"/>
      </mc:Fallback>
    </mc:AlternateContent>
    <mc:AlternateContent xmlns:mc="http://schemas.openxmlformats.org/markup-compatibility/2006">
      <mc:Choice Requires="x14">
        <oleObject progId="Equation.DSMT4" shapeId="1211" r:id="rId151">
          <objectPr defaultSize="0" r:id="rId90">
            <anchor moveWithCells="1">
              <from>
                <xdr:col>7</xdr:col>
                <xdr:colOff>85725</xdr:colOff>
                <xdr:row>618</xdr:row>
                <xdr:rowOff>200025</xdr:rowOff>
              </from>
              <to>
                <xdr:col>15</xdr:col>
                <xdr:colOff>0</xdr:colOff>
                <xdr:row>620</xdr:row>
                <xdr:rowOff>219075</xdr:rowOff>
              </to>
            </anchor>
          </objectPr>
        </oleObject>
      </mc:Choice>
      <mc:Fallback>
        <oleObject progId="Equation.DSMT4" shapeId="1211" r:id="rId151"/>
      </mc:Fallback>
    </mc:AlternateContent>
    <mc:AlternateContent xmlns:mc="http://schemas.openxmlformats.org/markup-compatibility/2006">
      <mc:Choice Requires="x14">
        <oleObject progId="Equation.DSMT4" shapeId="1212" r:id="rId152">
          <objectPr defaultSize="0" r:id="rId92">
            <anchor moveWithCells="1">
              <from>
                <xdr:col>7</xdr:col>
                <xdr:colOff>123825</xdr:colOff>
                <xdr:row>639</xdr:row>
                <xdr:rowOff>200025</xdr:rowOff>
              </from>
              <to>
                <xdr:col>15</xdr:col>
                <xdr:colOff>0</xdr:colOff>
                <xdr:row>641</xdr:row>
                <xdr:rowOff>219075</xdr:rowOff>
              </to>
            </anchor>
          </objectPr>
        </oleObject>
      </mc:Choice>
      <mc:Fallback>
        <oleObject progId="Equation.DSMT4" shapeId="1212" r:id="rId152"/>
      </mc:Fallback>
    </mc:AlternateContent>
    <mc:AlternateContent xmlns:mc="http://schemas.openxmlformats.org/markup-compatibility/2006">
      <mc:Choice Requires="x14">
        <oleObject progId="Equation.DSMT4" shapeId="1213" r:id="rId153">
          <objectPr defaultSize="0" r:id="rId94">
            <anchor moveWithCells="1">
              <from>
                <xdr:col>7</xdr:col>
                <xdr:colOff>123825</xdr:colOff>
                <xdr:row>653</xdr:row>
                <xdr:rowOff>200025</xdr:rowOff>
              </from>
              <to>
                <xdr:col>15</xdr:col>
                <xdr:colOff>0</xdr:colOff>
                <xdr:row>655</xdr:row>
                <xdr:rowOff>219075</xdr:rowOff>
              </to>
            </anchor>
          </objectPr>
        </oleObject>
      </mc:Choice>
      <mc:Fallback>
        <oleObject progId="Equation.DSMT4" shapeId="1213" r:id="rId153"/>
      </mc:Fallback>
    </mc:AlternateContent>
    <mc:AlternateContent xmlns:mc="http://schemas.openxmlformats.org/markup-compatibility/2006">
      <mc:Choice Requires="x14">
        <oleObject progId="Equation.3" shapeId="1214" r:id="rId154">
          <objectPr defaultSize="0" r:id="rId96">
            <anchor moveWithCells="1">
              <from>
                <xdr:col>13</xdr:col>
                <xdr:colOff>95250</xdr:colOff>
                <xdr:row>702</xdr:row>
                <xdr:rowOff>9525</xdr:rowOff>
              </from>
              <to>
                <xdr:col>14</xdr:col>
                <xdr:colOff>95250</xdr:colOff>
                <xdr:row>703</xdr:row>
                <xdr:rowOff>0</xdr:rowOff>
              </to>
            </anchor>
          </objectPr>
        </oleObject>
      </mc:Choice>
      <mc:Fallback>
        <oleObject progId="Equation.3" shapeId="1214" r:id="rId154"/>
      </mc:Fallback>
    </mc:AlternateContent>
    <mc:AlternateContent xmlns:mc="http://schemas.openxmlformats.org/markup-compatibility/2006">
      <mc:Choice Requires="x14">
        <oleObject progId="Equation.3" shapeId="1215" r:id="rId155">
          <objectPr defaultSize="0" r:id="rId98">
            <anchor moveWithCells="1">
              <from>
                <xdr:col>15</xdr:col>
                <xdr:colOff>19050</xdr:colOff>
                <xdr:row>698</xdr:row>
                <xdr:rowOff>161925</xdr:rowOff>
              </from>
              <to>
                <xdr:col>18</xdr:col>
                <xdr:colOff>133350</xdr:colOff>
                <xdr:row>700</xdr:row>
                <xdr:rowOff>57150</xdr:rowOff>
              </to>
            </anchor>
          </objectPr>
        </oleObject>
      </mc:Choice>
      <mc:Fallback>
        <oleObject progId="Equation.3" shapeId="1215" r:id="rId155"/>
      </mc:Fallback>
    </mc:AlternateContent>
    <mc:AlternateContent xmlns:mc="http://schemas.openxmlformats.org/markup-compatibility/2006">
      <mc:Choice Requires="x14">
        <oleObject progId="Equation.3" shapeId="1216" r:id="rId156">
          <objectPr defaultSize="0" r:id="rId100">
            <anchor moveWithCells="1">
              <from>
                <xdr:col>11</xdr:col>
                <xdr:colOff>47625</xdr:colOff>
                <xdr:row>700</xdr:row>
                <xdr:rowOff>47625</xdr:rowOff>
              </from>
              <to>
                <xdr:col>13</xdr:col>
                <xdr:colOff>0</xdr:colOff>
                <xdr:row>701</xdr:row>
                <xdr:rowOff>171450</xdr:rowOff>
              </to>
            </anchor>
          </objectPr>
        </oleObject>
      </mc:Choice>
      <mc:Fallback>
        <oleObject progId="Equation.3" shapeId="1216" r:id="rId156"/>
      </mc:Fallback>
    </mc:AlternateContent>
    <mc:AlternateContent xmlns:mc="http://schemas.openxmlformats.org/markup-compatibility/2006">
      <mc:Choice Requires="x14">
        <oleObject progId="Equation.3" shapeId="1217" r:id="rId157">
          <objectPr defaultSize="0" r:id="rId96">
            <anchor moveWithCells="1">
              <from>
                <xdr:col>13</xdr:col>
                <xdr:colOff>95250</xdr:colOff>
                <xdr:row>702</xdr:row>
                <xdr:rowOff>9525</xdr:rowOff>
              </from>
              <to>
                <xdr:col>14</xdr:col>
                <xdr:colOff>95250</xdr:colOff>
                <xdr:row>703</xdr:row>
                <xdr:rowOff>0</xdr:rowOff>
              </to>
            </anchor>
          </objectPr>
        </oleObject>
      </mc:Choice>
      <mc:Fallback>
        <oleObject progId="Equation.3" shapeId="1217" r:id="rId157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W66"/>
  <sheetViews>
    <sheetView showGridLines="0" zoomScale="85" zoomScaleNormal="85" workbookViewId="0"/>
  </sheetViews>
  <sheetFormatPr defaultColWidth="7.77734375" defaultRowHeight="16.5" customHeight="1"/>
  <cols>
    <col min="1" max="1" width="3.77734375" style="63" customWidth="1"/>
    <col min="2" max="7" width="7.77734375" style="63"/>
    <col min="8" max="8" width="9.5546875" style="63" bestFit="1" customWidth="1"/>
    <col min="9" max="16384" width="7.77734375" style="63"/>
  </cols>
  <sheetData>
    <row r="1" spans="1:49" ht="16.5" customHeight="1">
      <c r="A1" s="289" t="s">
        <v>186</v>
      </c>
    </row>
    <row r="2" spans="1:49" ht="15" customHeight="1">
      <c r="B2" s="308" t="s">
        <v>310</v>
      </c>
      <c r="M2" s="308" t="s">
        <v>187</v>
      </c>
      <c r="R2" s="433" t="s">
        <v>681</v>
      </c>
      <c r="S2" s="432" t="s">
        <v>682</v>
      </c>
      <c r="T2" s="432" t="s">
        <v>320</v>
      </c>
      <c r="U2" s="432" t="s">
        <v>683</v>
      </c>
      <c r="V2" s="432" t="s">
        <v>134</v>
      </c>
      <c r="W2" s="432" t="s">
        <v>684</v>
      </c>
      <c r="X2" s="432" t="s">
        <v>685</v>
      </c>
      <c r="Y2" s="432" t="s">
        <v>686</v>
      </c>
      <c r="Z2" s="432" t="s">
        <v>687</v>
      </c>
    </row>
    <row r="3" spans="1:49" ht="15" customHeight="1">
      <c r="B3" s="872" t="s">
        <v>311</v>
      </c>
      <c r="C3" s="873"/>
      <c r="D3" s="309" t="s">
        <v>3</v>
      </c>
      <c r="E3" s="309" t="s">
        <v>312</v>
      </c>
      <c r="F3" s="309" t="s">
        <v>313</v>
      </c>
      <c r="G3" s="309" t="s">
        <v>314</v>
      </c>
      <c r="H3" s="309" t="s">
        <v>111</v>
      </c>
      <c r="I3" s="309" t="s">
        <v>190</v>
      </c>
      <c r="J3" s="867" t="s">
        <v>175</v>
      </c>
      <c r="K3" s="867"/>
      <c r="M3" s="106" t="s">
        <v>188</v>
      </c>
      <c r="N3" s="107" t="s">
        <v>189</v>
      </c>
      <c r="O3" s="106" t="s">
        <v>177</v>
      </c>
      <c r="P3" s="106" t="e">
        <f>AVERAGE(기본정보!F12:F13)</f>
        <v>#DIV/0!</v>
      </c>
      <c r="R3" s="432" t="s">
        <v>317</v>
      </c>
      <c r="S3" s="434">
        <f t="shared" ref="S3:S10" si="0">U3*1000</f>
        <v>1</v>
      </c>
      <c r="T3" s="434">
        <f>U3*10</f>
        <v>0.01</v>
      </c>
      <c r="U3" s="434">
        <f t="shared" ref="U3:U5" si="1">V3*1000</f>
        <v>1E-3</v>
      </c>
      <c r="V3" s="434">
        <v>9.9999999999999995E-7</v>
      </c>
      <c r="W3" s="434">
        <f t="shared" ref="W3:W10" si="2">Y3*1000</f>
        <v>1</v>
      </c>
      <c r="X3" s="434">
        <f>Y3*10</f>
        <v>0.01</v>
      </c>
      <c r="Y3" s="434">
        <f t="shared" ref="Y3:Y5" si="3">Z3*1000</f>
        <v>1E-3</v>
      </c>
      <c r="Z3" s="434">
        <v>9.9999999999999995E-7</v>
      </c>
    </row>
    <row r="4" spans="1:49" ht="15" customHeight="1">
      <c r="B4" s="870" t="e">
        <f>Calcu!L$103</f>
        <v>#N/A</v>
      </c>
      <c r="C4" s="871"/>
      <c r="D4" s="244" t="e">
        <f ca="1">OFFSET(Pressure_2_R1!B$36,MATCH($B4,Pressure_2_R1!$C$37:$C$66,0),0)</f>
        <v>#N/A</v>
      </c>
      <c r="E4" s="244" t="e">
        <f ca="1">OFFSET(Pressure_2_R1!D$36,MATCH($B4,Pressure_2_R1!$C$37:$C$66,0),0)</f>
        <v>#N/A</v>
      </c>
      <c r="F4" s="244" t="e">
        <f ca="1">OFFSET(Pressure_2_R1!L$36,MATCH($B4,Pressure_2_R1!$C$37:$C$66,0),0)</f>
        <v>#N/A</v>
      </c>
      <c r="G4" s="244" t="e">
        <f ca="1">OFFSET(Pressure_2_R1!Y$36,MATCH($B4,Pressure_2_R1!$C$37:$C$66,0),0)</f>
        <v>#N/A</v>
      </c>
      <c r="H4" s="244" t="e">
        <f ca="1">OFFSET(Pressure_2_R1!Z$36,MATCH($B4,Pressure_2_R1!$C$37:$C$66,0),0)</f>
        <v>#N/A</v>
      </c>
      <c r="I4" s="244" t="e">
        <f ca="1">OFFSET(Pressure_2_R1!AA$36,MATCH($B4,Pressure_2_R1!$C$37:$C$66,0),0)</f>
        <v>#N/A</v>
      </c>
      <c r="J4" s="244">
        <f ca="1">IF(TYPE(D4)=16,0,OFFSET(Pressure_2_R1!T$36,MATCH($B4,Pressure_2_R1!$C$37:$C$66,0),0))</f>
        <v>0</v>
      </c>
      <c r="K4" s="244" t="e">
        <f ca="1">OFFSET(Pressure_2_R1!V$36,MATCH($B4,Pressure_2_R1!$C$37:$C$66,0),0)</f>
        <v>#N/A</v>
      </c>
      <c r="M4" s="106" t="s">
        <v>178</v>
      </c>
      <c r="N4" s="107" t="s">
        <v>107</v>
      </c>
      <c r="O4" s="106" t="s">
        <v>108</v>
      </c>
      <c r="P4" s="106" t="e">
        <f>AVERAGE(기본정보!B12:B13)</f>
        <v>#DIV/0!</v>
      </c>
      <c r="R4" s="432" t="s">
        <v>320</v>
      </c>
      <c r="S4" s="434">
        <f t="shared" si="0"/>
        <v>100</v>
      </c>
      <c r="T4" s="434">
        <f t="shared" ref="T4:T10" si="4">U4*10</f>
        <v>1</v>
      </c>
      <c r="U4" s="434">
        <f t="shared" si="1"/>
        <v>0.1</v>
      </c>
      <c r="V4" s="434">
        <v>1E-4</v>
      </c>
      <c r="W4" s="434">
        <f t="shared" si="2"/>
        <v>100</v>
      </c>
      <c r="X4" s="434">
        <f t="shared" ref="X4:X10" si="5">Y4*10</f>
        <v>1</v>
      </c>
      <c r="Y4" s="434">
        <f t="shared" si="3"/>
        <v>0.1</v>
      </c>
      <c r="Z4" s="434">
        <v>1E-4</v>
      </c>
    </row>
    <row r="5" spans="1:49" ht="15" customHeight="1">
      <c r="B5" s="872" t="s">
        <v>311</v>
      </c>
      <c r="C5" s="873"/>
      <c r="D5" s="309" t="s">
        <v>3</v>
      </c>
      <c r="E5" s="309" t="s">
        <v>214</v>
      </c>
      <c r="F5" s="309" t="s">
        <v>215</v>
      </c>
      <c r="G5" s="309" t="s">
        <v>176</v>
      </c>
      <c r="J5" s="867" t="s">
        <v>172</v>
      </c>
      <c r="K5" s="867"/>
      <c r="M5" s="106" t="s">
        <v>179</v>
      </c>
      <c r="N5" s="107" t="s">
        <v>180</v>
      </c>
      <c r="O5" s="106" t="s">
        <v>191</v>
      </c>
      <c r="P5" s="106" t="e">
        <f>AVERAGE(기본정보!D12:D13)</f>
        <v>#DIV/0!</v>
      </c>
      <c r="R5" s="432" t="s">
        <v>683</v>
      </c>
      <c r="S5" s="434">
        <f t="shared" si="0"/>
        <v>1000</v>
      </c>
      <c r="T5" s="434">
        <f t="shared" si="4"/>
        <v>10</v>
      </c>
      <c r="U5" s="434">
        <f t="shared" si="1"/>
        <v>1</v>
      </c>
      <c r="V5" s="434">
        <v>1E-3</v>
      </c>
      <c r="W5" s="434">
        <f t="shared" si="2"/>
        <v>1000</v>
      </c>
      <c r="X5" s="434">
        <f t="shared" si="5"/>
        <v>10</v>
      </c>
      <c r="Y5" s="434">
        <f t="shared" si="3"/>
        <v>1</v>
      </c>
      <c r="Z5" s="434">
        <v>1E-3</v>
      </c>
    </row>
    <row r="6" spans="1:49" ht="15" customHeight="1">
      <c r="B6" s="870" t="e">
        <f>Calcu!M$103</f>
        <v>#N/A</v>
      </c>
      <c r="C6" s="871"/>
      <c r="D6" s="244" t="e">
        <f ca="1">OFFSET(Pressure_2_R1!B$36,MATCH($B6,Pressure_2_R1!$C$37:$C$66,0),0)</f>
        <v>#N/A</v>
      </c>
      <c r="E6" s="244" t="e">
        <f ca="1">OFFSET(Pressure_2_R1!AA$36,MATCH($B6,Pressure_2_R1!$C$37:$C$66,0),0)</f>
        <v>#N/A</v>
      </c>
      <c r="F6" s="244" t="e">
        <f ca="1">OFFSET(Pressure_2_R1!AB$36,MATCH($B6,Pressure_2_R1!$C$37:$C$66,0),0)</f>
        <v>#N/A</v>
      </c>
      <c r="G6" s="244" t="e">
        <f ca="1">OFFSET(Pressure_2_R1!Z$36,MATCH($B6,Pressure_2_R1!$C$37:$C$66,0),0)</f>
        <v>#N/A</v>
      </c>
      <c r="J6" s="244">
        <f ca="1">IF(TYPE(D6)=16,0,OFFSET(Pressure_2_R1!T$36,MATCH($B6,Pressure_2_R1!$C$37:$C$66,0),0))</f>
        <v>0</v>
      </c>
      <c r="K6" s="244" t="e">
        <f ca="1">OFFSET(Pressure_2_R1!V$36,MATCH($B6,Pressure_2_R1!$C$37:$C$66,0),0)</f>
        <v>#N/A</v>
      </c>
      <c r="M6" s="108" t="s">
        <v>109</v>
      </c>
      <c r="N6" s="109" t="s">
        <v>181</v>
      </c>
      <c r="O6" s="108" t="s">
        <v>110</v>
      </c>
      <c r="P6" s="108" t="e">
        <f>(0.348445*P3-P5*(0.00252*P4-0.020582))/(P4+273.15)</f>
        <v>#DIV/0!</v>
      </c>
      <c r="R6" s="432" t="s">
        <v>688</v>
      </c>
      <c r="S6" s="434">
        <f t="shared" si="0"/>
        <v>1000000</v>
      </c>
      <c r="T6" s="434">
        <f t="shared" si="4"/>
        <v>10000</v>
      </c>
      <c r="U6" s="434">
        <f>V6*1000</f>
        <v>1000</v>
      </c>
      <c r="V6" s="434">
        <v>1</v>
      </c>
      <c r="W6" s="434">
        <f t="shared" si="2"/>
        <v>1000000</v>
      </c>
      <c r="X6" s="434">
        <f t="shared" si="5"/>
        <v>10000</v>
      </c>
      <c r="Y6" s="434">
        <f>Z6*1000</f>
        <v>1000</v>
      </c>
      <c r="Z6" s="434">
        <v>1</v>
      </c>
    </row>
    <row r="7" spans="1:49" ht="15" customHeight="1" thickBot="1">
      <c r="B7" s="870" t="e">
        <f>Calcu!N$103</f>
        <v>#N/A</v>
      </c>
      <c r="C7" s="871"/>
      <c r="D7" s="244" t="e">
        <f ca="1">OFFSET(Pressure_2_R1!B$36,MATCH($B7,Pressure_2_R1!$C$37:$C$66,0),0)</f>
        <v>#N/A</v>
      </c>
      <c r="E7" s="244" t="e">
        <f ca="1">OFFSET(Pressure_2_R1!AA$36,MATCH($B7,Pressure_2_R1!$C$37:$C$66,0),0)</f>
        <v>#N/A</v>
      </c>
      <c r="F7" s="244" t="e">
        <f ca="1">OFFSET(Pressure_2_R1!AB$36,MATCH($B7,Pressure_2_R1!$C$37:$C$66,0),0)</f>
        <v>#N/A</v>
      </c>
      <c r="G7" s="244" t="e">
        <f ca="1">OFFSET(Pressure_2_R1!Z$36,MATCH($B7,Pressure_2_R1!$C$37:$C$66,0),0)</f>
        <v>#N/A</v>
      </c>
      <c r="J7" s="244">
        <f ca="1">IF(TYPE(D7)=16,0,OFFSET(Pressure_2_R1!T$36,MATCH($B7,Pressure_2_R1!$C$37:$C$66,0),0))</f>
        <v>0</v>
      </c>
      <c r="K7" s="244" t="e">
        <f ca="1">OFFSET(Pressure_2_R1!V$36,MATCH($B7,Pressure_2_R1!$C$37:$C$66,0),0)</f>
        <v>#N/A</v>
      </c>
      <c r="L7" s="241"/>
      <c r="R7" s="432" t="s">
        <v>684</v>
      </c>
      <c r="S7" s="434">
        <f t="shared" si="0"/>
        <v>1</v>
      </c>
      <c r="T7" s="434">
        <f t="shared" si="4"/>
        <v>0.01</v>
      </c>
      <c r="U7" s="434">
        <f t="shared" ref="U7:U9" si="6">V7*1000</f>
        <v>1E-3</v>
      </c>
      <c r="V7" s="434">
        <v>9.9999999999999995E-7</v>
      </c>
      <c r="W7" s="434">
        <f t="shared" si="2"/>
        <v>1</v>
      </c>
      <c r="X7" s="434">
        <f t="shared" si="5"/>
        <v>0.01</v>
      </c>
      <c r="Y7" s="434">
        <f t="shared" ref="Y7:Y9" si="7">Z7*1000</f>
        <v>1E-3</v>
      </c>
      <c r="Z7" s="434">
        <v>9.9999999999999995E-7</v>
      </c>
    </row>
    <row r="8" spans="1:49" ht="15" customHeight="1" thickBot="1">
      <c r="H8" s="241"/>
      <c r="I8" s="241"/>
      <c r="J8" s="241"/>
      <c r="M8" s="75" t="s">
        <v>319</v>
      </c>
      <c r="N8" s="75" t="s">
        <v>321</v>
      </c>
      <c r="O8" s="290" t="s">
        <v>309</v>
      </c>
      <c r="R8" s="432" t="s">
        <v>685</v>
      </c>
      <c r="S8" s="434">
        <f t="shared" si="0"/>
        <v>100</v>
      </c>
      <c r="T8" s="434">
        <f t="shared" si="4"/>
        <v>1</v>
      </c>
      <c r="U8" s="434">
        <f t="shared" si="6"/>
        <v>0.1</v>
      </c>
      <c r="V8" s="434">
        <v>1E-4</v>
      </c>
      <c r="W8" s="434">
        <f t="shared" si="2"/>
        <v>100</v>
      </c>
      <c r="X8" s="434">
        <f t="shared" si="5"/>
        <v>1</v>
      </c>
      <c r="Y8" s="434">
        <f t="shared" si="7"/>
        <v>0.1</v>
      </c>
      <c r="Z8" s="434">
        <v>1E-4</v>
      </c>
    </row>
    <row r="9" spans="1:49" ht="15" customHeight="1" thickBot="1">
      <c r="H9" s="241"/>
      <c r="I9" s="241"/>
      <c r="J9" s="241"/>
      <c r="M9" s="317" t="e">
        <f ca="1">OFFSET(R2,MATCH(E13,R3:R10,0),MATCH(F13,S2:Z2,0))</f>
        <v>#N/A</v>
      </c>
      <c r="N9" s="317">
        <f>Calcu!I$103</f>
        <v>0</v>
      </c>
      <c r="O9" s="291">
        <v>5</v>
      </c>
      <c r="R9" s="432" t="s">
        <v>689</v>
      </c>
      <c r="S9" s="434">
        <f t="shared" si="0"/>
        <v>1000</v>
      </c>
      <c r="T9" s="434">
        <f t="shared" si="4"/>
        <v>10</v>
      </c>
      <c r="U9" s="434">
        <f t="shared" si="6"/>
        <v>1</v>
      </c>
      <c r="V9" s="434">
        <v>1E-3</v>
      </c>
      <c r="W9" s="434">
        <f t="shared" si="2"/>
        <v>1000</v>
      </c>
      <c r="X9" s="434">
        <f t="shared" si="5"/>
        <v>10</v>
      </c>
      <c r="Y9" s="434">
        <f t="shared" si="7"/>
        <v>1</v>
      </c>
      <c r="Z9" s="434">
        <v>1E-3</v>
      </c>
    </row>
    <row r="10" spans="1:49" ht="15" customHeight="1">
      <c r="H10" s="241"/>
      <c r="I10" s="241"/>
      <c r="J10" s="241"/>
      <c r="R10" s="432" t="s">
        <v>690</v>
      </c>
      <c r="S10" s="434">
        <f t="shared" si="0"/>
        <v>1000000</v>
      </c>
      <c r="T10" s="434">
        <f t="shared" si="4"/>
        <v>10000</v>
      </c>
      <c r="U10" s="434">
        <f>V10*1000</f>
        <v>1000</v>
      </c>
      <c r="V10" s="434">
        <v>1</v>
      </c>
      <c r="W10" s="434">
        <f t="shared" si="2"/>
        <v>1000000</v>
      </c>
      <c r="X10" s="434">
        <f t="shared" si="5"/>
        <v>10000</v>
      </c>
      <c r="Y10" s="434">
        <f>Z10*1000</f>
        <v>1000</v>
      </c>
      <c r="Z10" s="434">
        <v>1</v>
      </c>
    </row>
    <row r="11" spans="1:49" ht="15" customHeight="1">
      <c r="B11" s="308" t="s">
        <v>299</v>
      </c>
      <c r="H11" s="241"/>
      <c r="I11" s="241"/>
      <c r="J11" s="241"/>
    </row>
    <row r="12" spans="1:49" ht="15" customHeight="1" thickBot="1">
      <c r="B12" s="64" t="s">
        <v>316</v>
      </c>
      <c r="C12" s="64" t="s">
        <v>196</v>
      </c>
      <c r="E12" s="64" t="s">
        <v>318</v>
      </c>
      <c r="H12" s="151" t="s">
        <v>304</v>
      </c>
      <c r="I12" s="65"/>
      <c r="J12" s="64"/>
      <c r="K12" s="65"/>
      <c r="L12" s="310" t="s">
        <v>315</v>
      </c>
      <c r="M12" s="65"/>
      <c r="N12" s="65"/>
      <c r="O12" s="65"/>
      <c r="P12" s="65"/>
      <c r="Q12" s="65"/>
      <c r="R12" s="65"/>
      <c r="S12" s="65"/>
      <c r="T12" s="64" t="s">
        <v>193</v>
      </c>
      <c r="U12" s="65"/>
      <c r="V12" s="65"/>
      <c r="W12" s="65"/>
      <c r="X12" s="65"/>
      <c r="Y12" s="65"/>
      <c r="Z12" s="64" t="s">
        <v>194</v>
      </c>
      <c r="AA12" s="64" t="s">
        <v>195</v>
      </c>
      <c r="AB12" s="65"/>
      <c r="AC12" s="65"/>
      <c r="AD12" s="65"/>
      <c r="AE12" s="65"/>
      <c r="AF12" s="64" t="s">
        <v>196</v>
      </c>
      <c r="AG12" s="65"/>
      <c r="AH12" s="308" t="s">
        <v>192</v>
      </c>
    </row>
    <row r="13" spans="1:49" ht="15" customHeight="1">
      <c r="B13" s="73">
        <f>Pressure_2_R1!F4</f>
        <v>0</v>
      </c>
      <c r="C13" s="85">
        <f>B13</f>
        <v>0</v>
      </c>
      <c r="E13" s="85" t="e">
        <f ca="1">IF(TYPE(P65)=16,IF(E14=J6,K6,K7),Q65)</f>
        <v>#N/A</v>
      </c>
      <c r="F13" s="75">
        <f>C13</f>
        <v>0</v>
      </c>
      <c r="H13" s="73" t="s">
        <v>146</v>
      </c>
      <c r="I13" s="74" t="s">
        <v>147</v>
      </c>
      <c r="J13" s="85" t="s">
        <v>213</v>
      </c>
      <c r="K13" s="65"/>
      <c r="L13" s="73" t="s">
        <v>197</v>
      </c>
      <c r="M13" s="74" t="s">
        <v>198</v>
      </c>
      <c r="N13" s="74" t="s">
        <v>199</v>
      </c>
      <c r="O13" s="74" t="s">
        <v>200</v>
      </c>
      <c r="P13" s="74" t="s">
        <v>201</v>
      </c>
      <c r="Q13" s="74" t="s">
        <v>202</v>
      </c>
      <c r="R13" s="74" t="s">
        <v>203</v>
      </c>
      <c r="S13" s="75" t="s">
        <v>204</v>
      </c>
      <c r="T13" s="73" t="s">
        <v>205</v>
      </c>
      <c r="U13" s="74" t="s">
        <v>206</v>
      </c>
      <c r="V13" s="74" t="s">
        <v>185</v>
      </c>
      <c r="W13" s="79" t="s">
        <v>207</v>
      </c>
      <c r="X13" s="74" t="s">
        <v>208</v>
      </c>
      <c r="Y13" s="75" t="s">
        <v>209</v>
      </c>
      <c r="Z13" s="85" t="s">
        <v>194</v>
      </c>
      <c r="AA13" s="73" t="s">
        <v>210</v>
      </c>
      <c r="AB13" s="74" t="s">
        <v>199</v>
      </c>
      <c r="AC13" s="79" t="s">
        <v>198</v>
      </c>
      <c r="AD13" s="74" t="s">
        <v>211</v>
      </c>
      <c r="AE13" s="75" t="s">
        <v>212</v>
      </c>
      <c r="AF13" s="85" t="s">
        <v>213</v>
      </c>
      <c r="AG13" s="65"/>
      <c r="AH13" s="73" t="s">
        <v>303</v>
      </c>
      <c r="AI13" s="74" t="s">
        <v>303</v>
      </c>
      <c r="AJ13" s="74" t="s">
        <v>303</v>
      </c>
      <c r="AK13" s="74" t="s">
        <v>303</v>
      </c>
      <c r="AL13" s="74" t="s">
        <v>303</v>
      </c>
      <c r="AM13" s="74" t="s">
        <v>303</v>
      </c>
      <c r="AN13" s="74" t="s">
        <v>303</v>
      </c>
      <c r="AO13" s="74" t="s">
        <v>303</v>
      </c>
      <c r="AP13" s="74" t="s">
        <v>303</v>
      </c>
      <c r="AQ13" s="74" t="s">
        <v>303</v>
      </c>
      <c r="AR13" s="74" t="s">
        <v>303</v>
      </c>
      <c r="AS13" s="74" t="s">
        <v>303</v>
      </c>
      <c r="AT13" s="74" t="s">
        <v>303</v>
      </c>
      <c r="AU13" s="74" t="s">
        <v>303</v>
      </c>
      <c r="AV13" s="74" t="s">
        <v>303</v>
      </c>
      <c r="AW13" s="75" t="s">
        <v>303</v>
      </c>
    </row>
    <row r="14" spans="1:49" ht="15" customHeight="1">
      <c r="B14" s="76">
        <f>Pressure_2_R1!D4</f>
        <v>0</v>
      </c>
      <c r="C14" s="299">
        <f t="shared" ref="C14:C43" si="8">IF(TYPE(J14)=16,AF14,J14)</f>
        <v>0</v>
      </c>
      <c r="E14" s="316">
        <f ca="1">IF(TYPE(P65)=16,MAX(J6:J7),ROUND(P65,V56))</f>
        <v>0</v>
      </c>
      <c r="F14" s="315" t="e">
        <f ca="1">IF(E13="% of Reading",C14*E14%,IF(E13="% of F.S",MAX(C14:C43)*E14%,E14*M9))</f>
        <v>#N/A</v>
      </c>
      <c r="H14" s="298">
        <f>IF(B14=0,0,IF(B14&lt;0,IF(OR(N9="20409-0",N9="20412-1"),E6,E7),E6))</f>
        <v>0</v>
      </c>
      <c r="I14" s="152">
        <f>IF(B14=0,0,IF(B14&lt;0,IF(OR(N9="20409-0",N9="20412-1"),F6,F7),F6))</f>
        <v>0</v>
      </c>
      <c r="J14" s="327">
        <f>IF(OR(N9="20409-0",N9="20412-1"),(H14*ABS(B14)+I14)*SIGN(B14),H14*B14+I14)</f>
        <v>0</v>
      </c>
      <c r="K14" s="65"/>
      <c r="L14" s="76">
        <f t="shared" ref="L14:L43" si="9">SUM(AH14:AW14)</f>
        <v>0</v>
      </c>
      <c r="M14" s="292">
        <v>9.7989820000000005</v>
      </c>
      <c r="N14" s="110" t="e">
        <f>P6</f>
        <v>#DIV/0!</v>
      </c>
      <c r="O14" s="292">
        <v>8000</v>
      </c>
      <c r="P14" s="292">
        <v>1</v>
      </c>
      <c r="Q14" s="111">
        <f>IF(MAX(B14:B43)&lt;=O9,0,0.031)</f>
        <v>0</v>
      </c>
      <c r="R14" s="111" t="e">
        <f ca="1">SQRT(4*PI()*T14)</f>
        <v>#N/A</v>
      </c>
      <c r="S14" s="293" t="e">
        <f t="shared" ref="S14:S43" ca="1" si="10">L14*M14*(1-N14/O14)*P14+Q14*R14</f>
        <v>#DIV/0!</v>
      </c>
      <c r="T14" s="294" t="e">
        <f ca="1">G4</f>
        <v>#N/A</v>
      </c>
      <c r="U14" s="110" t="e">
        <f ca="1">H4</f>
        <v>#N/A</v>
      </c>
      <c r="V14" s="295" t="e">
        <f t="shared" ref="V14:V43" ca="1" si="11">S14/T14/10^6</f>
        <v>#DIV/0!</v>
      </c>
      <c r="W14" s="292">
        <v>9.0000000000000002E-6</v>
      </c>
      <c r="X14" s="112" t="e">
        <f ca="1">P4-I4</f>
        <v>#DIV/0!</v>
      </c>
      <c r="Y14" s="81" t="e">
        <f t="shared" ref="Y14:Y43" ca="1" si="12">T14*(1+U14*V14)*(1+(W14*X14))</f>
        <v>#N/A</v>
      </c>
      <c r="Z14" s="296" t="e">
        <f t="shared" ref="Z14:Z43" ca="1" si="13">S14/Y14/10^6</f>
        <v>#DIV/0!</v>
      </c>
      <c r="AA14" s="80" t="e">
        <f t="shared" ref="AA14:AA43" ca="1" si="14">IF(MAX(B$14:B$43)&lt;=O$9,(3.3694*10^-3*Z14)/(273.15+P$4),912.7+0.752*Z14-1.645*10^-3*Z14^2+1.456*10^-6*Z14^3)</f>
        <v>#DIV/0!</v>
      </c>
      <c r="AB14" s="112" t="e">
        <f t="shared" ref="AB14:AB43" si="15">N14</f>
        <v>#DIV/0!</v>
      </c>
      <c r="AC14" s="112">
        <f t="shared" ref="AC14:AC43" si="16">M14</f>
        <v>9.7989820000000005</v>
      </c>
      <c r="AD14" s="150">
        <v>0.03</v>
      </c>
      <c r="AE14" s="86">
        <f t="shared" ref="AE14:AE43" si="17">IF(B14=0,0,(AA14-AB14)*AC14*AD14)</f>
        <v>0</v>
      </c>
      <c r="AF14" s="297" t="e">
        <f t="shared" ref="AF14:AF43" ca="1" si="18">Z14+AE14/10^6</f>
        <v>#DIV/0!</v>
      </c>
      <c r="AG14" s="65"/>
      <c r="AH14" s="66">
        <f>Pressure_2_R1!A70</f>
        <v>0</v>
      </c>
      <c r="AI14" s="95">
        <f>Pressure_2_R1!B70</f>
        <v>0</v>
      </c>
      <c r="AJ14" s="95">
        <f>Pressure_2_R1!C70</f>
        <v>0</v>
      </c>
      <c r="AK14" s="95">
        <f>Pressure_2_R1!D70</f>
        <v>0</v>
      </c>
      <c r="AL14" s="95">
        <f>Pressure_2_R1!E70</f>
        <v>0</v>
      </c>
      <c r="AM14" s="95">
        <f>Pressure_2_R1!F70</f>
        <v>0</v>
      </c>
      <c r="AN14" s="95">
        <f>Pressure_2_R1!G70</f>
        <v>0</v>
      </c>
      <c r="AO14" s="95">
        <f>Pressure_2_R1!H70</f>
        <v>0</v>
      </c>
      <c r="AP14" s="95">
        <f>Pressure_2_R1!I70</f>
        <v>0</v>
      </c>
      <c r="AQ14" s="95">
        <f>Pressure_2_R1!J70</f>
        <v>0</v>
      </c>
      <c r="AR14" s="95">
        <f>Pressure_2_R1!K70</f>
        <v>0</v>
      </c>
      <c r="AS14" s="95">
        <f>Pressure_2_R1!L70</f>
        <v>0</v>
      </c>
      <c r="AT14" s="95">
        <f>Pressure_2_R1!M70</f>
        <v>0</v>
      </c>
      <c r="AU14" s="95">
        <f>Pressure_2_R1!N70</f>
        <v>0</v>
      </c>
      <c r="AV14" s="95">
        <f>Pressure_2_R1!O70</f>
        <v>0</v>
      </c>
      <c r="AW14" s="67">
        <f>Pressure_2_R1!P70</f>
        <v>0</v>
      </c>
    </row>
    <row r="15" spans="1:49" ht="15" customHeight="1">
      <c r="B15" s="76">
        <f>Pressure_2_R1!D5</f>
        <v>0</v>
      </c>
      <c r="C15" s="299">
        <f t="shared" si="8"/>
        <v>0</v>
      </c>
      <c r="E15" s="316">
        <f ca="1">IF(TYPE(P65)=16,MAX(J6:J7),ROUND(P65,V56))</f>
        <v>0</v>
      </c>
      <c r="F15" s="315" t="e">
        <f ca="1">IF(E13="% of Reading",C15*E15%,IF(E13="% of F.S",MAX(C14:C43)*E15%,E15*M9))</f>
        <v>#N/A</v>
      </c>
      <c r="H15" s="298">
        <f>IF(B15=0,0,IF(B15&lt;0,IF(OR(N9="20409-0",N9="20412-1"),E6,E7),E6))</f>
        <v>0</v>
      </c>
      <c r="I15" s="152">
        <f>IF(B15=0,0,IF(B15&lt;0,IF(OR(N9="20409-0",N9="20412-1"),F6,F7),F6))</f>
        <v>0</v>
      </c>
      <c r="J15" s="327">
        <f>IF(OR(N9="20409-0",N9="20412-1"),(H15*ABS(B15)+I15)*SIGN(B15),H15*B15+I15)</f>
        <v>0</v>
      </c>
      <c r="K15" s="65"/>
      <c r="L15" s="76">
        <f t="shared" si="9"/>
        <v>0</v>
      </c>
      <c r="M15" s="111">
        <f t="shared" ref="M15:M43" si="19">M14</f>
        <v>9.7989820000000005</v>
      </c>
      <c r="N15" s="111" t="e">
        <f t="shared" ref="N15:N43" si="20">N14</f>
        <v>#DIV/0!</v>
      </c>
      <c r="O15" s="111">
        <f t="shared" ref="O15:O43" si="21">O14</f>
        <v>8000</v>
      </c>
      <c r="P15" s="111">
        <f t="shared" ref="P15:P43" si="22">P14</f>
        <v>1</v>
      </c>
      <c r="Q15" s="111">
        <f t="shared" ref="Q15:Q43" si="23">Q14</f>
        <v>0</v>
      </c>
      <c r="R15" s="111" t="e">
        <f t="shared" ref="R15:R43" ca="1" si="24">R14</f>
        <v>#N/A</v>
      </c>
      <c r="S15" s="293" t="e">
        <f t="shared" ca="1" si="10"/>
        <v>#DIV/0!</v>
      </c>
      <c r="T15" s="80" t="e">
        <f t="shared" ref="T15:T43" ca="1" si="25">T14</f>
        <v>#N/A</v>
      </c>
      <c r="U15" s="112" t="e">
        <f t="shared" ref="U15:U43" ca="1" si="26">U14</f>
        <v>#N/A</v>
      </c>
      <c r="V15" s="295" t="e">
        <f t="shared" ca="1" si="11"/>
        <v>#DIV/0!</v>
      </c>
      <c r="W15" s="112">
        <f t="shared" ref="W15:W43" si="27">W14</f>
        <v>9.0000000000000002E-6</v>
      </c>
      <c r="X15" s="112" t="e">
        <f t="shared" ref="X15:X43" ca="1" si="28">X14</f>
        <v>#DIV/0!</v>
      </c>
      <c r="Y15" s="81" t="e">
        <f t="shared" ca="1" si="12"/>
        <v>#N/A</v>
      </c>
      <c r="Z15" s="296" t="e">
        <f t="shared" ca="1" si="13"/>
        <v>#DIV/0!</v>
      </c>
      <c r="AA15" s="80" t="e">
        <f t="shared" ca="1" si="14"/>
        <v>#DIV/0!</v>
      </c>
      <c r="AB15" s="112" t="e">
        <f t="shared" si="15"/>
        <v>#DIV/0!</v>
      </c>
      <c r="AC15" s="112">
        <f t="shared" si="16"/>
        <v>9.7989820000000005</v>
      </c>
      <c r="AD15" s="112">
        <f t="shared" ref="AD15:AD43" si="29">AD14</f>
        <v>0.03</v>
      </c>
      <c r="AE15" s="86">
        <f t="shared" si="17"/>
        <v>0</v>
      </c>
      <c r="AF15" s="297" t="e">
        <f t="shared" ca="1" si="18"/>
        <v>#DIV/0!</v>
      </c>
      <c r="AG15" s="65"/>
      <c r="AH15" s="68">
        <f>Pressure_2_R1!A71</f>
        <v>0</v>
      </c>
      <c r="AI15" s="94">
        <f>Pressure_2_R1!B71</f>
        <v>0</v>
      </c>
      <c r="AJ15" s="94">
        <f>Pressure_2_R1!C71</f>
        <v>0</v>
      </c>
      <c r="AK15" s="94">
        <f>Pressure_2_R1!D71</f>
        <v>0</v>
      </c>
      <c r="AL15" s="94">
        <f>Pressure_2_R1!E71</f>
        <v>0</v>
      </c>
      <c r="AM15" s="94">
        <f>Pressure_2_R1!F71</f>
        <v>0</v>
      </c>
      <c r="AN15" s="94">
        <f>Pressure_2_R1!G71</f>
        <v>0</v>
      </c>
      <c r="AO15" s="94">
        <f>Pressure_2_R1!H71</f>
        <v>0</v>
      </c>
      <c r="AP15" s="94">
        <f>Pressure_2_R1!I71</f>
        <v>0</v>
      </c>
      <c r="AQ15" s="94">
        <f>Pressure_2_R1!J71</f>
        <v>0</v>
      </c>
      <c r="AR15" s="94">
        <f>Pressure_2_R1!K71</f>
        <v>0</v>
      </c>
      <c r="AS15" s="94">
        <f>Pressure_2_R1!L71</f>
        <v>0</v>
      </c>
      <c r="AT15" s="94">
        <f>Pressure_2_R1!M71</f>
        <v>0</v>
      </c>
      <c r="AU15" s="94">
        <f>Pressure_2_R1!N71</f>
        <v>0</v>
      </c>
      <c r="AV15" s="94">
        <f>Pressure_2_R1!O71</f>
        <v>0</v>
      </c>
      <c r="AW15" s="69">
        <f>Pressure_2_R1!P71</f>
        <v>0</v>
      </c>
    </row>
    <row r="16" spans="1:49" ht="15" customHeight="1">
      <c r="B16" s="76">
        <f>Pressure_2_R1!D6</f>
        <v>0</v>
      </c>
      <c r="C16" s="299">
        <f t="shared" si="8"/>
        <v>0</v>
      </c>
      <c r="E16" s="316">
        <f ca="1">IF(TYPE(P65)=16,MAX(J6:J7),ROUND(P65,V56))</f>
        <v>0</v>
      </c>
      <c r="F16" s="315" t="e">
        <f ca="1">IF(E13="% of Reading",C16*E16%,IF(E13="% of F.S",MAX(C14:C43)*E16%,E16*M9))</f>
        <v>#N/A</v>
      </c>
      <c r="H16" s="298">
        <f>IF(B16=0,0,IF(B16&lt;0,IF(OR(N9="20409-0",N9="20412-1"),E6,E7),E6))</f>
        <v>0</v>
      </c>
      <c r="I16" s="152">
        <f>IF(B16=0,0,IF(B16&lt;0,IF(OR(N9="20409-0",N9="20412-1"),F6,F7),F6))</f>
        <v>0</v>
      </c>
      <c r="J16" s="327">
        <f>IF(OR(N9="20409-0",N9="20412-1"),(H16*ABS(B16)+I16)*SIGN(B16),H16*B16+I16)</f>
        <v>0</v>
      </c>
      <c r="K16" s="65"/>
      <c r="L16" s="76">
        <f t="shared" si="9"/>
        <v>0</v>
      </c>
      <c r="M16" s="111">
        <f t="shared" si="19"/>
        <v>9.7989820000000005</v>
      </c>
      <c r="N16" s="111" t="e">
        <f t="shared" si="20"/>
        <v>#DIV/0!</v>
      </c>
      <c r="O16" s="111">
        <f t="shared" si="21"/>
        <v>8000</v>
      </c>
      <c r="P16" s="111">
        <f t="shared" si="22"/>
        <v>1</v>
      </c>
      <c r="Q16" s="111">
        <f t="shared" si="23"/>
        <v>0</v>
      </c>
      <c r="R16" s="111" t="e">
        <f t="shared" ca="1" si="24"/>
        <v>#N/A</v>
      </c>
      <c r="S16" s="293" t="e">
        <f t="shared" ca="1" si="10"/>
        <v>#DIV/0!</v>
      </c>
      <c r="T16" s="80" t="e">
        <f t="shared" ca="1" si="25"/>
        <v>#N/A</v>
      </c>
      <c r="U16" s="112" t="e">
        <f t="shared" ca="1" si="26"/>
        <v>#N/A</v>
      </c>
      <c r="V16" s="295" t="e">
        <f t="shared" ca="1" si="11"/>
        <v>#DIV/0!</v>
      </c>
      <c r="W16" s="112">
        <f t="shared" si="27"/>
        <v>9.0000000000000002E-6</v>
      </c>
      <c r="X16" s="112" t="e">
        <f t="shared" ca="1" si="28"/>
        <v>#DIV/0!</v>
      </c>
      <c r="Y16" s="81" t="e">
        <f t="shared" ca="1" si="12"/>
        <v>#N/A</v>
      </c>
      <c r="Z16" s="296" t="e">
        <f t="shared" ca="1" si="13"/>
        <v>#DIV/0!</v>
      </c>
      <c r="AA16" s="80" t="e">
        <f t="shared" ca="1" si="14"/>
        <v>#DIV/0!</v>
      </c>
      <c r="AB16" s="112" t="e">
        <f t="shared" si="15"/>
        <v>#DIV/0!</v>
      </c>
      <c r="AC16" s="112">
        <f t="shared" si="16"/>
        <v>9.7989820000000005</v>
      </c>
      <c r="AD16" s="112">
        <f t="shared" si="29"/>
        <v>0.03</v>
      </c>
      <c r="AE16" s="86">
        <f t="shared" si="17"/>
        <v>0</v>
      </c>
      <c r="AF16" s="297" t="e">
        <f t="shared" ca="1" si="18"/>
        <v>#DIV/0!</v>
      </c>
      <c r="AG16" s="65"/>
      <c r="AH16" s="66">
        <f>Pressure_2_R1!A72</f>
        <v>0</v>
      </c>
      <c r="AI16" s="95">
        <f>Pressure_2_R1!B72</f>
        <v>0</v>
      </c>
      <c r="AJ16" s="95">
        <f>Pressure_2_R1!C72</f>
        <v>0</v>
      </c>
      <c r="AK16" s="95">
        <f>Pressure_2_R1!D72</f>
        <v>0</v>
      </c>
      <c r="AL16" s="95">
        <f>Pressure_2_R1!E72</f>
        <v>0</v>
      </c>
      <c r="AM16" s="95">
        <f>Pressure_2_R1!F72</f>
        <v>0</v>
      </c>
      <c r="AN16" s="95">
        <f>Pressure_2_R1!G72</f>
        <v>0</v>
      </c>
      <c r="AO16" s="95">
        <f>Pressure_2_R1!H72</f>
        <v>0</v>
      </c>
      <c r="AP16" s="95">
        <f>Pressure_2_R1!I72</f>
        <v>0</v>
      </c>
      <c r="AQ16" s="95">
        <f>Pressure_2_R1!J72</f>
        <v>0</v>
      </c>
      <c r="AR16" s="95">
        <f>Pressure_2_R1!K72</f>
        <v>0</v>
      </c>
      <c r="AS16" s="95">
        <f>Pressure_2_R1!L72</f>
        <v>0</v>
      </c>
      <c r="AT16" s="95">
        <f>Pressure_2_R1!M72</f>
        <v>0</v>
      </c>
      <c r="AU16" s="95">
        <f>Pressure_2_R1!N72</f>
        <v>0</v>
      </c>
      <c r="AV16" s="95">
        <f>Pressure_2_R1!O72</f>
        <v>0</v>
      </c>
      <c r="AW16" s="67">
        <f>Pressure_2_R1!P72</f>
        <v>0</v>
      </c>
    </row>
    <row r="17" spans="2:49" ht="15" customHeight="1">
      <c r="B17" s="76">
        <f>Pressure_2_R1!D7</f>
        <v>0</v>
      </c>
      <c r="C17" s="299">
        <f t="shared" si="8"/>
        <v>0</v>
      </c>
      <c r="E17" s="316">
        <f ca="1">IF(TYPE(P65)=16,MAX(J6:J7),ROUND(P65,V56))</f>
        <v>0</v>
      </c>
      <c r="F17" s="315" t="e">
        <f ca="1">IF(E13="% of Reading",C17*E17%,IF(E13="% of F.S",MAX(C14:C43)*E17%,E17*M9))</f>
        <v>#N/A</v>
      </c>
      <c r="H17" s="298">
        <f>IF(B17=0,0,IF(B17&lt;0,IF(OR(N9="20409-0",N9="20412-1"),E6,E7),E6))</f>
        <v>0</v>
      </c>
      <c r="I17" s="152">
        <f>IF(B17=0,0,IF(B17&lt;0,IF(OR(N9="20409-0",N9="20412-1"),F6,F7),F6))</f>
        <v>0</v>
      </c>
      <c r="J17" s="327">
        <f>IF(OR(N9="20409-0",N9="20412-1"),(H17*ABS(B17)+I17)*SIGN(B17),H17*B17+I17)</f>
        <v>0</v>
      </c>
      <c r="K17" s="65"/>
      <c r="L17" s="76">
        <f t="shared" si="9"/>
        <v>0</v>
      </c>
      <c r="M17" s="111">
        <f t="shared" si="19"/>
        <v>9.7989820000000005</v>
      </c>
      <c r="N17" s="111" t="e">
        <f t="shared" si="20"/>
        <v>#DIV/0!</v>
      </c>
      <c r="O17" s="111">
        <f t="shared" si="21"/>
        <v>8000</v>
      </c>
      <c r="P17" s="111">
        <f t="shared" si="22"/>
        <v>1</v>
      </c>
      <c r="Q17" s="111">
        <f t="shared" si="23"/>
        <v>0</v>
      </c>
      <c r="R17" s="111" t="e">
        <f t="shared" ca="1" si="24"/>
        <v>#N/A</v>
      </c>
      <c r="S17" s="293" t="e">
        <f t="shared" ca="1" si="10"/>
        <v>#DIV/0!</v>
      </c>
      <c r="T17" s="80" t="e">
        <f t="shared" ca="1" si="25"/>
        <v>#N/A</v>
      </c>
      <c r="U17" s="112" t="e">
        <f t="shared" ca="1" si="26"/>
        <v>#N/A</v>
      </c>
      <c r="V17" s="295" t="e">
        <f t="shared" ca="1" si="11"/>
        <v>#DIV/0!</v>
      </c>
      <c r="W17" s="112">
        <f t="shared" si="27"/>
        <v>9.0000000000000002E-6</v>
      </c>
      <c r="X17" s="112" t="e">
        <f t="shared" ca="1" si="28"/>
        <v>#DIV/0!</v>
      </c>
      <c r="Y17" s="81" t="e">
        <f t="shared" ca="1" si="12"/>
        <v>#N/A</v>
      </c>
      <c r="Z17" s="296" t="e">
        <f t="shared" ca="1" si="13"/>
        <v>#DIV/0!</v>
      </c>
      <c r="AA17" s="80" t="e">
        <f t="shared" ca="1" si="14"/>
        <v>#DIV/0!</v>
      </c>
      <c r="AB17" s="112" t="e">
        <f t="shared" si="15"/>
        <v>#DIV/0!</v>
      </c>
      <c r="AC17" s="112">
        <f t="shared" si="16"/>
        <v>9.7989820000000005</v>
      </c>
      <c r="AD17" s="112">
        <f t="shared" si="29"/>
        <v>0.03</v>
      </c>
      <c r="AE17" s="86">
        <f t="shared" si="17"/>
        <v>0</v>
      </c>
      <c r="AF17" s="297" t="e">
        <f t="shared" ca="1" si="18"/>
        <v>#DIV/0!</v>
      </c>
      <c r="AG17" s="65"/>
      <c r="AH17" s="68">
        <f>Pressure_2_R1!A73</f>
        <v>0</v>
      </c>
      <c r="AI17" s="94">
        <f>Pressure_2_R1!B73</f>
        <v>0</v>
      </c>
      <c r="AJ17" s="94">
        <f>Pressure_2_R1!C73</f>
        <v>0</v>
      </c>
      <c r="AK17" s="94">
        <f>Pressure_2_R1!D73</f>
        <v>0</v>
      </c>
      <c r="AL17" s="94">
        <f>Pressure_2_R1!E73</f>
        <v>0</v>
      </c>
      <c r="AM17" s="94">
        <f>Pressure_2_R1!F73</f>
        <v>0</v>
      </c>
      <c r="AN17" s="94">
        <f>Pressure_2_R1!G73</f>
        <v>0</v>
      </c>
      <c r="AO17" s="94">
        <f>Pressure_2_R1!H73</f>
        <v>0</v>
      </c>
      <c r="AP17" s="94">
        <f>Pressure_2_R1!I73</f>
        <v>0</v>
      </c>
      <c r="AQ17" s="94">
        <f>Pressure_2_R1!J73</f>
        <v>0</v>
      </c>
      <c r="AR17" s="94">
        <f>Pressure_2_R1!K73</f>
        <v>0</v>
      </c>
      <c r="AS17" s="94">
        <f>Pressure_2_R1!L73</f>
        <v>0</v>
      </c>
      <c r="AT17" s="94">
        <f>Pressure_2_R1!M73</f>
        <v>0</v>
      </c>
      <c r="AU17" s="94">
        <f>Pressure_2_R1!N73</f>
        <v>0</v>
      </c>
      <c r="AV17" s="94">
        <f>Pressure_2_R1!O73</f>
        <v>0</v>
      </c>
      <c r="AW17" s="69">
        <f>Pressure_2_R1!P73</f>
        <v>0</v>
      </c>
    </row>
    <row r="18" spans="2:49" ht="15" customHeight="1">
      <c r="B18" s="76">
        <f>Pressure_2_R1!D8</f>
        <v>0</v>
      </c>
      <c r="C18" s="299">
        <f t="shared" si="8"/>
        <v>0</v>
      </c>
      <c r="E18" s="316">
        <f ca="1">IF(TYPE(P65)=16,MAX(J6:J7),ROUND(P65,V56))</f>
        <v>0</v>
      </c>
      <c r="F18" s="315" t="e">
        <f ca="1">IF(E13="% of Reading",C18*E18%,IF(E13="% of F.S",MAX(C14:C43)*E18%,E18*M9))</f>
        <v>#N/A</v>
      </c>
      <c r="H18" s="298">
        <f>IF(B18=0,0,IF(B18&lt;0,IF(OR(N9="20409-0",N9="20412-1"),E6,E7),E6))</f>
        <v>0</v>
      </c>
      <c r="I18" s="152">
        <f>IF(B18=0,0,IF(B18&lt;0,IF(OR(N9="20409-0",N9="20412-1"),F6,F7),F6))</f>
        <v>0</v>
      </c>
      <c r="J18" s="327">
        <f>IF(OR(N9="20409-0",N9="20412-1"),(H18*ABS(B18)+I18)*SIGN(B18),H18*B18+I18)</f>
        <v>0</v>
      </c>
      <c r="K18" s="65"/>
      <c r="L18" s="76">
        <f t="shared" si="9"/>
        <v>0</v>
      </c>
      <c r="M18" s="111">
        <f t="shared" si="19"/>
        <v>9.7989820000000005</v>
      </c>
      <c r="N18" s="111" t="e">
        <f t="shared" si="20"/>
        <v>#DIV/0!</v>
      </c>
      <c r="O18" s="111">
        <f t="shared" si="21"/>
        <v>8000</v>
      </c>
      <c r="P18" s="111">
        <f t="shared" si="22"/>
        <v>1</v>
      </c>
      <c r="Q18" s="111">
        <f t="shared" si="23"/>
        <v>0</v>
      </c>
      <c r="R18" s="111" t="e">
        <f t="shared" ca="1" si="24"/>
        <v>#N/A</v>
      </c>
      <c r="S18" s="293" t="e">
        <f t="shared" ca="1" si="10"/>
        <v>#DIV/0!</v>
      </c>
      <c r="T18" s="80" t="e">
        <f t="shared" ca="1" si="25"/>
        <v>#N/A</v>
      </c>
      <c r="U18" s="112" t="e">
        <f t="shared" ca="1" si="26"/>
        <v>#N/A</v>
      </c>
      <c r="V18" s="295" t="e">
        <f t="shared" ca="1" si="11"/>
        <v>#DIV/0!</v>
      </c>
      <c r="W18" s="112">
        <f t="shared" si="27"/>
        <v>9.0000000000000002E-6</v>
      </c>
      <c r="X18" s="112" t="e">
        <f t="shared" ca="1" si="28"/>
        <v>#DIV/0!</v>
      </c>
      <c r="Y18" s="81" t="e">
        <f t="shared" ca="1" si="12"/>
        <v>#N/A</v>
      </c>
      <c r="Z18" s="296" t="e">
        <f t="shared" ca="1" si="13"/>
        <v>#DIV/0!</v>
      </c>
      <c r="AA18" s="80" t="e">
        <f t="shared" ca="1" si="14"/>
        <v>#DIV/0!</v>
      </c>
      <c r="AB18" s="112" t="e">
        <f t="shared" si="15"/>
        <v>#DIV/0!</v>
      </c>
      <c r="AC18" s="112">
        <f t="shared" si="16"/>
        <v>9.7989820000000005</v>
      </c>
      <c r="AD18" s="112">
        <f t="shared" si="29"/>
        <v>0.03</v>
      </c>
      <c r="AE18" s="86">
        <f t="shared" si="17"/>
        <v>0</v>
      </c>
      <c r="AF18" s="297" t="e">
        <f t="shared" ca="1" si="18"/>
        <v>#DIV/0!</v>
      </c>
      <c r="AG18" s="65"/>
      <c r="AH18" s="66">
        <f>Pressure_2_R1!A74</f>
        <v>0</v>
      </c>
      <c r="AI18" s="95">
        <f>Pressure_2_R1!B74</f>
        <v>0</v>
      </c>
      <c r="AJ18" s="95">
        <f>Pressure_2_R1!C74</f>
        <v>0</v>
      </c>
      <c r="AK18" s="95">
        <f>Pressure_2_R1!D74</f>
        <v>0</v>
      </c>
      <c r="AL18" s="95">
        <f>Pressure_2_R1!E74</f>
        <v>0</v>
      </c>
      <c r="AM18" s="95">
        <f>Pressure_2_R1!F74</f>
        <v>0</v>
      </c>
      <c r="AN18" s="95">
        <f>Pressure_2_R1!G74</f>
        <v>0</v>
      </c>
      <c r="AO18" s="95">
        <f>Pressure_2_R1!H74</f>
        <v>0</v>
      </c>
      <c r="AP18" s="95">
        <f>Pressure_2_R1!I74</f>
        <v>0</v>
      </c>
      <c r="AQ18" s="95">
        <f>Pressure_2_R1!J74</f>
        <v>0</v>
      </c>
      <c r="AR18" s="95">
        <f>Pressure_2_R1!K74</f>
        <v>0</v>
      </c>
      <c r="AS18" s="95">
        <f>Pressure_2_R1!L74</f>
        <v>0</v>
      </c>
      <c r="AT18" s="95">
        <f>Pressure_2_R1!M74</f>
        <v>0</v>
      </c>
      <c r="AU18" s="95">
        <f>Pressure_2_R1!N74</f>
        <v>0</v>
      </c>
      <c r="AV18" s="95">
        <f>Pressure_2_R1!O74</f>
        <v>0</v>
      </c>
      <c r="AW18" s="67">
        <f>Pressure_2_R1!P74</f>
        <v>0</v>
      </c>
    </row>
    <row r="19" spans="2:49" ht="15" customHeight="1">
      <c r="B19" s="76">
        <f>Pressure_2_R1!D9</f>
        <v>0</v>
      </c>
      <c r="C19" s="299">
        <f t="shared" si="8"/>
        <v>0</v>
      </c>
      <c r="E19" s="316">
        <f ca="1">IF(TYPE(P65)=16,MAX(J6:J7),ROUND(P65,V56))</f>
        <v>0</v>
      </c>
      <c r="F19" s="315" t="e">
        <f ca="1">IF(E13="% of Reading",C19*E19%,IF(E13="% of F.S",MAX(C14:C43)*E19%,E19*M9))</f>
        <v>#N/A</v>
      </c>
      <c r="H19" s="298">
        <f>IF(B19=0,0,IF(B19&lt;0,IF(OR(N9="20409-0",N9="20412-1"),E6,E7),E6))</f>
        <v>0</v>
      </c>
      <c r="I19" s="152">
        <f>IF(B19=0,0,IF(B19&lt;0,IF(OR(N9="20409-0",N9="20412-1"),F6,F7),F6))</f>
        <v>0</v>
      </c>
      <c r="J19" s="327">
        <f>IF(OR(N9="20409-0",N9="20412-1"),(H19*ABS(B19)+I19)*SIGN(B19),H19*B19+I19)</f>
        <v>0</v>
      </c>
      <c r="K19" s="65"/>
      <c r="L19" s="76">
        <f t="shared" si="9"/>
        <v>0</v>
      </c>
      <c r="M19" s="111">
        <f t="shared" si="19"/>
        <v>9.7989820000000005</v>
      </c>
      <c r="N19" s="111" t="e">
        <f t="shared" si="20"/>
        <v>#DIV/0!</v>
      </c>
      <c r="O19" s="111">
        <f t="shared" si="21"/>
        <v>8000</v>
      </c>
      <c r="P19" s="111">
        <f t="shared" si="22"/>
        <v>1</v>
      </c>
      <c r="Q19" s="111">
        <f t="shared" si="23"/>
        <v>0</v>
      </c>
      <c r="R19" s="111" t="e">
        <f t="shared" ca="1" si="24"/>
        <v>#N/A</v>
      </c>
      <c r="S19" s="293" t="e">
        <f t="shared" ca="1" si="10"/>
        <v>#DIV/0!</v>
      </c>
      <c r="T19" s="80" t="e">
        <f t="shared" ca="1" si="25"/>
        <v>#N/A</v>
      </c>
      <c r="U19" s="112" t="e">
        <f t="shared" ca="1" si="26"/>
        <v>#N/A</v>
      </c>
      <c r="V19" s="295" t="e">
        <f t="shared" ca="1" si="11"/>
        <v>#DIV/0!</v>
      </c>
      <c r="W19" s="112">
        <f t="shared" si="27"/>
        <v>9.0000000000000002E-6</v>
      </c>
      <c r="X19" s="112" t="e">
        <f t="shared" ca="1" si="28"/>
        <v>#DIV/0!</v>
      </c>
      <c r="Y19" s="81" t="e">
        <f t="shared" ca="1" si="12"/>
        <v>#N/A</v>
      </c>
      <c r="Z19" s="296" t="e">
        <f t="shared" ca="1" si="13"/>
        <v>#DIV/0!</v>
      </c>
      <c r="AA19" s="80" t="e">
        <f t="shared" ca="1" si="14"/>
        <v>#DIV/0!</v>
      </c>
      <c r="AB19" s="112" t="e">
        <f t="shared" si="15"/>
        <v>#DIV/0!</v>
      </c>
      <c r="AC19" s="112">
        <f t="shared" si="16"/>
        <v>9.7989820000000005</v>
      </c>
      <c r="AD19" s="112">
        <f t="shared" si="29"/>
        <v>0.03</v>
      </c>
      <c r="AE19" s="86">
        <f t="shared" si="17"/>
        <v>0</v>
      </c>
      <c r="AF19" s="297" t="e">
        <f t="shared" ca="1" si="18"/>
        <v>#DIV/0!</v>
      </c>
      <c r="AG19" s="65"/>
      <c r="AH19" s="68">
        <f>Pressure_2_R1!A75</f>
        <v>0</v>
      </c>
      <c r="AI19" s="94">
        <f>Pressure_2_R1!B75</f>
        <v>0</v>
      </c>
      <c r="AJ19" s="94">
        <f>Pressure_2_R1!C75</f>
        <v>0</v>
      </c>
      <c r="AK19" s="94">
        <f>Pressure_2_R1!D75</f>
        <v>0</v>
      </c>
      <c r="AL19" s="94">
        <f>Pressure_2_R1!E75</f>
        <v>0</v>
      </c>
      <c r="AM19" s="94">
        <f>Pressure_2_R1!F75</f>
        <v>0</v>
      </c>
      <c r="AN19" s="94">
        <f>Pressure_2_R1!G75</f>
        <v>0</v>
      </c>
      <c r="AO19" s="94">
        <f>Pressure_2_R1!H75</f>
        <v>0</v>
      </c>
      <c r="AP19" s="94">
        <f>Pressure_2_R1!I75</f>
        <v>0</v>
      </c>
      <c r="AQ19" s="94">
        <f>Pressure_2_R1!J75</f>
        <v>0</v>
      </c>
      <c r="AR19" s="94">
        <f>Pressure_2_R1!K75</f>
        <v>0</v>
      </c>
      <c r="AS19" s="94">
        <f>Pressure_2_R1!L75</f>
        <v>0</v>
      </c>
      <c r="AT19" s="94">
        <f>Pressure_2_R1!M75</f>
        <v>0</v>
      </c>
      <c r="AU19" s="94">
        <f>Pressure_2_R1!N75</f>
        <v>0</v>
      </c>
      <c r="AV19" s="94">
        <f>Pressure_2_R1!O75</f>
        <v>0</v>
      </c>
      <c r="AW19" s="69">
        <f>Pressure_2_R1!P75</f>
        <v>0</v>
      </c>
    </row>
    <row r="20" spans="2:49" ht="15" customHeight="1">
      <c r="B20" s="76">
        <f>Pressure_2_R1!D10</f>
        <v>0</v>
      </c>
      <c r="C20" s="299">
        <f t="shared" si="8"/>
        <v>0</v>
      </c>
      <c r="E20" s="316">
        <f ca="1">IF(TYPE(P65)=16,MAX(J6:J7),ROUND(P65,V56))</f>
        <v>0</v>
      </c>
      <c r="F20" s="315" t="e">
        <f ca="1">IF(E13="% of Reading",C20*E20%,IF(E13="% of F.S",MAX(C14:C43)*E20%,E20*M9))</f>
        <v>#N/A</v>
      </c>
      <c r="H20" s="298">
        <f>IF(B20=0,0,IF(B20&lt;0,IF(OR(N9="20409-0",N9="20412-1"),E6,E7),E6))</f>
        <v>0</v>
      </c>
      <c r="I20" s="152">
        <f>IF(B20=0,0,IF(B20&lt;0,IF(OR(N9="20409-0",N9="20412-1"),F6,F7),F6))</f>
        <v>0</v>
      </c>
      <c r="J20" s="327">
        <f>IF(OR(N9="20409-0",N9="20412-1"),(H20*ABS(B20)+I20)*SIGN(B20),H20*B20+I20)</f>
        <v>0</v>
      </c>
      <c r="K20" s="65"/>
      <c r="L20" s="76">
        <f t="shared" si="9"/>
        <v>0</v>
      </c>
      <c r="M20" s="111">
        <f t="shared" si="19"/>
        <v>9.7989820000000005</v>
      </c>
      <c r="N20" s="111" t="e">
        <f t="shared" si="20"/>
        <v>#DIV/0!</v>
      </c>
      <c r="O20" s="111">
        <f t="shared" si="21"/>
        <v>8000</v>
      </c>
      <c r="P20" s="111">
        <f t="shared" si="22"/>
        <v>1</v>
      </c>
      <c r="Q20" s="111">
        <f t="shared" si="23"/>
        <v>0</v>
      </c>
      <c r="R20" s="111" t="e">
        <f t="shared" ca="1" si="24"/>
        <v>#N/A</v>
      </c>
      <c r="S20" s="293" t="e">
        <f t="shared" ca="1" si="10"/>
        <v>#DIV/0!</v>
      </c>
      <c r="T20" s="80" t="e">
        <f t="shared" ca="1" si="25"/>
        <v>#N/A</v>
      </c>
      <c r="U20" s="112" t="e">
        <f t="shared" ca="1" si="26"/>
        <v>#N/A</v>
      </c>
      <c r="V20" s="295" t="e">
        <f t="shared" ca="1" si="11"/>
        <v>#DIV/0!</v>
      </c>
      <c r="W20" s="112">
        <f t="shared" si="27"/>
        <v>9.0000000000000002E-6</v>
      </c>
      <c r="X20" s="112" t="e">
        <f t="shared" ca="1" si="28"/>
        <v>#DIV/0!</v>
      </c>
      <c r="Y20" s="81" t="e">
        <f t="shared" ca="1" si="12"/>
        <v>#N/A</v>
      </c>
      <c r="Z20" s="296" t="e">
        <f t="shared" ca="1" si="13"/>
        <v>#DIV/0!</v>
      </c>
      <c r="AA20" s="80" t="e">
        <f t="shared" ca="1" si="14"/>
        <v>#DIV/0!</v>
      </c>
      <c r="AB20" s="112" t="e">
        <f t="shared" si="15"/>
        <v>#DIV/0!</v>
      </c>
      <c r="AC20" s="112">
        <f t="shared" si="16"/>
        <v>9.7989820000000005</v>
      </c>
      <c r="AD20" s="112">
        <f t="shared" si="29"/>
        <v>0.03</v>
      </c>
      <c r="AE20" s="86">
        <f t="shared" si="17"/>
        <v>0</v>
      </c>
      <c r="AF20" s="297" t="e">
        <f t="shared" ca="1" si="18"/>
        <v>#DIV/0!</v>
      </c>
      <c r="AG20" s="65"/>
      <c r="AH20" s="66">
        <f>Pressure_2_R1!A76</f>
        <v>0</v>
      </c>
      <c r="AI20" s="95">
        <f>Pressure_2_R1!B76</f>
        <v>0</v>
      </c>
      <c r="AJ20" s="95">
        <f>Pressure_2_R1!C76</f>
        <v>0</v>
      </c>
      <c r="AK20" s="95">
        <f>Pressure_2_R1!D76</f>
        <v>0</v>
      </c>
      <c r="AL20" s="95">
        <f>Pressure_2_R1!E76</f>
        <v>0</v>
      </c>
      <c r="AM20" s="95">
        <f>Pressure_2_R1!F76</f>
        <v>0</v>
      </c>
      <c r="AN20" s="95">
        <f>Pressure_2_R1!G76</f>
        <v>0</v>
      </c>
      <c r="AO20" s="95">
        <f>Pressure_2_R1!H76</f>
        <v>0</v>
      </c>
      <c r="AP20" s="95">
        <f>Pressure_2_R1!I76</f>
        <v>0</v>
      </c>
      <c r="AQ20" s="95">
        <f>Pressure_2_R1!J76</f>
        <v>0</v>
      </c>
      <c r="AR20" s="95">
        <f>Pressure_2_R1!K76</f>
        <v>0</v>
      </c>
      <c r="AS20" s="95">
        <f>Pressure_2_R1!L76</f>
        <v>0</v>
      </c>
      <c r="AT20" s="95">
        <f>Pressure_2_R1!M76</f>
        <v>0</v>
      </c>
      <c r="AU20" s="95">
        <f>Pressure_2_R1!N76</f>
        <v>0</v>
      </c>
      <c r="AV20" s="95">
        <f>Pressure_2_R1!O76</f>
        <v>0</v>
      </c>
      <c r="AW20" s="67">
        <f>Pressure_2_R1!P76</f>
        <v>0</v>
      </c>
    </row>
    <row r="21" spans="2:49" ht="15" customHeight="1">
      <c r="B21" s="76">
        <f>Pressure_2_R1!D11</f>
        <v>0</v>
      </c>
      <c r="C21" s="299">
        <f t="shared" si="8"/>
        <v>0</v>
      </c>
      <c r="E21" s="316">
        <f ca="1">IF(TYPE(P65)=16,MAX(J6:J7),ROUND(P65,V56))</f>
        <v>0</v>
      </c>
      <c r="F21" s="315" t="e">
        <f ca="1">IF(E13="% of Reading",C21*E21%,IF(E13="% of F.S",MAX(C14:C43)*E21%,E21*M9))</f>
        <v>#N/A</v>
      </c>
      <c r="H21" s="298">
        <f>IF(B21=0,0,IF(B21&lt;0,IF(OR(N9="20409-0",N9="20412-1"),E6,E7),E6))</f>
        <v>0</v>
      </c>
      <c r="I21" s="152">
        <f>IF(B21=0,0,IF(B21&lt;0,IF(OR(N9="20409-0",N9="20412-1"),F6,F7),F6))</f>
        <v>0</v>
      </c>
      <c r="J21" s="327">
        <f>IF(OR(N9="20409-0",N9="20412-1"),(H21*ABS(B21)+I21)*SIGN(B21),H21*B21+I21)</f>
        <v>0</v>
      </c>
      <c r="K21" s="65"/>
      <c r="L21" s="76">
        <f t="shared" si="9"/>
        <v>0</v>
      </c>
      <c r="M21" s="111">
        <f t="shared" si="19"/>
        <v>9.7989820000000005</v>
      </c>
      <c r="N21" s="111" t="e">
        <f t="shared" si="20"/>
        <v>#DIV/0!</v>
      </c>
      <c r="O21" s="111">
        <f t="shared" si="21"/>
        <v>8000</v>
      </c>
      <c r="P21" s="111">
        <f t="shared" si="22"/>
        <v>1</v>
      </c>
      <c r="Q21" s="111">
        <f t="shared" si="23"/>
        <v>0</v>
      </c>
      <c r="R21" s="111" t="e">
        <f t="shared" ca="1" si="24"/>
        <v>#N/A</v>
      </c>
      <c r="S21" s="293" t="e">
        <f t="shared" ca="1" si="10"/>
        <v>#DIV/0!</v>
      </c>
      <c r="T21" s="80" t="e">
        <f t="shared" ca="1" si="25"/>
        <v>#N/A</v>
      </c>
      <c r="U21" s="112" t="e">
        <f t="shared" ca="1" si="26"/>
        <v>#N/A</v>
      </c>
      <c r="V21" s="295" t="e">
        <f t="shared" ca="1" si="11"/>
        <v>#DIV/0!</v>
      </c>
      <c r="W21" s="112">
        <f t="shared" si="27"/>
        <v>9.0000000000000002E-6</v>
      </c>
      <c r="X21" s="112" t="e">
        <f t="shared" ca="1" si="28"/>
        <v>#DIV/0!</v>
      </c>
      <c r="Y21" s="81" t="e">
        <f t="shared" ca="1" si="12"/>
        <v>#N/A</v>
      </c>
      <c r="Z21" s="296" t="e">
        <f t="shared" ca="1" si="13"/>
        <v>#DIV/0!</v>
      </c>
      <c r="AA21" s="80" t="e">
        <f t="shared" ca="1" si="14"/>
        <v>#DIV/0!</v>
      </c>
      <c r="AB21" s="112" t="e">
        <f t="shared" si="15"/>
        <v>#DIV/0!</v>
      </c>
      <c r="AC21" s="112">
        <f t="shared" si="16"/>
        <v>9.7989820000000005</v>
      </c>
      <c r="AD21" s="112">
        <f t="shared" si="29"/>
        <v>0.03</v>
      </c>
      <c r="AE21" s="86">
        <f t="shared" si="17"/>
        <v>0</v>
      </c>
      <c r="AF21" s="297" t="e">
        <f t="shared" ca="1" si="18"/>
        <v>#DIV/0!</v>
      </c>
      <c r="AG21" s="65"/>
      <c r="AH21" s="68">
        <f>Pressure_2_R1!A77</f>
        <v>0</v>
      </c>
      <c r="AI21" s="94">
        <f>Pressure_2_R1!B77</f>
        <v>0</v>
      </c>
      <c r="AJ21" s="94">
        <f>Pressure_2_R1!C77</f>
        <v>0</v>
      </c>
      <c r="AK21" s="94">
        <f>Pressure_2_R1!D77</f>
        <v>0</v>
      </c>
      <c r="AL21" s="94">
        <f>Pressure_2_R1!E77</f>
        <v>0</v>
      </c>
      <c r="AM21" s="94">
        <f>Pressure_2_R1!F77</f>
        <v>0</v>
      </c>
      <c r="AN21" s="94">
        <f>Pressure_2_R1!G77</f>
        <v>0</v>
      </c>
      <c r="AO21" s="94">
        <f>Pressure_2_R1!H77</f>
        <v>0</v>
      </c>
      <c r="AP21" s="94">
        <f>Pressure_2_R1!I77</f>
        <v>0</v>
      </c>
      <c r="AQ21" s="94">
        <f>Pressure_2_R1!J77</f>
        <v>0</v>
      </c>
      <c r="AR21" s="94">
        <f>Pressure_2_R1!K77</f>
        <v>0</v>
      </c>
      <c r="AS21" s="94">
        <f>Pressure_2_R1!L77</f>
        <v>0</v>
      </c>
      <c r="AT21" s="94">
        <f>Pressure_2_R1!M77</f>
        <v>0</v>
      </c>
      <c r="AU21" s="94">
        <f>Pressure_2_R1!N77</f>
        <v>0</v>
      </c>
      <c r="AV21" s="94">
        <f>Pressure_2_R1!O77</f>
        <v>0</v>
      </c>
      <c r="AW21" s="69">
        <f>Pressure_2_R1!P77</f>
        <v>0</v>
      </c>
    </row>
    <row r="22" spans="2:49" ht="15" customHeight="1">
      <c r="B22" s="76">
        <f>Pressure_2_R1!D12</f>
        <v>0</v>
      </c>
      <c r="C22" s="299">
        <f t="shared" si="8"/>
        <v>0</v>
      </c>
      <c r="E22" s="316">
        <f ca="1">IF(TYPE(P65)=16,MAX(J6:J7),ROUND(P65,V56))</f>
        <v>0</v>
      </c>
      <c r="F22" s="315" t="e">
        <f ca="1">IF(E13="% of Reading",C22*E22%,IF(E13="% of F.S",MAX(C14:C43)*E22%,E22*M9))</f>
        <v>#N/A</v>
      </c>
      <c r="H22" s="298">
        <f>IF(B22=0,0,IF(B22&lt;0,IF(OR(N9="20409-0",N9="20412-1"),E6,E7),E6))</f>
        <v>0</v>
      </c>
      <c r="I22" s="152">
        <f>IF(B22=0,0,IF(B22&lt;0,IF(OR(N9="20409-0",N9="20412-1"),F6,F7),F6))</f>
        <v>0</v>
      </c>
      <c r="J22" s="327">
        <f>IF(OR(N9="20409-0",N9="20412-1"),(H22*ABS(B22)+I22)*SIGN(B22),H22*B22+I22)</f>
        <v>0</v>
      </c>
      <c r="K22" s="65"/>
      <c r="L22" s="76">
        <f t="shared" si="9"/>
        <v>0</v>
      </c>
      <c r="M22" s="111">
        <f t="shared" si="19"/>
        <v>9.7989820000000005</v>
      </c>
      <c r="N22" s="111" t="e">
        <f t="shared" si="20"/>
        <v>#DIV/0!</v>
      </c>
      <c r="O22" s="111">
        <f t="shared" si="21"/>
        <v>8000</v>
      </c>
      <c r="P22" s="111">
        <f t="shared" si="22"/>
        <v>1</v>
      </c>
      <c r="Q22" s="111">
        <f t="shared" si="23"/>
        <v>0</v>
      </c>
      <c r="R22" s="111" t="e">
        <f t="shared" ca="1" si="24"/>
        <v>#N/A</v>
      </c>
      <c r="S22" s="293" t="e">
        <f t="shared" ca="1" si="10"/>
        <v>#DIV/0!</v>
      </c>
      <c r="T22" s="80" t="e">
        <f t="shared" ca="1" si="25"/>
        <v>#N/A</v>
      </c>
      <c r="U22" s="112" t="e">
        <f t="shared" ca="1" si="26"/>
        <v>#N/A</v>
      </c>
      <c r="V22" s="295" t="e">
        <f t="shared" ca="1" si="11"/>
        <v>#DIV/0!</v>
      </c>
      <c r="W22" s="112">
        <f t="shared" si="27"/>
        <v>9.0000000000000002E-6</v>
      </c>
      <c r="X22" s="112" t="e">
        <f t="shared" ca="1" si="28"/>
        <v>#DIV/0!</v>
      </c>
      <c r="Y22" s="81" t="e">
        <f t="shared" ca="1" si="12"/>
        <v>#N/A</v>
      </c>
      <c r="Z22" s="296" t="e">
        <f t="shared" ca="1" si="13"/>
        <v>#DIV/0!</v>
      </c>
      <c r="AA22" s="80" t="e">
        <f t="shared" ca="1" si="14"/>
        <v>#DIV/0!</v>
      </c>
      <c r="AB22" s="112" t="e">
        <f t="shared" si="15"/>
        <v>#DIV/0!</v>
      </c>
      <c r="AC22" s="112">
        <f t="shared" si="16"/>
        <v>9.7989820000000005</v>
      </c>
      <c r="AD22" s="112">
        <f t="shared" si="29"/>
        <v>0.03</v>
      </c>
      <c r="AE22" s="86">
        <f t="shared" si="17"/>
        <v>0</v>
      </c>
      <c r="AF22" s="297" t="e">
        <f t="shared" ca="1" si="18"/>
        <v>#DIV/0!</v>
      </c>
      <c r="AG22" s="65"/>
      <c r="AH22" s="66">
        <f>Pressure_2_R1!A78</f>
        <v>0</v>
      </c>
      <c r="AI22" s="95">
        <f>Pressure_2_R1!B78</f>
        <v>0</v>
      </c>
      <c r="AJ22" s="95">
        <f>Pressure_2_R1!C78</f>
        <v>0</v>
      </c>
      <c r="AK22" s="95">
        <f>Pressure_2_R1!D78</f>
        <v>0</v>
      </c>
      <c r="AL22" s="95">
        <f>Pressure_2_R1!E78</f>
        <v>0</v>
      </c>
      <c r="AM22" s="95">
        <f>Pressure_2_R1!F78</f>
        <v>0</v>
      </c>
      <c r="AN22" s="95">
        <f>Pressure_2_R1!G78</f>
        <v>0</v>
      </c>
      <c r="AO22" s="95">
        <f>Pressure_2_R1!H78</f>
        <v>0</v>
      </c>
      <c r="AP22" s="95">
        <f>Pressure_2_R1!I78</f>
        <v>0</v>
      </c>
      <c r="AQ22" s="95">
        <f>Pressure_2_R1!J78</f>
        <v>0</v>
      </c>
      <c r="AR22" s="95">
        <f>Pressure_2_R1!K78</f>
        <v>0</v>
      </c>
      <c r="AS22" s="95">
        <f>Pressure_2_R1!L78</f>
        <v>0</v>
      </c>
      <c r="AT22" s="95">
        <f>Pressure_2_R1!M78</f>
        <v>0</v>
      </c>
      <c r="AU22" s="95">
        <f>Pressure_2_R1!N78</f>
        <v>0</v>
      </c>
      <c r="AV22" s="95">
        <f>Pressure_2_R1!O78</f>
        <v>0</v>
      </c>
      <c r="AW22" s="67">
        <f>Pressure_2_R1!P78</f>
        <v>0</v>
      </c>
    </row>
    <row r="23" spans="2:49" ht="15" customHeight="1">
      <c r="B23" s="76">
        <f>Pressure_2_R1!D13</f>
        <v>0</v>
      </c>
      <c r="C23" s="299">
        <f t="shared" si="8"/>
        <v>0</v>
      </c>
      <c r="E23" s="316">
        <f ca="1">IF(TYPE(P65)=16,MAX(J6:J7),ROUND(P65,V56))</f>
        <v>0</v>
      </c>
      <c r="F23" s="315" t="e">
        <f ca="1">IF(E13="% of Reading",C23*E23%,IF(E13="% of F.S",MAX(C14:C43)*E23%,E23*M9))</f>
        <v>#N/A</v>
      </c>
      <c r="H23" s="298">
        <f>IF(B23=0,0,IF(B23&lt;0,IF(OR(N9="20409-0",N9="20412-1"),E6,E7),E6))</f>
        <v>0</v>
      </c>
      <c r="I23" s="152">
        <f>IF(B23=0,0,IF(B23&lt;0,IF(OR(N9="20409-0",N9="20412-1"),F6,F7),F6))</f>
        <v>0</v>
      </c>
      <c r="J23" s="327">
        <f>IF(OR(N9="20409-0",N9="20412-1"),(H23*ABS(B23)+I23)*SIGN(B23),H23*B23+I23)</f>
        <v>0</v>
      </c>
      <c r="K23" s="65"/>
      <c r="L23" s="76">
        <f t="shared" si="9"/>
        <v>0</v>
      </c>
      <c r="M23" s="111">
        <f t="shared" si="19"/>
        <v>9.7989820000000005</v>
      </c>
      <c r="N23" s="111" t="e">
        <f t="shared" si="20"/>
        <v>#DIV/0!</v>
      </c>
      <c r="O23" s="111">
        <f t="shared" si="21"/>
        <v>8000</v>
      </c>
      <c r="P23" s="111">
        <f t="shared" si="22"/>
        <v>1</v>
      </c>
      <c r="Q23" s="111">
        <f t="shared" si="23"/>
        <v>0</v>
      </c>
      <c r="R23" s="111" t="e">
        <f t="shared" ca="1" si="24"/>
        <v>#N/A</v>
      </c>
      <c r="S23" s="293" t="e">
        <f t="shared" ca="1" si="10"/>
        <v>#DIV/0!</v>
      </c>
      <c r="T23" s="80" t="e">
        <f t="shared" ca="1" si="25"/>
        <v>#N/A</v>
      </c>
      <c r="U23" s="112" t="e">
        <f t="shared" ca="1" si="26"/>
        <v>#N/A</v>
      </c>
      <c r="V23" s="295" t="e">
        <f t="shared" ca="1" si="11"/>
        <v>#DIV/0!</v>
      </c>
      <c r="W23" s="112">
        <f t="shared" si="27"/>
        <v>9.0000000000000002E-6</v>
      </c>
      <c r="X23" s="112" t="e">
        <f t="shared" ca="1" si="28"/>
        <v>#DIV/0!</v>
      </c>
      <c r="Y23" s="81" t="e">
        <f t="shared" ca="1" si="12"/>
        <v>#N/A</v>
      </c>
      <c r="Z23" s="296" t="e">
        <f t="shared" ca="1" si="13"/>
        <v>#DIV/0!</v>
      </c>
      <c r="AA23" s="80" t="e">
        <f t="shared" ca="1" si="14"/>
        <v>#DIV/0!</v>
      </c>
      <c r="AB23" s="112" t="e">
        <f t="shared" si="15"/>
        <v>#DIV/0!</v>
      </c>
      <c r="AC23" s="112">
        <f t="shared" si="16"/>
        <v>9.7989820000000005</v>
      </c>
      <c r="AD23" s="112">
        <f t="shared" si="29"/>
        <v>0.03</v>
      </c>
      <c r="AE23" s="86">
        <f t="shared" si="17"/>
        <v>0</v>
      </c>
      <c r="AF23" s="297" t="e">
        <f t="shared" ca="1" si="18"/>
        <v>#DIV/0!</v>
      </c>
      <c r="AG23" s="65"/>
      <c r="AH23" s="68">
        <f>Pressure_2_R1!A79</f>
        <v>0</v>
      </c>
      <c r="AI23" s="94">
        <f>Pressure_2_R1!B79</f>
        <v>0</v>
      </c>
      <c r="AJ23" s="94">
        <f>Pressure_2_R1!C79</f>
        <v>0</v>
      </c>
      <c r="AK23" s="94">
        <f>Pressure_2_R1!D79</f>
        <v>0</v>
      </c>
      <c r="AL23" s="94">
        <f>Pressure_2_R1!E79</f>
        <v>0</v>
      </c>
      <c r="AM23" s="94">
        <f>Pressure_2_R1!F79</f>
        <v>0</v>
      </c>
      <c r="AN23" s="94">
        <f>Pressure_2_R1!G79</f>
        <v>0</v>
      </c>
      <c r="AO23" s="94">
        <f>Pressure_2_R1!H79</f>
        <v>0</v>
      </c>
      <c r="AP23" s="94">
        <f>Pressure_2_R1!I79</f>
        <v>0</v>
      </c>
      <c r="AQ23" s="94">
        <f>Pressure_2_R1!J79</f>
        <v>0</v>
      </c>
      <c r="AR23" s="94">
        <f>Pressure_2_R1!K79</f>
        <v>0</v>
      </c>
      <c r="AS23" s="94">
        <f>Pressure_2_R1!L79</f>
        <v>0</v>
      </c>
      <c r="AT23" s="94">
        <f>Pressure_2_R1!M79</f>
        <v>0</v>
      </c>
      <c r="AU23" s="94">
        <f>Pressure_2_R1!N79</f>
        <v>0</v>
      </c>
      <c r="AV23" s="94">
        <f>Pressure_2_R1!O79</f>
        <v>0</v>
      </c>
      <c r="AW23" s="69">
        <f>Pressure_2_R1!P79</f>
        <v>0</v>
      </c>
    </row>
    <row r="24" spans="2:49" ht="15" customHeight="1">
      <c r="B24" s="76">
        <f>Pressure_2_R1!D14</f>
        <v>0</v>
      </c>
      <c r="C24" s="299">
        <f t="shared" si="8"/>
        <v>0</v>
      </c>
      <c r="E24" s="316">
        <f ca="1">IF(TYPE(P65)=16,MAX(J6:J7),ROUND(P65,V56))</f>
        <v>0</v>
      </c>
      <c r="F24" s="315" t="e">
        <f ca="1">IF(E13="% of Reading",C24*E24%,IF(E13="% of F.S",MAX(C14:C43)*E24%,E24*M9))</f>
        <v>#N/A</v>
      </c>
      <c r="H24" s="298">
        <f>IF(B24=0,0,IF(B24&lt;0,IF(OR(N9="20409-0",N9="20412-1"),E6,E7),E6))</f>
        <v>0</v>
      </c>
      <c r="I24" s="152">
        <f>IF(B24=0,0,IF(B24&lt;0,IF(OR(N9="20409-0",N9="20412-1"),F6,F7),F6))</f>
        <v>0</v>
      </c>
      <c r="J24" s="327">
        <f>IF(OR(N9="20409-0",N9="20412-1"),(H24*ABS(B24)+I24)*SIGN(B24),H24*B24+I24)</f>
        <v>0</v>
      </c>
      <c r="K24" s="65"/>
      <c r="L24" s="76">
        <f t="shared" si="9"/>
        <v>0</v>
      </c>
      <c r="M24" s="111">
        <f t="shared" si="19"/>
        <v>9.7989820000000005</v>
      </c>
      <c r="N24" s="111" t="e">
        <f t="shared" si="20"/>
        <v>#DIV/0!</v>
      </c>
      <c r="O24" s="111">
        <f t="shared" si="21"/>
        <v>8000</v>
      </c>
      <c r="P24" s="111">
        <f t="shared" si="22"/>
        <v>1</v>
      </c>
      <c r="Q24" s="111">
        <f t="shared" si="23"/>
        <v>0</v>
      </c>
      <c r="R24" s="111" t="e">
        <f t="shared" ca="1" si="24"/>
        <v>#N/A</v>
      </c>
      <c r="S24" s="293" t="e">
        <f t="shared" ca="1" si="10"/>
        <v>#DIV/0!</v>
      </c>
      <c r="T24" s="80" t="e">
        <f t="shared" ca="1" si="25"/>
        <v>#N/A</v>
      </c>
      <c r="U24" s="112" t="e">
        <f t="shared" ca="1" si="26"/>
        <v>#N/A</v>
      </c>
      <c r="V24" s="295" t="e">
        <f t="shared" ca="1" si="11"/>
        <v>#DIV/0!</v>
      </c>
      <c r="W24" s="112">
        <f t="shared" si="27"/>
        <v>9.0000000000000002E-6</v>
      </c>
      <c r="X24" s="112" t="e">
        <f t="shared" ca="1" si="28"/>
        <v>#DIV/0!</v>
      </c>
      <c r="Y24" s="81" t="e">
        <f t="shared" ca="1" si="12"/>
        <v>#N/A</v>
      </c>
      <c r="Z24" s="296" t="e">
        <f t="shared" ca="1" si="13"/>
        <v>#DIV/0!</v>
      </c>
      <c r="AA24" s="80" t="e">
        <f t="shared" ca="1" si="14"/>
        <v>#DIV/0!</v>
      </c>
      <c r="AB24" s="112" t="e">
        <f t="shared" si="15"/>
        <v>#DIV/0!</v>
      </c>
      <c r="AC24" s="112">
        <f t="shared" si="16"/>
        <v>9.7989820000000005</v>
      </c>
      <c r="AD24" s="112">
        <f t="shared" si="29"/>
        <v>0.03</v>
      </c>
      <c r="AE24" s="86">
        <f t="shared" si="17"/>
        <v>0</v>
      </c>
      <c r="AF24" s="297" t="e">
        <f t="shared" ca="1" si="18"/>
        <v>#DIV/0!</v>
      </c>
      <c r="AG24" s="65"/>
      <c r="AH24" s="66">
        <f>Pressure_2_R1!A80</f>
        <v>0</v>
      </c>
      <c r="AI24" s="95">
        <f>Pressure_2_R1!B80</f>
        <v>0</v>
      </c>
      <c r="AJ24" s="95">
        <f>Pressure_2_R1!C80</f>
        <v>0</v>
      </c>
      <c r="AK24" s="95">
        <f>Pressure_2_R1!D80</f>
        <v>0</v>
      </c>
      <c r="AL24" s="95">
        <f>Pressure_2_R1!E80</f>
        <v>0</v>
      </c>
      <c r="AM24" s="95">
        <f>Pressure_2_R1!F80</f>
        <v>0</v>
      </c>
      <c r="AN24" s="95">
        <f>Pressure_2_R1!G80</f>
        <v>0</v>
      </c>
      <c r="AO24" s="95">
        <f>Pressure_2_R1!H80</f>
        <v>0</v>
      </c>
      <c r="AP24" s="95">
        <f>Pressure_2_R1!I80</f>
        <v>0</v>
      </c>
      <c r="AQ24" s="95">
        <f>Pressure_2_R1!J80</f>
        <v>0</v>
      </c>
      <c r="AR24" s="95">
        <f>Pressure_2_R1!K80</f>
        <v>0</v>
      </c>
      <c r="AS24" s="95">
        <f>Pressure_2_R1!L80</f>
        <v>0</v>
      </c>
      <c r="AT24" s="95">
        <f>Pressure_2_R1!M80</f>
        <v>0</v>
      </c>
      <c r="AU24" s="95">
        <f>Pressure_2_R1!N80</f>
        <v>0</v>
      </c>
      <c r="AV24" s="95">
        <f>Pressure_2_R1!O80</f>
        <v>0</v>
      </c>
      <c r="AW24" s="67">
        <f>Pressure_2_R1!P80</f>
        <v>0</v>
      </c>
    </row>
    <row r="25" spans="2:49" ht="15" customHeight="1">
      <c r="B25" s="76">
        <f>Pressure_2_R1!D15</f>
        <v>0</v>
      </c>
      <c r="C25" s="299">
        <f t="shared" si="8"/>
        <v>0</v>
      </c>
      <c r="E25" s="316">
        <f ca="1">IF(TYPE(P65)=16,MAX(J6:J7),ROUND(P65,V56))</f>
        <v>0</v>
      </c>
      <c r="F25" s="315" t="e">
        <f ca="1">IF(E13="% of Reading",C25*E25%,IF(E13="% of F.S",MAX(C14:C43)*E25%,E25*M9))</f>
        <v>#N/A</v>
      </c>
      <c r="H25" s="298">
        <f>IF(B25=0,0,IF(B25&lt;0,IF(OR(N9="20409-0",N9="20412-1"),E6,E7),E6))</f>
        <v>0</v>
      </c>
      <c r="I25" s="152">
        <f>IF(B25=0,0,IF(B25&lt;0,IF(OR(N9="20409-0",N9="20412-1"),F6,F7),F6))</f>
        <v>0</v>
      </c>
      <c r="J25" s="327">
        <f>IF(OR(N9="20409-0",N9="20412-1"),(H25*ABS(B25)+I25)*SIGN(B25),H25*B25+I25)</f>
        <v>0</v>
      </c>
      <c r="K25" s="65"/>
      <c r="L25" s="76">
        <f t="shared" si="9"/>
        <v>0</v>
      </c>
      <c r="M25" s="111">
        <f t="shared" si="19"/>
        <v>9.7989820000000005</v>
      </c>
      <c r="N25" s="111" t="e">
        <f t="shared" si="20"/>
        <v>#DIV/0!</v>
      </c>
      <c r="O25" s="111">
        <f t="shared" si="21"/>
        <v>8000</v>
      </c>
      <c r="P25" s="111">
        <f t="shared" si="22"/>
        <v>1</v>
      </c>
      <c r="Q25" s="111">
        <f t="shared" si="23"/>
        <v>0</v>
      </c>
      <c r="R25" s="111" t="e">
        <f t="shared" ca="1" si="24"/>
        <v>#N/A</v>
      </c>
      <c r="S25" s="293" t="e">
        <f t="shared" ca="1" si="10"/>
        <v>#DIV/0!</v>
      </c>
      <c r="T25" s="80" t="e">
        <f t="shared" ca="1" si="25"/>
        <v>#N/A</v>
      </c>
      <c r="U25" s="112" t="e">
        <f t="shared" ca="1" si="26"/>
        <v>#N/A</v>
      </c>
      <c r="V25" s="295" t="e">
        <f t="shared" ca="1" si="11"/>
        <v>#DIV/0!</v>
      </c>
      <c r="W25" s="112">
        <f t="shared" si="27"/>
        <v>9.0000000000000002E-6</v>
      </c>
      <c r="X25" s="112" t="e">
        <f t="shared" ca="1" si="28"/>
        <v>#DIV/0!</v>
      </c>
      <c r="Y25" s="81" t="e">
        <f t="shared" ca="1" si="12"/>
        <v>#N/A</v>
      </c>
      <c r="Z25" s="296" t="e">
        <f t="shared" ca="1" si="13"/>
        <v>#DIV/0!</v>
      </c>
      <c r="AA25" s="80" t="e">
        <f t="shared" ca="1" si="14"/>
        <v>#DIV/0!</v>
      </c>
      <c r="AB25" s="112" t="e">
        <f t="shared" si="15"/>
        <v>#DIV/0!</v>
      </c>
      <c r="AC25" s="112">
        <f t="shared" si="16"/>
        <v>9.7989820000000005</v>
      </c>
      <c r="AD25" s="112">
        <f t="shared" si="29"/>
        <v>0.03</v>
      </c>
      <c r="AE25" s="86">
        <f t="shared" si="17"/>
        <v>0</v>
      </c>
      <c r="AF25" s="297" t="e">
        <f t="shared" ca="1" si="18"/>
        <v>#DIV/0!</v>
      </c>
      <c r="AG25" s="65"/>
      <c r="AH25" s="68">
        <f>Pressure_2_R1!A81</f>
        <v>0</v>
      </c>
      <c r="AI25" s="94">
        <f>Pressure_2_R1!B81</f>
        <v>0</v>
      </c>
      <c r="AJ25" s="94">
        <f>Pressure_2_R1!C81</f>
        <v>0</v>
      </c>
      <c r="AK25" s="94">
        <f>Pressure_2_R1!D81</f>
        <v>0</v>
      </c>
      <c r="AL25" s="94">
        <f>Pressure_2_R1!E81</f>
        <v>0</v>
      </c>
      <c r="AM25" s="94">
        <f>Pressure_2_R1!F81</f>
        <v>0</v>
      </c>
      <c r="AN25" s="94">
        <f>Pressure_2_R1!G81</f>
        <v>0</v>
      </c>
      <c r="AO25" s="94">
        <f>Pressure_2_R1!H81</f>
        <v>0</v>
      </c>
      <c r="AP25" s="94">
        <f>Pressure_2_R1!I81</f>
        <v>0</v>
      </c>
      <c r="AQ25" s="94">
        <f>Pressure_2_R1!J81</f>
        <v>0</v>
      </c>
      <c r="AR25" s="94">
        <f>Pressure_2_R1!K81</f>
        <v>0</v>
      </c>
      <c r="AS25" s="94">
        <f>Pressure_2_R1!L81</f>
        <v>0</v>
      </c>
      <c r="AT25" s="94">
        <f>Pressure_2_R1!M81</f>
        <v>0</v>
      </c>
      <c r="AU25" s="94">
        <f>Pressure_2_R1!N81</f>
        <v>0</v>
      </c>
      <c r="AV25" s="94">
        <f>Pressure_2_R1!O81</f>
        <v>0</v>
      </c>
      <c r="AW25" s="69">
        <f>Pressure_2_R1!P81</f>
        <v>0</v>
      </c>
    </row>
    <row r="26" spans="2:49" ht="15" customHeight="1">
      <c r="B26" s="76">
        <f>Pressure_2_R1!D16</f>
        <v>0</v>
      </c>
      <c r="C26" s="299">
        <f t="shared" si="8"/>
        <v>0</v>
      </c>
      <c r="E26" s="316">
        <f ca="1">IF(TYPE(P65)=16,MAX(J6:J7),ROUND(P65,V56))</f>
        <v>0</v>
      </c>
      <c r="F26" s="315" t="e">
        <f ca="1">IF(E13="% of Reading",C26*E26%,IF(E13="% of F.S",MAX(C14:C43)*E26%,E26*M9))</f>
        <v>#N/A</v>
      </c>
      <c r="H26" s="298">
        <f>IF(B26=0,0,IF(B26&lt;0,IF(OR(N9="20409-0",N9="20412-1"),E6,E7),E6))</f>
        <v>0</v>
      </c>
      <c r="I26" s="152">
        <f>IF(B26=0,0,IF(B26&lt;0,IF(OR(N9="20409-0",N9="20412-1"),F6,F7),F6))</f>
        <v>0</v>
      </c>
      <c r="J26" s="327">
        <f>IF(OR(N9="20409-0",N9="20412-1"),(H26*ABS(B26)+I26)*SIGN(B26),H26*B26+I26)</f>
        <v>0</v>
      </c>
      <c r="K26" s="65"/>
      <c r="L26" s="76">
        <f t="shared" si="9"/>
        <v>0</v>
      </c>
      <c r="M26" s="111">
        <f t="shared" si="19"/>
        <v>9.7989820000000005</v>
      </c>
      <c r="N26" s="111" t="e">
        <f t="shared" si="20"/>
        <v>#DIV/0!</v>
      </c>
      <c r="O26" s="111">
        <f t="shared" si="21"/>
        <v>8000</v>
      </c>
      <c r="P26" s="111">
        <f t="shared" si="22"/>
        <v>1</v>
      </c>
      <c r="Q26" s="111">
        <f t="shared" si="23"/>
        <v>0</v>
      </c>
      <c r="R26" s="111" t="e">
        <f t="shared" ca="1" si="24"/>
        <v>#N/A</v>
      </c>
      <c r="S26" s="293" t="e">
        <f t="shared" ca="1" si="10"/>
        <v>#DIV/0!</v>
      </c>
      <c r="T26" s="80" t="e">
        <f t="shared" ca="1" si="25"/>
        <v>#N/A</v>
      </c>
      <c r="U26" s="112" t="e">
        <f t="shared" ca="1" si="26"/>
        <v>#N/A</v>
      </c>
      <c r="V26" s="295" t="e">
        <f t="shared" ca="1" si="11"/>
        <v>#DIV/0!</v>
      </c>
      <c r="W26" s="112">
        <f t="shared" si="27"/>
        <v>9.0000000000000002E-6</v>
      </c>
      <c r="X26" s="112" t="e">
        <f t="shared" ca="1" si="28"/>
        <v>#DIV/0!</v>
      </c>
      <c r="Y26" s="81" t="e">
        <f t="shared" ca="1" si="12"/>
        <v>#N/A</v>
      </c>
      <c r="Z26" s="296" t="e">
        <f t="shared" ca="1" si="13"/>
        <v>#DIV/0!</v>
      </c>
      <c r="AA26" s="80" t="e">
        <f t="shared" ca="1" si="14"/>
        <v>#DIV/0!</v>
      </c>
      <c r="AB26" s="112" t="e">
        <f t="shared" si="15"/>
        <v>#DIV/0!</v>
      </c>
      <c r="AC26" s="112">
        <f t="shared" si="16"/>
        <v>9.7989820000000005</v>
      </c>
      <c r="AD26" s="112">
        <f t="shared" si="29"/>
        <v>0.03</v>
      </c>
      <c r="AE26" s="86">
        <f t="shared" si="17"/>
        <v>0</v>
      </c>
      <c r="AF26" s="297" t="e">
        <f t="shared" ca="1" si="18"/>
        <v>#DIV/0!</v>
      </c>
      <c r="AG26" s="65"/>
      <c r="AH26" s="66">
        <f>Pressure_2_R1!A82</f>
        <v>0</v>
      </c>
      <c r="AI26" s="95">
        <f>Pressure_2_R1!B82</f>
        <v>0</v>
      </c>
      <c r="AJ26" s="95">
        <f>Pressure_2_R1!C82</f>
        <v>0</v>
      </c>
      <c r="AK26" s="95">
        <f>Pressure_2_R1!D82</f>
        <v>0</v>
      </c>
      <c r="AL26" s="95">
        <f>Pressure_2_R1!E82</f>
        <v>0</v>
      </c>
      <c r="AM26" s="95">
        <f>Pressure_2_R1!F82</f>
        <v>0</v>
      </c>
      <c r="AN26" s="95">
        <f>Pressure_2_R1!G82</f>
        <v>0</v>
      </c>
      <c r="AO26" s="95">
        <f>Pressure_2_R1!H82</f>
        <v>0</v>
      </c>
      <c r="AP26" s="95">
        <f>Pressure_2_R1!I82</f>
        <v>0</v>
      </c>
      <c r="AQ26" s="95">
        <f>Pressure_2_R1!J82</f>
        <v>0</v>
      </c>
      <c r="AR26" s="95">
        <f>Pressure_2_R1!K82</f>
        <v>0</v>
      </c>
      <c r="AS26" s="95">
        <f>Pressure_2_R1!L82</f>
        <v>0</v>
      </c>
      <c r="AT26" s="95">
        <f>Pressure_2_R1!M82</f>
        <v>0</v>
      </c>
      <c r="AU26" s="95">
        <f>Pressure_2_R1!N82</f>
        <v>0</v>
      </c>
      <c r="AV26" s="95">
        <f>Pressure_2_R1!O82</f>
        <v>0</v>
      </c>
      <c r="AW26" s="67">
        <f>Pressure_2_R1!P82</f>
        <v>0</v>
      </c>
    </row>
    <row r="27" spans="2:49" ht="15" customHeight="1">
      <c r="B27" s="76">
        <f>Pressure_2_R1!D17</f>
        <v>0</v>
      </c>
      <c r="C27" s="299">
        <f t="shared" si="8"/>
        <v>0</v>
      </c>
      <c r="E27" s="316">
        <f ca="1">IF(TYPE(P65)=16,MAX(J6:J7),ROUND(P65,V56))</f>
        <v>0</v>
      </c>
      <c r="F27" s="315" t="e">
        <f ca="1">IF(E13="% of Reading",C27*E27%,IF(E13="% of F.S",MAX(C14:C43)*E27%,E27*M9))</f>
        <v>#N/A</v>
      </c>
      <c r="H27" s="298">
        <f>IF(B27=0,0,IF(B27&lt;0,IF(OR(N9="20409-0",N9="20412-1"),E6,E7),E6))</f>
        <v>0</v>
      </c>
      <c r="I27" s="152">
        <f>IF(B27=0,0,IF(B27&lt;0,IF(OR(N9="20409-0",N9="20412-1"),F6,F7),F6))</f>
        <v>0</v>
      </c>
      <c r="J27" s="327">
        <f>IF(OR(N9="20409-0",N9="20412-1"),(H27*ABS(B27)+I27)*SIGN(B27),H27*B27+I27)</f>
        <v>0</v>
      </c>
      <c r="K27" s="65"/>
      <c r="L27" s="76">
        <f t="shared" si="9"/>
        <v>0</v>
      </c>
      <c r="M27" s="111">
        <f t="shared" si="19"/>
        <v>9.7989820000000005</v>
      </c>
      <c r="N27" s="111" t="e">
        <f t="shared" si="20"/>
        <v>#DIV/0!</v>
      </c>
      <c r="O27" s="111">
        <f t="shared" si="21"/>
        <v>8000</v>
      </c>
      <c r="P27" s="111">
        <f t="shared" si="22"/>
        <v>1</v>
      </c>
      <c r="Q27" s="111">
        <f t="shared" si="23"/>
        <v>0</v>
      </c>
      <c r="R27" s="111" t="e">
        <f t="shared" ca="1" si="24"/>
        <v>#N/A</v>
      </c>
      <c r="S27" s="293" t="e">
        <f t="shared" ca="1" si="10"/>
        <v>#DIV/0!</v>
      </c>
      <c r="T27" s="80" t="e">
        <f t="shared" ca="1" si="25"/>
        <v>#N/A</v>
      </c>
      <c r="U27" s="112" t="e">
        <f t="shared" ca="1" si="26"/>
        <v>#N/A</v>
      </c>
      <c r="V27" s="295" t="e">
        <f t="shared" ca="1" si="11"/>
        <v>#DIV/0!</v>
      </c>
      <c r="W27" s="112">
        <f t="shared" si="27"/>
        <v>9.0000000000000002E-6</v>
      </c>
      <c r="X27" s="112" t="e">
        <f t="shared" ca="1" si="28"/>
        <v>#DIV/0!</v>
      </c>
      <c r="Y27" s="81" t="e">
        <f t="shared" ca="1" si="12"/>
        <v>#N/A</v>
      </c>
      <c r="Z27" s="296" t="e">
        <f t="shared" ca="1" si="13"/>
        <v>#DIV/0!</v>
      </c>
      <c r="AA27" s="80" t="e">
        <f t="shared" ca="1" si="14"/>
        <v>#DIV/0!</v>
      </c>
      <c r="AB27" s="112" t="e">
        <f t="shared" si="15"/>
        <v>#DIV/0!</v>
      </c>
      <c r="AC27" s="112">
        <f t="shared" si="16"/>
        <v>9.7989820000000005</v>
      </c>
      <c r="AD27" s="112">
        <f t="shared" si="29"/>
        <v>0.03</v>
      </c>
      <c r="AE27" s="86">
        <f t="shared" si="17"/>
        <v>0</v>
      </c>
      <c r="AF27" s="297" t="e">
        <f t="shared" ca="1" si="18"/>
        <v>#DIV/0!</v>
      </c>
      <c r="AG27" s="65"/>
      <c r="AH27" s="68">
        <f>Pressure_2_R1!A83</f>
        <v>0</v>
      </c>
      <c r="AI27" s="94">
        <f>Pressure_2_R1!B83</f>
        <v>0</v>
      </c>
      <c r="AJ27" s="94">
        <f>Pressure_2_R1!C83</f>
        <v>0</v>
      </c>
      <c r="AK27" s="94">
        <f>Pressure_2_R1!D83</f>
        <v>0</v>
      </c>
      <c r="AL27" s="94">
        <f>Pressure_2_R1!E83</f>
        <v>0</v>
      </c>
      <c r="AM27" s="94">
        <f>Pressure_2_R1!F83</f>
        <v>0</v>
      </c>
      <c r="AN27" s="94">
        <f>Pressure_2_R1!G83</f>
        <v>0</v>
      </c>
      <c r="AO27" s="94">
        <f>Pressure_2_R1!H83</f>
        <v>0</v>
      </c>
      <c r="AP27" s="94">
        <f>Pressure_2_R1!I83</f>
        <v>0</v>
      </c>
      <c r="AQ27" s="94">
        <f>Pressure_2_R1!J83</f>
        <v>0</v>
      </c>
      <c r="AR27" s="94">
        <f>Pressure_2_R1!K83</f>
        <v>0</v>
      </c>
      <c r="AS27" s="94">
        <f>Pressure_2_R1!L83</f>
        <v>0</v>
      </c>
      <c r="AT27" s="94">
        <f>Pressure_2_R1!M83</f>
        <v>0</v>
      </c>
      <c r="AU27" s="94">
        <f>Pressure_2_R1!N83</f>
        <v>0</v>
      </c>
      <c r="AV27" s="94">
        <f>Pressure_2_R1!O83</f>
        <v>0</v>
      </c>
      <c r="AW27" s="69">
        <f>Pressure_2_R1!P83</f>
        <v>0</v>
      </c>
    </row>
    <row r="28" spans="2:49" ht="15" customHeight="1">
      <c r="B28" s="76">
        <f>Pressure_2_R1!D18</f>
        <v>0</v>
      </c>
      <c r="C28" s="299">
        <f t="shared" si="8"/>
        <v>0</v>
      </c>
      <c r="E28" s="316">
        <f ca="1">IF(TYPE(P65)=16,MAX(J6:J7),ROUND(P65,V56))</f>
        <v>0</v>
      </c>
      <c r="F28" s="315" t="e">
        <f ca="1">IF(E13="% of Reading",C28*E28%,IF(E13="% of F.S",MAX(C14:C43)*E28%,E28*M9))</f>
        <v>#N/A</v>
      </c>
      <c r="H28" s="298">
        <f>IF(B28=0,0,IF(B28&lt;0,IF(OR(N9="20409-0",N9="20412-1"),E6,E7),E6))</f>
        <v>0</v>
      </c>
      <c r="I28" s="152">
        <f>IF(B28=0,0,IF(B28&lt;0,IF(OR(N9="20409-0",N9="20412-1"),F6,F7),F6))</f>
        <v>0</v>
      </c>
      <c r="J28" s="327">
        <f>IF(OR(N9="20409-0",N9="20412-1"),(H28*ABS(B28)+I28)*SIGN(B28),H28*B28+I28)</f>
        <v>0</v>
      </c>
      <c r="K28" s="65"/>
      <c r="L28" s="76">
        <f t="shared" si="9"/>
        <v>0</v>
      </c>
      <c r="M28" s="111">
        <f t="shared" si="19"/>
        <v>9.7989820000000005</v>
      </c>
      <c r="N28" s="111" t="e">
        <f t="shared" si="20"/>
        <v>#DIV/0!</v>
      </c>
      <c r="O28" s="111">
        <f t="shared" si="21"/>
        <v>8000</v>
      </c>
      <c r="P28" s="111">
        <f t="shared" si="22"/>
        <v>1</v>
      </c>
      <c r="Q28" s="111">
        <f t="shared" si="23"/>
        <v>0</v>
      </c>
      <c r="R28" s="111" t="e">
        <f t="shared" ca="1" si="24"/>
        <v>#N/A</v>
      </c>
      <c r="S28" s="293" t="e">
        <f t="shared" ca="1" si="10"/>
        <v>#DIV/0!</v>
      </c>
      <c r="T28" s="80" t="e">
        <f t="shared" ca="1" si="25"/>
        <v>#N/A</v>
      </c>
      <c r="U28" s="112" t="e">
        <f t="shared" ca="1" si="26"/>
        <v>#N/A</v>
      </c>
      <c r="V28" s="295" t="e">
        <f t="shared" ca="1" si="11"/>
        <v>#DIV/0!</v>
      </c>
      <c r="W28" s="112">
        <f t="shared" si="27"/>
        <v>9.0000000000000002E-6</v>
      </c>
      <c r="X28" s="112" t="e">
        <f t="shared" ca="1" si="28"/>
        <v>#DIV/0!</v>
      </c>
      <c r="Y28" s="81" t="e">
        <f t="shared" ca="1" si="12"/>
        <v>#N/A</v>
      </c>
      <c r="Z28" s="296" t="e">
        <f t="shared" ca="1" si="13"/>
        <v>#DIV/0!</v>
      </c>
      <c r="AA28" s="80" t="e">
        <f t="shared" ca="1" si="14"/>
        <v>#DIV/0!</v>
      </c>
      <c r="AB28" s="112" t="e">
        <f t="shared" si="15"/>
        <v>#DIV/0!</v>
      </c>
      <c r="AC28" s="112">
        <f t="shared" si="16"/>
        <v>9.7989820000000005</v>
      </c>
      <c r="AD28" s="112">
        <f t="shared" si="29"/>
        <v>0.03</v>
      </c>
      <c r="AE28" s="86">
        <f t="shared" si="17"/>
        <v>0</v>
      </c>
      <c r="AF28" s="297" t="e">
        <f t="shared" ca="1" si="18"/>
        <v>#DIV/0!</v>
      </c>
      <c r="AG28" s="65"/>
      <c r="AH28" s="66">
        <f>Pressure_2_R1!A84</f>
        <v>0</v>
      </c>
      <c r="AI28" s="95">
        <f>Pressure_2_R1!B84</f>
        <v>0</v>
      </c>
      <c r="AJ28" s="95">
        <f>Pressure_2_R1!C84</f>
        <v>0</v>
      </c>
      <c r="AK28" s="95">
        <f>Pressure_2_R1!D84</f>
        <v>0</v>
      </c>
      <c r="AL28" s="95">
        <f>Pressure_2_R1!E84</f>
        <v>0</v>
      </c>
      <c r="AM28" s="95">
        <f>Pressure_2_R1!F84</f>
        <v>0</v>
      </c>
      <c r="AN28" s="95">
        <f>Pressure_2_R1!G84</f>
        <v>0</v>
      </c>
      <c r="AO28" s="95">
        <f>Pressure_2_R1!H84</f>
        <v>0</v>
      </c>
      <c r="AP28" s="95">
        <f>Pressure_2_R1!I84</f>
        <v>0</v>
      </c>
      <c r="AQ28" s="95">
        <f>Pressure_2_R1!J84</f>
        <v>0</v>
      </c>
      <c r="AR28" s="95">
        <f>Pressure_2_R1!K84</f>
        <v>0</v>
      </c>
      <c r="AS28" s="95">
        <f>Pressure_2_R1!L84</f>
        <v>0</v>
      </c>
      <c r="AT28" s="95">
        <f>Pressure_2_R1!M84</f>
        <v>0</v>
      </c>
      <c r="AU28" s="95">
        <f>Pressure_2_R1!N84</f>
        <v>0</v>
      </c>
      <c r="AV28" s="95">
        <f>Pressure_2_R1!O84</f>
        <v>0</v>
      </c>
      <c r="AW28" s="67">
        <f>Pressure_2_R1!P84</f>
        <v>0</v>
      </c>
    </row>
    <row r="29" spans="2:49" ht="15" customHeight="1">
      <c r="B29" s="76">
        <f>Pressure_2_R1!D19</f>
        <v>0</v>
      </c>
      <c r="C29" s="299">
        <f t="shared" si="8"/>
        <v>0</v>
      </c>
      <c r="E29" s="316">
        <f ca="1">IF(TYPE(P65)=16,MAX(J6:J7),ROUND(P65,V56))</f>
        <v>0</v>
      </c>
      <c r="F29" s="315" t="e">
        <f ca="1">IF(E13="% of Reading",C29*E29%,IF(E13="% of F.S",MAX(C14:C43)*E29%,E29*M9))</f>
        <v>#N/A</v>
      </c>
      <c r="H29" s="298">
        <f>IF(B29=0,0,IF(B29&lt;0,IF(OR(N9="20409-0",N9="20412-1"),E6,E7),E6))</f>
        <v>0</v>
      </c>
      <c r="I29" s="152">
        <f>IF(B29=0,0,IF(B29&lt;0,IF(OR(N9="20409-0",N9="20412-1"),F6,F7),F6))</f>
        <v>0</v>
      </c>
      <c r="J29" s="327">
        <f>IF(OR(N9="20409-0",N9="20412-1"),(H29*ABS(B29)+I29)*SIGN(B29),H29*B29+I29)</f>
        <v>0</v>
      </c>
      <c r="K29" s="65"/>
      <c r="L29" s="76">
        <f t="shared" si="9"/>
        <v>0</v>
      </c>
      <c r="M29" s="111">
        <f t="shared" si="19"/>
        <v>9.7989820000000005</v>
      </c>
      <c r="N29" s="111" t="e">
        <f t="shared" si="20"/>
        <v>#DIV/0!</v>
      </c>
      <c r="O29" s="111">
        <f t="shared" si="21"/>
        <v>8000</v>
      </c>
      <c r="P29" s="111">
        <f t="shared" si="22"/>
        <v>1</v>
      </c>
      <c r="Q29" s="111">
        <f t="shared" si="23"/>
        <v>0</v>
      </c>
      <c r="R29" s="111" t="e">
        <f t="shared" ca="1" si="24"/>
        <v>#N/A</v>
      </c>
      <c r="S29" s="293" t="e">
        <f t="shared" ca="1" si="10"/>
        <v>#DIV/0!</v>
      </c>
      <c r="T29" s="80" t="e">
        <f t="shared" ca="1" si="25"/>
        <v>#N/A</v>
      </c>
      <c r="U29" s="112" t="e">
        <f t="shared" ca="1" si="26"/>
        <v>#N/A</v>
      </c>
      <c r="V29" s="295" t="e">
        <f t="shared" ca="1" si="11"/>
        <v>#DIV/0!</v>
      </c>
      <c r="W29" s="112">
        <f t="shared" si="27"/>
        <v>9.0000000000000002E-6</v>
      </c>
      <c r="X29" s="112" t="e">
        <f t="shared" ca="1" si="28"/>
        <v>#DIV/0!</v>
      </c>
      <c r="Y29" s="81" t="e">
        <f t="shared" ca="1" si="12"/>
        <v>#N/A</v>
      </c>
      <c r="Z29" s="296" t="e">
        <f t="shared" ca="1" si="13"/>
        <v>#DIV/0!</v>
      </c>
      <c r="AA29" s="80" t="e">
        <f t="shared" ca="1" si="14"/>
        <v>#DIV/0!</v>
      </c>
      <c r="AB29" s="112" t="e">
        <f t="shared" si="15"/>
        <v>#DIV/0!</v>
      </c>
      <c r="AC29" s="112">
        <f t="shared" si="16"/>
        <v>9.7989820000000005</v>
      </c>
      <c r="AD29" s="112">
        <f t="shared" si="29"/>
        <v>0.03</v>
      </c>
      <c r="AE29" s="86">
        <f t="shared" si="17"/>
        <v>0</v>
      </c>
      <c r="AF29" s="297" t="e">
        <f t="shared" ca="1" si="18"/>
        <v>#DIV/0!</v>
      </c>
      <c r="AG29" s="65"/>
      <c r="AH29" s="68">
        <f>Pressure_2_R1!A85</f>
        <v>0</v>
      </c>
      <c r="AI29" s="94">
        <f>Pressure_2_R1!B85</f>
        <v>0</v>
      </c>
      <c r="AJ29" s="94">
        <f>Pressure_2_R1!C85</f>
        <v>0</v>
      </c>
      <c r="AK29" s="94">
        <f>Pressure_2_R1!D85</f>
        <v>0</v>
      </c>
      <c r="AL29" s="94">
        <f>Pressure_2_R1!E85</f>
        <v>0</v>
      </c>
      <c r="AM29" s="94">
        <f>Pressure_2_R1!F85</f>
        <v>0</v>
      </c>
      <c r="AN29" s="94">
        <f>Pressure_2_R1!G85</f>
        <v>0</v>
      </c>
      <c r="AO29" s="94">
        <f>Pressure_2_R1!H85</f>
        <v>0</v>
      </c>
      <c r="AP29" s="94">
        <f>Pressure_2_R1!I85</f>
        <v>0</v>
      </c>
      <c r="AQ29" s="94">
        <f>Pressure_2_R1!J85</f>
        <v>0</v>
      </c>
      <c r="AR29" s="94">
        <f>Pressure_2_R1!K85</f>
        <v>0</v>
      </c>
      <c r="AS29" s="94">
        <f>Pressure_2_R1!L85</f>
        <v>0</v>
      </c>
      <c r="AT29" s="94">
        <f>Pressure_2_R1!M85</f>
        <v>0</v>
      </c>
      <c r="AU29" s="94">
        <f>Pressure_2_R1!N85</f>
        <v>0</v>
      </c>
      <c r="AV29" s="94">
        <f>Pressure_2_R1!O85</f>
        <v>0</v>
      </c>
      <c r="AW29" s="69">
        <f>Pressure_2_R1!P85</f>
        <v>0</v>
      </c>
    </row>
    <row r="30" spans="2:49" ht="15" customHeight="1">
      <c r="B30" s="76">
        <f>Pressure_2_R1!D20</f>
        <v>0</v>
      </c>
      <c r="C30" s="299">
        <f t="shared" si="8"/>
        <v>0</v>
      </c>
      <c r="E30" s="316">
        <f ca="1">IF(TYPE(P65)=16,MAX(J6:J7),ROUND(P65,V56))</f>
        <v>0</v>
      </c>
      <c r="F30" s="315" t="e">
        <f ca="1">IF(E13="% of Reading",C30*E30%,IF(E13="% of F.S",MAX(C14:C43)*E30%,E30*M9))</f>
        <v>#N/A</v>
      </c>
      <c r="H30" s="298">
        <f>IF(B30=0,0,IF(B30&lt;0,IF(OR(N9="20409-0",N9="20412-1"),E6,E7),E6))</f>
        <v>0</v>
      </c>
      <c r="I30" s="152">
        <f>IF(B30=0,0,IF(B30&lt;0,IF(OR(N9="20409-0",N9="20412-1"),F6,F7),F6))</f>
        <v>0</v>
      </c>
      <c r="J30" s="327">
        <f>IF(OR(N9="20409-0",N9="20412-1"),(H30*ABS(B30)+I30)*SIGN(B30),H30*B30+I30)</f>
        <v>0</v>
      </c>
      <c r="K30" s="65"/>
      <c r="L30" s="76">
        <f t="shared" si="9"/>
        <v>0</v>
      </c>
      <c r="M30" s="111">
        <f t="shared" si="19"/>
        <v>9.7989820000000005</v>
      </c>
      <c r="N30" s="111" t="e">
        <f t="shared" si="20"/>
        <v>#DIV/0!</v>
      </c>
      <c r="O30" s="111">
        <f t="shared" si="21"/>
        <v>8000</v>
      </c>
      <c r="P30" s="111">
        <f t="shared" si="22"/>
        <v>1</v>
      </c>
      <c r="Q30" s="111">
        <f t="shared" si="23"/>
        <v>0</v>
      </c>
      <c r="R30" s="111" t="e">
        <f t="shared" ca="1" si="24"/>
        <v>#N/A</v>
      </c>
      <c r="S30" s="293" t="e">
        <f t="shared" ca="1" si="10"/>
        <v>#DIV/0!</v>
      </c>
      <c r="T30" s="80" t="e">
        <f t="shared" ca="1" si="25"/>
        <v>#N/A</v>
      </c>
      <c r="U30" s="112" t="e">
        <f t="shared" ca="1" si="26"/>
        <v>#N/A</v>
      </c>
      <c r="V30" s="295" t="e">
        <f t="shared" ca="1" si="11"/>
        <v>#DIV/0!</v>
      </c>
      <c r="W30" s="112">
        <f t="shared" si="27"/>
        <v>9.0000000000000002E-6</v>
      </c>
      <c r="X30" s="112" t="e">
        <f t="shared" ca="1" si="28"/>
        <v>#DIV/0!</v>
      </c>
      <c r="Y30" s="81" t="e">
        <f t="shared" ca="1" si="12"/>
        <v>#N/A</v>
      </c>
      <c r="Z30" s="296" t="e">
        <f t="shared" ca="1" si="13"/>
        <v>#DIV/0!</v>
      </c>
      <c r="AA30" s="80" t="e">
        <f t="shared" ca="1" si="14"/>
        <v>#DIV/0!</v>
      </c>
      <c r="AB30" s="112" t="e">
        <f t="shared" si="15"/>
        <v>#DIV/0!</v>
      </c>
      <c r="AC30" s="112">
        <f t="shared" si="16"/>
        <v>9.7989820000000005</v>
      </c>
      <c r="AD30" s="112">
        <f t="shared" si="29"/>
        <v>0.03</v>
      </c>
      <c r="AE30" s="86">
        <f t="shared" si="17"/>
        <v>0</v>
      </c>
      <c r="AF30" s="297" t="e">
        <f t="shared" ca="1" si="18"/>
        <v>#DIV/0!</v>
      </c>
      <c r="AG30" s="65"/>
      <c r="AH30" s="66">
        <f>Pressure_2_R1!A86</f>
        <v>0</v>
      </c>
      <c r="AI30" s="95">
        <f>Pressure_2_R1!B86</f>
        <v>0</v>
      </c>
      <c r="AJ30" s="95">
        <f>Pressure_2_R1!C86</f>
        <v>0</v>
      </c>
      <c r="AK30" s="95">
        <f>Pressure_2_R1!D86</f>
        <v>0</v>
      </c>
      <c r="AL30" s="95">
        <f>Pressure_2_R1!E86</f>
        <v>0</v>
      </c>
      <c r="AM30" s="95">
        <f>Pressure_2_R1!F86</f>
        <v>0</v>
      </c>
      <c r="AN30" s="95">
        <f>Pressure_2_R1!G86</f>
        <v>0</v>
      </c>
      <c r="AO30" s="95">
        <f>Pressure_2_R1!H86</f>
        <v>0</v>
      </c>
      <c r="AP30" s="95">
        <f>Pressure_2_R1!I86</f>
        <v>0</v>
      </c>
      <c r="AQ30" s="95">
        <f>Pressure_2_R1!J86</f>
        <v>0</v>
      </c>
      <c r="AR30" s="95">
        <f>Pressure_2_R1!K86</f>
        <v>0</v>
      </c>
      <c r="AS30" s="95">
        <f>Pressure_2_R1!L86</f>
        <v>0</v>
      </c>
      <c r="AT30" s="95">
        <f>Pressure_2_R1!M86</f>
        <v>0</v>
      </c>
      <c r="AU30" s="95">
        <f>Pressure_2_R1!N86</f>
        <v>0</v>
      </c>
      <c r="AV30" s="95">
        <f>Pressure_2_R1!O86</f>
        <v>0</v>
      </c>
      <c r="AW30" s="67">
        <f>Pressure_2_R1!P86</f>
        <v>0</v>
      </c>
    </row>
    <row r="31" spans="2:49" ht="15" customHeight="1">
      <c r="B31" s="76">
        <f>Pressure_2_R1!D21</f>
        <v>0</v>
      </c>
      <c r="C31" s="299">
        <f t="shared" si="8"/>
        <v>0</v>
      </c>
      <c r="E31" s="316">
        <f ca="1">IF(TYPE(P65)=16,MAX(J6:J7),ROUND(P65,V56))</f>
        <v>0</v>
      </c>
      <c r="F31" s="315" t="e">
        <f ca="1">IF(E13="% of Reading",C31*E31%,IF(E13="% of F.S",MAX(C14:C43)*E31%,E31*M9))</f>
        <v>#N/A</v>
      </c>
      <c r="H31" s="298">
        <f>IF(B31=0,0,IF(B31&lt;0,IF(OR(N9="20409-0",N9="20412-1"),E6,E7),E6))</f>
        <v>0</v>
      </c>
      <c r="I31" s="152">
        <f>IF(B31=0,0,IF(B31&lt;0,IF(OR(N9="20409-0",N9="20412-1"),F6,F7),F6))</f>
        <v>0</v>
      </c>
      <c r="J31" s="327">
        <f>IF(OR(N9="20409-0",N9="20412-1"),(H31*ABS(B31)+I31)*SIGN(B31),H31*B31+I31)</f>
        <v>0</v>
      </c>
      <c r="K31" s="65"/>
      <c r="L31" s="76">
        <f t="shared" si="9"/>
        <v>0</v>
      </c>
      <c r="M31" s="111">
        <f t="shared" si="19"/>
        <v>9.7989820000000005</v>
      </c>
      <c r="N31" s="111" t="e">
        <f t="shared" si="20"/>
        <v>#DIV/0!</v>
      </c>
      <c r="O31" s="111">
        <f t="shared" si="21"/>
        <v>8000</v>
      </c>
      <c r="P31" s="111">
        <f t="shared" si="22"/>
        <v>1</v>
      </c>
      <c r="Q31" s="111">
        <f t="shared" si="23"/>
        <v>0</v>
      </c>
      <c r="R31" s="111" t="e">
        <f t="shared" ca="1" si="24"/>
        <v>#N/A</v>
      </c>
      <c r="S31" s="293" t="e">
        <f t="shared" ca="1" si="10"/>
        <v>#DIV/0!</v>
      </c>
      <c r="T31" s="80" t="e">
        <f t="shared" ca="1" si="25"/>
        <v>#N/A</v>
      </c>
      <c r="U31" s="112" t="e">
        <f t="shared" ca="1" si="26"/>
        <v>#N/A</v>
      </c>
      <c r="V31" s="295" t="e">
        <f t="shared" ca="1" si="11"/>
        <v>#DIV/0!</v>
      </c>
      <c r="W31" s="112">
        <f t="shared" si="27"/>
        <v>9.0000000000000002E-6</v>
      </c>
      <c r="X31" s="112" t="e">
        <f t="shared" ca="1" si="28"/>
        <v>#DIV/0!</v>
      </c>
      <c r="Y31" s="81" t="e">
        <f t="shared" ca="1" si="12"/>
        <v>#N/A</v>
      </c>
      <c r="Z31" s="296" t="e">
        <f t="shared" ca="1" si="13"/>
        <v>#DIV/0!</v>
      </c>
      <c r="AA31" s="80" t="e">
        <f t="shared" ca="1" si="14"/>
        <v>#DIV/0!</v>
      </c>
      <c r="AB31" s="112" t="e">
        <f t="shared" si="15"/>
        <v>#DIV/0!</v>
      </c>
      <c r="AC31" s="112">
        <f t="shared" si="16"/>
        <v>9.7989820000000005</v>
      </c>
      <c r="AD31" s="112">
        <f t="shared" si="29"/>
        <v>0.03</v>
      </c>
      <c r="AE31" s="86">
        <f t="shared" si="17"/>
        <v>0</v>
      </c>
      <c r="AF31" s="297" t="e">
        <f t="shared" ca="1" si="18"/>
        <v>#DIV/0!</v>
      </c>
      <c r="AG31" s="65"/>
      <c r="AH31" s="68">
        <f>Pressure_2_R1!A87</f>
        <v>0</v>
      </c>
      <c r="AI31" s="94">
        <f>Pressure_2_R1!B87</f>
        <v>0</v>
      </c>
      <c r="AJ31" s="94">
        <f>Pressure_2_R1!C87</f>
        <v>0</v>
      </c>
      <c r="AK31" s="94">
        <f>Pressure_2_R1!D87</f>
        <v>0</v>
      </c>
      <c r="AL31" s="94">
        <f>Pressure_2_R1!E87</f>
        <v>0</v>
      </c>
      <c r="AM31" s="94">
        <f>Pressure_2_R1!F87</f>
        <v>0</v>
      </c>
      <c r="AN31" s="94">
        <f>Pressure_2_R1!G87</f>
        <v>0</v>
      </c>
      <c r="AO31" s="94">
        <f>Pressure_2_R1!H87</f>
        <v>0</v>
      </c>
      <c r="AP31" s="94">
        <f>Pressure_2_R1!I87</f>
        <v>0</v>
      </c>
      <c r="AQ31" s="94">
        <f>Pressure_2_R1!J87</f>
        <v>0</v>
      </c>
      <c r="AR31" s="94">
        <f>Pressure_2_R1!K87</f>
        <v>0</v>
      </c>
      <c r="AS31" s="94">
        <f>Pressure_2_R1!L87</f>
        <v>0</v>
      </c>
      <c r="AT31" s="94">
        <f>Pressure_2_R1!M87</f>
        <v>0</v>
      </c>
      <c r="AU31" s="94">
        <f>Pressure_2_R1!N87</f>
        <v>0</v>
      </c>
      <c r="AV31" s="94">
        <f>Pressure_2_R1!O87</f>
        <v>0</v>
      </c>
      <c r="AW31" s="69">
        <f>Pressure_2_R1!P87</f>
        <v>0</v>
      </c>
    </row>
    <row r="32" spans="2:49" ht="15" customHeight="1">
      <c r="B32" s="76">
        <f>Pressure_2_R1!D22</f>
        <v>0</v>
      </c>
      <c r="C32" s="299">
        <f t="shared" si="8"/>
        <v>0</v>
      </c>
      <c r="E32" s="316">
        <f ca="1">IF(TYPE(P65)=16,MAX(J6:J7),ROUND(P65,V56))</f>
        <v>0</v>
      </c>
      <c r="F32" s="315" t="e">
        <f ca="1">IF(E13="% of Reading",C32*E32%,IF(E13="% of F.S",MAX(C14:C43)*E32%,E32*M9))</f>
        <v>#N/A</v>
      </c>
      <c r="H32" s="298">
        <f>IF(B32=0,0,IF(B32&lt;0,IF(OR(N9="20409-0",N9="20412-1"),E6,E7),E6))</f>
        <v>0</v>
      </c>
      <c r="I32" s="152">
        <f>IF(B32=0,0,IF(B32&lt;0,IF(OR(N9="20409-0",N9="20412-1"),F6,F7),F6))</f>
        <v>0</v>
      </c>
      <c r="J32" s="327">
        <f>IF(OR(N9="20409-0",N9="20412-1"),(H32*ABS(B32)+I32)*SIGN(B32),H32*B32+I32)</f>
        <v>0</v>
      </c>
      <c r="K32" s="65"/>
      <c r="L32" s="76">
        <f t="shared" si="9"/>
        <v>0</v>
      </c>
      <c r="M32" s="111">
        <f t="shared" si="19"/>
        <v>9.7989820000000005</v>
      </c>
      <c r="N32" s="111" t="e">
        <f t="shared" si="20"/>
        <v>#DIV/0!</v>
      </c>
      <c r="O32" s="111">
        <f t="shared" si="21"/>
        <v>8000</v>
      </c>
      <c r="P32" s="111">
        <f t="shared" si="22"/>
        <v>1</v>
      </c>
      <c r="Q32" s="111">
        <f t="shared" si="23"/>
        <v>0</v>
      </c>
      <c r="R32" s="111" t="e">
        <f t="shared" ca="1" si="24"/>
        <v>#N/A</v>
      </c>
      <c r="S32" s="293" t="e">
        <f t="shared" ca="1" si="10"/>
        <v>#DIV/0!</v>
      </c>
      <c r="T32" s="80" t="e">
        <f t="shared" ca="1" si="25"/>
        <v>#N/A</v>
      </c>
      <c r="U32" s="112" t="e">
        <f t="shared" ca="1" si="26"/>
        <v>#N/A</v>
      </c>
      <c r="V32" s="295" t="e">
        <f t="shared" ca="1" si="11"/>
        <v>#DIV/0!</v>
      </c>
      <c r="W32" s="112">
        <f t="shared" si="27"/>
        <v>9.0000000000000002E-6</v>
      </c>
      <c r="X32" s="112" t="e">
        <f t="shared" ca="1" si="28"/>
        <v>#DIV/0!</v>
      </c>
      <c r="Y32" s="81" t="e">
        <f t="shared" ca="1" si="12"/>
        <v>#N/A</v>
      </c>
      <c r="Z32" s="296" t="e">
        <f t="shared" ca="1" si="13"/>
        <v>#DIV/0!</v>
      </c>
      <c r="AA32" s="80" t="e">
        <f t="shared" ca="1" si="14"/>
        <v>#DIV/0!</v>
      </c>
      <c r="AB32" s="112" t="e">
        <f t="shared" si="15"/>
        <v>#DIV/0!</v>
      </c>
      <c r="AC32" s="112">
        <f t="shared" si="16"/>
        <v>9.7989820000000005</v>
      </c>
      <c r="AD32" s="112">
        <f t="shared" si="29"/>
        <v>0.03</v>
      </c>
      <c r="AE32" s="86">
        <f t="shared" si="17"/>
        <v>0</v>
      </c>
      <c r="AF32" s="297" t="e">
        <f t="shared" ca="1" si="18"/>
        <v>#DIV/0!</v>
      </c>
      <c r="AG32" s="65"/>
      <c r="AH32" s="66">
        <f>Pressure_2_R1!A88</f>
        <v>0</v>
      </c>
      <c r="AI32" s="95">
        <f>Pressure_2_R1!B88</f>
        <v>0</v>
      </c>
      <c r="AJ32" s="95">
        <f>Pressure_2_R1!C88</f>
        <v>0</v>
      </c>
      <c r="AK32" s="95">
        <f>Pressure_2_R1!D88</f>
        <v>0</v>
      </c>
      <c r="AL32" s="95">
        <f>Pressure_2_R1!E88</f>
        <v>0</v>
      </c>
      <c r="AM32" s="95">
        <f>Pressure_2_R1!F88</f>
        <v>0</v>
      </c>
      <c r="AN32" s="95">
        <f>Pressure_2_R1!G88</f>
        <v>0</v>
      </c>
      <c r="AO32" s="95">
        <f>Pressure_2_R1!H88</f>
        <v>0</v>
      </c>
      <c r="AP32" s="95">
        <f>Pressure_2_R1!I88</f>
        <v>0</v>
      </c>
      <c r="AQ32" s="95">
        <f>Pressure_2_R1!J88</f>
        <v>0</v>
      </c>
      <c r="AR32" s="95">
        <f>Pressure_2_R1!K88</f>
        <v>0</v>
      </c>
      <c r="AS32" s="95">
        <f>Pressure_2_R1!L88</f>
        <v>0</v>
      </c>
      <c r="AT32" s="95">
        <f>Pressure_2_R1!M88</f>
        <v>0</v>
      </c>
      <c r="AU32" s="95">
        <f>Pressure_2_R1!N88</f>
        <v>0</v>
      </c>
      <c r="AV32" s="95">
        <f>Pressure_2_R1!O88</f>
        <v>0</v>
      </c>
      <c r="AW32" s="67">
        <f>Pressure_2_R1!P88</f>
        <v>0</v>
      </c>
    </row>
    <row r="33" spans="1:49" ht="15" customHeight="1">
      <c r="B33" s="76">
        <f>Pressure_2_R1!D23</f>
        <v>0</v>
      </c>
      <c r="C33" s="299">
        <f t="shared" si="8"/>
        <v>0</v>
      </c>
      <c r="E33" s="316">
        <f ca="1">IF(TYPE(P65)=16,MAX(J6:J7),ROUND(P65,V56))</f>
        <v>0</v>
      </c>
      <c r="F33" s="315" t="e">
        <f ca="1">IF(E13="% of Reading",C33*E33%,IF(E13="% of F.S",MAX(C14:C43)*E33%,E33*M9))</f>
        <v>#N/A</v>
      </c>
      <c r="H33" s="298">
        <f>IF(B33=0,0,IF(B33&lt;0,IF(OR(N9="20409-0",N9="20412-1"),E6,E7),E6))</f>
        <v>0</v>
      </c>
      <c r="I33" s="152">
        <f>IF(B33=0,0,IF(B33&lt;0,IF(OR(N9="20409-0",N9="20412-1"),F6,F7),F6))</f>
        <v>0</v>
      </c>
      <c r="J33" s="327">
        <f>IF(OR(N9="20409-0",N9="20412-1"),(H33*ABS(B33)+I33)*SIGN(B33),H33*B33+I33)</f>
        <v>0</v>
      </c>
      <c r="K33" s="65"/>
      <c r="L33" s="76">
        <f t="shared" si="9"/>
        <v>0</v>
      </c>
      <c r="M33" s="111">
        <f t="shared" si="19"/>
        <v>9.7989820000000005</v>
      </c>
      <c r="N33" s="111" t="e">
        <f t="shared" si="20"/>
        <v>#DIV/0!</v>
      </c>
      <c r="O33" s="111">
        <f t="shared" si="21"/>
        <v>8000</v>
      </c>
      <c r="P33" s="111">
        <f t="shared" si="22"/>
        <v>1</v>
      </c>
      <c r="Q33" s="111">
        <f t="shared" si="23"/>
        <v>0</v>
      </c>
      <c r="R33" s="111" t="e">
        <f t="shared" ca="1" si="24"/>
        <v>#N/A</v>
      </c>
      <c r="S33" s="293" t="e">
        <f t="shared" ca="1" si="10"/>
        <v>#DIV/0!</v>
      </c>
      <c r="T33" s="80" t="e">
        <f t="shared" ca="1" si="25"/>
        <v>#N/A</v>
      </c>
      <c r="U33" s="112" t="e">
        <f t="shared" ca="1" si="26"/>
        <v>#N/A</v>
      </c>
      <c r="V33" s="295" t="e">
        <f t="shared" ca="1" si="11"/>
        <v>#DIV/0!</v>
      </c>
      <c r="W33" s="112">
        <f t="shared" si="27"/>
        <v>9.0000000000000002E-6</v>
      </c>
      <c r="X33" s="112" t="e">
        <f t="shared" ca="1" si="28"/>
        <v>#DIV/0!</v>
      </c>
      <c r="Y33" s="81" t="e">
        <f t="shared" ca="1" si="12"/>
        <v>#N/A</v>
      </c>
      <c r="Z33" s="296" t="e">
        <f t="shared" ca="1" si="13"/>
        <v>#DIV/0!</v>
      </c>
      <c r="AA33" s="80" t="e">
        <f t="shared" ca="1" si="14"/>
        <v>#DIV/0!</v>
      </c>
      <c r="AB33" s="112" t="e">
        <f t="shared" si="15"/>
        <v>#DIV/0!</v>
      </c>
      <c r="AC33" s="112">
        <f t="shared" si="16"/>
        <v>9.7989820000000005</v>
      </c>
      <c r="AD33" s="112">
        <f t="shared" si="29"/>
        <v>0.03</v>
      </c>
      <c r="AE33" s="86">
        <f t="shared" si="17"/>
        <v>0</v>
      </c>
      <c r="AF33" s="297" t="e">
        <f t="shared" ca="1" si="18"/>
        <v>#DIV/0!</v>
      </c>
      <c r="AG33" s="65"/>
      <c r="AH33" s="68">
        <f>Pressure_2_R1!A89</f>
        <v>0</v>
      </c>
      <c r="AI33" s="94">
        <f>Pressure_2_R1!B89</f>
        <v>0</v>
      </c>
      <c r="AJ33" s="94">
        <f>Pressure_2_R1!C89</f>
        <v>0</v>
      </c>
      <c r="AK33" s="94">
        <f>Pressure_2_R1!D89</f>
        <v>0</v>
      </c>
      <c r="AL33" s="94">
        <f>Pressure_2_R1!E89</f>
        <v>0</v>
      </c>
      <c r="AM33" s="94">
        <f>Pressure_2_R1!F89</f>
        <v>0</v>
      </c>
      <c r="AN33" s="94">
        <f>Pressure_2_R1!G89</f>
        <v>0</v>
      </c>
      <c r="AO33" s="94">
        <f>Pressure_2_R1!H89</f>
        <v>0</v>
      </c>
      <c r="AP33" s="94">
        <f>Pressure_2_R1!I89</f>
        <v>0</v>
      </c>
      <c r="AQ33" s="94">
        <f>Pressure_2_R1!J89</f>
        <v>0</v>
      </c>
      <c r="AR33" s="94">
        <f>Pressure_2_R1!K89</f>
        <v>0</v>
      </c>
      <c r="AS33" s="94">
        <f>Pressure_2_R1!L89</f>
        <v>0</v>
      </c>
      <c r="AT33" s="94">
        <f>Pressure_2_R1!M89</f>
        <v>0</v>
      </c>
      <c r="AU33" s="94">
        <f>Pressure_2_R1!N89</f>
        <v>0</v>
      </c>
      <c r="AV33" s="94">
        <f>Pressure_2_R1!O89</f>
        <v>0</v>
      </c>
      <c r="AW33" s="69">
        <f>Pressure_2_R1!P89</f>
        <v>0</v>
      </c>
    </row>
    <row r="34" spans="1:49" ht="15" customHeight="1">
      <c r="B34" s="76">
        <f>Pressure_2_R1!D24</f>
        <v>0</v>
      </c>
      <c r="C34" s="299">
        <f t="shared" si="8"/>
        <v>0</v>
      </c>
      <c r="E34" s="316">
        <f ca="1">IF(TYPE(P65)=16,MAX(J6:J7),ROUND(P65,V56))</f>
        <v>0</v>
      </c>
      <c r="F34" s="315" t="e">
        <f ca="1">IF(E13="% of Reading",C34*E34%,IF(E13="% of F.S",MAX(C14:C43)*E34%,E34*M9))</f>
        <v>#N/A</v>
      </c>
      <c r="H34" s="298">
        <f>IF(B34=0,0,IF(B34&lt;0,IF(OR(N9="20409-0",N9="20412-1"),E6,E7),E6))</f>
        <v>0</v>
      </c>
      <c r="I34" s="152">
        <f>IF(B34=0,0,IF(B34&lt;0,IF(OR(N9="20409-0",N9="20412-1"),F6,F7),F6))</f>
        <v>0</v>
      </c>
      <c r="J34" s="327">
        <f>IF(OR(N9="20409-0",N9="20412-1"),(H34*ABS(B34)+I34)*SIGN(B34),H34*B34+I34)</f>
        <v>0</v>
      </c>
      <c r="K34" s="65"/>
      <c r="L34" s="76">
        <f t="shared" si="9"/>
        <v>0</v>
      </c>
      <c r="M34" s="111">
        <f t="shared" si="19"/>
        <v>9.7989820000000005</v>
      </c>
      <c r="N34" s="111" t="e">
        <f t="shared" si="20"/>
        <v>#DIV/0!</v>
      </c>
      <c r="O34" s="111">
        <f t="shared" si="21"/>
        <v>8000</v>
      </c>
      <c r="P34" s="111">
        <f t="shared" si="22"/>
        <v>1</v>
      </c>
      <c r="Q34" s="111">
        <f t="shared" si="23"/>
        <v>0</v>
      </c>
      <c r="R34" s="111" t="e">
        <f t="shared" ca="1" si="24"/>
        <v>#N/A</v>
      </c>
      <c r="S34" s="293" t="e">
        <f t="shared" ca="1" si="10"/>
        <v>#DIV/0!</v>
      </c>
      <c r="T34" s="80" t="e">
        <f t="shared" ca="1" si="25"/>
        <v>#N/A</v>
      </c>
      <c r="U34" s="112" t="e">
        <f t="shared" ca="1" si="26"/>
        <v>#N/A</v>
      </c>
      <c r="V34" s="295" t="e">
        <f t="shared" ca="1" si="11"/>
        <v>#DIV/0!</v>
      </c>
      <c r="W34" s="112">
        <f t="shared" si="27"/>
        <v>9.0000000000000002E-6</v>
      </c>
      <c r="X34" s="112" t="e">
        <f t="shared" ca="1" si="28"/>
        <v>#DIV/0!</v>
      </c>
      <c r="Y34" s="81" t="e">
        <f t="shared" ca="1" si="12"/>
        <v>#N/A</v>
      </c>
      <c r="Z34" s="296" t="e">
        <f t="shared" ca="1" si="13"/>
        <v>#DIV/0!</v>
      </c>
      <c r="AA34" s="80" t="e">
        <f t="shared" ca="1" si="14"/>
        <v>#DIV/0!</v>
      </c>
      <c r="AB34" s="112" t="e">
        <f t="shared" si="15"/>
        <v>#DIV/0!</v>
      </c>
      <c r="AC34" s="112">
        <f t="shared" si="16"/>
        <v>9.7989820000000005</v>
      </c>
      <c r="AD34" s="112">
        <f t="shared" si="29"/>
        <v>0.03</v>
      </c>
      <c r="AE34" s="86">
        <f t="shared" si="17"/>
        <v>0</v>
      </c>
      <c r="AF34" s="297" t="e">
        <f t="shared" ca="1" si="18"/>
        <v>#DIV/0!</v>
      </c>
      <c r="AG34" s="65"/>
      <c r="AH34" s="66">
        <f>Pressure_2_R1!A90</f>
        <v>0</v>
      </c>
      <c r="AI34" s="95">
        <f>Pressure_2_R1!B90</f>
        <v>0</v>
      </c>
      <c r="AJ34" s="95">
        <f>Pressure_2_R1!C90</f>
        <v>0</v>
      </c>
      <c r="AK34" s="95">
        <f>Pressure_2_R1!D90</f>
        <v>0</v>
      </c>
      <c r="AL34" s="95">
        <f>Pressure_2_R1!E90</f>
        <v>0</v>
      </c>
      <c r="AM34" s="95">
        <f>Pressure_2_R1!F90</f>
        <v>0</v>
      </c>
      <c r="AN34" s="95">
        <f>Pressure_2_R1!G90</f>
        <v>0</v>
      </c>
      <c r="AO34" s="95">
        <f>Pressure_2_R1!H90</f>
        <v>0</v>
      </c>
      <c r="AP34" s="95">
        <f>Pressure_2_R1!I90</f>
        <v>0</v>
      </c>
      <c r="AQ34" s="95">
        <f>Pressure_2_R1!J90</f>
        <v>0</v>
      </c>
      <c r="AR34" s="95">
        <f>Pressure_2_R1!K90</f>
        <v>0</v>
      </c>
      <c r="AS34" s="95">
        <f>Pressure_2_R1!L90</f>
        <v>0</v>
      </c>
      <c r="AT34" s="95">
        <f>Pressure_2_R1!M90</f>
        <v>0</v>
      </c>
      <c r="AU34" s="95">
        <f>Pressure_2_R1!N90</f>
        <v>0</v>
      </c>
      <c r="AV34" s="95">
        <f>Pressure_2_R1!O90</f>
        <v>0</v>
      </c>
      <c r="AW34" s="67">
        <f>Pressure_2_R1!P90</f>
        <v>0</v>
      </c>
    </row>
    <row r="35" spans="1:49" ht="15" customHeight="1">
      <c r="B35" s="288">
        <f>Pressure_2_R1!D25</f>
        <v>0</v>
      </c>
      <c r="C35" s="300">
        <f t="shared" si="8"/>
        <v>0</v>
      </c>
      <c r="E35" s="316">
        <f ca="1">IF(TYPE(P65)=16,MAX(J6:J7),ROUND(P65,V56))</f>
        <v>0</v>
      </c>
      <c r="F35" s="315" t="e">
        <f ca="1">IF(E13="% of Reading",C35*E35%,IF(E13="% of F.S",MAX(C14:C43)*E35%,E35*M9))</f>
        <v>#N/A</v>
      </c>
      <c r="H35" s="298">
        <f>IF(B35=0,0,IF(B35&lt;0,IF(OR(N9="20409-0",N9="20412-1"),E6,E7),E6))</f>
        <v>0</v>
      </c>
      <c r="I35" s="152">
        <f>IF(B35=0,0,IF(B35&lt;0,IF(OR(N9="20409-0",N9="20412-1"),F6,F7),F6))</f>
        <v>0</v>
      </c>
      <c r="J35" s="327">
        <f>IF(OR(N9="20409-0",N9="20412-1"),(H35*ABS(B35)+I35)*SIGN(B35),H35*B35+I35)</f>
        <v>0</v>
      </c>
      <c r="K35" s="65"/>
      <c r="L35" s="288">
        <f t="shared" si="9"/>
        <v>0</v>
      </c>
      <c r="M35" s="111">
        <f t="shared" si="19"/>
        <v>9.7989820000000005</v>
      </c>
      <c r="N35" s="111" t="e">
        <f t="shared" si="20"/>
        <v>#DIV/0!</v>
      </c>
      <c r="O35" s="111">
        <f t="shared" si="21"/>
        <v>8000</v>
      </c>
      <c r="P35" s="111">
        <f t="shared" si="22"/>
        <v>1</v>
      </c>
      <c r="Q35" s="111">
        <f t="shared" si="23"/>
        <v>0</v>
      </c>
      <c r="R35" s="111" t="e">
        <f t="shared" ca="1" si="24"/>
        <v>#N/A</v>
      </c>
      <c r="S35" s="293" t="e">
        <f t="shared" ca="1" si="10"/>
        <v>#DIV/0!</v>
      </c>
      <c r="T35" s="80" t="e">
        <f t="shared" ca="1" si="25"/>
        <v>#N/A</v>
      </c>
      <c r="U35" s="112" t="e">
        <f t="shared" ca="1" si="26"/>
        <v>#N/A</v>
      </c>
      <c r="V35" s="295" t="e">
        <f t="shared" ca="1" si="11"/>
        <v>#DIV/0!</v>
      </c>
      <c r="W35" s="112">
        <f t="shared" si="27"/>
        <v>9.0000000000000002E-6</v>
      </c>
      <c r="X35" s="112" t="e">
        <f t="shared" ca="1" si="28"/>
        <v>#DIV/0!</v>
      </c>
      <c r="Y35" s="81" t="e">
        <f t="shared" ca="1" si="12"/>
        <v>#N/A</v>
      </c>
      <c r="Z35" s="296" t="e">
        <f t="shared" ca="1" si="13"/>
        <v>#DIV/0!</v>
      </c>
      <c r="AA35" s="80" t="e">
        <f t="shared" ca="1" si="14"/>
        <v>#DIV/0!</v>
      </c>
      <c r="AB35" s="112" t="e">
        <f t="shared" si="15"/>
        <v>#DIV/0!</v>
      </c>
      <c r="AC35" s="112">
        <f t="shared" si="16"/>
        <v>9.7989820000000005</v>
      </c>
      <c r="AD35" s="112">
        <f t="shared" si="29"/>
        <v>0.03</v>
      </c>
      <c r="AE35" s="86">
        <f t="shared" si="17"/>
        <v>0</v>
      </c>
      <c r="AF35" s="297" t="e">
        <f t="shared" ca="1" si="18"/>
        <v>#DIV/0!</v>
      </c>
      <c r="AG35" s="65"/>
      <c r="AH35" s="68">
        <f>Pressure_2_R1!A91</f>
        <v>0</v>
      </c>
      <c r="AI35" s="94">
        <f>Pressure_2_R1!B91</f>
        <v>0</v>
      </c>
      <c r="AJ35" s="94">
        <f>Pressure_2_R1!C91</f>
        <v>0</v>
      </c>
      <c r="AK35" s="94">
        <f>Pressure_2_R1!D91</f>
        <v>0</v>
      </c>
      <c r="AL35" s="94">
        <f>Pressure_2_R1!E91</f>
        <v>0</v>
      </c>
      <c r="AM35" s="94">
        <f>Pressure_2_R1!F91</f>
        <v>0</v>
      </c>
      <c r="AN35" s="94">
        <f>Pressure_2_R1!G91</f>
        <v>0</v>
      </c>
      <c r="AO35" s="94">
        <f>Pressure_2_R1!H91</f>
        <v>0</v>
      </c>
      <c r="AP35" s="94">
        <f>Pressure_2_R1!I91</f>
        <v>0</v>
      </c>
      <c r="AQ35" s="94">
        <f>Pressure_2_R1!J91</f>
        <v>0</v>
      </c>
      <c r="AR35" s="94">
        <f>Pressure_2_R1!K91</f>
        <v>0</v>
      </c>
      <c r="AS35" s="94">
        <f>Pressure_2_R1!L91</f>
        <v>0</v>
      </c>
      <c r="AT35" s="94">
        <f>Pressure_2_R1!M91</f>
        <v>0</v>
      </c>
      <c r="AU35" s="94">
        <f>Pressure_2_R1!N91</f>
        <v>0</v>
      </c>
      <c r="AV35" s="94">
        <f>Pressure_2_R1!O91</f>
        <v>0</v>
      </c>
      <c r="AW35" s="69">
        <f>Pressure_2_R1!P91</f>
        <v>0</v>
      </c>
    </row>
    <row r="36" spans="1:49" ht="15" customHeight="1">
      <c r="B36" s="288">
        <f>Pressure_2_R1!D26</f>
        <v>0</v>
      </c>
      <c r="C36" s="300">
        <f t="shared" si="8"/>
        <v>0</v>
      </c>
      <c r="E36" s="316">
        <f ca="1">IF(TYPE(P65)=16,MAX(J6:J7),ROUND(P65,V56))</f>
        <v>0</v>
      </c>
      <c r="F36" s="315" t="e">
        <f ca="1">IF(E13="% of Reading",C36*E36%,IF(E13="% of F.S",MAX(C14:C43)*E36%,E36*M9))</f>
        <v>#N/A</v>
      </c>
      <c r="H36" s="298">
        <f>IF(B36=0,0,IF(B36&lt;0,IF(OR(N9="20409-0",N9="20412-1"),E6,E7),E6))</f>
        <v>0</v>
      </c>
      <c r="I36" s="152">
        <f>IF(B36=0,0,IF(B36&lt;0,IF(OR(N9="20409-0",N9="20412-1"),F6,F7),F6))</f>
        <v>0</v>
      </c>
      <c r="J36" s="327">
        <f>IF(OR(N9="20409-0",N9="20412-1"),(H36*ABS(B36)+I36)*SIGN(B36),H36*B36+I36)</f>
        <v>0</v>
      </c>
      <c r="K36" s="65"/>
      <c r="L36" s="288">
        <f t="shared" si="9"/>
        <v>0</v>
      </c>
      <c r="M36" s="111">
        <f t="shared" si="19"/>
        <v>9.7989820000000005</v>
      </c>
      <c r="N36" s="111" t="e">
        <f t="shared" si="20"/>
        <v>#DIV/0!</v>
      </c>
      <c r="O36" s="111">
        <f t="shared" si="21"/>
        <v>8000</v>
      </c>
      <c r="P36" s="111">
        <f t="shared" si="22"/>
        <v>1</v>
      </c>
      <c r="Q36" s="111">
        <f t="shared" si="23"/>
        <v>0</v>
      </c>
      <c r="R36" s="111" t="e">
        <f t="shared" ca="1" si="24"/>
        <v>#N/A</v>
      </c>
      <c r="S36" s="293" t="e">
        <f t="shared" ca="1" si="10"/>
        <v>#DIV/0!</v>
      </c>
      <c r="T36" s="80" t="e">
        <f t="shared" ca="1" si="25"/>
        <v>#N/A</v>
      </c>
      <c r="U36" s="112" t="e">
        <f t="shared" ca="1" si="26"/>
        <v>#N/A</v>
      </c>
      <c r="V36" s="295" t="e">
        <f t="shared" ca="1" si="11"/>
        <v>#DIV/0!</v>
      </c>
      <c r="W36" s="112">
        <f t="shared" si="27"/>
        <v>9.0000000000000002E-6</v>
      </c>
      <c r="X36" s="112" t="e">
        <f t="shared" ca="1" si="28"/>
        <v>#DIV/0!</v>
      </c>
      <c r="Y36" s="81" t="e">
        <f t="shared" ca="1" si="12"/>
        <v>#N/A</v>
      </c>
      <c r="Z36" s="296" t="e">
        <f t="shared" ca="1" si="13"/>
        <v>#DIV/0!</v>
      </c>
      <c r="AA36" s="80" t="e">
        <f t="shared" ca="1" si="14"/>
        <v>#DIV/0!</v>
      </c>
      <c r="AB36" s="112" t="e">
        <f t="shared" si="15"/>
        <v>#DIV/0!</v>
      </c>
      <c r="AC36" s="112">
        <f t="shared" si="16"/>
        <v>9.7989820000000005</v>
      </c>
      <c r="AD36" s="112">
        <f t="shared" si="29"/>
        <v>0.03</v>
      </c>
      <c r="AE36" s="86">
        <f t="shared" si="17"/>
        <v>0</v>
      </c>
      <c r="AF36" s="297" t="e">
        <f t="shared" ca="1" si="18"/>
        <v>#DIV/0!</v>
      </c>
      <c r="AG36" s="65"/>
      <c r="AH36" s="66">
        <f>Pressure_2_R1!A92</f>
        <v>0</v>
      </c>
      <c r="AI36" s="95">
        <f>Pressure_2_R1!B92</f>
        <v>0</v>
      </c>
      <c r="AJ36" s="95">
        <f>Pressure_2_R1!C92</f>
        <v>0</v>
      </c>
      <c r="AK36" s="95">
        <f>Pressure_2_R1!D92</f>
        <v>0</v>
      </c>
      <c r="AL36" s="95">
        <f>Pressure_2_R1!E92</f>
        <v>0</v>
      </c>
      <c r="AM36" s="95">
        <f>Pressure_2_R1!F92</f>
        <v>0</v>
      </c>
      <c r="AN36" s="95">
        <f>Pressure_2_R1!G92</f>
        <v>0</v>
      </c>
      <c r="AO36" s="95">
        <f>Pressure_2_R1!H92</f>
        <v>0</v>
      </c>
      <c r="AP36" s="95">
        <f>Pressure_2_R1!I92</f>
        <v>0</v>
      </c>
      <c r="AQ36" s="95">
        <f>Pressure_2_R1!J92</f>
        <v>0</v>
      </c>
      <c r="AR36" s="95">
        <f>Pressure_2_R1!K92</f>
        <v>0</v>
      </c>
      <c r="AS36" s="95">
        <f>Pressure_2_R1!L92</f>
        <v>0</v>
      </c>
      <c r="AT36" s="95">
        <f>Pressure_2_R1!M92</f>
        <v>0</v>
      </c>
      <c r="AU36" s="95">
        <f>Pressure_2_R1!N92</f>
        <v>0</v>
      </c>
      <c r="AV36" s="95">
        <f>Pressure_2_R1!O92</f>
        <v>0</v>
      </c>
      <c r="AW36" s="67">
        <f>Pressure_2_R1!P92</f>
        <v>0</v>
      </c>
    </row>
    <row r="37" spans="1:49" ht="15" customHeight="1">
      <c r="B37" s="288">
        <f>Pressure_2_R1!D27</f>
        <v>0</v>
      </c>
      <c r="C37" s="300">
        <f t="shared" si="8"/>
        <v>0</v>
      </c>
      <c r="E37" s="316">
        <f ca="1">IF(TYPE(P65)=16,MAX(J6:J7),ROUND(P65,V56))</f>
        <v>0</v>
      </c>
      <c r="F37" s="315" t="e">
        <f ca="1">IF(E13="% of Reading",C37*E37%,IF(E13="% of F.S",MAX(C14:C43)*E37%,E37*M9))</f>
        <v>#N/A</v>
      </c>
      <c r="H37" s="298">
        <f>IF(B37=0,0,IF(B37&lt;0,IF(OR(N9="20409-0",N9="20412-1"),E6,E7),E6))</f>
        <v>0</v>
      </c>
      <c r="I37" s="152">
        <f>IF(B37=0,0,IF(B37&lt;0,IF(OR(N9="20409-0",N9="20412-1"),F6,F7),F6))</f>
        <v>0</v>
      </c>
      <c r="J37" s="327">
        <f>IF(OR(N9="20409-0",N9="20412-1"),(H37*ABS(B37)+I37)*SIGN(B37),H37*B37+I37)</f>
        <v>0</v>
      </c>
      <c r="K37" s="65"/>
      <c r="L37" s="288">
        <f t="shared" si="9"/>
        <v>0</v>
      </c>
      <c r="M37" s="111">
        <f t="shared" si="19"/>
        <v>9.7989820000000005</v>
      </c>
      <c r="N37" s="111" t="e">
        <f t="shared" si="20"/>
        <v>#DIV/0!</v>
      </c>
      <c r="O37" s="111">
        <f t="shared" si="21"/>
        <v>8000</v>
      </c>
      <c r="P37" s="111">
        <f t="shared" si="22"/>
        <v>1</v>
      </c>
      <c r="Q37" s="111">
        <f t="shared" si="23"/>
        <v>0</v>
      </c>
      <c r="R37" s="111" t="e">
        <f t="shared" ca="1" si="24"/>
        <v>#N/A</v>
      </c>
      <c r="S37" s="293" t="e">
        <f t="shared" ca="1" si="10"/>
        <v>#DIV/0!</v>
      </c>
      <c r="T37" s="80" t="e">
        <f t="shared" ca="1" si="25"/>
        <v>#N/A</v>
      </c>
      <c r="U37" s="112" t="e">
        <f t="shared" ca="1" si="26"/>
        <v>#N/A</v>
      </c>
      <c r="V37" s="295" t="e">
        <f t="shared" ca="1" si="11"/>
        <v>#DIV/0!</v>
      </c>
      <c r="W37" s="112">
        <f t="shared" si="27"/>
        <v>9.0000000000000002E-6</v>
      </c>
      <c r="X37" s="112" t="e">
        <f t="shared" ca="1" si="28"/>
        <v>#DIV/0!</v>
      </c>
      <c r="Y37" s="81" t="e">
        <f t="shared" ca="1" si="12"/>
        <v>#N/A</v>
      </c>
      <c r="Z37" s="296" t="e">
        <f t="shared" ca="1" si="13"/>
        <v>#DIV/0!</v>
      </c>
      <c r="AA37" s="80" t="e">
        <f t="shared" ca="1" si="14"/>
        <v>#DIV/0!</v>
      </c>
      <c r="AB37" s="112" t="e">
        <f t="shared" si="15"/>
        <v>#DIV/0!</v>
      </c>
      <c r="AC37" s="112">
        <f t="shared" si="16"/>
        <v>9.7989820000000005</v>
      </c>
      <c r="AD37" s="112">
        <f t="shared" si="29"/>
        <v>0.03</v>
      </c>
      <c r="AE37" s="86">
        <f t="shared" si="17"/>
        <v>0</v>
      </c>
      <c r="AF37" s="297" t="e">
        <f t="shared" ca="1" si="18"/>
        <v>#DIV/0!</v>
      </c>
      <c r="AG37" s="65"/>
      <c r="AH37" s="68">
        <f>Pressure_2_R1!A93</f>
        <v>0</v>
      </c>
      <c r="AI37" s="94">
        <f>Pressure_2_R1!B93</f>
        <v>0</v>
      </c>
      <c r="AJ37" s="94">
        <f>Pressure_2_R1!C93</f>
        <v>0</v>
      </c>
      <c r="AK37" s="94">
        <f>Pressure_2_R1!D93</f>
        <v>0</v>
      </c>
      <c r="AL37" s="94">
        <f>Pressure_2_R1!E93</f>
        <v>0</v>
      </c>
      <c r="AM37" s="94">
        <f>Pressure_2_R1!F93</f>
        <v>0</v>
      </c>
      <c r="AN37" s="94">
        <f>Pressure_2_R1!G93</f>
        <v>0</v>
      </c>
      <c r="AO37" s="94">
        <f>Pressure_2_R1!H93</f>
        <v>0</v>
      </c>
      <c r="AP37" s="94">
        <f>Pressure_2_R1!I93</f>
        <v>0</v>
      </c>
      <c r="AQ37" s="94">
        <f>Pressure_2_R1!J93</f>
        <v>0</v>
      </c>
      <c r="AR37" s="94">
        <f>Pressure_2_R1!K93</f>
        <v>0</v>
      </c>
      <c r="AS37" s="94">
        <f>Pressure_2_R1!L93</f>
        <v>0</v>
      </c>
      <c r="AT37" s="94">
        <f>Pressure_2_R1!M93</f>
        <v>0</v>
      </c>
      <c r="AU37" s="94">
        <f>Pressure_2_R1!N93</f>
        <v>0</v>
      </c>
      <c r="AV37" s="94">
        <f>Pressure_2_R1!O93</f>
        <v>0</v>
      </c>
      <c r="AW37" s="69">
        <f>Pressure_2_R1!P93</f>
        <v>0</v>
      </c>
    </row>
    <row r="38" spans="1:49" ht="15" customHeight="1">
      <c r="B38" s="288">
        <f>Pressure_2_R1!D28</f>
        <v>0</v>
      </c>
      <c r="C38" s="300">
        <f t="shared" si="8"/>
        <v>0</v>
      </c>
      <c r="E38" s="316">
        <f ca="1">IF(TYPE(P65)=16,MAX(J6:J7),ROUND(P65,V56))</f>
        <v>0</v>
      </c>
      <c r="F38" s="315" t="e">
        <f ca="1">IF(E13="% of Reading",C38*E38%,IF(E13="% of F.S",MAX(C14:C43)*E38%,E38*M9))</f>
        <v>#N/A</v>
      </c>
      <c r="H38" s="298">
        <f>IF(B38=0,0,IF(B38&lt;0,IF(OR(N9="20409-0",N9="20412-1"),E6,E7),E6))</f>
        <v>0</v>
      </c>
      <c r="I38" s="152">
        <f>IF(B38=0,0,IF(B38&lt;0,IF(OR(N9="20409-0",N9="20412-1"),F6,F7),F6))</f>
        <v>0</v>
      </c>
      <c r="J38" s="327">
        <f>IF(OR(N9="20409-0",N9="20412-1"),(H38*ABS(B38)+I38)*SIGN(B38),H38*B38+I38)</f>
        <v>0</v>
      </c>
      <c r="K38" s="65"/>
      <c r="L38" s="288">
        <f t="shared" si="9"/>
        <v>0</v>
      </c>
      <c r="M38" s="111">
        <f t="shared" si="19"/>
        <v>9.7989820000000005</v>
      </c>
      <c r="N38" s="111" t="e">
        <f t="shared" si="20"/>
        <v>#DIV/0!</v>
      </c>
      <c r="O38" s="111">
        <f t="shared" si="21"/>
        <v>8000</v>
      </c>
      <c r="P38" s="111">
        <f t="shared" si="22"/>
        <v>1</v>
      </c>
      <c r="Q38" s="111">
        <f t="shared" si="23"/>
        <v>0</v>
      </c>
      <c r="R38" s="111" t="e">
        <f t="shared" ca="1" si="24"/>
        <v>#N/A</v>
      </c>
      <c r="S38" s="293" t="e">
        <f t="shared" ca="1" si="10"/>
        <v>#DIV/0!</v>
      </c>
      <c r="T38" s="80" t="e">
        <f t="shared" ca="1" si="25"/>
        <v>#N/A</v>
      </c>
      <c r="U38" s="112" t="e">
        <f t="shared" ca="1" si="26"/>
        <v>#N/A</v>
      </c>
      <c r="V38" s="295" t="e">
        <f t="shared" ca="1" si="11"/>
        <v>#DIV/0!</v>
      </c>
      <c r="W38" s="112">
        <f t="shared" si="27"/>
        <v>9.0000000000000002E-6</v>
      </c>
      <c r="X38" s="112" t="e">
        <f t="shared" ca="1" si="28"/>
        <v>#DIV/0!</v>
      </c>
      <c r="Y38" s="81" t="e">
        <f t="shared" ca="1" si="12"/>
        <v>#N/A</v>
      </c>
      <c r="Z38" s="296" t="e">
        <f t="shared" ca="1" si="13"/>
        <v>#DIV/0!</v>
      </c>
      <c r="AA38" s="80" t="e">
        <f t="shared" ca="1" si="14"/>
        <v>#DIV/0!</v>
      </c>
      <c r="AB38" s="112" t="e">
        <f t="shared" si="15"/>
        <v>#DIV/0!</v>
      </c>
      <c r="AC38" s="112">
        <f t="shared" si="16"/>
        <v>9.7989820000000005</v>
      </c>
      <c r="AD38" s="112">
        <f t="shared" si="29"/>
        <v>0.03</v>
      </c>
      <c r="AE38" s="86">
        <f t="shared" si="17"/>
        <v>0</v>
      </c>
      <c r="AF38" s="297" t="e">
        <f t="shared" ca="1" si="18"/>
        <v>#DIV/0!</v>
      </c>
      <c r="AG38" s="65"/>
      <c r="AH38" s="66">
        <f>Pressure_2_R1!A94</f>
        <v>0</v>
      </c>
      <c r="AI38" s="95">
        <f>Pressure_2_R1!B94</f>
        <v>0</v>
      </c>
      <c r="AJ38" s="95">
        <f>Pressure_2_R1!C94</f>
        <v>0</v>
      </c>
      <c r="AK38" s="95">
        <f>Pressure_2_R1!D94</f>
        <v>0</v>
      </c>
      <c r="AL38" s="95">
        <f>Pressure_2_R1!E94</f>
        <v>0</v>
      </c>
      <c r="AM38" s="95">
        <f>Pressure_2_R1!F94</f>
        <v>0</v>
      </c>
      <c r="AN38" s="95">
        <f>Pressure_2_R1!G94</f>
        <v>0</v>
      </c>
      <c r="AO38" s="95">
        <f>Pressure_2_R1!H94</f>
        <v>0</v>
      </c>
      <c r="AP38" s="95">
        <f>Pressure_2_R1!I94</f>
        <v>0</v>
      </c>
      <c r="AQ38" s="95">
        <f>Pressure_2_R1!J94</f>
        <v>0</v>
      </c>
      <c r="AR38" s="95">
        <f>Pressure_2_R1!K94</f>
        <v>0</v>
      </c>
      <c r="AS38" s="95">
        <f>Pressure_2_R1!L94</f>
        <v>0</v>
      </c>
      <c r="AT38" s="95">
        <f>Pressure_2_R1!M94</f>
        <v>0</v>
      </c>
      <c r="AU38" s="95">
        <f>Pressure_2_R1!N94</f>
        <v>0</v>
      </c>
      <c r="AV38" s="95">
        <f>Pressure_2_R1!O94</f>
        <v>0</v>
      </c>
      <c r="AW38" s="67">
        <f>Pressure_2_R1!P94</f>
        <v>0</v>
      </c>
    </row>
    <row r="39" spans="1:49" ht="15" customHeight="1">
      <c r="B39" s="288">
        <f>Pressure_2_R1!D29</f>
        <v>0</v>
      </c>
      <c r="C39" s="300">
        <f t="shared" si="8"/>
        <v>0</v>
      </c>
      <c r="E39" s="316">
        <f ca="1">IF(TYPE(P65)=16,MAX(J6:J7),ROUND(P65,V56))</f>
        <v>0</v>
      </c>
      <c r="F39" s="315" t="e">
        <f ca="1">IF(E13="% of Reading",C39*E39%,IF(E13="% of F.S",MAX(C14:C43)*E39%,E39*M9))</f>
        <v>#N/A</v>
      </c>
      <c r="H39" s="298">
        <f>IF(B39=0,0,IF(B39&lt;0,IF(OR(N9="20409-0",N9="20412-1"),E6,E7),E6))</f>
        <v>0</v>
      </c>
      <c r="I39" s="152">
        <f>IF(B39=0,0,IF(B39&lt;0,IF(OR(N9="20409-0",N9="20412-1"),F6,F7),F6))</f>
        <v>0</v>
      </c>
      <c r="J39" s="327">
        <f>IF(OR(N9="20409-0",N9="20412-1"),(H39*ABS(B39)+I39)*SIGN(B39),H39*B39+I39)</f>
        <v>0</v>
      </c>
      <c r="K39" s="65"/>
      <c r="L39" s="288">
        <f t="shared" si="9"/>
        <v>0</v>
      </c>
      <c r="M39" s="111">
        <f t="shared" si="19"/>
        <v>9.7989820000000005</v>
      </c>
      <c r="N39" s="111" t="e">
        <f t="shared" si="20"/>
        <v>#DIV/0!</v>
      </c>
      <c r="O39" s="111">
        <f t="shared" si="21"/>
        <v>8000</v>
      </c>
      <c r="P39" s="111">
        <f t="shared" si="22"/>
        <v>1</v>
      </c>
      <c r="Q39" s="111">
        <f t="shared" si="23"/>
        <v>0</v>
      </c>
      <c r="R39" s="111" t="e">
        <f t="shared" ca="1" si="24"/>
        <v>#N/A</v>
      </c>
      <c r="S39" s="293" t="e">
        <f t="shared" ca="1" si="10"/>
        <v>#DIV/0!</v>
      </c>
      <c r="T39" s="80" t="e">
        <f t="shared" ca="1" si="25"/>
        <v>#N/A</v>
      </c>
      <c r="U39" s="112" t="e">
        <f t="shared" ca="1" si="26"/>
        <v>#N/A</v>
      </c>
      <c r="V39" s="295" t="e">
        <f t="shared" ca="1" si="11"/>
        <v>#DIV/0!</v>
      </c>
      <c r="W39" s="112">
        <f t="shared" si="27"/>
        <v>9.0000000000000002E-6</v>
      </c>
      <c r="X39" s="112" t="e">
        <f t="shared" ca="1" si="28"/>
        <v>#DIV/0!</v>
      </c>
      <c r="Y39" s="81" t="e">
        <f t="shared" ca="1" si="12"/>
        <v>#N/A</v>
      </c>
      <c r="Z39" s="296" t="e">
        <f t="shared" ca="1" si="13"/>
        <v>#DIV/0!</v>
      </c>
      <c r="AA39" s="80" t="e">
        <f t="shared" ca="1" si="14"/>
        <v>#DIV/0!</v>
      </c>
      <c r="AB39" s="112" t="e">
        <f t="shared" si="15"/>
        <v>#DIV/0!</v>
      </c>
      <c r="AC39" s="112">
        <f t="shared" si="16"/>
        <v>9.7989820000000005</v>
      </c>
      <c r="AD39" s="112">
        <f t="shared" si="29"/>
        <v>0.03</v>
      </c>
      <c r="AE39" s="86">
        <f t="shared" si="17"/>
        <v>0</v>
      </c>
      <c r="AF39" s="297" t="e">
        <f t="shared" ca="1" si="18"/>
        <v>#DIV/0!</v>
      </c>
      <c r="AG39" s="65"/>
      <c r="AH39" s="68">
        <f>Pressure_2_R1!A95</f>
        <v>0</v>
      </c>
      <c r="AI39" s="94">
        <f>Pressure_2_R1!B95</f>
        <v>0</v>
      </c>
      <c r="AJ39" s="94">
        <f>Pressure_2_R1!C95</f>
        <v>0</v>
      </c>
      <c r="AK39" s="94">
        <f>Pressure_2_R1!D95</f>
        <v>0</v>
      </c>
      <c r="AL39" s="94">
        <f>Pressure_2_R1!E95</f>
        <v>0</v>
      </c>
      <c r="AM39" s="94">
        <f>Pressure_2_R1!F95</f>
        <v>0</v>
      </c>
      <c r="AN39" s="94">
        <f>Pressure_2_R1!G95</f>
        <v>0</v>
      </c>
      <c r="AO39" s="94">
        <f>Pressure_2_R1!H95</f>
        <v>0</v>
      </c>
      <c r="AP39" s="94">
        <f>Pressure_2_R1!I95</f>
        <v>0</v>
      </c>
      <c r="AQ39" s="94">
        <f>Pressure_2_R1!J95</f>
        <v>0</v>
      </c>
      <c r="AR39" s="94">
        <f>Pressure_2_R1!K95</f>
        <v>0</v>
      </c>
      <c r="AS39" s="94">
        <f>Pressure_2_R1!L95</f>
        <v>0</v>
      </c>
      <c r="AT39" s="94">
        <f>Pressure_2_R1!M95</f>
        <v>0</v>
      </c>
      <c r="AU39" s="94">
        <f>Pressure_2_R1!N95</f>
        <v>0</v>
      </c>
      <c r="AV39" s="94">
        <f>Pressure_2_R1!O95</f>
        <v>0</v>
      </c>
      <c r="AW39" s="69">
        <f>Pressure_2_R1!P95</f>
        <v>0</v>
      </c>
    </row>
    <row r="40" spans="1:49" ht="15" customHeight="1">
      <c r="B40" s="288">
        <f>Pressure_2_R1!D30</f>
        <v>0</v>
      </c>
      <c r="C40" s="300">
        <f t="shared" si="8"/>
        <v>0</v>
      </c>
      <c r="E40" s="316">
        <f ca="1">IF(TYPE(P65)=16,MAX(J6:J7),ROUND(P65,V56))</f>
        <v>0</v>
      </c>
      <c r="F40" s="315" t="e">
        <f ca="1">IF(E13="% of Reading",C40*E40%,IF(E13="% of F.S",MAX(C14:C43)*E40%,E40*M9))</f>
        <v>#N/A</v>
      </c>
      <c r="H40" s="298">
        <f>IF(B40=0,0,IF(B40&lt;0,IF(OR(N9="20409-0",N9="20412-1"),E6,E7),E6))</f>
        <v>0</v>
      </c>
      <c r="I40" s="152">
        <f>IF(B40=0,0,IF(B40&lt;0,IF(OR(N9="20409-0",N9="20412-1"),F6,F7),F6))</f>
        <v>0</v>
      </c>
      <c r="J40" s="327">
        <f>IF(OR(N9="20409-0",N9="20412-1"),(H40*ABS(B40)+I40)*SIGN(B40),H40*B40+I40)</f>
        <v>0</v>
      </c>
      <c r="K40" s="65"/>
      <c r="L40" s="288">
        <f t="shared" si="9"/>
        <v>0</v>
      </c>
      <c r="M40" s="111">
        <f t="shared" si="19"/>
        <v>9.7989820000000005</v>
      </c>
      <c r="N40" s="111" t="e">
        <f t="shared" si="20"/>
        <v>#DIV/0!</v>
      </c>
      <c r="O40" s="111">
        <f t="shared" si="21"/>
        <v>8000</v>
      </c>
      <c r="P40" s="111">
        <f t="shared" si="22"/>
        <v>1</v>
      </c>
      <c r="Q40" s="111">
        <f t="shared" si="23"/>
        <v>0</v>
      </c>
      <c r="R40" s="111" t="e">
        <f t="shared" ca="1" si="24"/>
        <v>#N/A</v>
      </c>
      <c r="S40" s="293" t="e">
        <f t="shared" ca="1" si="10"/>
        <v>#DIV/0!</v>
      </c>
      <c r="T40" s="80" t="e">
        <f t="shared" ca="1" si="25"/>
        <v>#N/A</v>
      </c>
      <c r="U40" s="112" t="e">
        <f t="shared" ca="1" si="26"/>
        <v>#N/A</v>
      </c>
      <c r="V40" s="295" t="e">
        <f t="shared" ca="1" si="11"/>
        <v>#DIV/0!</v>
      </c>
      <c r="W40" s="112">
        <f t="shared" si="27"/>
        <v>9.0000000000000002E-6</v>
      </c>
      <c r="X40" s="112" t="e">
        <f t="shared" ca="1" si="28"/>
        <v>#DIV/0!</v>
      </c>
      <c r="Y40" s="81" t="e">
        <f t="shared" ca="1" si="12"/>
        <v>#N/A</v>
      </c>
      <c r="Z40" s="296" t="e">
        <f t="shared" ca="1" si="13"/>
        <v>#DIV/0!</v>
      </c>
      <c r="AA40" s="80" t="e">
        <f t="shared" ca="1" si="14"/>
        <v>#DIV/0!</v>
      </c>
      <c r="AB40" s="112" t="e">
        <f t="shared" si="15"/>
        <v>#DIV/0!</v>
      </c>
      <c r="AC40" s="112">
        <f t="shared" si="16"/>
        <v>9.7989820000000005</v>
      </c>
      <c r="AD40" s="112">
        <f t="shared" si="29"/>
        <v>0.03</v>
      </c>
      <c r="AE40" s="86">
        <f t="shared" si="17"/>
        <v>0</v>
      </c>
      <c r="AF40" s="297" t="e">
        <f t="shared" ca="1" si="18"/>
        <v>#DIV/0!</v>
      </c>
      <c r="AG40" s="65"/>
      <c r="AH40" s="66">
        <f>Pressure_2_R1!A96</f>
        <v>0</v>
      </c>
      <c r="AI40" s="95">
        <f>Pressure_2_R1!B96</f>
        <v>0</v>
      </c>
      <c r="AJ40" s="95">
        <f>Pressure_2_R1!C96</f>
        <v>0</v>
      </c>
      <c r="AK40" s="95">
        <f>Pressure_2_R1!D96</f>
        <v>0</v>
      </c>
      <c r="AL40" s="95">
        <f>Pressure_2_R1!E96</f>
        <v>0</v>
      </c>
      <c r="AM40" s="95">
        <f>Pressure_2_R1!F96</f>
        <v>0</v>
      </c>
      <c r="AN40" s="95">
        <f>Pressure_2_R1!G96</f>
        <v>0</v>
      </c>
      <c r="AO40" s="95">
        <f>Pressure_2_R1!H96</f>
        <v>0</v>
      </c>
      <c r="AP40" s="95">
        <f>Pressure_2_R1!I96</f>
        <v>0</v>
      </c>
      <c r="AQ40" s="95">
        <f>Pressure_2_R1!J96</f>
        <v>0</v>
      </c>
      <c r="AR40" s="95">
        <f>Pressure_2_R1!K96</f>
        <v>0</v>
      </c>
      <c r="AS40" s="95">
        <f>Pressure_2_R1!L96</f>
        <v>0</v>
      </c>
      <c r="AT40" s="95">
        <f>Pressure_2_R1!M96</f>
        <v>0</v>
      </c>
      <c r="AU40" s="95">
        <f>Pressure_2_R1!N96</f>
        <v>0</v>
      </c>
      <c r="AV40" s="95">
        <f>Pressure_2_R1!O96</f>
        <v>0</v>
      </c>
      <c r="AW40" s="67">
        <f>Pressure_2_R1!P96</f>
        <v>0</v>
      </c>
    </row>
    <row r="41" spans="1:49" ht="15" customHeight="1">
      <c r="B41" s="288">
        <f>Pressure_2_R1!D31</f>
        <v>0</v>
      </c>
      <c r="C41" s="300">
        <f t="shared" si="8"/>
        <v>0</v>
      </c>
      <c r="E41" s="316">
        <f ca="1">IF(TYPE(P65)=16,MAX(J6:J7),ROUND(P65,V56))</f>
        <v>0</v>
      </c>
      <c r="F41" s="315" t="e">
        <f ca="1">IF(E13="% of Reading",C41*E41%,IF(E13="% of F.S",MAX(C14:C43)*E41%,E41*M9))</f>
        <v>#N/A</v>
      </c>
      <c r="H41" s="298">
        <f>IF(B41=0,0,IF(B41&lt;0,IF(OR(N9="20409-0",N9="20412-1"),E6,E7),E6))</f>
        <v>0</v>
      </c>
      <c r="I41" s="152">
        <f>IF(B41=0,0,IF(B41&lt;0,IF(OR(N9="20409-0",N9="20412-1"),F6,F7),F6))</f>
        <v>0</v>
      </c>
      <c r="J41" s="327">
        <f>IF(OR(N9="20409-0",N9="20412-1"),(H41*ABS(B41)+I41)*SIGN(B41),H41*B41+I41)</f>
        <v>0</v>
      </c>
      <c r="K41" s="65"/>
      <c r="L41" s="288">
        <f t="shared" si="9"/>
        <v>0</v>
      </c>
      <c r="M41" s="111">
        <f t="shared" si="19"/>
        <v>9.7989820000000005</v>
      </c>
      <c r="N41" s="111" t="e">
        <f t="shared" si="20"/>
        <v>#DIV/0!</v>
      </c>
      <c r="O41" s="111">
        <f t="shared" si="21"/>
        <v>8000</v>
      </c>
      <c r="P41" s="111">
        <f t="shared" si="22"/>
        <v>1</v>
      </c>
      <c r="Q41" s="111">
        <f t="shared" si="23"/>
        <v>0</v>
      </c>
      <c r="R41" s="111" t="e">
        <f t="shared" ca="1" si="24"/>
        <v>#N/A</v>
      </c>
      <c r="S41" s="293" t="e">
        <f t="shared" ca="1" si="10"/>
        <v>#DIV/0!</v>
      </c>
      <c r="T41" s="80" t="e">
        <f t="shared" ca="1" si="25"/>
        <v>#N/A</v>
      </c>
      <c r="U41" s="112" t="e">
        <f t="shared" ca="1" si="26"/>
        <v>#N/A</v>
      </c>
      <c r="V41" s="295" t="e">
        <f t="shared" ca="1" si="11"/>
        <v>#DIV/0!</v>
      </c>
      <c r="W41" s="112">
        <f t="shared" si="27"/>
        <v>9.0000000000000002E-6</v>
      </c>
      <c r="X41" s="112" t="e">
        <f t="shared" ca="1" si="28"/>
        <v>#DIV/0!</v>
      </c>
      <c r="Y41" s="81" t="e">
        <f t="shared" ca="1" si="12"/>
        <v>#N/A</v>
      </c>
      <c r="Z41" s="296" t="e">
        <f t="shared" ca="1" si="13"/>
        <v>#DIV/0!</v>
      </c>
      <c r="AA41" s="80" t="e">
        <f t="shared" ca="1" si="14"/>
        <v>#DIV/0!</v>
      </c>
      <c r="AB41" s="112" t="e">
        <f t="shared" si="15"/>
        <v>#DIV/0!</v>
      </c>
      <c r="AC41" s="112">
        <f t="shared" si="16"/>
        <v>9.7989820000000005</v>
      </c>
      <c r="AD41" s="112">
        <f t="shared" si="29"/>
        <v>0.03</v>
      </c>
      <c r="AE41" s="86">
        <f t="shared" si="17"/>
        <v>0</v>
      </c>
      <c r="AF41" s="297" t="e">
        <f t="shared" ca="1" si="18"/>
        <v>#DIV/0!</v>
      </c>
      <c r="AG41" s="65"/>
      <c r="AH41" s="68">
        <f>Pressure_2_R1!A97</f>
        <v>0</v>
      </c>
      <c r="AI41" s="94">
        <f>Pressure_2_R1!B97</f>
        <v>0</v>
      </c>
      <c r="AJ41" s="94">
        <f>Pressure_2_R1!C97</f>
        <v>0</v>
      </c>
      <c r="AK41" s="94">
        <f>Pressure_2_R1!D97</f>
        <v>0</v>
      </c>
      <c r="AL41" s="94">
        <f>Pressure_2_R1!E97</f>
        <v>0</v>
      </c>
      <c r="AM41" s="94">
        <f>Pressure_2_R1!F97</f>
        <v>0</v>
      </c>
      <c r="AN41" s="94">
        <f>Pressure_2_R1!G97</f>
        <v>0</v>
      </c>
      <c r="AO41" s="94">
        <f>Pressure_2_R1!H97</f>
        <v>0</v>
      </c>
      <c r="AP41" s="94">
        <f>Pressure_2_R1!I97</f>
        <v>0</v>
      </c>
      <c r="AQ41" s="94">
        <f>Pressure_2_R1!J97</f>
        <v>0</v>
      </c>
      <c r="AR41" s="94">
        <f>Pressure_2_R1!K97</f>
        <v>0</v>
      </c>
      <c r="AS41" s="94">
        <f>Pressure_2_R1!L97</f>
        <v>0</v>
      </c>
      <c r="AT41" s="94">
        <f>Pressure_2_R1!M97</f>
        <v>0</v>
      </c>
      <c r="AU41" s="94">
        <f>Pressure_2_R1!N97</f>
        <v>0</v>
      </c>
      <c r="AV41" s="94">
        <f>Pressure_2_R1!O97</f>
        <v>0</v>
      </c>
      <c r="AW41" s="69">
        <f>Pressure_2_R1!P97</f>
        <v>0</v>
      </c>
    </row>
    <row r="42" spans="1:49" ht="15" customHeight="1">
      <c r="B42" s="288">
        <f>Pressure_2_R1!D32</f>
        <v>0</v>
      </c>
      <c r="C42" s="300">
        <f t="shared" si="8"/>
        <v>0</v>
      </c>
      <c r="E42" s="316">
        <f ca="1">IF(TYPE(P65)=16,MAX(J6:J7),ROUND(P65,V56))</f>
        <v>0</v>
      </c>
      <c r="F42" s="315" t="e">
        <f ca="1">IF(E13="% of Reading",C42*E42%,IF(E13="% of F.S",MAX(C14:C43)*E42%,E42*M9))</f>
        <v>#N/A</v>
      </c>
      <c r="H42" s="298">
        <f>IF(B42=0,0,IF(B42&lt;0,IF(OR(N9="20409-0",N9="20412-1"),E6,E7),E6))</f>
        <v>0</v>
      </c>
      <c r="I42" s="152">
        <f>IF(B42=0,0,IF(B42&lt;0,IF(OR(N9="20409-0",N9="20412-1"),F6,F7),F6))</f>
        <v>0</v>
      </c>
      <c r="J42" s="327">
        <f>IF(OR(N9="20409-0",N9="20412-1"),(H42*ABS(B42)+I42)*SIGN(B42),H42*B42+I42)</f>
        <v>0</v>
      </c>
      <c r="K42" s="65"/>
      <c r="L42" s="288">
        <f t="shared" si="9"/>
        <v>0</v>
      </c>
      <c r="M42" s="111">
        <f t="shared" si="19"/>
        <v>9.7989820000000005</v>
      </c>
      <c r="N42" s="111" t="e">
        <f t="shared" si="20"/>
        <v>#DIV/0!</v>
      </c>
      <c r="O42" s="111">
        <f t="shared" si="21"/>
        <v>8000</v>
      </c>
      <c r="P42" s="111">
        <f t="shared" si="22"/>
        <v>1</v>
      </c>
      <c r="Q42" s="111">
        <f t="shared" si="23"/>
        <v>0</v>
      </c>
      <c r="R42" s="111" t="e">
        <f t="shared" ca="1" si="24"/>
        <v>#N/A</v>
      </c>
      <c r="S42" s="293" t="e">
        <f t="shared" ca="1" si="10"/>
        <v>#DIV/0!</v>
      </c>
      <c r="T42" s="80" t="e">
        <f t="shared" ca="1" si="25"/>
        <v>#N/A</v>
      </c>
      <c r="U42" s="112" t="e">
        <f t="shared" ca="1" si="26"/>
        <v>#N/A</v>
      </c>
      <c r="V42" s="295" t="e">
        <f t="shared" ca="1" si="11"/>
        <v>#DIV/0!</v>
      </c>
      <c r="W42" s="112">
        <f t="shared" si="27"/>
        <v>9.0000000000000002E-6</v>
      </c>
      <c r="X42" s="112" t="e">
        <f t="shared" ca="1" si="28"/>
        <v>#DIV/0!</v>
      </c>
      <c r="Y42" s="81" t="e">
        <f t="shared" ca="1" si="12"/>
        <v>#N/A</v>
      </c>
      <c r="Z42" s="296" t="e">
        <f t="shared" ca="1" si="13"/>
        <v>#DIV/0!</v>
      </c>
      <c r="AA42" s="80" t="e">
        <f t="shared" ca="1" si="14"/>
        <v>#DIV/0!</v>
      </c>
      <c r="AB42" s="112" t="e">
        <f t="shared" si="15"/>
        <v>#DIV/0!</v>
      </c>
      <c r="AC42" s="112">
        <f t="shared" si="16"/>
        <v>9.7989820000000005</v>
      </c>
      <c r="AD42" s="112">
        <f t="shared" si="29"/>
        <v>0.03</v>
      </c>
      <c r="AE42" s="86">
        <f t="shared" si="17"/>
        <v>0</v>
      </c>
      <c r="AF42" s="297" t="e">
        <f t="shared" ca="1" si="18"/>
        <v>#DIV/0!</v>
      </c>
      <c r="AG42" s="65"/>
      <c r="AH42" s="66">
        <f>Pressure_2_R1!A98</f>
        <v>0</v>
      </c>
      <c r="AI42" s="95">
        <f>Pressure_2_R1!B98</f>
        <v>0</v>
      </c>
      <c r="AJ42" s="95">
        <f>Pressure_2_R1!C98</f>
        <v>0</v>
      </c>
      <c r="AK42" s="95">
        <f>Pressure_2_R1!D98</f>
        <v>0</v>
      </c>
      <c r="AL42" s="95">
        <f>Pressure_2_R1!E98</f>
        <v>0</v>
      </c>
      <c r="AM42" s="95">
        <f>Pressure_2_R1!F98</f>
        <v>0</v>
      </c>
      <c r="AN42" s="95">
        <f>Pressure_2_R1!G98</f>
        <v>0</v>
      </c>
      <c r="AO42" s="95">
        <f>Pressure_2_R1!H98</f>
        <v>0</v>
      </c>
      <c r="AP42" s="95">
        <f>Pressure_2_R1!I98</f>
        <v>0</v>
      </c>
      <c r="AQ42" s="95">
        <f>Pressure_2_R1!J98</f>
        <v>0</v>
      </c>
      <c r="AR42" s="95">
        <f>Pressure_2_R1!K98</f>
        <v>0</v>
      </c>
      <c r="AS42" s="95">
        <f>Pressure_2_R1!L98</f>
        <v>0</v>
      </c>
      <c r="AT42" s="95">
        <f>Pressure_2_R1!M98</f>
        <v>0</v>
      </c>
      <c r="AU42" s="95">
        <f>Pressure_2_R1!N98</f>
        <v>0</v>
      </c>
      <c r="AV42" s="95">
        <f>Pressure_2_R1!O98</f>
        <v>0</v>
      </c>
      <c r="AW42" s="67">
        <f>Pressure_2_R1!P98</f>
        <v>0</v>
      </c>
    </row>
    <row r="43" spans="1:49" ht="15" customHeight="1" thickBot="1">
      <c r="B43" s="77">
        <f>Pressure_2_R1!D33</f>
        <v>0</v>
      </c>
      <c r="C43" s="307">
        <f t="shared" si="8"/>
        <v>0</v>
      </c>
      <c r="E43" s="314">
        <f ca="1">IF(TYPE(P65)=16,MAX(J6:J7),ROUND(P65,V56))</f>
        <v>0</v>
      </c>
      <c r="F43" s="313" t="e">
        <f ca="1">IF(E13="% of Reading",C43*E43%,IF(E13="% of F.S",MAX(C14:C43)*E43%,E43*M9))</f>
        <v>#N/A</v>
      </c>
      <c r="H43" s="305">
        <f>IF(B43=0,0,IF(B43&lt;0,IF(OR(N9="20409-0",N9="20412-1"),E6,E7),E6))</f>
        <v>0</v>
      </c>
      <c r="I43" s="306">
        <f>IF(B43=0,0,IF(B43&lt;0,IF(OR(N9="20409-0",N9="20412-1"),F6,F7),F6))</f>
        <v>0</v>
      </c>
      <c r="J43" s="328">
        <f>IF(OR(N9="20409-0",N9="20412-1"),(H43*ABS(B43)+I43)*SIGN(B43),H43*B43+I43)</f>
        <v>0</v>
      </c>
      <c r="K43" s="65"/>
      <c r="L43" s="77">
        <f t="shared" si="9"/>
        <v>0</v>
      </c>
      <c r="M43" s="78">
        <f t="shared" si="19"/>
        <v>9.7989820000000005</v>
      </c>
      <c r="N43" s="78" t="e">
        <f t="shared" si="20"/>
        <v>#DIV/0!</v>
      </c>
      <c r="O43" s="78">
        <f t="shared" si="21"/>
        <v>8000</v>
      </c>
      <c r="P43" s="78">
        <f t="shared" si="22"/>
        <v>1</v>
      </c>
      <c r="Q43" s="78">
        <f t="shared" si="23"/>
        <v>0</v>
      </c>
      <c r="R43" s="78" t="e">
        <f t="shared" ca="1" si="24"/>
        <v>#N/A</v>
      </c>
      <c r="S43" s="301" t="e">
        <f t="shared" ca="1" si="10"/>
        <v>#DIV/0!</v>
      </c>
      <c r="T43" s="82" t="e">
        <f t="shared" ca="1" si="25"/>
        <v>#N/A</v>
      </c>
      <c r="U43" s="83" t="e">
        <f t="shared" ca="1" si="26"/>
        <v>#N/A</v>
      </c>
      <c r="V43" s="302" t="e">
        <f t="shared" ca="1" si="11"/>
        <v>#DIV/0!</v>
      </c>
      <c r="W43" s="83">
        <f t="shared" si="27"/>
        <v>9.0000000000000002E-6</v>
      </c>
      <c r="X43" s="83" t="e">
        <f t="shared" ca="1" si="28"/>
        <v>#DIV/0!</v>
      </c>
      <c r="Y43" s="84" t="e">
        <f t="shared" ca="1" si="12"/>
        <v>#N/A</v>
      </c>
      <c r="Z43" s="303" t="e">
        <f t="shared" ca="1" si="13"/>
        <v>#DIV/0!</v>
      </c>
      <c r="AA43" s="82" t="e">
        <f t="shared" ca="1" si="14"/>
        <v>#DIV/0!</v>
      </c>
      <c r="AB43" s="83" t="e">
        <f t="shared" si="15"/>
        <v>#DIV/0!</v>
      </c>
      <c r="AC43" s="83">
        <f t="shared" si="16"/>
        <v>9.7989820000000005</v>
      </c>
      <c r="AD43" s="83">
        <f t="shared" si="29"/>
        <v>0.03</v>
      </c>
      <c r="AE43" s="87">
        <f t="shared" si="17"/>
        <v>0</v>
      </c>
      <c r="AF43" s="304" t="e">
        <f t="shared" ca="1" si="18"/>
        <v>#DIV/0!</v>
      </c>
      <c r="AG43" s="65"/>
      <c r="AH43" s="70">
        <f>Pressure_2_R1!A99</f>
        <v>0</v>
      </c>
      <c r="AI43" s="71">
        <f>Pressure_2_R1!B99</f>
        <v>0</v>
      </c>
      <c r="AJ43" s="71">
        <f>Pressure_2_R1!C99</f>
        <v>0</v>
      </c>
      <c r="AK43" s="71">
        <f>Pressure_2_R1!D99</f>
        <v>0</v>
      </c>
      <c r="AL43" s="71">
        <f>Pressure_2_R1!E99</f>
        <v>0</v>
      </c>
      <c r="AM43" s="71">
        <f>Pressure_2_R1!F99</f>
        <v>0</v>
      </c>
      <c r="AN43" s="71">
        <f>Pressure_2_R1!G99</f>
        <v>0</v>
      </c>
      <c r="AO43" s="71">
        <f>Pressure_2_R1!H99</f>
        <v>0</v>
      </c>
      <c r="AP43" s="71">
        <f>Pressure_2_R1!I99</f>
        <v>0</v>
      </c>
      <c r="AQ43" s="71">
        <f>Pressure_2_R1!J99</f>
        <v>0</v>
      </c>
      <c r="AR43" s="71">
        <f>Pressure_2_R1!K99</f>
        <v>0</v>
      </c>
      <c r="AS43" s="71">
        <f>Pressure_2_R1!L99</f>
        <v>0</v>
      </c>
      <c r="AT43" s="71">
        <f>Pressure_2_R1!M99</f>
        <v>0</v>
      </c>
      <c r="AU43" s="71">
        <f>Pressure_2_R1!N99</f>
        <v>0</v>
      </c>
      <c r="AV43" s="71">
        <f>Pressure_2_R1!O99</f>
        <v>0</v>
      </c>
      <c r="AW43" s="72">
        <f>Pressure_2_R1!P99</f>
        <v>0</v>
      </c>
    </row>
    <row r="44" spans="1:49" s="65" customFormat="1" ht="15" customHeight="1"/>
    <row r="45" spans="1:49" s="65" customFormat="1" ht="15" customHeight="1">
      <c r="B45" s="308" t="s">
        <v>216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</row>
    <row r="46" spans="1:49" s="65" customFormat="1" ht="15" customHeight="1">
      <c r="A46" s="44"/>
      <c r="B46" s="287" t="s">
        <v>217</v>
      </c>
      <c r="C46" s="113" t="s">
        <v>218</v>
      </c>
      <c r="D46" s="113" t="s">
        <v>219</v>
      </c>
      <c r="E46" s="113" t="s">
        <v>220</v>
      </c>
      <c r="F46" s="113" t="s">
        <v>221</v>
      </c>
      <c r="G46" s="113" t="s">
        <v>219</v>
      </c>
      <c r="H46" s="113" t="s">
        <v>220</v>
      </c>
      <c r="I46" s="868" t="s">
        <v>222</v>
      </c>
      <c r="J46" s="869"/>
      <c r="K46" s="113" t="s">
        <v>223</v>
      </c>
      <c r="L46" s="113" t="s">
        <v>220</v>
      </c>
      <c r="M46" s="868" t="s">
        <v>224</v>
      </c>
      <c r="N46" s="869"/>
      <c r="O46" s="113" t="s">
        <v>220</v>
      </c>
      <c r="P46" s="113" t="s">
        <v>225</v>
      </c>
      <c r="Q46" s="113" t="s">
        <v>226</v>
      </c>
      <c r="R46" s="113" t="s">
        <v>227</v>
      </c>
      <c r="S46" s="114" t="s">
        <v>228</v>
      </c>
      <c r="T46" s="44"/>
      <c r="U46" s="260" t="s">
        <v>301</v>
      </c>
      <c r="V46" s="260" t="s">
        <v>300</v>
      </c>
    </row>
    <row r="47" spans="1:49" s="65" customFormat="1" ht="15" customHeight="1">
      <c r="A47" s="44"/>
      <c r="B47" s="115" t="s">
        <v>229</v>
      </c>
      <c r="C47" s="116" t="s">
        <v>230</v>
      </c>
      <c r="D47" s="117" t="e">
        <f ca="1">G4</f>
        <v>#N/A</v>
      </c>
      <c r="E47" s="118" t="s">
        <v>231</v>
      </c>
      <c r="F47" s="116" t="s">
        <v>232</v>
      </c>
      <c r="G47" s="119" t="e">
        <f ca="1">D47*J4%</f>
        <v>#N/A</v>
      </c>
      <c r="H47" s="118"/>
      <c r="I47" s="120" t="s">
        <v>233</v>
      </c>
      <c r="J47" s="121">
        <v>2</v>
      </c>
      <c r="K47" s="122" t="e">
        <f t="shared" ref="K47:K61" ca="1" si="30">G47/J47</f>
        <v>#N/A</v>
      </c>
      <c r="L47" s="118" t="s">
        <v>231</v>
      </c>
      <c r="M47" s="116" t="s">
        <v>234</v>
      </c>
      <c r="N47" s="122" t="e">
        <f ca="1">1/D47</f>
        <v>#N/A</v>
      </c>
      <c r="O47" s="118" t="s">
        <v>235</v>
      </c>
      <c r="P47" s="122" t="e">
        <f t="shared" ref="P47:P61" ca="1" si="31">K47*N47</f>
        <v>#N/A</v>
      </c>
      <c r="Q47" s="118">
        <v>13</v>
      </c>
      <c r="R47" s="123">
        <f t="shared" ref="R47:R61" si="32">1/2*(100/Q47)^2</f>
        <v>29.585798816568047</v>
      </c>
      <c r="S47" s="124" t="e">
        <f t="shared" ref="S47:S61" ca="1" si="33">P47^4/R47</f>
        <v>#N/A</v>
      </c>
      <c r="T47" s="44"/>
      <c r="U47" s="262"/>
      <c r="V47" s="260" t="s">
        <v>135</v>
      </c>
    </row>
    <row r="48" spans="1:49" s="65" customFormat="1" ht="15" customHeight="1">
      <c r="A48" s="44"/>
      <c r="B48" s="115" t="s">
        <v>236</v>
      </c>
      <c r="C48" s="125" t="s">
        <v>237</v>
      </c>
      <c r="D48" s="126" t="e">
        <f ca="1">P4-I4</f>
        <v>#DIV/0!</v>
      </c>
      <c r="E48" s="127" t="s">
        <v>238</v>
      </c>
      <c r="F48" s="118" t="s">
        <v>239</v>
      </c>
      <c r="G48" s="128">
        <v>0.5</v>
      </c>
      <c r="H48" s="127" t="s">
        <v>238</v>
      </c>
      <c r="I48" s="124" t="s">
        <v>240</v>
      </c>
      <c r="J48" s="121">
        <f>SQRT(3)</f>
        <v>1.7320508075688772</v>
      </c>
      <c r="K48" s="122">
        <f t="shared" si="30"/>
        <v>0.28867513459481292</v>
      </c>
      <c r="L48" s="127" t="s">
        <v>238</v>
      </c>
      <c r="M48" s="125" t="s">
        <v>241</v>
      </c>
      <c r="N48" s="122">
        <f>D49</f>
        <v>9.0000000000000002E-6</v>
      </c>
      <c r="O48" s="127" t="s">
        <v>242</v>
      </c>
      <c r="P48" s="122">
        <f t="shared" si="31"/>
        <v>2.5980762113533164E-6</v>
      </c>
      <c r="Q48" s="127">
        <v>10</v>
      </c>
      <c r="R48" s="123">
        <f t="shared" si="32"/>
        <v>50</v>
      </c>
      <c r="S48" s="124">
        <f t="shared" si="33"/>
        <v>9.1125000000000059E-25</v>
      </c>
      <c r="T48" s="44"/>
      <c r="U48" s="96">
        <v>9.9999999999999995E-8</v>
      </c>
      <c r="V48" s="96">
        <v>7</v>
      </c>
    </row>
    <row r="49" spans="1:22" s="65" customFormat="1" ht="15" customHeight="1">
      <c r="A49" s="44"/>
      <c r="B49" s="115" t="s">
        <v>243</v>
      </c>
      <c r="C49" s="125" t="s">
        <v>241</v>
      </c>
      <c r="D49" s="129">
        <v>9.0000000000000002E-6</v>
      </c>
      <c r="E49" s="127" t="s">
        <v>242</v>
      </c>
      <c r="F49" s="130">
        <v>0.1</v>
      </c>
      <c r="G49" s="122">
        <f>D49*F49</f>
        <v>9.0000000000000007E-7</v>
      </c>
      <c r="H49" s="127" t="s">
        <v>242</v>
      </c>
      <c r="I49" s="124" t="s">
        <v>240</v>
      </c>
      <c r="J49" s="121">
        <f>SQRT(3)</f>
        <v>1.7320508075688772</v>
      </c>
      <c r="K49" s="122">
        <f t="shared" si="30"/>
        <v>5.1961524227066323E-7</v>
      </c>
      <c r="L49" s="127" t="s">
        <v>242</v>
      </c>
      <c r="M49" s="125" t="s">
        <v>237</v>
      </c>
      <c r="N49" s="131" t="e">
        <f ca="1">D48</f>
        <v>#DIV/0!</v>
      </c>
      <c r="O49" s="127" t="s">
        <v>238</v>
      </c>
      <c r="P49" s="122" t="e">
        <f t="shared" ca="1" si="31"/>
        <v>#DIV/0!</v>
      </c>
      <c r="Q49" s="127">
        <v>20</v>
      </c>
      <c r="R49" s="132">
        <f t="shared" si="32"/>
        <v>12.5</v>
      </c>
      <c r="S49" s="124" t="e">
        <f t="shared" ca="1" si="33"/>
        <v>#DIV/0!</v>
      </c>
      <c r="T49" s="44"/>
      <c r="U49" s="96">
        <v>9.9999999999999995E-7</v>
      </c>
      <c r="V49" s="96">
        <v>6</v>
      </c>
    </row>
    <row r="50" spans="1:22" s="65" customFormat="1" ht="15" customHeight="1">
      <c r="A50" s="44"/>
      <c r="B50" s="115" t="s">
        <v>244</v>
      </c>
      <c r="C50" s="116" t="s">
        <v>245</v>
      </c>
      <c r="D50" s="133">
        <v>9.7989820000000005</v>
      </c>
      <c r="E50" s="134" t="s">
        <v>246</v>
      </c>
      <c r="F50" s="135" t="s">
        <v>232</v>
      </c>
      <c r="G50" s="122">
        <f>0.0002/100</f>
        <v>1.9999999999999999E-6</v>
      </c>
      <c r="H50" s="134" t="s">
        <v>246</v>
      </c>
      <c r="I50" s="120" t="s">
        <v>233</v>
      </c>
      <c r="J50" s="121">
        <v>2</v>
      </c>
      <c r="K50" s="122">
        <f t="shared" si="30"/>
        <v>9.9999999999999995E-7</v>
      </c>
      <c r="L50" s="134" t="s">
        <v>246</v>
      </c>
      <c r="M50" s="125" t="s">
        <v>247</v>
      </c>
      <c r="N50" s="131">
        <f>1/D50</f>
        <v>0.1020514171778252</v>
      </c>
      <c r="O50" s="134" t="s">
        <v>248</v>
      </c>
      <c r="P50" s="122">
        <f t="shared" si="31"/>
        <v>1.0205141717782521E-7</v>
      </c>
      <c r="Q50" s="127">
        <v>10</v>
      </c>
      <c r="R50" s="123">
        <f t="shared" si="32"/>
        <v>50</v>
      </c>
      <c r="S50" s="124">
        <f t="shared" si="33"/>
        <v>2.1692327673842511E-30</v>
      </c>
      <c r="T50" s="44"/>
      <c r="U50" s="96">
        <v>1.0000000000000001E-5</v>
      </c>
      <c r="V50" s="96">
        <v>5</v>
      </c>
    </row>
    <row r="51" spans="1:22" s="65" customFormat="1" ht="15" customHeight="1">
      <c r="A51" s="44"/>
      <c r="B51" s="115" t="s">
        <v>249</v>
      </c>
      <c r="C51" s="116" t="s">
        <v>250</v>
      </c>
      <c r="D51" s="136">
        <v>5</v>
      </c>
      <c r="E51" s="134" t="s">
        <v>251</v>
      </c>
      <c r="F51" s="130" t="s">
        <v>252</v>
      </c>
      <c r="G51" s="122">
        <f>RADIANS(D51/60)</f>
        <v>1.454441043328608E-3</v>
      </c>
      <c r="H51" s="134"/>
      <c r="I51" s="124" t="s">
        <v>240</v>
      </c>
      <c r="J51" s="121">
        <f>SQRT(3)</f>
        <v>1.7320508075688772</v>
      </c>
      <c r="K51" s="122">
        <f t="shared" si="30"/>
        <v>8.3972192788621196E-4</v>
      </c>
      <c r="L51" s="134"/>
      <c r="M51" s="116" t="s">
        <v>253</v>
      </c>
      <c r="N51" s="122">
        <f>TAN(G51)</f>
        <v>1.45444206890373E-3</v>
      </c>
      <c r="O51" s="134"/>
      <c r="P51" s="122">
        <f t="shared" si="31"/>
        <v>1.2213268980986508E-6</v>
      </c>
      <c r="Q51" s="127">
        <v>30</v>
      </c>
      <c r="R51" s="123">
        <f t="shared" si="32"/>
        <v>5.5555555555555562</v>
      </c>
      <c r="S51" s="124">
        <f t="shared" si="33"/>
        <v>4.0049785364825227E-25</v>
      </c>
      <c r="T51" s="44"/>
      <c r="U51" s="96">
        <v>1E-4</v>
      </c>
      <c r="V51" s="96">
        <v>4</v>
      </c>
    </row>
    <row r="52" spans="1:22" s="65" customFormat="1" ht="15" customHeight="1">
      <c r="A52" s="44"/>
      <c r="B52" s="115" t="s">
        <v>254</v>
      </c>
      <c r="C52" s="116" t="s">
        <v>255</v>
      </c>
      <c r="D52" s="136">
        <f>IF(MAX(B14:B43)&lt;=O9,50,10)</f>
        <v>50</v>
      </c>
      <c r="E52" s="134" t="s">
        <v>256</v>
      </c>
      <c r="F52" s="130"/>
      <c r="G52" s="122">
        <f>D52*10^-6</f>
        <v>4.9999999999999996E-5</v>
      </c>
      <c r="H52" s="134"/>
      <c r="I52" s="124" t="s">
        <v>240</v>
      </c>
      <c r="J52" s="121">
        <f>SQRT(3)</f>
        <v>1.7320508075688772</v>
      </c>
      <c r="K52" s="122">
        <f t="shared" si="30"/>
        <v>2.8867513459481286E-5</v>
      </c>
      <c r="L52" s="134"/>
      <c r="M52" s="116"/>
      <c r="N52" s="131">
        <v>1</v>
      </c>
      <c r="O52" s="134"/>
      <c r="P52" s="122">
        <f t="shared" si="31"/>
        <v>2.8867513459481286E-5</v>
      </c>
      <c r="Q52" s="127">
        <v>10</v>
      </c>
      <c r="R52" s="123">
        <f t="shared" si="32"/>
        <v>50</v>
      </c>
      <c r="S52" s="124">
        <f t="shared" si="33"/>
        <v>1.3888888888888882E-20</v>
      </c>
      <c r="T52" s="44"/>
      <c r="U52" s="96">
        <v>1E-3</v>
      </c>
      <c r="V52" s="96">
        <v>3</v>
      </c>
    </row>
    <row r="53" spans="1:22" s="65" customFormat="1" ht="15" customHeight="1">
      <c r="A53" s="44"/>
      <c r="B53" s="115" t="s">
        <v>257</v>
      </c>
      <c r="C53" s="116" t="s">
        <v>258</v>
      </c>
      <c r="D53" s="117" t="e">
        <f ca="1">D56*D50/D47</f>
        <v>#N/A</v>
      </c>
      <c r="E53" s="134" t="s">
        <v>259</v>
      </c>
      <c r="F53" s="130" t="s">
        <v>260</v>
      </c>
      <c r="G53" s="119" t="e">
        <f ca="1">D53*(50*10^-6)</f>
        <v>#N/A</v>
      </c>
      <c r="H53" s="134" t="s">
        <v>259</v>
      </c>
      <c r="I53" s="124" t="s">
        <v>240</v>
      </c>
      <c r="J53" s="121">
        <f>SQRT(3)</f>
        <v>1.7320508075688772</v>
      </c>
      <c r="K53" s="122" t="e">
        <f t="shared" ca="1" si="30"/>
        <v>#N/A</v>
      </c>
      <c r="L53" s="134" t="s">
        <v>259</v>
      </c>
      <c r="M53" s="116" t="s">
        <v>261</v>
      </c>
      <c r="N53" s="119" t="e">
        <f ca="1">D54</f>
        <v>#N/A</v>
      </c>
      <c r="O53" s="134" t="s">
        <v>262</v>
      </c>
      <c r="P53" s="122" t="e">
        <f t="shared" ca="1" si="31"/>
        <v>#N/A</v>
      </c>
      <c r="Q53" s="127">
        <v>10</v>
      </c>
      <c r="R53" s="123">
        <f t="shared" si="32"/>
        <v>50</v>
      </c>
      <c r="S53" s="124" t="e">
        <f t="shared" ca="1" si="33"/>
        <v>#N/A</v>
      </c>
      <c r="T53" s="44"/>
      <c r="U53" s="96">
        <v>0.01</v>
      </c>
      <c r="V53" s="96">
        <v>2</v>
      </c>
    </row>
    <row r="54" spans="1:22" s="65" customFormat="1" ht="15" customHeight="1">
      <c r="A54" s="44"/>
      <c r="B54" s="115" t="s">
        <v>263</v>
      </c>
      <c r="C54" s="116" t="s">
        <v>261</v>
      </c>
      <c r="D54" s="117" t="e">
        <f ca="1">H4*10^-6</f>
        <v>#N/A</v>
      </c>
      <c r="E54" s="127" t="s">
        <v>262</v>
      </c>
      <c r="F54" s="130">
        <v>0.2</v>
      </c>
      <c r="G54" s="119" t="e">
        <f ca="1">D54*F54</f>
        <v>#N/A</v>
      </c>
      <c r="H54" s="127" t="s">
        <v>262</v>
      </c>
      <c r="I54" s="124" t="s">
        <v>240</v>
      </c>
      <c r="J54" s="121">
        <f>SQRT(3)</f>
        <v>1.7320508075688772</v>
      </c>
      <c r="K54" s="122" t="e">
        <f t="shared" ca="1" si="30"/>
        <v>#N/A</v>
      </c>
      <c r="L54" s="127" t="s">
        <v>262</v>
      </c>
      <c r="M54" s="116" t="s">
        <v>258</v>
      </c>
      <c r="N54" s="119" t="e">
        <f ca="1">D53</f>
        <v>#N/A</v>
      </c>
      <c r="O54" s="134" t="s">
        <v>259</v>
      </c>
      <c r="P54" s="122" t="e">
        <f t="shared" ca="1" si="31"/>
        <v>#N/A</v>
      </c>
      <c r="Q54" s="127">
        <v>10</v>
      </c>
      <c r="R54" s="123">
        <f t="shared" si="32"/>
        <v>50</v>
      </c>
      <c r="S54" s="124" t="e">
        <f t="shared" ca="1" si="33"/>
        <v>#N/A</v>
      </c>
      <c r="T54" s="44"/>
      <c r="U54" s="96">
        <v>0.1</v>
      </c>
      <c r="V54" s="96">
        <v>1</v>
      </c>
    </row>
    <row r="55" spans="1:22" s="65" customFormat="1" ht="15" customHeight="1">
      <c r="A55" s="44"/>
      <c r="B55" s="115" t="s">
        <v>264</v>
      </c>
      <c r="C55" s="116" t="s">
        <v>265</v>
      </c>
      <c r="D55" s="133" t="e">
        <f>P6</f>
        <v>#DIV/0!</v>
      </c>
      <c r="E55" s="134" t="s">
        <v>266</v>
      </c>
      <c r="F55" s="134" t="s">
        <v>267</v>
      </c>
      <c r="G55" s="128">
        <v>0.05</v>
      </c>
      <c r="H55" s="134" t="s">
        <v>266</v>
      </c>
      <c r="I55" s="124" t="s">
        <v>240</v>
      </c>
      <c r="J55" s="121">
        <f>SQRT(3)</f>
        <v>1.7320508075688772</v>
      </c>
      <c r="K55" s="122">
        <f t="shared" si="30"/>
        <v>2.8867513459481291E-2</v>
      </c>
      <c r="L55" s="134" t="s">
        <v>266</v>
      </c>
      <c r="M55" s="116" t="s">
        <v>268</v>
      </c>
      <c r="N55" s="119">
        <f>1/D57</f>
        <v>1.25E-4</v>
      </c>
      <c r="O55" s="134" t="s">
        <v>269</v>
      </c>
      <c r="P55" s="122">
        <f t="shared" si="31"/>
        <v>3.6084391824351616E-6</v>
      </c>
      <c r="Q55" s="127">
        <v>10</v>
      </c>
      <c r="R55" s="123">
        <f t="shared" si="32"/>
        <v>50</v>
      </c>
      <c r="S55" s="124">
        <f t="shared" si="33"/>
        <v>3.3908420138888909E-24</v>
      </c>
      <c r="T55" s="44"/>
      <c r="U55" s="44"/>
      <c r="V55" s="44"/>
    </row>
    <row r="56" spans="1:22" s="65" customFormat="1" ht="15" customHeight="1">
      <c r="A56" s="44"/>
      <c r="B56" s="115" t="s">
        <v>270</v>
      </c>
      <c r="C56" s="116" t="s">
        <v>271</v>
      </c>
      <c r="D56" s="137">
        <f>MAX(L14:L43)</f>
        <v>0</v>
      </c>
      <c r="E56" s="134" t="s">
        <v>272</v>
      </c>
      <c r="F56" s="116" t="s">
        <v>232</v>
      </c>
      <c r="G56" s="138">
        <f>SUM(Pressure_2_R1!T38:T83)/10^6</f>
        <v>0</v>
      </c>
      <c r="H56" s="118" t="s">
        <v>272</v>
      </c>
      <c r="I56" s="120" t="s">
        <v>233</v>
      </c>
      <c r="J56" s="121">
        <v>2</v>
      </c>
      <c r="K56" s="122">
        <f t="shared" si="30"/>
        <v>0</v>
      </c>
      <c r="L56" s="134" t="s">
        <v>272</v>
      </c>
      <c r="M56" s="116" t="s">
        <v>273</v>
      </c>
      <c r="N56" s="119" t="e">
        <f>1/D56</f>
        <v>#DIV/0!</v>
      </c>
      <c r="O56" s="134" t="s">
        <v>274</v>
      </c>
      <c r="P56" s="122" t="e">
        <f t="shared" si="31"/>
        <v>#DIV/0!</v>
      </c>
      <c r="Q56" s="127">
        <v>13</v>
      </c>
      <c r="R56" s="123">
        <f t="shared" si="32"/>
        <v>29.585798816568047</v>
      </c>
      <c r="S56" s="124" t="e">
        <f t="shared" si="33"/>
        <v>#DIV/0!</v>
      </c>
      <c r="T56" s="44"/>
      <c r="U56" s="260" t="s">
        <v>135</v>
      </c>
      <c r="V56" s="96" t="e">
        <f ca="1">OFFSET(V47,COUNTIF(U48:U54,"&lt;="&amp;P65),0)+1</f>
        <v>#VALUE!</v>
      </c>
    </row>
    <row r="57" spans="1:22" s="65" customFormat="1" ht="15" customHeight="1">
      <c r="A57" s="44"/>
      <c r="B57" s="115" t="s">
        <v>275</v>
      </c>
      <c r="C57" s="116" t="s">
        <v>276</v>
      </c>
      <c r="D57" s="137">
        <f>O14</f>
        <v>8000</v>
      </c>
      <c r="E57" s="134" t="s">
        <v>266</v>
      </c>
      <c r="F57" s="139">
        <v>0.05</v>
      </c>
      <c r="G57" s="119">
        <f>D57*F57</f>
        <v>400</v>
      </c>
      <c r="H57" s="134" t="s">
        <v>266</v>
      </c>
      <c r="I57" s="124" t="s">
        <v>240</v>
      </c>
      <c r="J57" s="121">
        <f>SQRT(3)</f>
        <v>1.7320508075688772</v>
      </c>
      <c r="K57" s="122">
        <f t="shared" si="30"/>
        <v>230.94010767585033</v>
      </c>
      <c r="L57" s="134" t="s">
        <v>266</v>
      </c>
      <c r="M57" s="116" t="s">
        <v>277</v>
      </c>
      <c r="N57" s="119" t="e">
        <f>D55/(D57^2)</f>
        <v>#DIV/0!</v>
      </c>
      <c r="O57" s="134" t="s">
        <v>269</v>
      </c>
      <c r="P57" s="122" t="e">
        <f t="shared" si="31"/>
        <v>#DIV/0!</v>
      </c>
      <c r="Q57" s="127">
        <v>10</v>
      </c>
      <c r="R57" s="123">
        <f t="shared" si="32"/>
        <v>50</v>
      </c>
      <c r="S57" s="124" t="e">
        <f t="shared" si="33"/>
        <v>#DIV/0!</v>
      </c>
      <c r="T57" s="44"/>
      <c r="U57" s="44"/>
      <c r="V57" s="44"/>
    </row>
    <row r="58" spans="1:22" s="65" customFormat="1" ht="15" customHeight="1">
      <c r="A58" s="44"/>
      <c r="B58" s="115" t="s">
        <v>278</v>
      </c>
      <c r="C58" s="125" t="s">
        <v>279</v>
      </c>
      <c r="D58" s="137" t="e">
        <f ca="1">MAX(AA14:AA43)</f>
        <v>#DIV/0!</v>
      </c>
      <c r="E58" s="134" t="s">
        <v>266</v>
      </c>
      <c r="F58" s="139">
        <v>0.01</v>
      </c>
      <c r="G58" s="131" t="e">
        <f ca="1">D58*F58</f>
        <v>#DIV/0!</v>
      </c>
      <c r="H58" s="134" t="s">
        <v>266</v>
      </c>
      <c r="I58" s="124" t="s">
        <v>240</v>
      </c>
      <c r="J58" s="121">
        <f>SQRT(3)</f>
        <v>1.7320508075688772</v>
      </c>
      <c r="K58" s="122" t="e">
        <f t="shared" ca="1" si="30"/>
        <v>#DIV/0!</v>
      </c>
      <c r="L58" s="134" t="s">
        <v>266</v>
      </c>
      <c r="M58" s="116" t="s">
        <v>280</v>
      </c>
      <c r="N58" s="140" t="e">
        <f ca="1">D50*D59/D53</f>
        <v>#N/A</v>
      </c>
      <c r="O58" s="134" t="s">
        <v>269</v>
      </c>
      <c r="P58" s="122" t="e">
        <f t="shared" ca="1" si="31"/>
        <v>#DIV/0!</v>
      </c>
      <c r="Q58" s="127">
        <v>20</v>
      </c>
      <c r="R58" s="132">
        <f t="shared" si="32"/>
        <v>12.5</v>
      </c>
      <c r="S58" s="124" t="e">
        <f t="shared" ca="1" si="33"/>
        <v>#DIV/0!</v>
      </c>
      <c r="T58" s="44"/>
      <c r="U58" s="44"/>
      <c r="V58" s="44"/>
    </row>
    <row r="59" spans="1:22" s="65" customFormat="1" ht="15" customHeight="1">
      <c r="A59" s="44"/>
      <c r="B59" s="115" t="s">
        <v>281</v>
      </c>
      <c r="C59" s="125" t="s">
        <v>282</v>
      </c>
      <c r="D59" s="141">
        <f>AD14</f>
        <v>0.03</v>
      </c>
      <c r="E59" s="134" t="s">
        <v>283</v>
      </c>
      <c r="F59" s="139"/>
      <c r="G59" s="131">
        <f>D59</f>
        <v>0.03</v>
      </c>
      <c r="H59" s="134" t="s">
        <v>283</v>
      </c>
      <c r="I59" s="124" t="s">
        <v>240</v>
      </c>
      <c r="J59" s="121">
        <f>SQRT(3)</f>
        <v>1.7320508075688772</v>
      </c>
      <c r="K59" s="122">
        <f t="shared" si="30"/>
        <v>1.7320508075688773E-2</v>
      </c>
      <c r="L59" s="134" t="s">
        <v>283</v>
      </c>
      <c r="M59" s="116" t="s">
        <v>284</v>
      </c>
      <c r="N59" s="119" t="e">
        <f ca="1">D50*D58/D53</f>
        <v>#DIV/0!</v>
      </c>
      <c r="O59" s="134" t="s">
        <v>285</v>
      </c>
      <c r="P59" s="122" t="e">
        <f t="shared" ca="1" si="31"/>
        <v>#DIV/0!</v>
      </c>
      <c r="Q59" s="127">
        <v>30</v>
      </c>
      <c r="R59" s="123">
        <f t="shared" si="32"/>
        <v>5.5555555555555562</v>
      </c>
      <c r="S59" s="124" t="e">
        <f t="shared" ca="1" si="33"/>
        <v>#DIV/0!</v>
      </c>
      <c r="T59" s="44"/>
      <c r="U59" s="44"/>
      <c r="V59" s="44"/>
    </row>
    <row r="60" spans="1:22" s="65" customFormat="1" ht="15" customHeight="1">
      <c r="A60" s="44"/>
      <c r="B60" s="115" t="s">
        <v>286</v>
      </c>
      <c r="C60" s="116" t="s">
        <v>287</v>
      </c>
      <c r="D60" s="142" t="e">
        <f ca="1">R14</f>
        <v>#N/A</v>
      </c>
      <c r="E60" s="134" t="s">
        <v>283</v>
      </c>
      <c r="F60" s="139">
        <v>0.1</v>
      </c>
      <c r="G60" s="131" t="e">
        <f ca="1">D60*F60</f>
        <v>#N/A</v>
      </c>
      <c r="H60" s="134" t="s">
        <v>283</v>
      </c>
      <c r="I60" s="124" t="s">
        <v>240</v>
      </c>
      <c r="J60" s="121">
        <f>SQRT(3)</f>
        <v>1.7320508075688772</v>
      </c>
      <c r="K60" s="122" t="e">
        <f t="shared" ca="1" si="30"/>
        <v>#N/A</v>
      </c>
      <c r="L60" s="134" t="s">
        <v>283</v>
      </c>
      <c r="M60" s="116" t="s">
        <v>288</v>
      </c>
      <c r="N60" s="119" t="e">
        <f>D61/D50/D56</f>
        <v>#DIV/0!</v>
      </c>
      <c r="O60" s="134" t="s">
        <v>285</v>
      </c>
      <c r="P60" s="122" t="e">
        <f t="shared" ca="1" si="31"/>
        <v>#N/A</v>
      </c>
      <c r="Q60" s="127">
        <v>10</v>
      </c>
      <c r="R60" s="123">
        <f t="shared" si="32"/>
        <v>50</v>
      </c>
      <c r="S60" s="124" t="e">
        <f t="shared" ca="1" si="33"/>
        <v>#N/A</v>
      </c>
      <c r="T60" s="44"/>
      <c r="U60" s="44"/>
      <c r="V60" s="44"/>
    </row>
    <row r="61" spans="1:22" s="65" customFormat="1" ht="15" customHeight="1">
      <c r="A61" s="44"/>
      <c r="B61" s="115" t="s">
        <v>289</v>
      </c>
      <c r="C61" s="116" t="s">
        <v>290</v>
      </c>
      <c r="D61" s="137">
        <f>Q14</f>
        <v>0</v>
      </c>
      <c r="E61" s="134" t="s">
        <v>291</v>
      </c>
      <c r="F61" s="139">
        <v>0.1</v>
      </c>
      <c r="G61" s="131">
        <f>D61*F61</f>
        <v>0</v>
      </c>
      <c r="H61" s="134" t="s">
        <v>291</v>
      </c>
      <c r="I61" s="124" t="s">
        <v>240</v>
      </c>
      <c r="J61" s="121">
        <f>SQRT(3)</f>
        <v>1.7320508075688772</v>
      </c>
      <c r="K61" s="122">
        <f t="shared" si="30"/>
        <v>0</v>
      </c>
      <c r="L61" s="134" t="s">
        <v>291</v>
      </c>
      <c r="M61" s="116" t="s">
        <v>292</v>
      </c>
      <c r="N61" s="119" t="e">
        <f ca="1">D60/D50/D56</f>
        <v>#N/A</v>
      </c>
      <c r="O61" s="134" t="s">
        <v>293</v>
      </c>
      <c r="P61" s="122" t="e">
        <f t="shared" ca="1" si="31"/>
        <v>#N/A</v>
      </c>
      <c r="Q61" s="127">
        <v>10</v>
      </c>
      <c r="R61" s="123">
        <f t="shared" si="32"/>
        <v>50</v>
      </c>
      <c r="S61" s="124" t="e">
        <f t="shared" ca="1" si="33"/>
        <v>#N/A</v>
      </c>
      <c r="T61" s="44"/>
      <c r="U61" s="44"/>
      <c r="V61" s="44"/>
    </row>
    <row r="62" spans="1:22" s="65" customFormat="1" ht="15" customHeight="1">
      <c r="A62" s="56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143" t="s">
        <v>294</v>
      </c>
      <c r="P62" s="144" t="e">
        <f ca="1">SQRT(SUMSQ(P47:P61))</f>
        <v>#N/A</v>
      </c>
      <c r="Q62" s="93"/>
      <c r="R62" s="145" t="s">
        <v>295</v>
      </c>
      <c r="S62" s="127" t="e">
        <f ca="1">SUM(S47:S61)</f>
        <v>#N/A</v>
      </c>
      <c r="T62" s="44"/>
      <c r="U62" s="44"/>
      <c r="V62" s="44"/>
    </row>
    <row r="63" spans="1:22" s="65" customFormat="1" ht="15" customHeight="1">
      <c r="A63" s="44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143" t="s">
        <v>296</v>
      </c>
      <c r="P63" s="146" t="e">
        <f ca="1">P62^4/S62</f>
        <v>#N/A</v>
      </c>
      <c r="Q63" s="93"/>
      <c r="R63" s="92"/>
      <c r="S63" s="92"/>
      <c r="T63" s="44"/>
      <c r="U63" s="44"/>
      <c r="V63" s="44"/>
    </row>
    <row r="64" spans="1:22" s="65" customFormat="1" ht="15" customHeight="1">
      <c r="A64" s="44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143" t="s">
        <v>233</v>
      </c>
      <c r="P64" s="147" t="e">
        <f ca="1">1.95996+2.37356/P63+2.818745/P63^2+2.546662/P63^3+1.761829/P63^4+0.245458/P63^5+1.000764/P63^6</f>
        <v>#N/A</v>
      </c>
      <c r="Q64" s="92"/>
      <c r="R64" s="92"/>
      <c r="S64" s="92"/>
      <c r="T64" s="44"/>
      <c r="U64" s="44"/>
      <c r="V64" s="44"/>
    </row>
    <row r="65" spans="1:22" s="65" customFormat="1" ht="15" customHeight="1">
      <c r="A65" s="44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143" t="s">
        <v>297</v>
      </c>
      <c r="P65" s="148" t="e">
        <f ca="1">P62*P64*100</f>
        <v>#N/A</v>
      </c>
      <c r="Q65" s="149" t="s">
        <v>298</v>
      </c>
      <c r="R65" s="92"/>
      <c r="S65" s="92"/>
      <c r="T65" s="44"/>
      <c r="U65" s="44"/>
      <c r="V65" s="44"/>
    </row>
    <row r="66" spans="1:22" s="65" customFormat="1" ht="15" customHeight="1"/>
  </sheetData>
  <mergeCells count="9">
    <mergeCell ref="J3:K3"/>
    <mergeCell ref="I46:J46"/>
    <mergeCell ref="M46:N46"/>
    <mergeCell ref="J5:K5"/>
    <mergeCell ref="B6:C6"/>
    <mergeCell ref="B5:C5"/>
    <mergeCell ref="B4:C4"/>
    <mergeCell ref="B3:C3"/>
    <mergeCell ref="B7:C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21</vt:i4>
      </vt:variant>
    </vt:vector>
  </HeadingPairs>
  <TitlesOfParts>
    <vt:vector size="34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표준압력</vt:lpstr>
      <vt:lpstr>Calcu</vt:lpstr>
      <vt:lpstr>Calcu_ADJ</vt:lpstr>
      <vt:lpstr>STD_Data</vt:lpstr>
      <vt:lpstr>Pressure_2_R1</vt:lpstr>
      <vt:lpstr>'교정결과-E'!B_Tag</vt:lpstr>
      <vt:lpstr>'교정결과-HY'!B_Tag</vt:lpstr>
      <vt:lpstr>B_Tag</vt:lpstr>
      <vt:lpstr>판정결과!B_Tag_2</vt:lpstr>
      <vt:lpstr>B_Tag_3</vt:lpstr>
      <vt:lpstr>Pressure_2_R1_CMC</vt:lpstr>
      <vt:lpstr>Pressure_2_R1_Condition</vt:lpstr>
      <vt:lpstr>Pressure_2_R1_Resolution</vt:lpstr>
      <vt:lpstr>Pressure_2_R1_Result</vt:lpstr>
      <vt:lpstr>Pressure_2_R1_Result_ADJ</vt:lpstr>
      <vt:lpstr>Pressure_2_R1_Spec</vt:lpstr>
      <vt:lpstr>Pressure_2_R1_STD1</vt:lpstr>
      <vt:lpstr>Pressure_2_R1_STD2</vt:lpstr>
      <vt:lpstr>Pressure_2_R1_STD3</vt:lpstr>
      <vt:lpstr>Pressure_2_R1_STD4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2020-11-02T07:18:23Z</cp:lastPrinted>
  <dcterms:created xsi:type="dcterms:W3CDTF">2004-11-10T00:11:43Z</dcterms:created>
  <dcterms:modified xsi:type="dcterms:W3CDTF">2021-05-17T04:20:17Z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C:\Users\LG\Documents\MCT\Templates\20411-1.xlsx</vt:lpwstr>
  </property>
</Properties>
</file>