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netorgft11488835.sharepoint.com/sites/SeineCapital/Documents partages/Seine Capital Main Directory/1. Investment Opportunities &amp; DDs/2. Deals Directory/Scribe/1. Data Room/2 Asset Level/2.1 reMarkable/2.1.3 GP Projection Model/"/>
    </mc:Choice>
  </mc:AlternateContent>
  <xr:revisionPtr revIDLastSave="111" documentId="8_{29FC4C74-C585-402E-9C4D-1129A4CF5A17}" xr6:coauthVersionLast="47" xr6:coauthVersionMax="47" xr10:uidLastSave="{C952E608-E37E-411B-BAED-95CC1AF7F511}"/>
  <bookViews>
    <workbookView minimized="1" xWindow="585" yWindow="2985" windowWidth="17280" windowHeight="8925" tabRatio="708" activeTab="2" xr2:uid="{00000000-000D-0000-FFFF-FFFF00000000}"/>
  </bookViews>
  <sheets>
    <sheet name="Summary" sheetId="26" r:id="rId1"/>
    <sheet name="Inputs &gt;&gt;&gt;" sheetId="28" r:id="rId2"/>
    <sheet name="Annual reports rM 2017-2023" sheetId="17" r:id="rId3"/>
    <sheet name="Assumptions" sheetId="15" r:id="rId4"/>
    <sheet name="NOKUSD FX 2023-2024" sheetId="27" r:id="rId5"/>
    <sheet name="Disclaimer" sheetId="29" r:id="rId6"/>
    <sheet name="Football Field" sheetId="13" state="hidden" r:id="rId7"/>
    <sheet name="Charts" sheetId="14" state="hidden" r:id="rId8"/>
  </sheets>
  <definedNames>
    <definedName name="\A">#REF!</definedName>
    <definedName name="\B">#REF!</definedName>
    <definedName name="\D">#REF!</definedName>
    <definedName name="\E">#REF!</definedName>
    <definedName name="\F">#REF!</definedName>
    <definedName name="\G">#REF!</definedName>
    <definedName name="\H">#REF!</definedName>
    <definedName name="\J">#REF!</definedName>
    <definedName name="\K">#REF!</definedName>
    <definedName name="\L">#REF!</definedName>
    <definedName name="\P">#REF!</definedName>
    <definedName name="\S">#REF!</definedName>
    <definedName name="\X">#REF!</definedName>
    <definedName name="\Y">#REF!</definedName>
    <definedName name="\Z">#REF!</definedName>
    <definedName name="__FDS_HYPERLINK_TOGGLE_STATE__" hidden="1">"ON"</definedName>
    <definedName name="__inf1">#REF!</definedName>
    <definedName name="_1">#REF!</definedName>
    <definedName name="_2">#REF!</definedName>
    <definedName name="_3">#REF!</definedName>
    <definedName name="_4">#REF!</definedName>
    <definedName name="_5">#REF!</definedName>
    <definedName name="_6">#REF!</definedName>
    <definedName name="_7">#REF!</definedName>
    <definedName name="_bdm.3e701c474e8c44a48165f8bacf2d4311.edm" hidden="1">#REF!</definedName>
    <definedName name="_bdm.cd675bfbb02a45afa328ff4b5bfed578.edm" hidden="1">#REF!</definedName>
    <definedName name="_Fill" hidden="1">#REF!</definedName>
    <definedName name="_xlnm._FilterDatabase" hidden="1">#N/A</definedName>
    <definedName name="_FinancingRounds">#REF!</definedName>
    <definedName name="_Order1" hidden="1">0</definedName>
    <definedName name="_Order2" hidden="1">255</definedName>
    <definedName name="A">#REF!</definedName>
    <definedName name="aa" hidden="1">"IMG_11"</definedName>
    <definedName name="aaa" hidden="1">41220.5099884259</definedName>
    <definedName name="aaaaaa1" hidden="1">"IMG_6"</definedName>
    <definedName name="aaaaaaa2" hidden="1">"IMG_6"</definedName>
    <definedName name="aasdfas" hidden="1">"IMG_64"</definedName>
    <definedName name="ab" hidden="1">#REF!</definedName>
    <definedName name="abc" hidden="1">{"key inputs",#N/A,TRUE,"Key Inputs";"key outputs",#N/A,TRUE,"Outputs";"Other inputs",#N/A,TRUE,"Other Inputs";"Revenue",#N/A,TRUE,"Rev"}</definedName>
    <definedName name="ac" hidden="1">#REF!</definedName>
    <definedName name="ACwvu.apl95." hidden="1">#REF!</definedName>
    <definedName name="ACwvu.bs." hidden="1">#REF!</definedName>
    <definedName name="ACwvu.ratios." hidden="1">#REF!</definedName>
    <definedName name="adfaae" hidden="1">"IMG_12"</definedName>
    <definedName name="adsfadfs" hidden="1">{TRUE,TRUE,-1.25,-15.5,604.5,391.5,FALSE,FALSE,TRUE,TRUE,0,1,#N/A,81,#N/A,9.125,26.5294117647059,1,FALSE,FALSE,3,TRUE,1,FALSE,100,"Swvu.supp.","ACwvu.supp.",1,FALSE,FALSE,0.75,0.75,0.8,0.5,1,"&amp;C&amp;""Arial""&amp;14&amp;B&amp;I&amp;UMOLEX&amp;""MS Sans Serif""&amp;10&amp;B&amp;I&amp;U
&amp;""Arial""&amp;11&amp;BSupplemental Data
($ Millions)","",TRUE,FALSE,FALSE,FALSE,1,90,#N/A,#N/A,"=R94C1:R136C21","=C1",#N/A,#N/A,FALSE,FALSE}</definedName>
    <definedName name="afead" hidden="1">"IMG_10"</definedName>
    <definedName name="am" hidden="1">#REF!</definedName>
    <definedName name="Amount">#REF!</definedName>
    <definedName name="anscount" hidden="1">2</definedName>
    <definedName name="AS2DocOpenMode" hidden="1">"AS2DocumentEdit"</definedName>
    <definedName name="asasdfa" hidden="1">"IMG_6"</definedName>
    <definedName name="asd" hidden="1">{"key inputs",#N/A,FALSE,"Key Inputs";"key outputs",#N/A,FALSE,"Outputs";"Other inputs",#N/A,FALSE,"Other Inputs";"cashflow",#N/A,FALSE,"Statemnts"}</definedName>
    <definedName name="asdf" hidden="1">"IMG_6"</definedName>
    <definedName name="asdfasdfasdf" hidden="1">"IMG_11"</definedName>
    <definedName name="asf">#REF!</definedName>
    <definedName name="asfd">#REF!</definedName>
    <definedName name="asfg">#REF!</definedName>
    <definedName name="AsOfDate">#REF!</definedName>
    <definedName name="AUD">#REF!</definedName>
    <definedName name="ax" hidden="1">#REF!</definedName>
    <definedName name="az" hidden="1">#REF!</definedName>
    <definedName name="B_BALANCE_SHEET">#REF!</definedName>
    <definedName name="B_CAPITAL_EXPENDITURE_STATEMENT">#REF!</definedName>
    <definedName name="B_CASH_EXPENSES__STATEMENT_IN_FUTURE_PRICES">#REF!</definedName>
    <definedName name="B_CASHFLOW">#REF!</definedName>
    <definedName name="B_DEPRECIATION_SCHEDULE">#REF!</definedName>
    <definedName name="B_EVALUATION">#REF!</definedName>
    <definedName name="B_MARKET__DATA">#REF!</definedName>
    <definedName name="B_PROFIT_AND_LOSS">#REF!</definedName>
    <definedName name="B_PROJECT_EVALUATION">#REF!</definedName>
    <definedName name="B_REVENUE__STATEMENT">#REF!</definedName>
    <definedName name="B_SUMMARY">#REF!</definedName>
    <definedName name="B_TARIFF_SCHEDULE">#REF!</definedName>
    <definedName name="B_TELSTRA_EVALUATION">#REF!</definedName>
    <definedName name="BalanceSheetDates">#REF!</definedName>
    <definedName name="bb_MkI0NkE3MDVGRDgyNEYyQz" hidden="1">#REF!</definedName>
    <definedName name="bb_MTNCMDVGMDZBOEZDNEM5Qk" hidden="1">#REF!</definedName>
    <definedName name="bb_NEQwOTJCNTcwOTJDNDRCRE" hidden="1">#REF!</definedName>
    <definedName name="bb_NUMzNDEzNENDRjEyNDAyRj" hidden="1">#REF!</definedName>
    <definedName name="bb_NUZCNzJDNjk5RjA0NDIwOT" hidden="1">#REF!</definedName>
    <definedName name="bf" hidden="1">#REF!</definedName>
    <definedName name="bh" hidden="1">#REF!</definedName>
    <definedName name="bk" hidden="1">#REF!</definedName>
    <definedName name="BLPH1" hidden="1">#REF!</definedName>
    <definedName name="BLPH3" hidden="1">#REF!</definedName>
    <definedName name="bm" hidden="1">#REF!</definedName>
    <definedName name="bq" hidden="1">#REF!</definedName>
    <definedName name="bs" hidden="1">#REF!</definedName>
    <definedName name="bx" hidden="1">#REF!</definedName>
    <definedName name="C_">#REF!</definedName>
    <definedName name="C_Airtime_Charge">#REF!</definedName>
    <definedName name="C_Connection_Fee">#REF!</definedName>
    <definedName name="C_Lead_OD_Audit">#REF!</definedName>
    <definedName name="C_Monthly_Sub">#REF!</definedName>
    <definedName name="CAPEX">#REF!</definedName>
    <definedName name="Capital_Committed">#REF!</definedName>
    <definedName name="Case_Number">#REF!</definedName>
    <definedName name="cb_sChart12595BBC_opts" hidden="1">"1, 1, 1, False, 2, True, False, , 0, False, False, 2, 2"</definedName>
    <definedName name="cb_sChart12595E44_opts" hidden="1">"1, 3, 1, False, 2, True, False, , 0, True, False, 2, 2"</definedName>
    <definedName name="Ccy" localSheetId="5">#REF!</definedName>
    <definedName name="Ccy">#REF!</definedName>
    <definedName name="Choices_Wrapper">#N/A</definedName>
    <definedName name="CIQWBGuid" localSheetId="5" hidden="1">"0ae05844-2cf2-473f-b0f0-375ec9224f08"</definedName>
    <definedName name="CIQWBGuid" hidden="1">"dcaf0b2f-0a7a-484d-b232-b12b1b78f8fa"</definedName>
    <definedName name="CIQWBInfo" localSheetId="5" hidden="1">"{ ""CIQVersion"":""9.49.2423.4439"" }"</definedName>
    <definedName name="CIQWBInfo" hidden="1">"{ ""CIQVersion"":""9.47.1108.4092"" }"</definedName>
    <definedName name="Circ">#REF!</definedName>
    <definedName name="CIV_F">#REF!</definedName>
    <definedName name="CIVR">#REF!</definedName>
    <definedName name="Client">#REF!</definedName>
    <definedName name="Client_Name">#REF!</definedName>
    <definedName name="COAUD">#REF!</definedName>
    <definedName name="Commit.">#N/A</definedName>
    <definedName name="CommitmentsABC">#N/A</definedName>
    <definedName name="Connection_Fee">#REF!</definedName>
    <definedName name="Conv" localSheetId="5">#REF!</definedName>
    <definedName name="Conv">#REF!</definedName>
    <definedName name="Conventions">#REF!</definedName>
    <definedName name="COR_F">#REF!</definedName>
    <definedName name="CORR">#REF!</definedName>
    <definedName name="CORUP">#REF!</definedName>
    <definedName name="COST_OF_SALES">#REF!</definedName>
    <definedName name="COUSD">#REF!</definedName>
    <definedName name="ct" hidden="1">#REF!</definedName>
    <definedName name="cu" hidden="1">#REF!</definedName>
    <definedName name="cur_mov">#REF!</definedName>
    <definedName name="curMonth">#REF!</definedName>
    <definedName name="currency">#REF!</definedName>
    <definedName name="Currency_List" localSheetId="5">OFFSET(#REF!,0,0,#REF!)</definedName>
    <definedName name="Currency_List">OFFSET(#REF!,0,0,#REF!)</definedName>
    <definedName name="curYear">#REF!</definedName>
    <definedName name="D">#REF!</definedName>
    <definedName name="_xlnm.Database" hidden="1">#REF!</definedName>
    <definedName name="Date" localSheetId="5">#REF!</definedName>
    <definedName name="Date">#REF!</definedName>
    <definedName name="dd" hidden="1">{#N/A,#N/A,TRUE,"Historicals";#N/A,#N/A,TRUE,"Charts";#N/A,#N/A,TRUE,"Forecasts"}</definedName>
    <definedName name="dfsd">#REF!</definedName>
    <definedName name="dis">#REF!</definedName>
    <definedName name="disc_rate">#REF!</definedName>
    <definedName name="Distributions">#REF!</definedName>
    <definedName name="E">#REF!</definedName>
    <definedName name="eee">#REF!</definedName>
    <definedName name="eeeeee" hidden="1">{"C COM Detail Qtr of",#N/A,FALSE,"DATA";"D Exp Detail Qtr of",#N/A,FALSE,"DATA"}</definedName>
    <definedName name="ef" hidden="1">{"A COM Detail YTD",#N/A,FALSE,"DATA";"B Exp Detail YTD",#N/A,FALSE,"DATA";"C COM Detail Qtr of",#N/A,FALSE,"DATA";"D Exp Detail Qtr of",#N/A,FALSE,"DATA";"A Performance Report",#N/A,FALSE,"%Performance"}</definedName>
    <definedName name="Entity">#REF!</definedName>
    <definedName name="ev.Calculation" hidden="1">-4135</definedName>
    <definedName name="ev.Initialized" hidden="1">FALSE</definedName>
    <definedName name="F">#REF!</definedName>
    <definedName name="fbbxm">IFERROR(VLOOKUP(#REF!,#REF!,2,0),0)</definedName>
    <definedName name="fff">#REF!</definedName>
    <definedName name="FFQ">IFERROR(VLOOKUP(DATEDIF(IFERROR(MIN((LEFT(#REF!,4)&amp;"-"&amp;MID(#REF!,5,2)&amp;"-"&amp;MID(#REF!,7,2)),#REF!)+0,#REF!),报表日期,"D"),#REF!,2,1),"不参与")</definedName>
    <definedName name="fhsdm">MID(#REF!,FIND("[",#REF!)+1,FIND("]",#REF!)-FIND("[",#REF!)-1)</definedName>
    <definedName name="fund">#REF!</definedName>
    <definedName name="fundi_area">#REF!</definedName>
    <definedName name="fundii_area">#REF!</definedName>
    <definedName name="fundiii_area">#REF!</definedName>
    <definedName name="fundiv_area">#REF!</definedName>
    <definedName name="FundName">#REF!</definedName>
    <definedName name="fundv_area">#REF!</definedName>
    <definedName name="fx">#REF!</definedName>
    <definedName name="FXrate">#REF!</definedName>
    <definedName name="FYJSC">IF(ISNA(VLOOKUP(#REF!,#REF!,1,0)),"X","")</definedName>
    <definedName name="FYXJE">IFERROR(IF(OR(#REF!="暂估冲回",#REF!="暂估入账"),0,IF(VLOOKUP(#REF!,#REF!,8,0)=0,#REF!,#REF!)),0)</definedName>
    <definedName name="G">#REF!</definedName>
    <definedName name="geo">#REF!</definedName>
    <definedName name="geography">#REF!</definedName>
    <definedName name="H">#REF!</definedName>
    <definedName name="HAS_BEEN_UPDATED" hidden="1">#REF!</definedName>
    <definedName name="HLIRR_GrossCF">#REF!</definedName>
    <definedName name="HLIRR_GrossCompany">#REF!</definedName>
    <definedName name="HLIRR_GrossDate">#REF!</definedName>
    <definedName name="HLIRR_GrossEV">#REF!</definedName>
    <definedName name="HLIRR_GrossFund">#REF!</definedName>
    <definedName name="HLIRR_GrossInvested">#REF!</definedName>
    <definedName name="HLIRR_GrossIRR">#REF!</definedName>
    <definedName name="HLIRR_GrossLead">#REF!</definedName>
    <definedName name="HLIRR_GrossMultiple">#REF!</definedName>
    <definedName name="HLIRR_GrossOwn">#REF!</definedName>
    <definedName name="HLIRR_GrossRealized">#REF!</definedName>
    <definedName name="HLIRR_GrossSecondLead">#REF!</definedName>
    <definedName name="HLIRR_GrossSector">#REF!</definedName>
    <definedName name="HLIRR_GrossSize">#REF!</definedName>
    <definedName name="HLIRR_GrossSource">#REF!</definedName>
    <definedName name="HLIRR_GrossStatus">#REF!</definedName>
    <definedName name="HLIRR_GrossThirdLead">#REF!</definedName>
    <definedName name="HLIRR_GrossType">#REF!</definedName>
    <definedName name="HLIRR_UnrealizedGPVal">#REF!</definedName>
    <definedName name="HLSummary_Company">#REF!</definedName>
    <definedName name="HLSummary_EV">#REF!</definedName>
    <definedName name="HLSummary_FinancingRounds">#REF!</definedName>
    <definedName name="HLSummary_Fund">#REF!</definedName>
    <definedName name="HLSummary_GrossIRR">#REF!</definedName>
    <definedName name="HLSummary_Invested">#REF!</definedName>
    <definedName name="HLSummary_Lead">#REF!</definedName>
    <definedName name="HLSummary_Multiple">#REF!</definedName>
    <definedName name="HLSummary_NoRounds">#REF!</definedName>
    <definedName name="HLSummary_Own">#REF!</definedName>
    <definedName name="HLSummary_Realized">#REF!</definedName>
    <definedName name="HLSummary_SecondLead">#REF!</definedName>
    <definedName name="HLSummary_Sector">#REF!</definedName>
    <definedName name="HLSummary_Size">#REF!</definedName>
    <definedName name="HLSummary_Source">#REF!</definedName>
    <definedName name="HLSummary_Stage">#REF!</definedName>
    <definedName name="HLSummary_Status">#REF!</definedName>
    <definedName name="HLSummary_ThirdLead">#REF!</definedName>
    <definedName name="HLSummary_Type">#REF!</definedName>
    <definedName name="HLSummary_UnRealized">#REF!</definedName>
    <definedName name="hn.Delete015" hidden="1">#REF!,#REF!,#REF!,#REF!,#REF!</definedName>
    <definedName name="hn.ModelVersion" hidden="1">1</definedName>
    <definedName name="hn.NoUpload" hidden="1">0</definedName>
    <definedName name="HTML_CodePage" hidden="1">1252</definedName>
    <definedName name="HTML_Control"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HD:HomePageStuff:New_Home_Page:datafile:ctryprem.html"</definedName>
    <definedName name="HTML_Title" hidden="1">"Country Risk Premiums"</definedName>
    <definedName name="HUX_F">#REF!</definedName>
    <definedName name="HUXR">#REF!</definedName>
    <definedName name="I">#REF!</definedName>
    <definedName name="Img_HiLoScenario" hidden="1">"IMG_11"</definedName>
    <definedName name="Img_ML_1c3d1n6n" hidden="1">"IMG_11"</definedName>
    <definedName name="Img_ML_1e1k9n5y" hidden="1">"IMG_12"</definedName>
    <definedName name="Img_ML_1h4n3h8h" hidden="1">"IMG_5"</definedName>
    <definedName name="Img_ML_1j8z1t8q" hidden="1">"IMG_11"</definedName>
    <definedName name="Img_ML_1k2z1j3q" hidden="1">"IMG_11"</definedName>
    <definedName name="Img_ML_1k4g9u7k" hidden="1">"IMG_10"</definedName>
    <definedName name="Img_ML_1t5s6u1f" hidden="1">"IMG_12"</definedName>
    <definedName name="Img_ML_1u8w4t5q" hidden="1">"IMG_11"</definedName>
    <definedName name="Img_ML_1y7a6c1t" hidden="1">"IMG_11"</definedName>
    <definedName name="Img_ML_2b2b8h8h" hidden="1">"IMG_12"</definedName>
    <definedName name="Img_ML_2e1r5p2m" hidden="1">"IMG_12"</definedName>
    <definedName name="Img_ML_2i4d6c2r" hidden="1">"IMG_11"</definedName>
    <definedName name="Img_ML_2j6i5k6b" hidden="1">"IMG_11"</definedName>
    <definedName name="Img_ML_2k5r9m9a" hidden="1">"IMG_11"</definedName>
    <definedName name="Img_ML_2v6s9i5c" hidden="1">"IMG_17"</definedName>
    <definedName name="Img_ML_2x1b8j5c" hidden="1">"IMG_12"</definedName>
    <definedName name="Img_ML_2x8r4a2e" hidden="1">"IMG_10"</definedName>
    <definedName name="Img_ML_3b3j3x9k" hidden="1">"IMG_5"</definedName>
    <definedName name="Img_ML_3c6e9c4g" hidden="1">"IMG_12"</definedName>
    <definedName name="Img_ML_3c7g1a7g" hidden="1">"IMG_17"</definedName>
    <definedName name="Img_ML_3h2n3p4v" hidden="1">"IMG_12"</definedName>
    <definedName name="Img_ML_3p2b9c6w" hidden="1">"IMG_11"</definedName>
    <definedName name="Img_ML_3p5d9q5j" hidden="1">"IMG_29"</definedName>
    <definedName name="Img_ML_3r4u7k1k" hidden="1">"IMG_11"</definedName>
    <definedName name="Img_ML_3x8m5t8j" hidden="1">"IMG_11"</definedName>
    <definedName name="Img_ML_3y1j4m2m" hidden="1">"IMG_12"</definedName>
    <definedName name="Img_ML_4d2b6f6f" hidden="1">"IMG_18"</definedName>
    <definedName name="Img_ML_4k4y2z9l" hidden="1">"IMG_11"</definedName>
    <definedName name="Img_ML_4k8k7q4x" hidden="1">"IMG_5"</definedName>
    <definedName name="Img_ML_4m3p5r8j" hidden="1">"IMG_41"</definedName>
    <definedName name="Img_ML_4r3t2p9g" hidden="1">"IMG_11"</definedName>
    <definedName name="Img_ML_4s7w4o2l" hidden="1">"IMG_11"</definedName>
    <definedName name="Img_ML_4u5s8m5l" hidden="1">"IMG_11"</definedName>
    <definedName name="Img_ML_5e7g5e5e" hidden="1">"IMG_12"</definedName>
    <definedName name="Img_ML_5e7s6t2u" hidden="1">"IMG_12"</definedName>
    <definedName name="Img_ML_5e9i9i2b" hidden="1">"IMG_11"</definedName>
    <definedName name="Img_ML_5e9m1k3s" hidden="1">"IMG_11"</definedName>
    <definedName name="Img_ML_5f9d1i5x" hidden="1">"IMG_41"</definedName>
    <definedName name="Img_ML_5f9x9u4u" hidden="1">"IMG_10"</definedName>
    <definedName name="Img_ML_5k1g6v5e" hidden="1">"IMG_11"</definedName>
    <definedName name="Img_ML_5s8u6t6m" hidden="1">"IMG_11"</definedName>
    <definedName name="Img_ML_6d1w4i7z" hidden="1">"IMG_11"</definedName>
    <definedName name="Img_ML_6f2p1m9g" hidden="1">"IMG_10"</definedName>
    <definedName name="Img_ML_6k9c9p4d" hidden="1">"IMG_17"</definedName>
    <definedName name="Img_ML_6r9u1n9k" hidden="1">"IMG_10"</definedName>
    <definedName name="Img_ML_6s1x3i2z" hidden="1">"IMG_11"</definedName>
    <definedName name="Img_ML_6u6x3l5z" hidden="1">"IMG_11"</definedName>
    <definedName name="Img_ML_6y9f7y3n" hidden="1">"IMG_10"</definedName>
    <definedName name="Img_ML_7g4k9d6i" hidden="1">"IMG_37"</definedName>
    <definedName name="Img_ML_7g5e5e2b" hidden="1">"IMG_11"</definedName>
    <definedName name="Img_ML_7j5s8m1i" hidden="1">"IMG_11"</definedName>
    <definedName name="Img_ML_7m5m4k3b" hidden="1">"IMG_12"</definedName>
    <definedName name="Img_ML_7n6h3t1t" hidden="1">"IMG_11"</definedName>
    <definedName name="Img_ML_7s4w7c6r" hidden="1">"IMG_12"</definedName>
    <definedName name="Img_ML_7s4z1z2i" hidden="1">"IMG_11"</definedName>
    <definedName name="Img_ML_7s8z1t2i" hidden="1">"IMG_11"</definedName>
    <definedName name="Img_ML_7u6z1l5i" hidden="1">"IMG_11"</definedName>
    <definedName name="Img_ML_8b4s3j4n" hidden="1">"IMG_11"</definedName>
    <definedName name="Img_ML_8c2q5i2r" hidden="1">"IMG_11"</definedName>
    <definedName name="Img_ML_8g3u6k4j" hidden="1">"IMG_11"</definedName>
    <definedName name="Img_ML_8h7g3c9i" hidden="1">"IMG_11"</definedName>
    <definedName name="Img_ML_8h7g4d4d" hidden="1">"IMG_11"</definedName>
    <definedName name="Img_ML_8i9u7w8k" hidden="1">"IMG_11"</definedName>
    <definedName name="Img_ML_8r1k8t4y" hidden="1">"IMG_11"</definedName>
    <definedName name="Img_ML_8s8y2t6j" hidden="1">"IMG_11"</definedName>
    <definedName name="Img_ML_8t3m5u6f" hidden="1">"IMG_11"</definedName>
    <definedName name="Img_ML_9c9p6w6g" hidden="1">"IMG_11"</definedName>
    <definedName name="Img_ML_9g2r1i7c" hidden="1">"IMG_5"</definedName>
    <definedName name="Img_ML_9g5t7m4w" hidden="1">"IMG_11"</definedName>
    <definedName name="Img_ML_9j1t7i1w" hidden="1">"IMG_10"</definedName>
    <definedName name="Img_ML_9j3t2m3v" hidden="1">"IMG_11"</definedName>
    <definedName name="Img_ML_9k5u6m9w" hidden="1">"IMG_11"</definedName>
    <definedName name="Img_ML_9k8u6t9w" hidden="1">"IMG_11"</definedName>
    <definedName name="Img_ML_9n1s4m5f" hidden="1">"IMG_12"</definedName>
    <definedName name="Img_ML_9s7u6o2w" hidden="1">"IMG_10"</definedName>
    <definedName name="Img_ML_9u1y2i5w" hidden="1">"IMG_11"</definedName>
    <definedName name="Img_ML_9u2c1d4e" hidden="1">"IMG_11"</definedName>
    <definedName name="Img_ML_9u7u6o5w" hidden="1">"IMG_11"</definedName>
    <definedName name="Img_ML_9v6s2g1u" hidden="1">"IMG_11"</definedName>
    <definedName name="Img_MonolithicUnitASP" hidden="1">"IMG_11"</definedName>
    <definedName name="Img_Product_Breakdown" hidden="1">"IMG_4"</definedName>
    <definedName name="Img_Production_Breakdown" hidden="1">"IMG_3"</definedName>
    <definedName name="Img_UnitASP" hidden="1">"IMG_12"</definedName>
    <definedName name="IncomeStatementDates">#REF!</definedName>
    <definedName name="IND">#REF!</definedName>
    <definedName name="IndCat">#REF!</definedName>
    <definedName name="IndCodeDescription">#REF!</definedName>
    <definedName name="industry">#REF!</definedName>
    <definedName name="inf">#REF!</definedName>
    <definedName name="infchn">#REF!</definedName>
    <definedName name="infhk">#REF!</definedName>
    <definedName name="infprc">#REF!</definedName>
    <definedName name="Investment_Name">#REF!</definedName>
    <definedName name="Investment_Type">#REF!</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NNUAL_DIVIDEND" hidden="1">"c229"</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ONDRATING_FITCH" hidden="1">"c223"</definedName>
    <definedName name="IQ_BONDRATING_FITCH_DATE" hidden="1">"c241"</definedName>
    <definedName name="IQ_BONDRATING_SP" hidden="1">"c224"</definedName>
    <definedName name="IQ_BONDRATING_SP_DATE" hidden="1">"c242"</definedName>
    <definedName name="IQ_BOOK_VALUE" hidden="1">"c68"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CE_FDIC" hidden="1">"c6296"</definedName>
    <definedName name="IQ_CH">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EARNING_ASSETS_FDIC" hidden="1">"c6360"</definedName>
    <definedName name="IQ_EARNING_ASSETS_YIELD_FDIC" hidden="1">"c6724"</definedName>
    <definedName name="IQ_EARNINGS_COVERAGE_NET_CHARGE_OFFS_FDIC" hidden="1">"c6735"</definedName>
    <definedName name="IQ_EBIT_10K" hidden="1">"IQ_EBIT_10K"</definedName>
    <definedName name="IQ_EBIT_10Q" hidden="1">"IQ_EBIT_10Q"</definedName>
    <definedName name="IQ_EBIT_10Q1" hidden="1">"IQ_EBIT_10Q1"</definedName>
    <definedName name="IQ_EBIT_GROWTH_1" hidden="1">"c157"</definedName>
    <definedName name="IQ_EBIT_GROWTH_2" hidden="1">"c161"</definedName>
    <definedName name="IQ_EBITDA_10K" hidden="1">"IQ_EBITDA_10K"</definedName>
    <definedName name="IQ_EBITDA_10Q" hidden="1">"IQ_EBITDA_10Q"</definedName>
    <definedName name="IQ_EBITDA_10Q1" hidden="1">"IQ_EBITDA_10Q1"</definedName>
    <definedName name="IQ_EBITDA_GROWTH_1" hidden="1">"c156"</definedName>
    <definedName name="IQ_EBITDA_GROWTH_2" hidden="1">"c160"</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 hidden="1">"IQ_EPS"</definedName>
    <definedName name="IQ_EPS_10K" hidden="1">"IQ_EPS_10K"</definedName>
    <definedName name="IQ_EPS_10Q" hidden="1">"IQ_EPS_10Q"</definedName>
    <definedName name="IQ_EPS_10Q1" hidden="1">"IQ_EPS_10Q1"</definedName>
    <definedName name="IQ_EPS_EST_1" hidden="1">"c189"</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EPS_SURPRISE" hidden="1">"c1635"</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V_OVER_REVENUE_EST" hidden="1">"c165"</definedName>
    <definedName name="IQ_EV_OVER_REVENUE_EST_1" hidden="1">"c166"</definedName>
    <definedName name="IQ_EXPENSE_CODE_" localSheetId="5">"0"</definedName>
    <definedName name="IQ_EXPENSE_CODE_" hidden="1">"test"</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PERCENT_AMOUNT" hidden="1">"c240"</definedName>
    <definedName name="IQ_FIVE_YEAR_FIXED_AND_FLOATING_RATE_FDIC" hidden="1">"c6422"</definedName>
    <definedName name="IQ_FIVE_YEAR_MORTGAGE_PASS_THROUGHS_FDIC" hidden="1">"c6414"</definedName>
    <definedName name="IQ_FIVEPERCENT_OWNER" hidden="1">"c239"</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 hidden="1">"c225"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_CONTRACTS_FDIC" hidden="1">"c6517"</definedName>
    <definedName name="IQ_FX_CONTRACTS_SPOT_FDIC" hidden="1">"c6356"</definedName>
    <definedName name="IQ_FY">1000</definedName>
    <definedName name="IQ_FY_DATE" hidden="1">"IQ_FY_DATE"</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CP_CDS_MDS_DATE" hidden="1">"c27273"</definedName>
    <definedName name="IQ_GCP_CDS_MDS_SCORE" hidden="1">"c27272"</definedName>
    <definedName name="IQ_GCP_CDS_MDS_Z_SCORE" hidden="1">"c27274"</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3MTH_BOUGHT" hidden="1">"c1534"</definedName>
    <definedName name="IQ_INSIDER_3MTH_NET" hidden="1">"c1535"</definedName>
    <definedName name="IQ_INSIDER_3MTH_SOLD" hidden="1">"c1533"</definedName>
    <definedName name="IQ_INSIDER_6MTH_BOUGHT" hidden="1">"c1537"</definedName>
    <definedName name="IQ_INSIDER_6MTH_NET" hidden="1">"c1538"</definedName>
    <definedName name="IQ_INSIDER_6MTH_SOLD" hidden="1">"c1536"</definedName>
    <definedName name="IQ_INSIDER_AMOUNT" hidden="1">"c238"</definedName>
    <definedName name="IQ_INSIDER_LOANS_FDIC" hidden="1">"c6365"</definedName>
    <definedName name="IQ_INSTITUTIONAL_AMOUNT" hidden="1">"c236"</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L_EPS_EST" hidden="1">"c24729"</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INC_10K" hidden="1">"IQ_INTEREST_INC_10K"</definedName>
    <definedName name="IQ_INTEREST_INC_10Q" hidden="1">"IQ_INTEREST_INC_10Q"</definedName>
    <definedName name="IQ_INTEREST_INC_10Q1" hidden="1">"IQ_INTEREST_INC_10Q1"</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ST_EBIT_MARGIN" hidden="1">"c151"</definedName>
    <definedName name="IQ_LAST_EBITDA_MARGIN" hidden="1">"c150"</definedName>
    <definedName name="IQ_LAST_GROSS_MARGIN" hidden="1">"c149"</definedName>
    <definedName name="IQ_LAST_NET_INC_MARGIN" hidden="1">"c152"</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_DATE" hidden="1">"IQ_LTM_DATE"</definedName>
    <definedName name="IQ_LTMMONTH" hidden="1">120000</definedName>
    <definedName name="IQ_MACRO_SURVEY_CONSUMER_SENTIMENT" hidden="1">"c20808"</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hidden="1">"06/14/2023 20:27:28"</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_10K" hidden="1">"IQ_NET_INC_10K"</definedName>
    <definedName name="IQ_NET_INC_10Q" hidden="1">"IQ_NET_INC_10Q"</definedName>
    <definedName name="IQ_NET_INC_10Q1" hidden="1">"IQ_NET_INC_10Q1"</definedName>
    <definedName name="IQ_NET_INC_GROWTH_1" hidden="1">"c158"</definedName>
    <definedName name="IQ_NET_INC_GROWTH_2" hidden="1">"c162"</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ER_INC_BR" hidden="1">"c850"</definedName>
    <definedName name="IQ_OPTIONS_EXCERCISED" hidden="1">"c2116"</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MINING_REVENUE_COAL" hidden="1">"c15931"</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C_WRITTEN" hidden="1">"c1027"</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FLOAT" hidden="1">"c227"</definedName>
    <definedName name="IQ_PERCENT_INSURED_FDIC" hidden="1">"c6374"</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INC" hidden="1">"c16"</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EPS_EST" hidden="1">"c174"</definedName>
    <definedName name="IQ_PRICE_OVER_EPS_EST_1" hidden="1">"c175"</definedName>
    <definedName name="IQ_PRICEDATETIME" hidden="1">"IQ_PRICEDATETIME"</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IDENTIAL_LOANS" hidden="1">"c1102"</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EVENUE_10K" hidden="1">"IQ_REVENUE_10K"</definedName>
    <definedName name="IQ_REVENUE_10Q" hidden="1">"IQ_REVENUE_10Q"</definedName>
    <definedName name="IQ_REVENUE_10Q1" hidden="1">"IQ_REVENUE_10Q1"</definedName>
    <definedName name="IQ_REVENUE_EST_1" hidden="1">"c190"</definedName>
    <definedName name="IQ_REVENUE_GROWTH_1" hidden="1">"c155"</definedName>
    <definedName name="IQ_REVENUE_GROWTH_2" hidden="1">"c159"</definedName>
    <definedName name="IQ_RISK_WEIGHTED_ASSETS_FDIC" hidden="1">"c6370"</definedName>
    <definedName name="IQ_ROYALTY_REVENUE_COAL" hidden="1">"c15932"</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HORT_INTEREST_VOLUME" hidden="1">"c228"</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50000</definedName>
    <definedName name="IQ_WRITTEN_OPTION_CONTRACTS_FDIC" hidden="1">"c6509"</definedName>
    <definedName name="IQ_WRITTEN_OPTION_CONTRACTS_FX_RISK_FDIC" hidden="1">"c6514"</definedName>
    <definedName name="IQ_WRITTEN_OPTION_CONTRACTS_NON_FX_IR_FDIC" hidden="1">"c6519"</definedName>
    <definedName name="IQ_YTD">3000</definedName>
    <definedName name="IQ_YTDMONTH" hidden="1">130000</definedName>
    <definedName name="IQB_BOOKMARK_COUNT" hidden="1">3</definedName>
    <definedName name="IQB_BOOKMARK_LOCATION_0" hidden="1">#REF!</definedName>
    <definedName name="IQB_BOOKMARK_LOCATION_1" hidden="1">#REF!</definedName>
    <definedName name="IQB_BOOKMARK_LOCATION_2" hidden="1">#REF!</definedName>
    <definedName name="IQB_CURRENT_BOOKMARK" hidden="1">1</definedName>
    <definedName name="IQRA7" hidden="1">"$A$8:$A$11"</definedName>
    <definedName name="IQRB7" hidden="1">"$B$8:$B$11"</definedName>
    <definedName name="IQRBB40" hidden="1">"$BB$41:$BB$45"</definedName>
    <definedName name="IQRBrokerLevelAnalysisA18" hidden="1">#REF!</definedName>
    <definedName name="IQRC7" hidden="1">"$C$8:$C$11"</definedName>
    <definedName name="IQRD7" hidden="1">"$D$8:$D$11"</definedName>
    <definedName name="IQRE7" hidden="1">"$E$8:$E$11"</definedName>
    <definedName name="IQRF7" hidden="1">"$F$8:$F$11"</definedName>
    <definedName name="IQRG7" hidden="1">"$G$8:$G$11"</definedName>
    <definedName name="IQRH7" hidden="1">"$H$8:$H$11"</definedName>
    <definedName name="IQRI7" hidden="1">"$I$8:$I$11"</definedName>
    <definedName name="IQRJ7" hidden="1">"$J$8:$J$11"</definedName>
    <definedName name="IQRLatestSecurityTradesR10" hidden="1">#REF!</definedName>
    <definedName name="IQRLatestSecurityTradesS10" hidden="1">#REF!</definedName>
    <definedName name="IQRLatestSecurityTradesT10" hidden="1">#REF!</definedName>
    <definedName name="IQRLatestSecurityTradesU10" hidden="1">#REF!</definedName>
    <definedName name="IQRLatestSecurityTradesV10" hidden="1">#REF!</definedName>
    <definedName name="IQRLatestSecurityTradesW10" hidden="1">#REF!</definedName>
    <definedName name="IQRLatestSecurityTradesX10" hidden="1">#REF!</definedName>
    <definedName name="IQRSecurityLevelSummaryDataA17" hidden="1">#REF!</definedName>
    <definedName name="IQRSecurityLevelSummaryDataD17" hidden="1">#REF!</definedName>
    <definedName name="IQRSecurityLevelSummaryDataE17" hidden="1">#REF!</definedName>
    <definedName name="IQRSecurityLevelSummaryDataF17" hidden="1">#REF!</definedName>
    <definedName name="IQRSecurityLevelSummaryDataG17" hidden="1">#REF!</definedName>
    <definedName name="IQRSecurityLevelSummaryDataH17" hidden="1">#REF!</definedName>
    <definedName name="IQRSecurityLevelSummaryDataI17" hidden="1">#REF!</definedName>
    <definedName name="IQRSecurityLevelSummaryDataJ17" hidden="1">#REF!</definedName>
    <definedName name="IQRSecurityLevelSummaryDataK17" hidden="1">#REF!</definedName>
    <definedName name="IQRSecurityLevelSummaryDataL17" hidden="1">#REF!</definedName>
    <definedName name="IQRSecurityLevelSummaryDataM17" hidden="1">#REF!</definedName>
    <definedName name="IQRSecurityLevelSummaryDataN17" hidden="1">#REF!</definedName>
    <definedName name="IQRSecurityLevelSummaryDataO17" hidden="1">#REF!</definedName>
    <definedName name="IQRSheet1AJ20" localSheetId="5" hidden="1">#REF!</definedName>
    <definedName name="IQRSheet1AJ20" hidden="1">#REF!</definedName>
    <definedName name="IQRSheet1AK20" localSheetId="5" hidden="1">#REF!</definedName>
    <definedName name="IQRSheet1AK20" hidden="1">#REF!</definedName>
    <definedName name="IQRSheet3A10" localSheetId="5" hidden="1">#REF!</definedName>
    <definedName name="IQRSheet3A10" hidden="1">#REF!</definedName>
    <definedName name="IQRSheet3B10" localSheetId="5" hidden="1">#REF!</definedName>
    <definedName name="IQRSheet3B10" hidden="1">#REF!</definedName>
    <definedName name="IQRSheet3C10" localSheetId="5" hidden="1">#REF!</definedName>
    <definedName name="IQRSheet3C10" hidden="1">#REF!</definedName>
    <definedName name="iQShowHideColumns" hidden="1">"iQShowAll"</definedName>
    <definedName name="IRR">#REF!</definedName>
    <definedName name="J">#REF!</definedName>
    <definedName name="james">#REF!</definedName>
    <definedName name="jason" hidden="1">{#N/A,#N/A,TRUE,"Historicals";#N/A,#N/A,TRUE,"Charts";#N/A,#N/A,TRUE,"Forecasts"}</definedName>
    <definedName name="K">#REF!</definedName>
    <definedName name="KBBXM">VLOOKUP(LEFT(#REF!,4),#REF!,2+((#REF!+#REF!)&lt;0))</definedName>
    <definedName name="KEY__PARAMATERS">#REF!</definedName>
    <definedName name="KHSDM">#REF!&amp;"_"&amp;#REF!</definedName>
    <definedName name="KHY_F">#REF!</definedName>
    <definedName name="KHYR">#REF!</definedName>
    <definedName name="L">#REF!</definedName>
    <definedName name="Languages" localSheetId="5">OFFSET(#REF!,,,#REF!)</definedName>
    <definedName name="Languages">OFFSET(#REF!,,,#REF!)</definedName>
    <definedName name="limcount" hidden="1">2</definedName>
    <definedName name="LINK_CAPEX">#REF!</definedName>
    <definedName name="LINK_COS">#REF!</definedName>
    <definedName name="LINK_CUM_CAPEX">#REF!</definedName>
    <definedName name="LINK_CUM_DEPRECIATION">#REF!</definedName>
    <definedName name="LINK_DEPRECIATION">#REF!</definedName>
    <definedName name="LINK_INTERCON">#REF!</definedName>
    <definedName name="LINK_LICENCE_FEE">#REF!</definedName>
    <definedName name="LINK_OPEX">#REF!</definedName>
    <definedName name="LINK_OTHER_COS">#REF!</definedName>
    <definedName name="LINK_REVENUE">#REF!</definedName>
    <definedName name="LINK_TOTAL_TAX">#REF!</definedName>
    <definedName name="LINK_TRANSMISSION">#REF!</definedName>
    <definedName name="List">#REF!</definedName>
    <definedName name="M">#REF!</definedName>
    <definedName name="M_PlaceofPath" hidden="1">"F:\KBRAU\eric\ericy_vdf.xls"</definedName>
    <definedName name="ManHours">#REF!</definedName>
    <definedName name="MAR_F">#REF!</definedName>
    <definedName name="market">#REF!</definedName>
    <definedName name="Market_Value">#REF!</definedName>
    <definedName name="MARR">#REF!</definedName>
    <definedName name="Maximum_Licence_fee_DOT">#REF!</definedName>
    <definedName name="meh" hidden="1">"IMG_11"</definedName>
    <definedName name="MEH_F">#REF!</definedName>
    <definedName name="MEHR">#REF!</definedName>
    <definedName name="Million">#REF!</definedName>
    <definedName name="mkt">#REF!</definedName>
    <definedName name="MonthDayTable">#REF!</definedName>
    <definedName name="Monthly_Subscription_Fee">#REF!</definedName>
    <definedName name="mv">#REF!</definedName>
    <definedName name="N">#REF!</definedName>
    <definedName name="NMV">#REF!</definedName>
    <definedName name="numbers">#REF!</definedName>
    <definedName name="O">#REF!</definedName>
    <definedName name="odyssey">#REF!</definedName>
    <definedName name="OHLTAG">#REF!</definedName>
    <definedName name="OHLTCS">#REF!</definedName>
    <definedName name="OHLTFC">#REF!</definedName>
    <definedName name="OHLTOI">#REF!</definedName>
    <definedName name="OHLTSE">#REF!</definedName>
    <definedName name="OHLTSR">#REF!</definedName>
    <definedName name="OHLTTX">#REF!</definedName>
    <definedName name="OPEX">#REF!</definedName>
    <definedName name="OUTPUT">#REF!</definedName>
    <definedName name="OwnerMkt">#REF!</definedName>
    <definedName name="P">#REF!</definedName>
    <definedName name="P_F">#REF!</definedName>
    <definedName name="Paid_In_Capital">#REF!</definedName>
    <definedName name="Partnership">#REF!</definedName>
    <definedName name="PAUD">#REF!</definedName>
    <definedName name="PCost">#REF!</definedName>
    <definedName name="Period_1">#REF!</definedName>
    <definedName name="Period_10">#REF!</definedName>
    <definedName name="Period_10Description">#REF!</definedName>
    <definedName name="Period_1Description">#REF!</definedName>
    <definedName name="Period_2">#REF!</definedName>
    <definedName name="Period_2Description">#REF!</definedName>
    <definedName name="Period_3">#REF!</definedName>
    <definedName name="Period_3Description">#REF!</definedName>
    <definedName name="Period_4">#REF!</definedName>
    <definedName name="Period_4Description">#REF!</definedName>
    <definedName name="Period_5">#REF!</definedName>
    <definedName name="Period_5Description">#REF!</definedName>
    <definedName name="Period_6">#REF!</definedName>
    <definedName name="Period_6Description">#REF!</definedName>
    <definedName name="Period_7">#REF!</definedName>
    <definedName name="Period_7Description">#REF!</definedName>
    <definedName name="Period_8">#REF!</definedName>
    <definedName name="Period_8Description">#REF!</definedName>
    <definedName name="Period_9">#REF!</definedName>
    <definedName name="Period_9Description">#REF!</definedName>
    <definedName name="PeriodEnd_1">#REF!</definedName>
    <definedName name="PeriodEnd_10">#REF!</definedName>
    <definedName name="PeriodEnd_10Description">#REF!</definedName>
    <definedName name="PeriodEnd_1Description">#REF!</definedName>
    <definedName name="PeriodEnd_2">#REF!</definedName>
    <definedName name="PeriodEnd_2Description">#REF!</definedName>
    <definedName name="PeriodEnd_3">#REF!</definedName>
    <definedName name="PeriodEnd_3Description">#REF!</definedName>
    <definedName name="PeriodEnd_4">#REF!</definedName>
    <definedName name="PeriodEnd_4Description">#REF!</definedName>
    <definedName name="PeriodEnd_5">#REF!</definedName>
    <definedName name="PeriodEnd_5Description">#REF!</definedName>
    <definedName name="PeriodEnd_6">#REF!</definedName>
    <definedName name="PeriodEnd_6Description">#REF!</definedName>
    <definedName name="PeriodEnd_7">#REF!</definedName>
    <definedName name="PeriodEnd_7Description">#REF!</definedName>
    <definedName name="PeriodEnd_8">#REF!</definedName>
    <definedName name="PeriodEnd_8Description">#REF!</definedName>
    <definedName name="PeriodEnd_9">#REF!</definedName>
    <definedName name="PeriodEnd_9Description">#REF!</definedName>
    <definedName name="PM_Working">#REF!</definedName>
    <definedName name="PMkt">#REF!</definedName>
    <definedName name="PMV">#REF!</definedName>
    <definedName name="POT_F">#REF!</definedName>
    <definedName name="POTR">#REF!</definedName>
    <definedName name="PR">#REF!</definedName>
    <definedName name="_xlnm.Print_Area" localSheetId="3">Assumptions!$A$1:$O$31</definedName>
    <definedName name="_xlnm.Print_Area" localSheetId="5">Disclaimer!$A$1:$AA$62</definedName>
    <definedName name="_xlnm.Print_Area" localSheetId="0">Summary!$B$2:$Q$95</definedName>
    <definedName name="_xlnm.Print_Titles" hidden="1">#N/A</definedName>
    <definedName name="Project_IRR">#REF!</definedName>
    <definedName name="Project_Name">#REF!</definedName>
    <definedName name="Project_NPV">#REF!</definedName>
    <definedName name="Project_Payback_Year">#REF!</definedName>
    <definedName name="Prup">#REF!</definedName>
    <definedName name="Public">#REF!</definedName>
    <definedName name="publicprivate">#REF!</definedName>
    <definedName name="pubpriv">#REF!</definedName>
    <definedName name="PUSD">#REF!</definedName>
    <definedName name="Q">#REF!</definedName>
    <definedName name="QTR">#REF!</definedName>
    <definedName name="R_">#REF!</definedName>
    <definedName name="R_PROJECT_IRR">#REF!</definedName>
    <definedName name="R_PROJECT_NPV">#REF!</definedName>
    <definedName name="R_PROJECT_PAYBACK">#REF!</definedName>
    <definedName name="R_TELSTRA_IRR">#REF!</definedName>
    <definedName name="R_TELSTRA_NPV">#REF!</definedName>
    <definedName name="R_TELSTRA_PAYBACK">#REF!</definedName>
    <definedName name="range">#REF!</definedName>
    <definedName name="rate">#REF!</definedName>
    <definedName name="Real_Estate">#REF!</definedName>
    <definedName name="_xlnm.Recorder" hidden="1">#N/A</definedName>
    <definedName name="ReportCreated">TRUE</definedName>
    <definedName name="rev">#REF!</definedName>
    <definedName name="revbj">#REF!</definedName>
    <definedName name="REVENUE">#REF!</definedName>
    <definedName name="REVENUENETWORK">#REF!,#REF!,#REF!</definedName>
    <definedName name="RMBHKD">#REF!</definedName>
    <definedName name="RMBHKD_rate">#REF!</definedName>
    <definedName name="RMBNTD">#REF!</definedName>
    <definedName name="RMBNTD_rate">#REF!</definedName>
    <definedName name="RUP">#REF!</definedName>
    <definedName name="Rwvu.apl95." hidden="1">#REF!,#REF!</definedName>
    <definedName name="Rwvu.aplcagr." hidden="1">#REF!,#REF!</definedName>
    <definedName name="Rwvu.KNTAPL." hidden="1">#REF!,#REF!</definedName>
    <definedName name="S">#REF!</definedName>
    <definedName name="S_AIRTIME_CHARGE">#REF!</definedName>
    <definedName name="S_AIRTIME_REDN">#REF!</definedName>
    <definedName name="S_BOOK_RESVALUE">#REF!</definedName>
    <definedName name="S_BOOK_VALUE">"$J$14"</definedName>
    <definedName name="S_BS_ARBITRAGE">#REF!</definedName>
    <definedName name="S_CAPEX">#REF!</definedName>
    <definedName name="S_CASH_FLOW_RESVALUE">#REF!</definedName>
    <definedName name="S_COST_OF_SALES">#REF!</definedName>
    <definedName name="S_MARKET_SIZE">#REF!</definedName>
    <definedName name="S_OFFPEAK_PERC">#REF!</definedName>
    <definedName name="S_OPEX">#REF!</definedName>
    <definedName name="S_USAGE_TIME">"$H$70"</definedName>
    <definedName name="SALE_1">#REF!</definedName>
    <definedName name="SALE_2">#REF!</definedName>
    <definedName name="SALE_3">#REF!</definedName>
    <definedName name="SALE_4">#REF!</definedName>
    <definedName name="SALE_5">#REF!</definedName>
    <definedName name="SALE_6">#REF!</definedName>
    <definedName name="sartgew">#REF!</definedName>
    <definedName name="sdf" hidden="1">"IMG_12"</definedName>
    <definedName name="sdfaf" hidden="1">"IMG_12"</definedName>
    <definedName name="Segment3" hidden="1">{TRUE,TRUE,-0.8,-17,618,402.6,FALSE,FALSE,TRUE,TRUE,0,1,#N/A,1,#N/A,20.0634920634921,28.65,1,FALSE,FALSE,3,TRUE,1,FALSE,100,"Swvu.KNTAPL.","ACwvu.KNTAPL.",1,FALSE,FALSE,0.24,0.19,0.56,0.76,2,"&amp;C&amp;""MS Sans Serif""&amp;18&amp;B&amp;I&amp;UKENT ELECTRONICS&amp;""Courier""&amp;10&amp;B&amp;I&amp;U
&amp;""MS Sans Serif""&amp;BAnnual Profit and Loss
FY Ends March
($000)","",TRUE,TRUE,FALSE,FALSE,1,#N/A,1,1,"=R1C1:R45C21","=C1:C2,R1:R5","Rwvu.KNTAPL.",#N/A,FALSE,FALSE}</definedName>
    <definedName name="sencount" hidden="1">2</definedName>
    <definedName name="shares">#REF!</definedName>
    <definedName name="solver_adj" hidden="1">#REF!</definedName>
    <definedName name="solver_lin" hidden="1">0</definedName>
    <definedName name="solver_num" hidden="1">0</definedName>
    <definedName name="solver_typ" hidden="1">3</definedName>
    <definedName name="solver_val" hidden="1">3729</definedName>
    <definedName name="SP">#REF!</definedName>
    <definedName name="SP_RATIO">#REF!</definedName>
    <definedName name="SpreadsheetBuilder_1" hidden="1">#REF!</definedName>
    <definedName name="SpreadsheetBuilder_10" hidden="1">#REF!</definedName>
    <definedName name="SpreadsheetBuilder_11" hidden="1">#REF!</definedName>
    <definedName name="SpreadsheetBuilder_4" hidden="1">#REF!</definedName>
    <definedName name="SpreadsheetBuilder_5" hidden="1">#REF!</definedName>
    <definedName name="SpreadsheetBuilder_6" hidden="1">#REF!</definedName>
    <definedName name="SpreadsheetBuilder_7" hidden="1">#REF!</definedName>
    <definedName name="SpreadsheetBuilder_8" hidden="1">#REF!</definedName>
    <definedName name="SpreadsheetBuilder_9" hidden="1">#REF!</definedName>
    <definedName name="SPWS_WBID">"0D145571-4AA7-4C6E-B8EB-4DF0FED2B8BC"</definedName>
    <definedName name="ssf" hidden="1">{"INCOMEquarterly1",#N/A,TRUE,"income";"INCOMEquarterly2",#N/A,TRUE,"income"}</definedName>
    <definedName name="sss" hidden="1">{"A COM Detail YTD",#N/A,FALSE,"DATA";"B Exp Detail YTD",#N/A,FALSE,"DATA";"C COM Detail Qtr of",#N/A,FALSE,"DATA";"D Exp Detail Qtr of",#N/A,FALSE,"DATA";"A Performance Report",#N/A,FALSE,"%Performance"}</definedName>
    <definedName name="ssssssss" hidden="1">{#N/A,#N/A,TRUE,"Q1 Fcst Summary";#N/A,#N/A,TRUE,"Q1 Var Sum";#N/A,#N/A,TRUE,"q1 potentials";#N/A,#N/A,TRUE,"Q1 PL";#N/A,#N/A,TRUE,"Q1 EE";#N/A,#N/A,TRUE,"Q2 Fcst Summary";#N/A,#N/A,TRUE,"Q2 Var Sum";#N/A,#N/A,TRUE,"q2 potentials";#N/A,#N/A,TRUE,"Q2 PL";#N/A,#N/A,TRUE,"Q2 EE";#N/A,#N/A,TRUE,"cover"}</definedName>
    <definedName name="stocksymbols">#REF!</definedName>
    <definedName name="sum_Capital_Committed">#REF!</definedName>
    <definedName name="sum_Distributions">#REF!</definedName>
    <definedName name="sum_Market_Value">#REF!</definedName>
    <definedName name="sum_Paid_In_Capital">#REF!</definedName>
    <definedName name="Swvu.apl95." hidden="1">#REF!</definedName>
    <definedName name="Swvu.bs." hidden="1">#REF!</definedName>
    <definedName name="Swvu.ratios." hidden="1">#REF!</definedName>
    <definedName name="T">#REF!</definedName>
    <definedName name="Table2">"Table 2"</definedName>
    <definedName name="Telstra_IRR">#REF!</definedName>
    <definedName name="Telstra_NPV">#REF!</definedName>
    <definedName name="Telstra_Payback_Year">#REF!</definedName>
    <definedName name="Test1" hidden="1">"IMG_11"</definedName>
    <definedName name="Test2" hidden="1">"IMG_11"</definedName>
    <definedName name="Test3" hidden="1">"IMG_11"</definedName>
    <definedName name="Test4" hidden="1">"IMG_11"</definedName>
    <definedName name="tfhttg" hidden="1">{"A Performance Report",#N/A,FALSE,"%Performance"}</definedName>
    <definedName name="treeList" hidden="1">"11110000000000000000000000000000000000000000000000000000000000000000000000000000000000000000000000000000000000000000000000000000000000000000000000000000000000000000000000000000000000000000000000000000"</definedName>
    <definedName name="TRSLCost">#REF!</definedName>
    <definedName name="TRSLMkt">#REF!</definedName>
    <definedName name="try">#N/A</definedName>
    <definedName name="twrate">#REF!</definedName>
    <definedName name="Units">#REF!</definedName>
    <definedName name="Units_k">#REF!</definedName>
    <definedName name="Units_m">#REF!</definedName>
    <definedName name="USD">#REF!</definedName>
    <definedName name="V_F">#REF!</definedName>
    <definedName name="value">#REF!</definedName>
    <definedName name="ve" hidden="1">#REF!</definedName>
    <definedName name="vf" hidden="1">#REF!</definedName>
    <definedName name="vh" hidden="1">#REF!</definedName>
    <definedName name="vi" hidden="1">#REF!</definedName>
    <definedName name="Vintage_Year">#REF!</definedName>
    <definedName name="vk" hidden="1">#REF!</definedName>
    <definedName name="vm" hidden="1">#REF!</definedName>
    <definedName name="vnvvm" hidden="1">#REF!</definedName>
    <definedName name="vp" hidden="1">#REF!</definedName>
    <definedName name="vq" hidden="1">#REF!</definedName>
    <definedName name="VR">#REF!</definedName>
    <definedName name="vs" hidden="1">#REF!</definedName>
    <definedName name="vt" hidden="1">#REF!</definedName>
    <definedName name="vyv" hidden="1">#REF!</definedName>
    <definedName name="vz" hidden="1">#REF!</definedName>
    <definedName name="W">#REF!</definedName>
    <definedName name="wrn.A.._.Print._.All." hidden="1">{"A COM Detail YTD",#N/A,FALSE,"DATA";"B Exp Detail YTD",#N/A,FALSE,"DATA";"C COM Detail Qtr of",#N/A,FALSE,"DATA";"D Exp Detail Qtr of",#N/A,FALSE,"DATA";"A Performance Report",#N/A,FALSE,"%Performance"}</definedName>
    <definedName name="wrn.allpages." hidden="1">{#N/A,#N/A,TRUE,"Historicals";#N/A,#N/A,TRUE,"Charts";#N/A,#N/A,TRUE,"Forecasts"}</definedName>
    <definedName name="wrn.AMAT._.Intranet." hidden="1">{"AMAT INC",#N/A,FALSE,"AMAT-INC";"AMAT BLSH",#N/A,FALSE,"AMATBLSH"}</definedName>
    <definedName name="wrn.B.._.Qtr._.of._.Responsibility." hidden="1">{"C COM Detail Qtr of",#N/A,FALSE,"DATA";"D Exp Detail Qtr of",#N/A,FALSE,"DATA"}</definedName>
    <definedName name="wrn.Balance_THC." hidden="1">{"Balance_THC",#N/A,FALSE,"Tenet"}</definedName>
    <definedName name="wrn.C.._.YTD._.Responsibility." hidden="1">{"A COM Detail YTD",#N/A,FALSE,"DATA";"B Exp Detail YTD",#N/A,FALSE,"DATA"}</definedName>
    <definedName name="wrn.D.._.Performance." hidden="1">{"A Performance Report",#N/A,FALSE,"%Performance"}</definedName>
    <definedName name="wrn.entireINCOME." hidden="1">{"INCOMEannual2",#N/A,FALSE,"income";"INCOMEannual1",#N/A,FALSE,"income";"INCOMEquarterly1",#N/A,FALSE,"income";"INCOMEquarterly2",#N/A,FALSE,"income";"INCOMEcalendarized1",#N/A,FALSE,"income"}</definedName>
    <definedName name="wrn.Growth." hidden="1">{"Growth",#N/A,FALSE,"Earnings"}</definedName>
    <definedName name="wrn.INCOME." hidden="1">{"INCOMEquarterly1",#N/A,TRUE,"income";"INCOMEquarterly2",#N/A,TRUE,"income"}</definedName>
    <definedName name="wrn.Inputs._.outputs." hidden="1">{"key inputs",#N/A,FALSE,"Key Inputs";"key outputs",#N/A,FALSE,"Outputs";"Other inputs",#N/A,FALSE,"Other Inputs";"cashflow",#N/A,FALSE,"Statemnts"}</definedName>
    <definedName name="wrn.Mid._.Qtr._.Fcst." hidden="1">{#N/A,#N/A,TRUE,"Q1 Fcst Summary";#N/A,#N/A,TRUE,"Q1 Var Sum";#N/A,#N/A,TRUE,"q1 potentials";#N/A,#N/A,TRUE,"Q1 PL";#N/A,#N/A,TRUE,"Q1 EE";#N/A,#N/A,TRUE,"Q2 Fcst Summary";#N/A,#N/A,TRUE,"Q2 Var Sum";#N/A,#N/A,TRUE,"q2 potentials";#N/A,#N/A,TRUE,"Q2 PL";#N/A,#N/A,TRUE,"Q2 EE";#N/A,#N/A,TRUE,"cover"}</definedName>
    <definedName name="wrn.OUTPUT." hidden="1">{"DCF","UPSIDE CASE",FALSE,"Sheet1";"DCF","BASE CASE",FALSE,"Sheet1";"DCF","DOWNSIDE CASE",FALSE,"Sheet1"}</definedName>
    <definedName name="wrn.PERPACKPG3." hidden="1">{"DJH3",#N/A,FALSE,"PFL00805";"PJB3",#N/A,FALSE,"PFL00805";"JMD3",#N/A,FALSE,"PFL00805";"DNB3",#N/A,FALSE,"PFL00805";"MJP3",#N/A,FALSE,"PFL00805";"RAB3",#N/A,FALSE,"PFL00805";"GJW3",#N/A,FALSE,"PFL00805";"MASTER3",#N/A,FALSE,"PFL00805"}</definedName>
    <definedName name="wrn.print." hidden="1">{#N/A,#N/A,FALSE,"SUMMARY";#N/A,#N/A,FALSE,"ITI";#N/A,#N/A,FALSE,"Rostra";#N/A,#N/A,FALSE,"Lavelle";#N/A,#N/A,FALSE,"Eagle";#N/A,#N/A,FALSE,"Baird";#N/A,#N/A,FALSE,"Ass";#N/A,#N/A,FALSE,"Golden";#N/A,#N/A,FALSE,"Struck";#N/A,#N/A,FALSE,"Wrights";#N/A,#N/A,FALSE,"TEKRA";#N/A,#N/A,FALSE,"Kux";#N/A,#N/A,FALSE,"SPI";#N/A,#N/A,FALSE,"Midwest"}</definedName>
    <definedName name="wrn.Q_Statistics_NME." hidden="1">{"Q_Statistics_NME",#N/A,FALSE,"NME"}</definedName>
    <definedName name="wrn.Quarterly." hidden="1">{"Quarterly",#N/A,FALSE,"Earnings"}</definedName>
    <definedName name="wrn.Quarterly_AMI." hidden="1">{"Quarterly_AMI",#N/A,FALSE,"AMI"}</definedName>
    <definedName name="wrn.Quarterly_NME." hidden="1">{"Quarterly_NME",#N/A,FALSE,"NME"}</definedName>
    <definedName name="wrn.Quarterly_THC." hidden="1">{"Quarterly_THC",#N/A,FALSE,"Tenet"}</definedName>
    <definedName name="wrn.Revenue._.Details." hidden="1">{"Revenue by Industry Chart",#N/A,FALSE,"Mix";"Annual Revenue Detail",#N/A,FALSE,"Mix";"Quarterly Revenue Detail",#N/A,FALSE,"Mix"}</definedName>
    <definedName name="wrn.Statistics." hidden="1">{"Statistics",#N/A,FALSE,"Earnings"}</definedName>
    <definedName name="wrn.Statistics_NME." hidden="1">{"Statistics_NME",#N/A,FALSE,"NME"}</definedName>
    <definedName name="wrn.Statistics_THC." hidden="1">{"Statistics_THC",#N/A,FALSE,"Tenet"}</definedName>
    <definedName name="wrn.Summary._.results." hidden="1">{"key inputs",#N/A,TRUE,"Key Inputs";"key outputs",#N/A,TRUE,"Outputs";"Other inputs",#N/A,TRUE,"Other Inputs";"Revenue",#N/A,TRUE,"Rev"}</definedName>
    <definedName name="wrn.Yearly." hidden="1">{"Yearly",#N/A,FALSE,"Earnings"}</definedName>
    <definedName name="wrn.Yearly_AMI." hidden="1">{"Yearly_AMI",#N/A,FALSE,"AMI"}</definedName>
    <definedName name="wrn.Yearly_NME." hidden="1">{"Yearly_NME",#N/A,FALSE,"NME"}</definedName>
    <definedName name="wrn.Yearly_THC." hidden="1">{"Yearly_THC",#N/A,FALSE,"Earnings"}</definedName>
    <definedName name="wvu.apl95." hidden="1">{TRUE,TRUE,-0.8,-17,618,402.6,FALSE,FALSE,TRUE,TRUE,0,1,#N/A,1,#N/A,15.6538461538462,27.8636363636364,1,FALSE,FALSE,3,TRUE,1,FALSE,100,"Swvu.apl95.","ACwvu.apl95.",1,FALSE,FALSE,0.39,0.26,0.51,0.78,2,"&amp;C&amp;""Arial""&amp;16&amp;B&amp;I&amp;UMolex Inc.&amp;12&amp;B&amp;I&amp;U
&amp;B(FY June)","&amp;L&amp;""Arial""&amp;IFiscal Year ends June.
All figures have been adjusted for stock splits.",TRUE,TRUE,FALSE,FALSE,1,70,#N/A,#N/A,"=R1C1:R59C48","=C1","Rwvu.apl95.",#N/A,FALSE,FALSE}</definedName>
    <definedName name="wvu.aplcagr." hidden="1">{TRUE,TRUE,-0.8,-17,618,402.6,FALSE,FALSE,TRUE,TRUE,0,1,#N/A,1,#N/A,20.0634920634921,28.65,1,FALSE,FALSE,3,TRUE,1,FALSE,100,"Swvu.aplcagr.","ACwvu.aplcagr.",1,FALSE,FALSE,0.24,0.19,0.56,0.76,2,"&amp;C&amp;""MS Sans Serif""&amp;18&amp;B&amp;I&amp;UKENT ELECTRONICS&amp;""Courier""&amp;10&amp;B&amp;I&amp;U
&amp;""MS Sans Serif""&amp;BAnnual Profit and Loss
FY Ends March
($000)","",TRUE,TRUE,FALSE,FALSE,1,#N/A,1,1,"=R1C1:R45C22","=C1:C2,R1:R5","Rwvu.aplcagr.",#N/A,FALSE,FALSE}</definedName>
    <definedName name="wvu.bs." hidden="1">{TRUE,TRUE,-0.8,-17,618,402.6,FALSE,FALSE,TRUE,TRUE,0,1,#N/A,1,#N/A,9.3125,27.6190476190476,1,FALSE,FALSE,3,TRUE,1,FALSE,100,"Swvu.bs.","ACwvu.bs.",1,FALSE,FALSE,0.75,0.75,0.44,0.5,2,"&amp;C&amp;""Arial""&amp;14&amp;B&amp;I&amp;UMOLEX&amp;""MS Sans Serif""&amp;10&amp;B&amp;I&amp;U
&amp;""Arial""&amp;11&amp;BBalance Sheet
($ Millions)","",TRUE,FALSE,FALSE,FALSE,1,85,#N/A,#N/A,"=R1C1:R45C21","=C1",#N/A,#N/A,FALSE,FALSE}</definedName>
    <definedName name="wvu.geo93_96." hidden="1">{TRUE,TRUE,-0.8,-17,618,402.6,FALSE,FALSE,TRUE,TRUE,0,1,12,1,30,1,8,4,TRUE,TRUE,3,TRUE,1,TRUE,100,"Swvu.geo93_96.","ACwvu.geo93_96.",1,FALSE,FALSE,0.2,0.28,0.35,0.2,2,"&amp;C&amp;""Arial""&amp;16&amp;B&amp;I&amp;UMolex Inc.
&amp;14&amp;I&amp;UGeographic&amp;16&amp;I&amp;U
&amp;10&amp;I&amp;U(FY June)","",TRUE,TRUE,FALSE,FALSE,1,#N/A,1,1,"=R1C1:R42C24","=C1",#N/A,#N/A,FALSE,FALSE}</definedName>
    <definedName name="wvu.KNTAPL." hidden="1">{TRUE,TRUE,-0.8,-17,618,402.6,FALSE,FALSE,TRUE,TRUE,0,1,#N/A,1,#N/A,20.0634920634921,28.65,1,FALSE,FALSE,3,TRUE,1,FALSE,100,"Swvu.KNTAPL.","ACwvu.KNTAPL.",1,FALSE,FALSE,0.24,0.19,0.56,0.76,2,"&amp;C&amp;""MS Sans Serif""&amp;18&amp;B&amp;I&amp;UKENT ELECTRONICS&amp;""Courier""&amp;10&amp;B&amp;I&amp;U
&amp;""MS Sans Serif""&amp;BAnnual Profit and Loss
FY Ends March
($000)","",TRUE,TRUE,FALSE,FALSE,1,#N/A,1,1,"=R1C1:R45C21","=C1:C2,R1:R5","Rwvu.KNTAPL.",#N/A,FALSE,FALSE}</definedName>
    <definedName name="wvu.KNTQPL." hidden="1">{TRUE,TRUE,-0.8,-17,618,402.6,FALSE,FALSE,TRUE,TRUE,0,1,3,1,60,1,5,4,TRUE,TRUE,3,TRUE,1,TRUE,100,"Swvu.KNTQPL.","ACwvu.KNTQPL.",1,FALSE,FALSE,0.55,0.61,0.51,0.72,2,"&amp;C&amp;18&amp;B&amp;I&amp;UKENT ELECTRONICS&amp;10&amp;B&amp;I&amp;U
&amp;BQuarterly Profit and Loss
FY Ends March
($000)","&amp;CFigures may not add due to rounding",TRUE,FALSE,FALSE,FALSE,1,77,#N/A,#N/A,"=R1C1:R99C23","=R1:R9","Rwvu.KNTQPL.","Cwvu.KNTQPL.",FALSE,FALSE}</definedName>
    <definedName name="wvu.percent." hidden="1">{TRUE,TRUE,-0.8,-17,618,402.6,FALSE,FALSE,TRUE,TRUE,0,1,#N/A,33,#N/A,9.3125,27.8571428571429,1,FALSE,FALSE,3,TRUE,1,FALSE,100,"Swvu.percent.","ACwvu.percent.",1,FALSE,FALSE,0.75,0.75,0.49,0.5,2,"&amp;C&amp;""Arial""&amp;14&amp;B&amp;I&amp;UMOLEX&amp;""MS Sans Serif""&amp;10&amp;B&amp;I&amp;U
&amp;""Arial""&amp;11&amp;BCommon Size Statement
(as % of total assets)","",TRUE,FALSE,FALSE,FALSE,1,85,#N/A,#N/A,"=R47C1:R92C21","=C1",#N/A,#N/A,FALSE,FALSE}</definedName>
    <definedName name="wvu.ratios." hidden="1">{TRUE,TRUE,-0.8,-17,618,402.6,FALSE,FALSE,TRUE,TRUE,0,1,#N/A,154,#N/A,9.3125,27.4285714285714,1,FALSE,FALSE,3,TRUE,1,FALSE,100,"Swvu.ratios.","ACwvu.ratios.",1,FALSE,FALSE,0.75,0.75,0.8,0.5,2,"&amp;C&amp;""Arial""&amp;14&amp;B&amp;I&amp;UMOLEX&amp;""MS Sans Serif""&amp;10&amp;B&amp;I&amp;U
&amp;""Arial""&amp;11&amp;BBalance Sheet Ratios
($ Millions)","",TRUE,FALSE,FALSE,FALSE,1,85,#N/A,#N/A,"=R135C1:R176C21","=C1",#N/A,#N/A,FALSE,FALSE}</definedName>
    <definedName name="wvu.supp." hidden="1">{TRUE,TRUE,-1.25,-15.5,604.5,391.5,FALSE,FALSE,TRUE,TRUE,0,1,#N/A,81,#N/A,9.125,26.5294117647059,1,FALSE,FALSE,3,TRUE,1,FALSE,100,"Swvu.supp.","ACwvu.supp.",1,FALSE,FALSE,0.75,0.75,0.8,0.5,1,"&amp;C&amp;""Arial""&amp;14&amp;B&amp;I&amp;UMOLEX&amp;""MS Sans Serif""&amp;10&amp;B&amp;I&amp;U
&amp;""Arial""&amp;11&amp;BSupplemental Data
($ Millions)","",TRUE,FALSE,FALSE,FALSE,1,90,#N/A,#N/A,"=R94C1:R136C21","=C1",#N/A,#N/A,FALSE,FALSE}</definedName>
    <definedName name="WW7bcdbc5e230941369dcaa26eb71c0460_634246378898731575" hidden="1">#REF!</definedName>
    <definedName name="xb" hidden="1">#REF!</definedName>
    <definedName name="xm" hidden="1">#REF!</definedName>
    <definedName name="xn" hidden="1">#REF!</definedName>
    <definedName name="xrate">#REF!</definedName>
    <definedName name="xrate2">#REF!</definedName>
    <definedName name="xrate2010">#REF!</definedName>
    <definedName name="xrate2011">#REF!</definedName>
    <definedName name="xrate2012">#REF!</definedName>
    <definedName name="xrate2013">#REF!</definedName>
    <definedName name="xrate2014">#REF!</definedName>
    <definedName name="xrate2015">#REF!</definedName>
    <definedName name="xrate2016">#REF!</definedName>
    <definedName name="xRng_723d58936cea42b4818158332e0cd588">#REF!</definedName>
    <definedName name="xRng_9497c757941e4b209ce50d440af1f30c">#REF!</definedName>
    <definedName name="xv" hidden="1">#REF!</definedName>
    <definedName name="xx" hidden="1">{"key inputs",#N/A,TRUE,"Key Inputs";"key outputs",#N/A,TRUE,"Outputs";"Other inputs",#N/A,TRUE,"Other Inputs";"Revenue",#N/A,TRUE,"Rev"}</definedName>
    <definedName name="XXX">#REF!</definedName>
    <definedName name="xxxx" hidden="1">{"key inputs",#N/A,FALSE,"Key Inputs";"key outputs",#N/A,FALSE,"Outputs";"Other inputs",#N/A,FALSE,"Other Inputs";"cashflow",#N/A,FALSE,"Statemnts"}</definedName>
    <definedName name="xxxxx" hidden="1">{"key inputs",#N/A,TRUE,"Key Inputs";"key outputs",#N/A,TRUE,"Outputs";"Other inputs",#N/A,TRUE,"Other Inputs";"Revenue",#N/A,TRUE,"Rev"}</definedName>
    <definedName name="xyz" hidden="1">{"A COM Detail YTD",#N/A,FALSE,"DATA";"B Exp Detail YTD",#N/A,FALSE,"DATA";"C COM Detail Qtr of",#N/A,FALSE,"DATA";"D Exp Detail Qtr of",#N/A,FALSE,"DATA";"A Performance Report",#N/A,FALSE,"%Performance"}</definedName>
    <definedName name="y" hidden="1">{"key inputs",#N/A,TRUE,"Key Inputs";"key outputs",#N/A,TRUE,"Outputs";"Other inputs",#N/A,TRUE,"Other Inputs";"Revenue",#N/A,TRUE,"Rev"}</definedName>
    <definedName name="Year_ended">#REF!</definedName>
    <definedName name="Year_ended_date">#REF!</definedName>
    <definedName name="yy" hidden="1">{"key inputs",#N/A,FALSE,"Key Inputs";"key outputs",#N/A,FALSE,"Outputs";"Other inputs",#N/A,FALSE,"Other Inputs";"cashflow",#N/A,FALSE,"Statemnts"}</definedName>
    <definedName name="yyy" hidden="1">{"key inputs",#N/A,FALSE,"Key Inputs";"key outputs",#N/A,FALSE,"Outputs";"Other inputs",#N/A,FALSE,"Other Inputs";"cashflow",#N/A,FALSE,"Statemnts"}</definedName>
    <definedName name="yyyy" hidden="1">{"key inputs",#N/A,TRUE,"Key Inputs";"key outputs",#N/A,TRUE,"Outputs";"Other inputs",#N/A,TRUE,"Other Inputs";"Revenue",#N/A,TRUE,"Rev"}</definedName>
    <definedName name="Z">#REF!</definedName>
    <definedName name="za" hidden="1">#REF!</definedName>
    <definedName name="zc" hidden="1">#REF!</definedName>
    <definedName name="zd" hidden="1">#REF!</definedName>
    <definedName name="ze" hidden="1">#REF!</definedName>
    <definedName name="zh" hidden="1">#REF!</definedName>
    <definedName name="zi" hidden="1">#REF!</definedName>
    <definedName name="zj" hidden="1">#REF!</definedName>
    <definedName name="zk" hidden="1">#REF!</definedName>
    <definedName name="zl" hidden="1">#REF!</definedName>
    <definedName name="zm" hidden="1">#REF!</definedName>
    <definedName name="zn" hidden="1">#REF!</definedName>
    <definedName name="zo" hidden="1">#REF!</definedName>
    <definedName name="zq" hidden="1">#REF!</definedName>
    <definedName name="zr" hidden="1">#REF!</definedName>
    <definedName name="zs" hidden="1">#REF!</definedName>
    <definedName name="zt" hidden="1">#REF!</definedName>
    <definedName name="zu" hidden="1">#REF!</definedName>
    <definedName name="zv" hidden="1">#REF!</definedName>
    <definedName name="zw" hidden="1">#REF!</definedName>
    <definedName name="zy" hidden="1">#REF!</definedName>
    <definedName name="zz" hidden="1">{"key inputs",#N/A,TRUE,"Key Inputs";"key outputs",#N/A,TRUE,"Outputs";"Other inputs",#N/A,TRUE,"Other Inputs";"Revenue",#N/A,TRUE,"Rev"}</definedName>
    <definedName name="zzz" hidden="1">{"key inputs",#N/A,FALSE,"Key Inputs";"key outputs",#N/A,FALSE,"Outputs";"Other inputs",#N/A,FALSE,"Other Inputs";"cashflow",#N/A,FALSE,"Statemnts"}</definedName>
    <definedName name="zzzz" hidden="1">{"key inputs",#N/A,FALSE,"Key Inputs";"key outputs",#N/A,FALSE,"Outputs";"Other inputs",#N/A,FALSE,"Other Inputs";"cashflow",#N/A,FALSE,"Statemnts"}</definedName>
    <definedName name="zzzzz" hidden="1">{"key inputs",#N/A,TRUE,"Key Inputs";"key outputs",#N/A,TRUE,"Outputs";"Other inputs",#N/A,TRUE,"Other Inputs";"Revenue",#N/A,TRUE,"Rev"}</definedName>
    <definedName name="zzzzzz" hidden="1">{"key inputs",#N/A,TRUE,"Key Inputs";"key outputs",#N/A,TRUE,"Outputs";"Other inputs",#N/A,TRUE,"Other Inputs";"Revenue",#N/A,TRUE,"Rev"}</definedName>
    <definedName name="zzzzzzz" hidden="1">{"key inputs",#N/A,FALSE,"Key Inputs";"key outputs",#N/A,FALSE,"Outputs";"Other inputs",#N/A,FALSE,"Other Inputs";"cashflow",#N/A,FALSE,"Statemnts"}</definedName>
    <definedName name="zzzzzzzz" hidden="1">{"key inputs",#N/A,FALSE,"Key Inputs";"key outputs",#N/A,FALSE,"Outputs";"Other inputs",#N/A,FALSE,"Other Inputs";"cashflow",#N/A,FALSE,"Statemnts"}</definedName>
    <definedName name="zzzzzzzzzzzzz" hidden="1">{"key inputs",#N/A,TRUE,"Key Inputs";"key outputs",#N/A,TRUE,"Outputs";"Other inputs",#N/A,TRUE,"Other Inputs";"Revenue",#N/A,TRUE,"Rev"}</definedName>
    <definedName name="zzzzzzzzzzzzzzzz" hidden="1">{"key inputs",#N/A,TRUE,"Key Inputs";"key outputs",#N/A,TRUE,"Outputs";"Other inputs",#N/A,TRUE,"Other Inputs";"Revenue",#N/A,TRUE,"Rev"}</definedName>
    <definedName name="zzzzzzzzzzzzzzzzzzzzzzzzzzz" hidden="1">{"key inputs",#N/A,FALSE,"Key Inputs";"key outputs",#N/A,FALSE,"Outputs";"Other inputs",#N/A,FALSE,"Other Inputs";"cashflow",#N/A,FALSE,"Statemnts"}</definedName>
    <definedName name="zzzzzzzzzzzzzzzzzzzzzzzzzzzzzzzz" hidden="1">{"key inputs",#N/A,FALSE,"Key Inputs";"key outputs",#N/A,FALSE,"Outputs";"Other inputs",#N/A,FALSE,"Other Inputs";"cashflow",#N/A,FALSE,"Statemnts"}</definedName>
    <definedName name="zzzzzzzzzzzzzzzzzzzzzzzzzzzzzzzzzzzzzzzzzz" hidden="1">{"key inputs",#N/A,TRUE,"Key Inputs";"key outputs",#N/A,TRUE,"Outputs";"Other inputs",#N/A,TRUE,"Other Inputs";"Revenue",#N/A,TRUE,"Rev"}</definedName>
    <definedName name="会计分录序时簿">#REF!</definedName>
    <definedName name="分解源">OFFSET(#REF!,,,COUNTA(#REF!)-1,COUNTA(#REF!))</definedName>
    <definedName name="报表日期">"2012-9-30"</definedName>
    <definedName name="报表源">OFFSET(#REF!,,,COUNTA(#REF!),COUNTA(#REF!))</definedName>
    <definedName name="明細分類賬">#REF!</definedName>
    <definedName name="核算项目___应收人民币___01_江苏_">#REF!</definedName>
    <definedName name="科目余额表">#REF!</definedName>
    <definedName name="调整分录区域">OFFSET(#REF!,,,COUNTA(#REF!),COUNTA(#REF!))</definedName>
    <definedName name="销售出库序时簿">#REF!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10" i="15" l="1"/>
  <c r="K13" i="15"/>
  <c r="K12" i="15"/>
  <c r="N90" i="17"/>
  <c r="M13" i="17"/>
  <c r="O14" i="26"/>
  <c r="N79" i="26"/>
  <c r="N77" i="26"/>
  <c r="J79" i="26"/>
  <c r="K79" i="26" s="1"/>
  <c r="I79" i="26"/>
  <c r="I80" i="26" s="1"/>
  <c r="H79" i="26"/>
  <c r="J77" i="26"/>
  <c r="K77" i="26" s="1"/>
  <c r="L77" i="26" s="1"/>
  <c r="M77" i="26" s="1"/>
  <c r="H77" i="26"/>
  <c r="H76" i="26"/>
  <c r="J74" i="26"/>
  <c r="H74" i="26"/>
  <c r="D2" i="14"/>
  <c r="E2" i="14" s="1"/>
  <c r="B3" i="14"/>
  <c r="C3" i="14"/>
  <c r="D3" i="14"/>
  <c r="E3" i="14"/>
  <c r="B4" i="14"/>
  <c r="C4" i="14"/>
  <c r="D4" i="14"/>
  <c r="D4" i="13"/>
  <c r="J6" i="13"/>
  <c r="D6" i="13"/>
  <c r="F6" i="13"/>
  <c r="E6" i="13"/>
  <c r="E17" i="13" s="1"/>
  <c r="E7" i="13"/>
  <c r="E8" i="13"/>
  <c r="E9" i="13"/>
  <c r="C14" i="13"/>
  <c r="D14" i="13"/>
  <c r="E14" i="13"/>
  <c r="C15" i="13"/>
  <c r="D15" i="13"/>
  <c r="E15" i="13"/>
  <c r="C16" i="13"/>
  <c r="D16" i="13"/>
  <c r="E16" i="13"/>
  <c r="C17" i="13"/>
  <c r="J22" i="13"/>
  <c r="K22" i="13"/>
  <c r="F4" i="27"/>
  <c r="G4" i="27"/>
  <c r="F369" i="27"/>
  <c r="G369" i="27" s="1"/>
  <c r="C2" i="15"/>
  <c r="E9" i="15"/>
  <c r="F9" i="15"/>
  <c r="G9" i="15" s="1"/>
  <c r="H9" i="15" s="1"/>
  <c r="I9" i="15" s="1"/>
  <c r="J9" i="15" s="1"/>
  <c r="K9" i="15" s="1"/>
  <c r="L9" i="15" s="1"/>
  <c r="M9" i="15" s="1"/>
  <c r="N9" i="15" s="1"/>
  <c r="O9" i="15" s="1"/>
  <c r="L25" i="15"/>
  <c r="M25" i="15"/>
  <c r="N25" i="15"/>
  <c r="O25" i="15" s="1"/>
  <c r="O86" i="26" s="1"/>
  <c r="K29" i="15"/>
  <c r="I11" i="17"/>
  <c r="K11" i="17"/>
  <c r="I12" i="17"/>
  <c r="K12" i="17"/>
  <c r="J13" i="17"/>
  <c r="J27" i="17" s="1"/>
  <c r="M27" i="17"/>
  <c r="K13" i="17"/>
  <c r="G14" i="17"/>
  <c r="H14" i="17"/>
  <c r="I14" i="17"/>
  <c r="I16" i="17"/>
  <c r="K16" i="17"/>
  <c r="J54" i="26" s="1"/>
  <c r="I17" i="17"/>
  <c r="K17" i="17"/>
  <c r="J59" i="26" s="1"/>
  <c r="I20" i="17"/>
  <c r="K20" i="17"/>
  <c r="J65" i="26" s="1"/>
  <c r="I22" i="17"/>
  <c r="I60" i="26" s="1"/>
  <c r="K22" i="17"/>
  <c r="J24" i="17"/>
  <c r="M24" i="17"/>
  <c r="K24" i="17" s="1"/>
  <c r="C25" i="17"/>
  <c r="D25" i="17"/>
  <c r="E25" i="17"/>
  <c r="F25" i="17"/>
  <c r="G25" i="17"/>
  <c r="H25" i="17"/>
  <c r="J25" i="17"/>
  <c r="C28" i="17"/>
  <c r="D28" i="17"/>
  <c r="E28" i="17"/>
  <c r="F28" i="17"/>
  <c r="G28" i="17"/>
  <c r="H28" i="17"/>
  <c r="I28" i="17"/>
  <c r="C30" i="17"/>
  <c r="D30" i="17"/>
  <c r="E30" i="17"/>
  <c r="F30" i="17"/>
  <c r="G30" i="17"/>
  <c r="H30" i="17"/>
  <c r="I32" i="17"/>
  <c r="M34" i="17"/>
  <c r="M38" i="17" s="1"/>
  <c r="K38" i="17" s="1"/>
  <c r="K34" i="17"/>
  <c r="K37" i="17"/>
  <c r="J38" i="17"/>
  <c r="C41" i="17"/>
  <c r="D41" i="17"/>
  <c r="E41" i="17"/>
  <c r="F41" i="17"/>
  <c r="G41" i="17"/>
  <c r="H41" i="17"/>
  <c r="I41" i="17"/>
  <c r="K43" i="17"/>
  <c r="K54" i="17"/>
  <c r="K56" i="17"/>
  <c r="J57" i="17"/>
  <c r="M57" i="17"/>
  <c r="K57" i="17" s="1"/>
  <c r="K58" i="17"/>
  <c r="J59" i="17"/>
  <c r="M59" i="17"/>
  <c r="K59" i="17"/>
  <c r="K60" i="17"/>
  <c r="J61" i="17"/>
  <c r="M61" i="17"/>
  <c r="K61" i="17"/>
  <c r="M62" i="17"/>
  <c r="C63" i="17"/>
  <c r="D63" i="17"/>
  <c r="E63" i="17"/>
  <c r="F63" i="17"/>
  <c r="G63" i="17"/>
  <c r="H63" i="17"/>
  <c r="I63" i="17"/>
  <c r="K65" i="17"/>
  <c r="J66" i="17"/>
  <c r="M66" i="17"/>
  <c r="K66" i="17"/>
  <c r="K67" i="17"/>
  <c r="K68" i="17"/>
  <c r="J70" i="17"/>
  <c r="J73" i="17" s="1"/>
  <c r="M70" i="17"/>
  <c r="K71" i="17"/>
  <c r="J72" i="17"/>
  <c r="M72" i="17"/>
  <c r="K72" i="17" s="1"/>
  <c r="C74" i="17"/>
  <c r="D74" i="17"/>
  <c r="E74" i="17"/>
  <c r="F74" i="17"/>
  <c r="G74" i="17"/>
  <c r="H74" i="17"/>
  <c r="I74" i="17"/>
  <c r="C77" i="17"/>
  <c r="D77" i="17"/>
  <c r="E77" i="17"/>
  <c r="F77" i="17"/>
  <c r="G77" i="17"/>
  <c r="H77" i="17"/>
  <c r="I77" i="17"/>
  <c r="H79" i="17"/>
  <c r="I79" i="17"/>
  <c r="I83" i="17" s="1"/>
  <c r="K79" i="17"/>
  <c r="K80" i="17"/>
  <c r="K81" i="17"/>
  <c r="J82" i="17"/>
  <c r="M82" i="17"/>
  <c r="K82" i="17"/>
  <c r="C83" i="17"/>
  <c r="D83" i="17"/>
  <c r="E83" i="17"/>
  <c r="F83" i="17"/>
  <c r="G83" i="17"/>
  <c r="H83" i="17"/>
  <c r="H86" i="17"/>
  <c r="I86" i="17"/>
  <c r="I88" i="17" s="1"/>
  <c r="K86" i="17"/>
  <c r="J87" i="17"/>
  <c r="M87" i="17"/>
  <c r="K87" i="17"/>
  <c r="C88" i="17"/>
  <c r="D88" i="17"/>
  <c r="E88" i="17"/>
  <c r="F88" i="17"/>
  <c r="G88" i="17"/>
  <c r="H88" i="17"/>
  <c r="K90" i="17"/>
  <c r="J91" i="17"/>
  <c r="M91" i="17"/>
  <c r="K91" i="17"/>
  <c r="J92" i="17"/>
  <c r="M92" i="17"/>
  <c r="M102" i="17" s="1"/>
  <c r="K102" i="17" s="1"/>
  <c r="K92" i="17"/>
  <c r="K94" i="17"/>
  <c r="K95" i="17"/>
  <c r="K96" i="17"/>
  <c r="K99" i="17"/>
  <c r="M100" i="17"/>
  <c r="K100" i="17"/>
  <c r="J101" i="17"/>
  <c r="M101" i="17"/>
  <c r="K101" i="17"/>
  <c r="H102" i="17"/>
  <c r="H106" i="17" s="1"/>
  <c r="I102" i="17"/>
  <c r="I106" i="17" s="1"/>
  <c r="J102" i="17"/>
  <c r="J105" i="17" s="1"/>
  <c r="C103" i="17"/>
  <c r="D103" i="17"/>
  <c r="E103" i="17"/>
  <c r="F103" i="17"/>
  <c r="G103" i="17"/>
  <c r="H103" i="17"/>
  <c r="I103" i="17"/>
  <c r="M105" i="17"/>
  <c r="K105" i="17" s="1"/>
  <c r="C106" i="17"/>
  <c r="D106" i="17"/>
  <c r="E106" i="17"/>
  <c r="F106" i="17"/>
  <c r="G106" i="17"/>
  <c r="J106" i="17"/>
  <c r="C128" i="17"/>
  <c r="D126" i="17" s="1"/>
  <c r="D128" i="17"/>
  <c r="E128" i="17"/>
  <c r="F126" i="17"/>
  <c r="F128" i="17"/>
  <c r="F127" i="17" s="1"/>
  <c r="G128" i="17"/>
  <c r="H126" i="17"/>
  <c r="H128" i="17"/>
  <c r="H127" i="17" s="1"/>
  <c r="I126" i="17"/>
  <c r="I128" i="17"/>
  <c r="I127" i="17" s="1"/>
  <c r="J126" i="17"/>
  <c r="C133" i="17"/>
  <c r="D131" i="17"/>
  <c r="D133" i="17"/>
  <c r="D132" i="17" s="1"/>
  <c r="E131" i="17"/>
  <c r="E133" i="17"/>
  <c r="E132" i="17" s="1"/>
  <c r="F131" i="17"/>
  <c r="F133" i="17"/>
  <c r="F132" i="17" s="1"/>
  <c r="G131" i="17"/>
  <c r="G132" i="17" s="1"/>
  <c r="G133" i="17"/>
  <c r="H131" i="17"/>
  <c r="H133" i="17"/>
  <c r="I131" i="17" s="1"/>
  <c r="H132" i="17"/>
  <c r="I133" i="17"/>
  <c r="I132" i="17" s="1"/>
  <c r="B2" i="26"/>
  <c r="V20" i="26"/>
  <c r="Q2" i="26" s="1"/>
  <c r="B3" i="26"/>
  <c r="Q3" i="26"/>
  <c r="K7" i="26"/>
  <c r="L7" i="26"/>
  <c r="M7" i="26"/>
  <c r="N7" i="26"/>
  <c r="O7" i="26"/>
  <c r="V15" i="26"/>
  <c r="G19" i="26"/>
  <c r="G18" i="26"/>
  <c r="G16" i="26"/>
  <c r="G20" i="26" s="1"/>
  <c r="G15" i="26"/>
  <c r="B15" i="26" s="1"/>
  <c r="G13" i="26"/>
  <c r="K8" i="26"/>
  <c r="L8" i="26"/>
  <c r="M8" i="26"/>
  <c r="N8" i="26"/>
  <c r="O8" i="26"/>
  <c r="B9" i="26"/>
  <c r="B22" i="26" s="1"/>
  <c r="T9" i="26"/>
  <c r="B11" i="26"/>
  <c r="B13" i="26"/>
  <c r="K14" i="26"/>
  <c r="O15" i="26"/>
  <c r="T15" i="26"/>
  <c r="B16" i="26"/>
  <c r="B19" i="26"/>
  <c r="B20" i="26"/>
  <c r="K21" i="26"/>
  <c r="M21" i="26"/>
  <c r="N21" i="26"/>
  <c r="F24" i="26"/>
  <c r="G24" i="26"/>
  <c r="K86" i="26"/>
  <c r="V28" i="26"/>
  <c r="B30" i="26"/>
  <c r="B34" i="26"/>
  <c r="B35" i="26"/>
  <c r="K35" i="26"/>
  <c r="L36" i="26" s="1"/>
  <c r="L35" i="26"/>
  <c r="D39" i="26"/>
  <c r="F39" i="26"/>
  <c r="G39" i="26"/>
  <c r="L39" i="26"/>
  <c r="C41" i="26"/>
  <c r="C40" i="26"/>
  <c r="L40" i="26"/>
  <c r="K42" i="26"/>
  <c r="L42" i="26"/>
  <c r="C43" i="26"/>
  <c r="C44" i="26"/>
  <c r="H49" i="26"/>
  <c r="K49" i="26"/>
  <c r="P50" i="26"/>
  <c r="Q50" i="26"/>
  <c r="H51" i="26"/>
  <c r="I51" i="26"/>
  <c r="I52" i="26" s="1"/>
  <c r="H54" i="26"/>
  <c r="I54" i="26"/>
  <c r="H55" i="26"/>
  <c r="H57" i="26" s="1"/>
  <c r="I55" i="26"/>
  <c r="H59" i="26"/>
  <c r="I59" i="26"/>
  <c r="H60" i="26"/>
  <c r="L86" i="26"/>
  <c r="M86" i="26"/>
  <c r="N86" i="26"/>
  <c r="H65" i="26"/>
  <c r="K87" i="26"/>
  <c r="K89" i="26"/>
  <c r="L87" i="26"/>
  <c r="L89" i="26"/>
  <c r="M87" i="26"/>
  <c r="M89" i="26"/>
  <c r="N87" i="26"/>
  <c r="N89" i="26"/>
  <c r="O87" i="26"/>
  <c r="O89" i="26"/>
  <c r="H68" i="26"/>
  <c r="I68" i="26"/>
  <c r="J68" i="26"/>
  <c r="K68" i="26" s="1"/>
  <c r="L68" i="26" s="1"/>
  <c r="M68" i="26" s="1"/>
  <c r="N68" i="26" s="1"/>
  <c r="O68" i="26" s="1"/>
  <c r="H71" i="26"/>
  <c r="I71" i="26"/>
  <c r="J71" i="26"/>
  <c r="I77" i="26"/>
  <c r="J76" i="26" s="1"/>
  <c r="O77" i="26" l="1"/>
  <c r="J80" i="26"/>
  <c r="H80" i="26"/>
  <c r="I76" i="26"/>
  <c r="D127" i="17"/>
  <c r="F24" i="13"/>
  <c r="D22" i="13"/>
  <c r="F22" i="13"/>
  <c r="I57" i="26"/>
  <c r="I56" i="26"/>
  <c r="K23" i="17"/>
  <c r="J60" i="26"/>
  <c r="J25" i="15" s="1"/>
  <c r="K27" i="17"/>
  <c r="M30" i="17"/>
  <c r="K30" i="17" s="1"/>
  <c r="M40" i="17"/>
  <c r="I61" i="26"/>
  <c r="J40" i="17"/>
  <c r="J45" i="17" s="1"/>
  <c r="J30" i="17"/>
  <c r="L43" i="26"/>
  <c r="L44" i="26"/>
  <c r="I25" i="17"/>
  <c r="I65" i="26"/>
  <c r="I30" i="17"/>
  <c r="K44" i="26"/>
  <c r="J21" i="15"/>
  <c r="K21" i="15" s="1"/>
  <c r="L15" i="26"/>
  <c r="K15" i="26"/>
  <c r="L21" i="26"/>
  <c r="F23" i="13"/>
  <c r="K70" i="17"/>
  <c r="M73" i="17"/>
  <c r="K73" i="17" s="1"/>
  <c r="K40" i="26"/>
  <c r="E126" i="17"/>
  <c r="E127" i="17" s="1"/>
  <c r="F21" i="13"/>
  <c r="K14" i="17"/>
  <c r="J51" i="26"/>
  <c r="D24" i="13"/>
  <c r="K80" i="26"/>
  <c r="K12" i="26" s="1" a="1"/>
  <c r="K12" i="26" s="1"/>
  <c r="L79" i="26"/>
  <c r="D23" i="13"/>
  <c r="H61" i="26"/>
  <c r="I74" i="26"/>
  <c r="N15" i="26"/>
  <c r="D17" i="13"/>
  <c r="D21" i="13"/>
  <c r="O21" i="26"/>
  <c r="M15" i="26"/>
  <c r="G11" i="26" a="1"/>
  <c r="G11" i="26" s="1"/>
  <c r="G9" i="26" s="1"/>
  <c r="K62" i="17"/>
  <c r="J62" i="17"/>
  <c r="J76" i="17" s="1"/>
  <c r="F2" i="14"/>
  <c r="E4" i="14"/>
  <c r="G126" i="17"/>
  <c r="G127" i="17" s="1"/>
  <c r="J52" i="26" l="1"/>
  <c r="J12" i="15" s="1"/>
  <c r="J55" i="26"/>
  <c r="G7" i="26" a="1"/>
  <c r="G7" i="26" s="1"/>
  <c r="G8" i="26" s="1"/>
  <c r="K16" i="26"/>
  <c r="K85" i="26"/>
  <c r="L21" i="15"/>
  <c r="F25" i="26"/>
  <c r="L80" i="26"/>
  <c r="L12" i="26" s="1" a="1"/>
  <c r="L12" i="26" s="1"/>
  <c r="M79" i="26"/>
  <c r="L13" i="15"/>
  <c r="M13" i="15" s="1"/>
  <c r="N13" i="15" s="1"/>
  <c r="O13" i="15" s="1"/>
  <c r="M76" i="17"/>
  <c r="K76" i="17" s="1"/>
  <c r="H66" i="26"/>
  <c r="H69" i="26" s="1"/>
  <c r="H72" i="26" s="1"/>
  <c r="H63" i="26"/>
  <c r="G2" i="14"/>
  <c r="F4" i="14"/>
  <c r="F3" i="14"/>
  <c r="I66" i="26"/>
  <c r="I69" i="26" s="1"/>
  <c r="I72" i="26" s="1"/>
  <c r="I62" i="26"/>
  <c r="I63" i="26"/>
  <c r="M45" i="17"/>
  <c r="K45" i="17" s="1"/>
  <c r="K40" i="17"/>
  <c r="L14" i="26" l="1"/>
  <c r="L16" i="26" s="1"/>
  <c r="K83" i="26"/>
  <c r="K51" i="26" s="1"/>
  <c r="L12" i="15"/>
  <c r="M80" i="26"/>
  <c r="M12" i="26" s="1" a="1"/>
  <c r="M12" i="26" s="1"/>
  <c r="M21" i="15"/>
  <c r="L85" i="26"/>
  <c r="J57" i="26"/>
  <c r="J17" i="15" s="1"/>
  <c r="K17" i="15" s="1"/>
  <c r="J56" i="26"/>
  <c r="J61" i="26"/>
  <c r="G4" i="14"/>
  <c r="H2" i="14"/>
  <c r="G3" i="14"/>
  <c r="J10" i="15"/>
  <c r="J13" i="15"/>
  <c r="K9" i="26" l="1" a="1"/>
  <c r="K9" i="26" s="1"/>
  <c r="K10" i="26" s="1"/>
  <c r="K13" i="26" s="1"/>
  <c r="K60" i="26"/>
  <c r="M14" i="26"/>
  <c r="M16" i="26" s="1"/>
  <c r="J62" i="26"/>
  <c r="J66" i="26"/>
  <c r="J69" i="26" s="1"/>
  <c r="J72" i="26" s="1"/>
  <c r="J63" i="26"/>
  <c r="F27" i="26"/>
  <c r="F26" i="26"/>
  <c r="N21" i="15"/>
  <c r="M85" i="26"/>
  <c r="O79" i="26"/>
  <c r="O80" i="26" s="1"/>
  <c r="O12" i="26" s="1" a="1"/>
  <c r="O12" i="26" s="1"/>
  <c r="N80" i="26"/>
  <c r="N12" i="26" s="1" a="1"/>
  <c r="N12" i="26" s="1"/>
  <c r="H4" i="14"/>
  <c r="H3" i="14"/>
  <c r="L17" i="15"/>
  <c r="K84" i="26"/>
  <c r="M12" i="15"/>
  <c r="L10" i="15"/>
  <c r="L83" i="26" s="1"/>
  <c r="G25" i="26" l="1"/>
  <c r="K59" i="26"/>
  <c r="P51" i="26"/>
  <c r="K74" i="26"/>
  <c r="K65" i="26" s="1"/>
  <c r="K54" i="26"/>
  <c r="P54" i="26" s="1"/>
  <c r="L51" i="26"/>
  <c r="L74" i="26" s="1"/>
  <c r="L65" i="26" s="1"/>
  <c r="K52" i="26"/>
  <c r="K55" i="26"/>
  <c r="K24" i="26"/>
  <c r="K17" i="26"/>
  <c r="N85" i="26"/>
  <c r="O21" i="15"/>
  <c r="O85" i="26" s="1"/>
  <c r="N14" i="26"/>
  <c r="N16" i="26" s="1"/>
  <c r="N12" i="15"/>
  <c r="M10" i="15"/>
  <c r="M83" i="26" s="1"/>
  <c r="M17" i="15"/>
  <c r="L84" i="26"/>
  <c r="K61" i="26" l="1"/>
  <c r="K62" i="26" s="1"/>
  <c r="L54" i="26"/>
  <c r="L55" i="26" s="1"/>
  <c r="L57" i="26" s="1"/>
  <c r="M51" i="26"/>
  <c r="M59" i="26" s="1"/>
  <c r="L59" i="26"/>
  <c r="L60" i="26"/>
  <c r="L52" i="26"/>
  <c r="K57" i="26"/>
  <c r="L9" i="26" a="1"/>
  <c r="L9" i="26" s="1"/>
  <c r="L10" i="26" s="1"/>
  <c r="L13" i="26" s="1"/>
  <c r="L17" i="26" s="1"/>
  <c r="P55" i="26"/>
  <c r="K56" i="26"/>
  <c r="O16" i="26"/>
  <c r="M84" i="26"/>
  <c r="N17" i="15"/>
  <c r="O12" i="15"/>
  <c r="O10" i="15" s="1"/>
  <c r="O83" i="26" s="1"/>
  <c r="N10" i="15"/>
  <c r="N83" i="26" s="1"/>
  <c r="G26" i="26" l="1"/>
  <c r="P61" i="26"/>
  <c r="K63" i="26"/>
  <c r="G27" i="26"/>
  <c r="L61" i="26"/>
  <c r="L66" i="26" s="1"/>
  <c r="L69" i="26" s="1"/>
  <c r="K66" i="26"/>
  <c r="K69" i="26" s="1"/>
  <c r="K71" i="26" s="1"/>
  <c r="K72" i="26" s="1"/>
  <c r="L56" i="26"/>
  <c r="M9" i="26" a="1"/>
  <c r="M9" i="26" s="1"/>
  <c r="M10" i="26" s="1"/>
  <c r="M13" i="26" s="1"/>
  <c r="M24" i="26" s="1"/>
  <c r="M60" i="26"/>
  <c r="M52" i="26"/>
  <c r="M74" i="26"/>
  <c r="M65" i="26" s="1"/>
  <c r="N51" i="26"/>
  <c r="N74" i="26" s="1"/>
  <c r="N65" i="26" s="1"/>
  <c r="M54" i="26"/>
  <c r="M55" i="26" s="1"/>
  <c r="M57" i="26" s="1"/>
  <c r="L24" i="26"/>
  <c r="L25" i="26" s="1"/>
  <c r="N84" i="26"/>
  <c r="O17" i="15"/>
  <c r="O84" i="26" s="1"/>
  <c r="N52" i="26" l="1"/>
  <c r="O51" i="26"/>
  <c r="O54" i="26" s="1"/>
  <c r="L62" i="26"/>
  <c r="M61" i="26"/>
  <c r="M66" i="26" s="1"/>
  <c r="M69" i="26" s="1"/>
  <c r="N60" i="26"/>
  <c r="N59" i="26"/>
  <c r="N54" i="26"/>
  <c r="N55" i="26" s="1"/>
  <c r="N57" i="26" s="1"/>
  <c r="L63" i="26"/>
  <c r="M17" i="26"/>
  <c r="M56" i="26"/>
  <c r="N9" i="26" a="1"/>
  <c r="N9" i="26" s="1"/>
  <c r="N10" i="26" s="1"/>
  <c r="N13" i="26" s="1"/>
  <c r="N24" i="26" s="1"/>
  <c r="N25" i="26" s="1"/>
  <c r="L71" i="26"/>
  <c r="L72" i="26" s="1"/>
  <c r="M25" i="26"/>
  <c r="O59" i="26" l="1"/>
  <c r="Q51" i="26"/>
  <c r="O60" i="26"/>
  <c r="O9" i="26" a="1"/>
  <c r="O9" i="26" s="1"/>
  <c r="O10" i="26" s="1"/>
  <c r="O13" i="26" s="1"/>
  <c r="O17" i="26" s="1"/>
  <c r="O74" i="26"/>
  <c r="O65" i="26" s="1"/>
  <c r="O52" i="26"/>
  <c r="Q54" i="26"/>
  <c r="O55" i="26"/>
  <c r="O56" i="26" s="1"/>
  <c r="N61" i="26"/>
  <c r="N66" i="26" s="1"/>
  <c r="N69" i="26" s="1"/>
  <c r="N56" i="26"/>
  <c r="M63" i="26"/>
  <c r="M62" i="26"/>
  <c r="N17" i="26"/>
  <c r="M71" i="26"/>
  <c r="M72" i="26" s="1"/>
  <c r="O24" i="26" l="1"/>
  <c r="Q55" i="26"/>
  <c r="O57" i="26"/>
  <c r="O61" i="26"/>
  <c r="O63" i="26" s="1"/>
  <c r="N62" i="26"/>
  <c r="N63" i="26"/>
  <c r="O25" i="26"/>
  <c r="K23" i="26"/>
  <c r="N71" i="26"/>
  <c r="N72" i="26" s="1"/>
  <c r="Q61" i="26" l="1"/>
  <c r="O66" i="26"/>
  <c r="O69" i="26" s="1"/>
  <c r="O71" i="26" s="1"/>
  <c r="O72" i="26" s="1"/>
  <c r="O62" i="26"/>
  <c r="N29" i="26"/>
  <c r="K25" i="26"/>
  <c r="G35" i="26"/>
  <c r="G34" i="26" s="1"/>
  <c r="G30" i="26" s="1"/>
  <c r="K22" i="26"/>
  <c r="N28" i="26" l="1"/>
  <c r="N27" i="26"/>
  <c r="G33" i="26"/>
  <c r="C39" i="26"/>
  <c r="G32" i="26"/>
  <c r="G3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I126" authorId="0" shapeId="0" xr:uid="{41ECD6B3-E6CC-4597-8EB5-34F5365592FB}">
      <text>
        <r>
          <rPr>
            <sz val="8"/>
            <color indexed="81"/>
            <rFont val="Tahoma"/>
            <family val="2"/>
          </rPr>
          <t>OBS avvik konsernregnskap vs reMarkable AS i Proff (discrepancy group accounts vs reMarkable AS in Proff)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<sst xmlns="http://schemas.openxmlformats.org/spreadsheetml/2006/main" count="395" uniqueCount="310">
  <si>
    <t>% Growth</t>
  </si>
  <si>
    <t>Cost of Goods Sold</t>
  </si>
  <si>
    <t>Gross Profit</t>
  </si>
  <si>
    <t>EBITDA</t>
  </si>
  <si>
    <t>EBIT</t>
  </si>
  <si>
    <t>Depreciation &amp; Amortisation</t>
  </si>
  <si>
    <t>Taxes</t>
  </si>
  <si>
    <t>Total Assets</t>
  </si>
  <si>
    <t>Net Profit</t>
  </si>
  <si>
    <t>FCFE</t>
  </si>
  <si>
    <t>FY+1 EBITDA</t>
  </si>
  <si>
    <t>DCF</t>
  </si>
  <si>
    <t>LBO (5 year exit)</t>
  </si>
  <si>
    <t>10-12% WACC, 1.5-2.5% PGR</t>
  </si>
  <si>
    <t>14-16% CoE, 1.5-2.5% PGR</t>
  </si>
  <si>
    <t>5 Year exit, Exit Multiple = 12x, Returns: 20-25%</t>
  </si>
  <si>
    <t>Trading Comps FY+1 EBITDA</t>
  </si>
  <si>
    <t>FY1</t>
  </si>
  <si>
    <t>FY2</t>
  </si>
  <si>
    <t>Select Case</t>
  </si>
  <si>
    <t>Upside</t>
  </si>
  <si>
    <t>Inputs</t>
  </si>
  <si>
    <t>Annet revisjonshonorar</t>
  </si>
  <si>
    <t>Revisjonshonorar</t>
  </si>
  <si>
    <t>Leder annen godtgjørelse</t>
  </si>
  <si>
    <t>Lederlønn</t>
  </si>
  <si>
    <t>Ansatte</t>
  </si>
  <si>
    <t>Antall årsverk</t>
  </si>
  <si>
    <t>ØVRIG INFORMASJON</t>
  </si>
  <si>
    <t>Sum eksport</t>
  </si>
  <si>
    <t>Eksport øvrige land</t>
  </si>
  <si>
    <t>Eksport Europa</t>
  </si>
  <si>
    <t>Eksport Norden</t>
  </si>
  <si>
    <t>NOK</t>
  </si>
  <si>
    <t>Valutakode</t>
  </si>
  <si>
    <t>EKSPORT</t>
  </si>
  <si>
    <t>Sum egenkapital og gjeld</t>
  </si>
  <si>
    <t>Sum gjeld</t>
  </si>
  <si>
    <t>Sum kortsiktig gjeld</t>
  </si>
  <si>
    <t>Annen kortsiktig gjeld</t>
  </si>
  <si>
    <t>Kortsiktig konserngjeld</t>
  </si>
  <si>
    <t>Utbytte</t>
  </si>
  <si>
    <t>Skyldige offentlige utgifter</t>
  </si>
  <si>
    <t>Betalbar skatt</t>
  </si>
  <si>
    <t>Leverandørgjeld</t>
  </si>
  <si>
    <t>Gjeld til kredittinstitusjoner</t>
  </si>
  <si>
    <t>Sum langsiktig gjeld</t>
  </si>
  <si>
    <t>Sum annen langsiktig gjeld</t>
  </si>
  <si>
    <t>Annen langsiktig gjeld</t>
  </si>
  <si>
    <t>Sum egenkapital</t>
  </si>
  <si>
    <t>Sum opptjent egenkapital</t>
  </si>
  <si>
    <t>Udekket tap</t>
  </si>
  <si>
    <t>Sum innskutt egenkapital</t>
  </si>
  <si>
    <t>Annen innskutt egenkapital</t>
  </si>
  <si>
    <t>Overkursfond</t>
  </si>
  <si>
    <t>Aksjekapital/Selskapskapital</t>
  </si>
  <si>
    <t>Sum eiendeler</t>
  </si>
  <si>
    <t>Sum omløpsmidler</t>
  </si>
  <si>
    <t>Sum Kasse/Bank/Post</t>
  </si>
  <si>
    <t>Kasse/Bank/Post</t>
  </si>
  <si>
    <t>Sum fordringer</t>
  </si>
  <si>
    <t>Konsernfordringer</t>
  </si>
  <si>
    <t>Andre fordringer</t>
  </si>
  <si>
    <t>Kundefordringer</t>
  </si>
  <si>
    <t>Sum varelager</t>
  </si>
  <si>
    <t>Sum varer</t>
  </si>
  <si>
    <t>Sum anleggsmidler</t>
  </si>
  <si>
    <t>Sum finansielle anleggsmidler</t>
  </si>
  <si>
    <t xml:space="preserve">Andre fordringer </t>
  </si>
  <si>
    <t>Sum varige driftsmidler</t>
  </si>
  <si>
    <t>Driftsløsøre/inventar/verktøy/biler</t>
  </si>
  <si>
    <t>Sum immaterielle anleggsmidler</t>
  </si>
  <si>
    <t>Utsatt skattefordel</t>
  </si>
  <si>
    <t>Konsesjoner, patenter, lisenser</t>
  </si>
  <si>
    <t>Forskning og utvikling</t>
  </si>
  <si>
    <t>BALANSEREGNSKAP</t>
  </si>
  <si>
    <t>Sum overføringer og disponeringer</t>
  </si>
  <si>
    <t>Overføringer til/fra annen egenkapital</t>
  </si>
  <si>
    <t>Mottatt konsernbidrag</t>
  </si>
  <si>
    <t>Avsatt utbytte</t>
  </si>
  <si>
    <t>Årsresultat</t>
  </si>
  <si>
    <t>Ordinært resultat</t>
  </si>
  <si>
    <t>Skattekostnad på ordinært resultat</t>
  </si>
  <si>
    <t>Ordinært resultat før skattekostnad</t>
  </si>
  <si>
    <t>Netto finans</t>
  </si>
  <si>
    <t>Sum finanskostnader</t>
  </si>
  <si>
    <t>Sum annen finanskostnad</t>
  </si>
  <si>
    <t>Sum annen rentekostnad</t>
  </si>
  <si>
    <t>Sum finansinntekter</t>
  </si>
  <si>
    <t>Sum annen finansinntekt</t>
  </si>
  <si>
    <t>Sum annen renteinntekt</t>
  </si>
  <si>
    <t>Driftsresultat</t>
  </si>
  <si>
    <t>Sum driftskostnader</t>
  </si>
  <si>
    <t>Husleiekostnader</t>
  </si>
  <si>
    <t>Andre driftskostnader</t>
  </si>
  <si>
    <t>Nedskriving av driftsmidler/im. eiend.</t>
  </si>
  <si>
    <t>Avskriving varige driftsmidler/im. eiend.</t>
  </si>
  <si>
    <t>Pensjonskostnader</t>
  </si>
  <si>
    <t>Herav kun lønn</t>
  </si>
  <si>
    <t>Lønnskostnader</t>
  </si>
  <si>
    <t>Varekostnad</t>
  </si>
  <si>
    <t>Sum driftsinntekter</t>
  </si>
  <si>
    <t>Annen driftsinntekt</t>
  </si>
  <si>
    <t>Sum salgsinntekter</t>
  </si>
  <si>
    <t>Avslutningsdato</t>
  </si>
  <si>
    <t>Startdato</t>
  </si>
  <si>
    <t>Nei</t>
  </si>
  <si>
    <t>Konsernregnskap</t>
  </si>
  <si>
    <t>RESULTATREGNSKAP</t>
  </si>
  <si>
    <t>REMARKABLE AS</t>
  </si>
  <si>
    <t>Bedrift:</t>
  </si>
  <si>
    <t>Orgnr:</t>
  </si>
  <si>
    <t>CASH</t>
  </si>
  <si>
    <t>Endring i Cash</t>
  </si>
  <si>
    <t xml:space="preserve">UB Cash </t>
  </si>
  <si>
    <t>IB Cash</t>
  </si>
  <si>
    <t>IB Anleggsmidler</t>
  </si>
  <si>
    <t>UB Anleggsmidler</t>
  </si>
  <si>
    <t>Kontroll</t>
  </si>
  <si>
    <t>Endring i anleggsmidler</t>
  </si>
  <si>
    <t>Forskuddsbetaling fra kunder</t>
  </si>
  <si>
    <t>Company:</t>
  </si>
  <si>
    <t>Company Number:</t>
  </si>
  <si>
    <t>INCOME STATEMENT</t>
  </si>
  <si>
    <t>Group Accounts</t>
  </si>
  <si>
    <t>Start Date</t>
  </si>
  <si>
    <t>Closing Date</t>
  </si>
  <si>
    <t>Currency Code</t>
  </si>
  <si>
    <t>Total Sales Income</t>
  </si>
  <si>
    <t>Other Operational Income</t>
  </si>
  <si>
    <t>Total Operating Income</t>
  </si>
  <si>
    <t>Salary Costs</t>
  </si>
  <si>
    <t>Of Which only Salary</t>
  </si>
  <si>
    <t>Pension Costs</t>
  </si>
  <si>
    <t>Depreciation of Fixed Assets</t>
  </si>
  <si>
    <t>Write-down of Operating Assets</t>
  </si>
  <si>
    <t>Other Operating Expenses</t>
  </si>
  <si>
    <t>Rent Costs</t>
  </si>
  <si>
    <t>Total Operating Costs</t>
  </si>
  <si>
    <t>Control</t>
  </si>
  <si>
    <t>Operating Result</t>
  </si>
  <si>
    <t>Total other interest income</t>
  </si>
  <si>
    <t>Total other financial income</t>
  </si>
  <si>
    <t>Total Financial Income</t>
  </si>
  <si>
    <t>Total Other Finance Costs</t>
  </si>
  <si>
    <t>Total Financial Costs</t>
  </si>
  <si>
    <t>Net Finance</t>
  </si>
  <si>
    <t>Ordinary Profit before tax</t>
  </si>
  <si>
    <t>Taxes on ordinary result</t>
  </si>
  <si>
    <t>Ordinary Result</t>
  </si>
  <si>
    <t>Group contribution received</t>
  </si>
  <si>
    <t xml:space="preserve">Transfers to/from other equity </t>
  </si>
  <si>
    <t>Uncovered loss</t>
  </si>
  <si>
    <t>Total transfers and disposals</t>
  </si>
  <si>
    <t>BALANCE SHEET</t>
  </si>
  <si>
    <t>Research and development</t>
  </si>
  <si>
    <t>Concessions, patents, licenses</t>
  </si>
  <si>
    <t>Deferred tax benefit</t>
  </si>
  <si>
    <t>Total intangible fixed assets</t>
  </si>
  <si>
    <t>Operating assets/inventory/tools/cars</t>
  </si>
  <si>
    <t>Total fixed assets</t>
  </si>
  <si>
    <t>Other changes</t>
  </si>
  <si>
    <t>Total financial fixed assets</t>
  </si>
  <si>
    <t>Total goods</t>
  </si>
  <si>
    <t>Total Inventory</t>
  </si>
  <si>
    <t>Accounts receivable</t>
  </si>
  <si>
    <t>Group receivables</t>
  </si>
  <si>
    <t>Total receivables</t>
  </si>
  <si>
    <t>Cash desk/bank/post office</t>
  </si>
  <si>
    <t>Total cash desk/bank/post office</t>
  </si>
  <si>
    <t>Total Current Assets</t>
  </si>
  <si>
    <t>Share capital/company capital</t>
  </si>
  <si>
    <t>Premium fund</t>
  </si>
  <si>
    <t>Other equity</t>
  </si>
  <si>
    <t xml:space="preserve">Total Contributed equity </t>
  </si>
  <si>
    <t>Total retained earnings</t>
  </si>
  <si>
    <t>Total Equity</t>
  </si>
  <si>
    <t>Other long-term debt</t>
  </si>
  <si>
    <t>Total other long-term debt</t>
  </si>
  <si>
    <t>Total long-term debt</t>
  </si>
  <si>
    <t>Debt to credit institutions</t>
  </si>
  <si>
    <t>Supplier debt</t>
  </si>
  <si>
    <t>Payable tax</t>
  </si>
  <si>
    <t>Owed public expenses</t>
  </si>
  <si>
    <t xml:space="preserve">Dividend </t>
  </si>
  <si>
    <t>Allocated Dividend</t>
  </si>
  <si>
    <t>Advance payment from customers</t>
  </si>
  <si>
    <t>Short-term group debt</t>
  </si>
  <si>
    <t>Other short-term liabilities</t>
  </si>
  <si>
    <t>Total short-term liabilities</t>
  </si>
  <si>
    <t>Total Debt</t>
  </si>
  <si>
    <t>Total equity and debt</t>
  </si>
  <si>
    <t>EXPORT</t>
  </si>
  <si>
    <t>Currency code</t>
  </si>
  <si>
    <t>Export to the Nordic Region</t>
  </si>
  <si>
    <t>Export to Europe</t>
  </si>
  <si>
    <t>Export to other countries</t>
  </si>
  <si>
    <t>Total export</t>
  </si>
  <si>
    <t>OTHER INFORMATION</t>
  </si>
  <si>
    <t>Number of full-time equivalents (FTEs)</t>
  </si>
  <si>
    <t>Employees</t>
  </si>
  <si>
    <t>Executive salary</t>
  </si>
  <si>
    <t>Other executive compensation</t>
  </si>
  <si>
    <t>Audit Fee</t>
  </si>
  <si>
    <t>Other audit fees</t>
  </si>
  <si>
    <t>Beginning Cash</t>
  </si>
  <si>
    <t>Change in Cash</t>
  </si>
  <si>
    <t>Ending Cash</t>
  </si>
  <si>
    <t>Beginning Fixed Assets</t>
  </si>
  <si>
    <t>Change in Fixed Assets</t>
  </si>
  <si>
    <t>Ending Fixed Assets</t>
  </si>
  <si>
    <t>Net Income</t>
  </si>
  <si>
    <t>Total Other Interest Expense</t>
  </si>
  <si>
    <t>Revenue Growth</t>
  </si>
  <si>
    <t>Setup</t>
  </si>
  <si>
    <t>Dropdown Menu</t>
  </si>
  <si>
    <t>Company Name</t>
  </si>
  <si>
    <t>Valuation Basis</t>
  </si>
  <si>
    <t>Company Currency</t>
  </si>
  <si>
    <t>USD</t>
  </si>
  <si>
    <t>x: Implied Valuation Multiple</t>
  </si>
  <si>
    <t>Fund Currency</t>
  </si>
  <si>
    <t>Operating Case</t>
  </si>
  <si>
    <t>1-</t>
  </si>
  <si>
    <t>GP CASE</t>
  </si>
  <si>
    <t>2-</t>
  </si>
  <si>
    <t>UPSIDE CASE</t>
  </si>
  <si>
    <t>Last Fiscal Year End</t>
  </si>
  <si>
    <t>Latest Reporting Date</t>
  </si>
  <si>
    <t>Less: Other Items</t>
  </si>
  <si>
    <t>Transaction Close Date</t>
  </si>
  <si>
    <t>Days to Drive Accounts</t>
  </si>
  <si>
    <t>Ownership</t>
  </si>
  <si>
    <t>Exit Valuation Analysis</t>
  </si>
  <si>
    <t>x: Fund Ownership (%)</t>
  </si>
  <si>
    <t>Sensitivities</t>
  </si>
  <si>
    <t>Exit Multiple</t>
  </si>
  <si>
    <t>TEV</t>
  </si>
  <si>
    <t>Exit Multiple Step</t>
  </si>
  <si>
    <t>Other Items</t>
  </si>
  <si>
    <t>Years Until Exit</t>
  </si>
  <si>
    <t>Trailing</t>
  </si>
  <si>
    <t>Forward</t>
  </si>
  <si>
    <t>Net Debt / (Cash)</t>
  </si>
  <si>
    <t>Buyer's Required IRR</t>
  </si>
  <si>
    <t>Equity Exit Value</t>
  </si>
  <si>
    <t>EV / Revenue</t>
  </si>
  <si>
    <t xml:space="preserve">EV / EBITDA </t>
  </si>
  <si>
    <t>Fund Ownership BoP (%)</t>
  </si>
  <si>
    <t>Change in Ownership (p.p)</t>
  </si>
  <si>
    <t>Fund Ownership EoP (%)</t>
  </si>
  <si>
    <t>Net Debt (Cash) / EBITDA</t>
  </si>
  <si>
    <t>Fund Equity Stake EOP</t>
  </si>
  <si>
    <t>Implied Buy-in Entry Valuation</t>
  </si>
  <si>
    <t>Fund Cash Flows &amp; Return Analysis</t>
  </si>
  <si>
    <t>Implied EBITDA Multiple</t>
  </si>
  <si>
    <t>Implied Purchase Price as % of Carrying Value</t>
  </si>
  <si>
    <t>Purchase Price</t>
  </si>
  <si>
    <t>Net Cash Flows</t>
  </si>
  <si>
    <t>Gross IRR</t>
  </si>
  <si>
    <t>Gross MOIC</t>
  </si>
  <si>
    <t>Operating Financials</t>
  </si>
  <si>
    <t>CAGR</t>
  </si>
  <si>
    <t>Total Revenue</t>
  </si>
  <si>
    <t>COGS</t>
  </si>
  <si>
    <t>% Gross Margin</t>
  </si>
  <si>
    <t>% EBITDA Margin</t>
  </si>
  <si>
    <t>BoP Cash</t>
  </si>
  <si>
    <t>EoP Cash</t>
  </si>
  <si>
    <t>EoP Total Debt</t>
  </si>
  <si>
    <t>EoP Net Debt / (Cash)</t>
  </si>
  <si>
    <t>Page 1</t>
  </si>
  <si>
    <t>reMarkable</t>
  </si>
  <si>
    <t>Carrying Value Analysis</t>
  </si>
  <si>
    <t>2023 USD</t>
  </si>
  <si>
    <t>FX</t>
  </si>
  <si>
    <t>GP Case</t>
  </si>
  <si>
    <t>Q1 2024 Trading Update</t>
  </si>
  <si>
    <t>Revenue</t>
  </si>
  <si>
    <t>Q1 2023</t>
  </si>
  <si>
    <t>Q1 2024</t>
  </si>
  <si>
    <t>USD/NOK FX Rate</t>
  </si>
  <si>
    <t>Revenue as of Dec 23</t>
  </si>
  <si>
    <t>Implied Revenue Multiple</t>
  </si>
  <si>
    <t>Dates</t>
  </si>
  <si>
    <r>
      <rPr>
        <sz val="11"/>
        <color theme="1"/>
        <rFont val="Calibri"/>
        <family val="2"/>
        <scheme val="minor"/>
      </rPr>
      <t>Norwegian Krone ($NOKUSD) - Rate Value</t>
    </r>
  </si>
  <si>
    <t>NOK/USD</t>
  </si>
  <si>
    <t>USD/NOK</t>
  </si>
  <si>
    <t>Source: S&amp;P Capital IQ</t>
  </si>
  <si>
    <t>EBT</t>
  </si>
  <si>
    <t>Assumptions</t>
  </si>
  <si>
    <t>COGS as % of Total Sales</t>
  </si>
  <si>
    <t>Salaries as % of Total Sales</t>
  </si>
  <si>
    <t>Other expenses as % of Total Sales</t>
  </si>
  <si>
    <t>Capex as a % of Total Sales</t>
  </si>
  <si>
    <t>CAPEX</t>
  </si>
  <si>
    <t>Depreciation as a % of Capex</t>
  </si>
  <si>
    <t>Tax Rate</t>
  </si>
  <si>
    <t>Exit Revenue Multiple</t>
  </si>
  <si>
    <t>Purchase Price (% of Fund Carrying Value)</t>
  </si>
  <si>
    <t>DISCLAIMER</t>
  </si>
  <si>
    <t>This Projection Model (the “Model”) has been prepared by StartupLab GP Limited (together with StartupLab and their respective affiliates, “StartupLab”) and is being furnished to a limited number of sophisticated investors on a confidential basis solely for information purposes in connection with a potential transaction (the “Transaction”) involving the investments (each, a “Portfolio Investment”, and collectively, the “Portfolio”) currently held by StartupLab Founders Fund I L.P. (“StartupLab I”), as further described in this Model.
StartupLab reserves the right, at any time, to update, revise and supplement the information contained in this Model, to apply and modify any rules or procedures for participation in the Transaction, to suspend or terminate further discussion of or participation in the Transaction by any party, and to revise or terminate the Transaction, without prior notice or assigning any reason therefor.  In particular, StartupLab reserves the right, at any time, to amend the timing, size and/or the terms of the Transaction or the composition of the Portfolio included therein.  StartupLab shall have no liability to any participant or to any other party as a result of the failure to comply with any rules or procedures in relation to the Transaction or the acceptance or non-acceptance of any indicative proposal for any reason, except to the extent set forth in a definitive binding legal agreement with respect to the Transaction executed by the parties thereto. 
As with all performance data, past performance can provide no assurance of future results, and there can be no assurance that StartupLab I, any Portfolio Investment, the Portfolio as a whole, or any continuation fund or other vehicle sponsored by StartupLab which may acquire any or all of the Portfolio Investments (each, a “Buyer Vehicle”) will achieve results in the future that are comparable with the performance track record described in this Model.  All performance numbers and each performance metric presented in this Model reflect the performance of StartupLab I or the relevant Portfolio Investment as of 31 March 2023 (the “Reference Date”) unless otherwise stated.  Such performance data may reflect realizations that have already occurred.  The future performance of the Portfolio and any Buyer Vehicle will be largely dependent on the ultimate purchase price paid by such Buyer Vehicle, subsequent appreciation or depreciation of the Portfolio Investments, and the ability of such Buyer Vehicle to achieve an exit from such investments.  Any Buyer Vehicle will not benefit from accrued appreciation or prior realizations to the extent such accrued appreciation or prior realizations are reflected in the ultimate purchase price paid by any Buyer Vehicle. All projections of future performance of the Portfolio Investments contained in this Model are based on detailed assumptions and criteria with respect to each investment.  These assumptions and criteria are included in the additional information relating to the Portfolio Investments contained in the online data room to which intended recipients of this Model have been, or will upon request be, granted access.
This Model does not constitute and should not be considered as any form of financial opinion or recommendation and does not constitute an offer to sell or a solicitation of an offer to purchase any interest in any Buyer Vehicle (an “Interest”) or any Portfolio Investment to or from any person in any jurisdiction in which such an offer, solicitation, purchase or sale would be unlawful.  This Model is provided for reference only and is not intended to be, and must not be treated as, an offer of an investment or the basis for an investment decision. Each recipient hereof who may be interested in considering an investment in any Buyer Vehicle is urged to review any offering materials that may subsequently be provided in relation to such Buyer Vehicle in their entirety. Recipients of this Model should not construe the contents of this Model, or any prior or subsequent communication from Fairview Capital Group Ltd. (“Fairview”) or StartupLab or any of their respective agents, officers or representatives as legal, business, regulatory, financial, accounting, investment, tax or other advice. Recipients of this Model should consult their own attorney, business advisor and tax advisor for legal, business and tax advice regarding the information contained in this Model.
Neither Fairview nor StartupLab have authorized any person to provide any information or make any representation with respect to the Portfolio Investments other than as set forth herein, and if any such information or representations are given or made, they must not be relied upon.  Statements in this Model are made as of the Reference Date, unless stated otherwise and nothing herein should be construed to imply that the information herein is accurate as of any other date.  The business, financial condition, results of operations and prospects as well as the performance of the Portfolio Investments may have changed (even negatively) since the Reference Date. The delivery of this Model at any time shall not under any circumstances create an implication that the information contained herein is correct as of any time subsequent to the Reference Date. Recipients of this Model, by accepting this Model, are deemed to acknowledge that they are aware that national and sub-national securities laws in many jurisdictions prohibit any person who has material, non-public information about Portfolio Investments from purchasing or selling securities of the Portfolio Investments or from communicating such information to any other person under circumstances in which it is reasonably foreseeable that such person is likely to purchase or sell such securities.
This Model is based on information developed by StartupLab and provided by other sources that StartupLab believes are reliable. Neither Fairview nor StartupLab assumes responsibility for, or makes any representation or warranty, express or implied, with respect to, the accuracy, fairness, correctness, adequacy or completeness of the information contained in this Model or any other information provided to the recipients hereof.  The information set forth herein does not purport to be complete and is subject to change. Neither StartupLab nor Fairview has any responsibility to update any of the information provided in this Model. Each of Fairview and StartupLab expressly disclaims any liability for any statements, express or implied, contained in, or omissions from, this Model. This Model does not purport to be all-inclusive or contain all information that a recipient hereof may desire in investigating the Portfolio and the Transaction.  Each recipient must conduct and rely on its own evaluation of the Portfolio and the Transaction, including the merits and risk of an investment in the Portfolio through a Buyer Vehicle.  There are significant risks associated with acquiring an Interest, and recipients should pay particular attention to the risks described and identified in this Model.  There can be no assurance that any of the Portfolio Investments or any Buyer Vehicle will realize its objectives or that any participant in the Transaction will receive a return of its capital.
This Model contains certain statements, estimates and forecasts with respect to future performance and events and which are based on current expectations, estimates, projections, opinions and beliefs. These statements, estimates and forecasts are “forward-looking statements”. All statements other than statements of historical fact and performance included in this Model are forward-looking statements. Forward-looking statements generally can be identified by the use of forward-looking terminology such as “may”, “should”, “project”, “will”, “expect”, “intend”, “estimate”, “seek”, “anticipate”, “target”, “plan”, “believe” or “continue” or the negatives thereof or variations thereon or similar terminology. All such forward-looking statements are based on various underlying assumptions and expectations which do not constitute a forecast and are subject to risks and uncertainties which could cause actual events to differ materially from those expressed in the forward-looking statements. As a result, there can be no assurance that the forward-looking statements included in this Model will prove to be accurate or correct. In light of these risks, uncertainties and assumptions, the future performance or events described in the forward-looking statements in this Model might not occur. Accordingly, any recipient hereof should not rely upon forward-looking statements as a prediction of actual results. Neither Fairview nor StartupLab undertake any obligation to update any forward-looking statements, whether as a result of new information, future events or otherwise. Nothing contained in this Model may be relied upon as a guarantee, promise, assurance, forecast or a representation as to the future. In addition, unless the context otherwise requires, the words “include,” “includes,” “including” and other words of similar import are meant to be illustrative rather than restrictive. References to “NOK” are to Norwegian Krone unless the context indicates otherwise. Any investment in a Buyer Vehicle will be denominated in euros and, therefore, will be subject to any fluctuation in the rate of exchange between euros and foreign currencies.  Such fluctuations may have an adverse effect on the value of, price of or income or gains from an investment in a Buyer Vehicle.  
Certain information in this Model is confidential and proprietary to StartupLab and is being submitted confidentially to the recipients hereof solely for the purpose of a recipient’s evaluation of the Transaction.  Neither Fairview nor StartupLab has authorized its use for any other purpose. This Model may not be copied or reproduced in whole or in part. Recipients of this Model must maintain the confidentiality of its contents and may not distribute, disclose or discuss the contents of this Model other than to or with legal and financial advisors who agree to keep such information confidential. This Model is also provided on the understanding that upon request it will be returned with all other documents, if any, provided by Fairview or StartupLab.
Laws in certain jurisdictions may restrict the provision of this Model.  It is the responsibility of any person wishing to evaluate the Portfolio and the Transaction to satisfy themselves about, and observe, any such restrictions. Each recipient hereof must comply with all applicable laws and regulations in force in any jurisdiction in which it receives or possesses or distributes this Model and must obtain any consent, approval or permission required under any regulations in force in any jurisdiction to which it is subject, and neither Fairview nor StartupLab shall have any responsibility therefor.
In reviewing the Portfolio and the Transaction, recipients should be aware that StartupLab has an indirect economic interest in the Portfolio through StartupLab I.  Furthermore, certain StartupLab entities are the general partner and advisor to StartupLab I and accordingly are seeking to maximize value for StartupLab I.
Each recipient domiciled or with a registered office in the European Economic Area (“EEA Recipient”) or the United Kingdom (“UK Recipient”) understands and acknowledges that the circulation of this Model does not constitute marketing of an alternative investment fund for the purposes of the EU Alternative Investment Fund Managers Directive or the UK Alternative Investment Managers Regulation 2013. Therefore, such EEA Recipient or UK Recipient will not benefit from any protections or rights under the EU Alternative Investment Fund Managers Directive or the UK Alternative Investment Managers Regulation 2013 in respect of any resulting acquisition of an Interest.
In the United Kingdom, this Model is being distributed by Fairview Capital Group Ltd who are an Appointed Representative of Boston and Alexander LLP who are authorized and regulated by the Financial Conduct Authority and is only directed at (i) persons who have professional experience in matters relating to investments falling within Article 19(5) of the Financial Services and Markets Act 2000 (Financial Promotion) Order 2005, as amended (the “Order”), including entities which would be classified as a per se professional client (all such persons together being referred to as “relevant persons”). Persons who are not relevant persons must not act on or rely on this Model or any of its contents. Any right to evaluate the Transaction to which this Model relates is available only to relevant persons and will, if at all, be engaged in only with relevant persons. Recipients must not distribute, publish, reproduce, or disclose this Model, in whole or in part, to any other person.
This Model is for the confidential use of only those persons to whom it is distributed and is not to be reproduced, distributed or used for any other purposes. By accepting delivery of this Model, each recipient agrees to treat this Model as strictly confidential and not to reproduce, distribute or otherwise use this Model or any of its contents without the prior written consent of Fairview Capital Group, Ltd. (“Fairview”). This is not an offer (or solicitation of an offer) to buy/sell the securities/instruments mentioned or an official confirmation. Unless indicated otherwise, opinions, conclusions and other information in this document are the author’s and may differ from the opinions of Fairview. We do not represent that the information is accurate or complete and we may not update it. Past performance is not a reliable indicator of future results. The value of investments and any income generated may go down as well as up and is not guaranteed. 
The Interests have not been recommended, approved or disapproved by the US Securities and Exchange Commission (the “SEC”) or by the securities regulatory authority of any state or of any other US or non US jurisdiction, nor has the SEC or any such securities regulatory authority passed upon the accuracy or adequacy of this Model. Any representation to the contrary may be a criminal offense. Neither the Transaction nor the Interests have been registered under the US Securities Act of 1933 as amended (the “Securities Act”), the securities laws of any state of the United States or the securities laws of any other jurisdiction nor is such registration contemplated. No Buyer Vehicle will be registered as an investment company under the US Investment Company Act of 1940 as amended.  
Acceptance of this Model by any recipient hereof constitutes an agreement to be bound by the foregoing terms</t>
  </si>
  <si>
    <t>Revenue Exit Multiple</t>
  </si>
  <si>
    <t>Discount Rate</t>
  </si>
  <si>
    <t>Sensitivity Analysis | Net Present Value as a % of Carrying Value</t>
  </si>
  <si>
    <t>Assumed Exit Value</t>
  </si>
  <si>
    <t>Gains on Purchase Price</t>
  </si>
  <si>
    <t>Base Case</t>
  </si>
  <si>
    <t>Upside case</t>
  </si>
  <si>
    <t>Select (GP Case or Upside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</si>
</sst>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3" formatCode="_(* #,##0.00_);_(* \(#,##0.00\);_(* &quot;-&quot;??_);_(@_)"/>
    <numFmt numFmtId="164" formatCode="_-* #,##0.00_-;\-* #,##0.00_-;_-* &quot;-&quot;??_-;_-@_-"/>
    <numFmt numFmtId="165" formatCode="#,##0.0;\(#,##0.0\);\-\-"/>
    <numFmt numFmtId="166" formatCode="#,##0.0"/>
    <numFmt numFmtId="167" formatCode="0.0%"/>
    <numFmt numFmtId="168" formatCode="0.0\x"/>
    <numFmt numFmtId="169" formatCode="###,###,###,##0"/>
    <numFmt numFmtId="170" formatCode="###,##0.00"/>
    <numFmt numFmtId="171" formatCode="#,##0.0_);\(#,##0.0\)"/>
    <numFmt numFmtId="172" formatCode="hh:mm\ dd/mm/yyyy"/>
    <numFmt numFmtId="173" formatCode="mmm\ \'yy"/>
    <numFmt numFmtId="174" formatCode="#,##0.0\x_);\(#,##0.0\x\)"/>
    <numFmt numFmtId="175" formatCode="0.0%;\(0.0%\)"/>
    <numFmt numFmtId="176" formatCode="&quot;FY&quot;yy\E"/>
    <numFmt numFmtId="177" formatCode="&quot;FY&quot;yy\P"/>
    <numFmt numFmtId="178" formatCode="0&quot; Yrs.&quot;"/>
    <numFmt numFmtId="179" formatCode="#,##0.0\x_);\(#,##0.0\x\);\-_)"/>
    <numFmt numFmtId="180" formatCode="#,##0.00\x_);\(#,##0.00\x\)"/>
    <numFmt numFmtId="181" formatCode="#,##0.0000000000"/>
    <numFmt numFmtId="182" formatCode="&quot;FY&quot;yy\A"/>
    <numFmt numFmtId="183" formatCode="#,##0.0\x_);\(#,##0.0\x\);\-"/>
    <numFmt numFmtId="184" formatCode="_-* #,##0_-;\-* #,##0_-;_-* &quot;-&quot;??_-;_-@_-"/>
    <numFmt numFmtId="185" formatCode="_-* #,##0.00000000000_-;\-* #,##0.00000000000_-;_-* &quot;-&quot;??_-;_-@_-"/>
    <numFmt numFmtId="186" formatCode="0.000"/>
    <numFmt numFmtId="187" formatCode="0.0"/>
    <numFmt numFmtId="188" formatCode="[$-409]mmm\-dd\-yyyy;@"/>
    <numFmt numFmtId="189" formatCode="#,##0.0000\x_);\(#,##0.0000\x\);\-"/>
    <numFmt numFmtId="190" formatCode="0.000%"/>
  </numFmts>
  <fonts count="50" x14ac:knownFonts="1">
    <font>
      <sz val="11"/>
      <color theme="1"/>
      <name val="Calibri"/>
      <family val="2"/>
      <scheme val="minor"/>
    </font>
    <font>
      <sz val="12"/>
      <color theme="1"/>
      <name val="Calibri"/>
      <family val="2"/>
      <scheme val="minor"/>
    </font>
    <font>
      <sz val="8"/>
      <name val="Calibri"/>
      <family val="2"/>
    </font>
    <font>
      <sz val="11"/>
      <color theme="1"/>
      <name val="Calibri"/>
      <family val="2"/>
      <scheme val="minor"/>
    </font>
    <font>
      <sz val="10"/>
      <color theme="1"/>
      <name val="Arial"/>
      <family val="2"/>
    </font>
    <font>
      <b/>
      <sz val="11"/>
      <color theme="1"/>
      <name val="Calibri"/>
      <family val="2"/>
      <scheme val="minor"/>
    </font>
    <font>
      <sz val="11"/>
      <color theme="3" tint="-0.499984740745262"/>
      <name val="Calibri"/>
      <family val="2"/>
      <scheme val="minor"/>
    </font>
    <font>
      <sz val="11"/>
      <color theme="4" tint="-0.499984740745262"/>
      <name val="Calibri"/>
      <family val="2"/>
      <scheme val="minor"/>
    </font>
    <font>
      <b/>
      <sz val="11"/>
      <color theme="0"/>
      <name val="Calibri"/>
      <family val="2"/>
      <scheme val="minor"/>
    </font>
    <font>
      <b/>
      <sz val="10"/>
      <color rgb="FFFF0000"/>
      <name val="Arial"/>
      <family val="2"/>
    </font>
    <font>
      <i/>
      <sz val="11"/>
      <color theme="1"/>
      <name val="Calibri"/>
      <family val="2"/>
      <scheme val="minor"/>
    </font>
    <font>
      <sz val="8"/>
      <color indexed="81"/>
      <name val="Tahoma"/>
      <family val="2"/>
    </font>
    <font>
      <b/>
      <sz val="11"/>
      <color rgb="FF0000FF"/>
      <name val="Calibri"/>
      <family val="2"/>
      <scheme val="minor"/>
    </font>
    <font>
      <sz val="11"/>
      <color rgb="FF0000FF"/>
      <name val="Calibri"/>
      <family val="2"/>
      <scheme val="minor"/>
    </font>
    <font>
      <b/>
      <sz val="11"/>
      <name val="Calibri"/>
      <family val="2"/>
      <scheme val="minor"/>
    </font>
    <font>
      <sz val="11"/>
      <name val="Calibri"/>
      <family val="2"/>
      <scheme val="minor"/>
    </font>
    <font>
      <i/>
      <sz val="9"/>
      <color theme="1"/>
      <name val="Calibri"/>
      <family val="2"/>
      <scheme val="minor"/>
    </font>
    <font>
      <sz val="9"/>
      <color theme="1"/>
      <name val="Calibri"/>
      <family val="2"/>
      <scheme val="minor"/>
    </font>
    <font>
      <sz val="11"/>
      <color rgb="FF339966"/>
      <name val="Calibri"/>
      <family val="2"/>
      <scheme val="minor"/>
    </font>
    <font>
      <sz val="10"/>
      <name val="Arial"/>
      <family val="2"/>
    </font>
    <font>
      <b/>
      <sz val="16"/>
      <color theme="1"/>
      <name val="Calibri"/>
      <family val="2"/>
    </font>
    <font>
      <sz val="16"/>
      <color indexed="9"/>
      <name val="Calibri"/>
      <family val="2"/>
    </font>
    <font>
      <sz val="10.5"/>
      <name val="Calibri"/>
      <family val="2"/>
    </font>
    <font>
      <sz val="16"/>
      <name val="Calibri"/>
      <family val="2"/>
    </font>
    <font>
      <b/>
      <sz val="14"/>
      <name val="Calibri"/>
      <family val="2"/>
    </font>
    <font>
      <i/>
      <sz val="10.5"/>
      <color theme="1"/>
      <name val="Calibri"/>
      <family val="2"/>
    </font>
    <font>
      <sz val="10.5"/>
      <color indexed="9"/>
      <name val="Calibri"/>
      <family val="2"/>
    </font>
    <font>
      <sz val="10"/>
      <color theme="1"/>
      <name val="Calibri"/>
      <family val="2"/>
    </font>
    <font>
      <sz val="9"/>
      <name val="Calibri"/>
      <family val="2"/>
    </font>
    <font>
      <b/>
      <sz val="10.5"/>
      <color theme="1"/>
      <name val="Calibri"/>
      <family val="2"/>
    </font>
    <font>
      <b/>
      <sz val="10.5"/>
      <name val="Calibri"/>
      <family val="2"/>
    </font>
    <font>
      <b/>
      <sz val="10.5"/>
      <color theme="0"/>
      <name val="Calibri"/>
      <family val="2"/>
    </font>
    <font>
      <sz val="10.5"/>
      <color rgb="FF0000FF"/>
      <name val="Calibri"/>
      <family val="2"/>
    </font>
    <font>
      <sz val="10.5"/>
      <color theme="1"/>
      <name val="Calibri"/>
      <family val="2"/>
    </font>
    <font>
      <i/>
      <sz val="10.5"/>
      <name val="Calibri"/>
      <family val="2"/>
    </font>
    <font>
      <b/>
      <i/>
      <sz val="10.5"/>
      <name val="Calibri"/>
      <family val="2"/>
    </font>
    <font>
      <sz val="10.5"/>
      <color rgb="FFFF0000"/>
      <name val="Calibri"/>
      <family val="2"/>
    </font>
    <font>
      <i/>
      <sz val="10.5"/>
      <color theme="0" tint="-0.249977111117893"/>
      <name val="Calibri"/>
      <family val="2"/>
    </font>
    <font>
      <b/>
      <u/>
      <sz val="10.5"/>
      <name val="Calibri"/>
      <family val="2"/>
    </font>
    <font>
      <i/>
      <sz val="10.5"/>
      <color theme="0" tint="-0.14999847407452621"/>
      <name val="Calibri"/>
      <family val="2"/>
    </font>
    <font>
      <b/>
      <sz val="10.5"/>
      <color rgb="FF0000FF"/>
      <name val="Calibri"/>
      <family val="2"/>
    </font>
    <font>
      <b/>
      <sz val="10"/>
      <color theme="0"/>
      <name val="Calibri"/>
      <family val="2"/>
    </font>
    <font>
      <b/>
      <sz val="10.5"/>
      <color rgb="FF339966"/>
      <name val="Calibri"/>
      <family val="2"/>
    </font>
    <font>
      <sz val="10.5"/>
      <color rgb="FF339966"/>
      <name val="Calibri"/>
      <family val="2"/>
    </font>
    <font>
      <i/>
      <sz val="10.5"/>
      <color rgb="FF339966"/>
      <name val="Calibri"/>
      <family val="2"/>
    </font>
    <font>
      <i/>
      <sz val="10.5"/>
      <color rgb="FF0000FF"/>
      <name val="Calibri"/>
      <family val="2"/>
    </font>
    <font>
      <i/>
      <sz val="11"/>
      <color rgb="FF0000FF"/>
      <name val="Calibri"/>
      <family val="2"/>
      <scheme val="minor"/>
    </font>
    <font>
      <sz val="10"/>
      <name val="Calibri"/>
      <family val="2"/>
    </font>
    <font>
      <sz val="10.5"/>
      <name val="Calibri"/>
      <family val="2"/>
      <scheme val="minor"/>
    </font>
    <font>
      <b/>
      <i/>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rgb="FFFFFFCC"/>
        <bgColor indexed="64"/>
      </patternFill>
    </fill>
    <fill>
      <patternFill patternType="solid">
        <fgColor theme="6" tint="-0.249977111117893"/>
        <bgColor indexed="64"/>
      </patternFill>
    </fill>
  </fills>
  <borders count="23">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bottom style="thin">
        <color theme="0" tint="-0.4999847407452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dotted">
        <color theme="0" tint="-0.499984740745262"/>
      </bottom>
      <diagonal/>
    </border>
    <border>
      <left/>
      <right/>
      <top/>
      <bottom style="dotted">
        <color theme="0" tint="-0.499984740745262"/>
      </bottom>
      <diagonal/>
    </border>
    <border>
      <left style="hair">
        <color theme="0" tint="-0.499984740745262"/>
      </left>
      <right/>
      <top style="thin">
        <color indexed="64"/>
      </top>
      <bottom style="thin">
        <color indexed="64"/>
      </bottom>
      <diagonal/>
    </border>
    <border>
      <left style="hair">
        <color theme="0" tint="-0.499984740745262"/>
      </left>
      <right/>
      <top style="thin">
        <color indexed="64"/>
      </top>
      <bottom/>
      <diagonal/>
    </border>
    <border>
      <left style="hair">
        <color theme="0" tint="-0.499984740745262"/>
      </left>
      <right/>
      <top/>
      <bottom/>
      <diagonal/>
    </border>
    <border>
      <left style="hair">
        <color theme="0" tint="-0.499984740745262"/>
      </left>
      <right/>
      <top/>
      <bottom style="thin">
        <color indexed="64"/>
      </bottom>
      <diagonal/>
    </border>
    <border>
      <left/>
      <right/>
      <top/>
      <bottom style="dashed">
        <color rgb="FF505050"/>
      </bottom>
      <diagonal/>
    </border>
  </borders>
  <cellStyleXfs count="8">
    <xf numFmtId="0" fontId="0" fillId="0" borderId="0"/>
    <xf numFmtId="9" fontId="3" fillId="0" borderId="0" applyFont="0" applyFill="0" applyBorder="0" applyAlignment="0" applyProtection="0"/>
    <xf numFmtId="0" fontId="1" fillId="0" borderId="0"/>
    <xf numFmtId="0" fontId="19" fillId="0" borderId="0"/>
    <xf numFmtId="43" fontId="19" fillId="0" borderId="0" applyFont="0" applyFill="0" applyBorder="0" applyAlignment="0" applyProtection="0"/>
    <xf numFmtId="9" fontId="19" fillId="0" borderId="0" applyFont="0" applyFill="0" applyBorder="0" applyAlignment="0" applyProtection="0"/>
    <xf numFmtId="164" fontId="3" fillId="0" borderId="0" applyFont="0" applyFill="0" applyBorder="0" applyAlignment="0" applyProtection="0"/>
    <xf numFmtId="0" fontId="19" fillId="0" borderId="0"/>
  </cellStyleXfs>
  <cellXfs count="252">
    <xf numFmtId="0" fontId="0" fillId="0" borderId="0" xfId="0"/>
    <xf numFmtId="0" fontId="4" fillId="0" borderId="0" xfId="0" applyFont="1"/>
    <xf numFmtId="168" fontId="4" fillId="0" borderId="0" xfId="0" applyNumberFormat="1" applyFont="1"/>
    <xf numFmtId="166" fontId="4" fillId="0" borderId="0" xfId="0" applyNumberFormat="1" applyFont="1"/>
    <xf numFmtId="0" fontId="4" fillId="0" borderId="0" xfId="0" applyFont="1" applyAlignment="1">
      <alignment horizontal="left"/>
    </xf>
    <xf numFmtId="0" fontId="5" fillId="4" borderId="1" xfId="0" applyFont="1" applyFill="1" applyBorder="1"/>
    <xf numFmtId="0" fontId="0" fillId="0" borderId="3" xfId="0" applyBorder="1"/>
    <xf numFmtId="0" fontId="0" fillId="0" borderId="4" xfId="0" applyBorder="1"/>
    <xf numFmtId="0" fontId="0" fillId="0" borderId="5" xfId="0" applyBorder="1"/>
    <xf numFmtId="0" fontId="0" fillId="0" borderId="6" xfId="0" applyBorder="1"/>
    <xf numFmtId="0" fontId="5" fillId="0" borderId="0" xfId="0" applyFont="1"/>
    <xf numFmtId="0" fontId="5" fillId="0" borderId="12" xfId="0" applyFont="1" applyBorder="1"/>
    <xf numFmtId="167" fontId="0" fillId="0" borderId="0" xfId="0" applyNumberFormat="1"/>
    <xf numFmtId="169" fontId="5" fillId="0" borderId="0" xfId="0" applyNumberFormat="1" applyFont="1"/>
    <xf numFmtId="167" fontId="7" fillId="3" borderId="0" xfId="0" applyNumberFormat="1" applyFont="1" applyFill="1"/>
    <xf numFmtId="167" fontId="0" fillId="3" borderId="0" xfId="0" applyNumberFormat="1" applyFill="1"/>
    <xf numFmtId="0" fontId="0" fillId="3" borderId="0" xfId="0" applyFill="1"/>
    <xf numFmtId="0" fontId="5" fillId="3" borderId="12" xfId="0" applyFont="1" applyFill="1" applyBorder="1"/>
    <xf numFmtId="0" fontId="10" fillId="0" borderId="0" xfId="0" applyFont="1" applyAlignment="1">
      <alignment horizontal="left" indent="2"/>
    </xf>
    <xf numFmtId="169" fontId="10" fillId="0" borderId="0" xfId="0" applyNumberFormat="1" applyFont="1"/>
    <xf numFmtId="0" fontId="5" fillId="0" borderId="0" xfId="0" applyFont="1" applyAlignment="1">
      <alignment horizontal="left" indent="1"/>
    </xf>
    <xf numFmtId="0" fontId="5" fillId="0" borderId="0" xfId="0" applyFont="1" applyAlignment="1">
      <alignment horizontal="left" indent="2"/>
    </xf>
    <xf numFmtId="165" fontId="9" fillId="0" borderId="0" xfId="0" applyNumberFormat="1" applyFont="1"/>
    <xf numFmtId="169" fontId="13" fillId="0" borderId="0" xfId="0" applyNumberFormat="1" applyFont="1"/>
    <xf numFmtId="169" fontId="12" fillId="0" borderId="0" xfId="0" applyNumberFormat="1" applyFont="1"/>
    <xf numFmtId="3" fontId="13" fillId="0" borderId="0" xfId="0" applyNumberFormat="1" applyFont="1"/>
    <xf numFmtId="170" fontId="13" fillId="0" borderId="0" xfId="0" applyNumberFormat="1" applyFont="1"/>
    <xf numFmtId="0" fontId="5" fillId="0" borderId="11" xfId="0" applyFont="1" applyBorder="1"/>
    <xf numFmtId="0" fontId="14" fillId="0" borderId="11" xfId="0" applyFont="1" applyBorder="1"/>
    <xf numFmtId="0" fontId="0" fillId="0" borderId="0" xfId="0" applyAlignment="1">
      <alignment horizontal="left" indent="2"/>
    </xf>
    <xf numFmtId="169" fontId="0" fillId="0" borderId="0" xfId="0" applyNumberFormat="1"/>
    <xf numFmtId="0" fontId="0" fillId="0" borderId="0" xfId="0" applyAlignment="1">
      <alignment horizontal="left" indent="3"/>
    </xf>
    <xf numFmtId="0" fontId="0" fillId="0" borderId="0" xfId="0" applyAlignment="1">
      <alignment horizontal="right"/>
    </xf>
    <xf numFmtId="14" fontId="15" fillId="0" borderId="0" xfId="0" applyNumberFormat="1" applyFont="1" applyAlignment="1">
      <alignment horizontal="right"/>
    </xf>
    <xf numFmtId="0" fontId="0" fillId="0" borderId="11" xfId="0" applyBorder="1" applyAlignment="1">
      <alignment horizontal="left" indent="2"/>
    </xf>
    <xf numFmtId="169" fontId="13" fillId="0" borderId="11" xfId="0" applyNumberFormat="1" applyFont="1" applyBorder="1"/>
    <xf numFmtId="0" fontId="0" fillId="0" borderId="11" xfId="0" applyBorder="1"/>
    <xf numFmtId="3" fontId="13" fillId="0" borderId="11" xfId="0" applyNumberFormat="1" applyFont="1" applyBorder="1"/>
    <xf numFmtId="0" fontId="0" fillId="0" borderId="11" xfId="0" applyBorder="1" applyAlignment="1">
      <alignment horizontal="left" indent="3"/>
    </xf>
    <xf numFmtId="0" fontId="16" fillId="0" borderId="0" xfId="0" applyFont="1" applyAlignment="1">
      <alignment horizontal="left" indent="2"/>
    </xf>
    <xf numFmtId="169" fontId="16" fillId="0" borderId="0" xfId="0" applyNumberFormat="1" applyFont="1"/>
    <xf numFmtId="0" fontId="17" fillId="0" borderId="0" xfId="0" applyFont="1"/>
    <xf numFmtId="0" fontId="0" fillId="0" borderId="13" xfId="0" applyBorder="1"/>
    <xf numFmtId="169" fontId="12" fillId="0" borderId="13" xfId="0" applyNumberFormat="1" applyFont="1" applyBorder="1"/>
    <xf numFmtId="169" fontId="5" fillId="0" borderId="13" xfId="0" applyNumberFormat="1" applyFont="1" applyBorder="1"/>
    <xf numFmtId="0" fontId="5" fillId="0" borderId="7" xfId="0" applyFont="1" applyBorder="1" applyAlignment="1">
      <alignment horizontal="left" indent="1"/>
    </xf>
    <xf numFmtId="169" fontId="12" fillId="0" borderId="7" xfId="0" applyNumberFormat="1" applyFont="1" applyBorder="1"/>
    <xf numFmtId="0" fontId="5" fillId="0" borderId="13" xfId="0" applyFont="1" applyBorder="1"/>
    <xf numFmtId="167" fontId="18" fillId="0" borderId="0" xfId="0" applyNumberFormat="1" applyFont="1"/>
    <xf numFmtId="167" fontId="15" fillId="0" borderId="0" xfId="0" applyNumberFormat="1" applyFont="1"/>
    <xf numFmtId="167" fontId="13" fillId="0" borderId="0" xfId="0" applyNumberFormat="1" applyFont="1"/>
    <xf numFmtId="0" fontId="20" fillId="0" borderId="0" xfId="3" applyFont="1" applyAlignment="1">
      <alignment vertical="center"/>
    </xf>
    <xf numFmtId="0" fontId="21" fillId="0" borderId="0" xfId="3" applyFont="1" applyAlignment="1">
      <alignment vertical="center"/>
    </xf>
    <xf numFmtId="0" fontId="22" fillId="0" borderId="0" xfId="3" applyFont="1"/>
    <xf numFmtId="0" fontId="23" fillId="0" borderId="0" xfId="3" applyFont="1" applyAlignment="1">
      <alignment vertical="center"/>
    </xf>
    <xf numFmtId="0" fontId="24" fillId="0" borderId="14" xfId="3" applyFont="1" applyBorder="1" applyAlignment="1">
      <alignment horizontal="center" vertical="center"/>
    </xf>
    <xf numFmtId="0" fontId="22" fillId="0" borderId="0" xfId="3" applyFont="1" applyAlignment="1">
      <alignment vertical="center"/>
    </xf>
    <xf numFmtId="0" fontId="25" fillId="0" borderId="0" xfId="3" applyFont="1" applyAlignment="1">
      <alignment vertical="center"/>
    </xf>
    <xf numFmtId="0" fontId="26" fillId="0" borderId="0" xfId="3" applyFont="1" applyAlignment="1">
      <alignment vertical="center"/>
    </xf>
    <xf numFmtId="171" fontId="22" fillId="0" borderId="0" xfId="4" applyNumberFormat="1" applyFont="1" applyFill="1" applyBorder="1" applyAlignment="1">
      <alignment horizontal="right" vertical="center"/>
    </xf>
    <xf numFmtId="172" fontId="27" fillId="0" borderId="0" xfId="3" applyNumberFormat="1" applyFont="1" applyAlignment="1">
      <alignment horizontal="right" vertical="center"/>
    </xf>
    <xf numFmtId="0" fontId="28" fillId="0" borderId="0" xfId="3" applyFont="1" applyAlignment="1">
      <alignment horizontal="right" vertical="center"/>
    </xf>
    <xf numFmtId="0" fontId="29" fillId="0" borderId="0" xfId="3" applyFont="1" applyAlignment="1">
      <alignment vertical="center"/>
    </xf>
    <xf numFmtId="0" fontId="30" fillId="0" borderId="8" xfId="3" applyFont="1" applyBorder="1" applyAlignment="1">
      <alignment horizontal="centerContinuous" vertical="center"/>
    </xf>
    <xf numFmtId="0" fontId="30" fillId="0" borderId="10" xfId="3" applyFont="1" applyBorder="1" applyAlignment="1">
      <alignment horizontal="centerContinuous" vertical="center"/>
    </xf>
    <xf numFmtId="0" fontId="30" fillId="0" borderId="9" xfId="3" applyFont="1" applyBorder="1" applyAlignment="1">
      <alignment horizontal="centerContinuous" vertical="center"/>
    </xf>
    <xf numFmtId="0" fontId="31" fillId="6" borderId="15" xfId="3" applyFont="1" applyFill="1" applyBorder="1" applyAlignment="1">
      <alignment horizontal="left" vertical="center"/>
    </xf>
    <xf numFmtId="0" fontId="32" fillId="0" borderId="0" xfId="3" applyFont="1" applyAlignment="1">
      <alignment horizontal="right" vertical="center"/>
    </xf>
    <xf numFmtId="171" fontId="32" fillId="0" borderId="0" xfId="3" applyNumberFormat="1" applyFont="1" applyAlignment="1">
      <alignment horizontal="right" vertical="center"/>
    </xf>
    <xf numFmtId="173" fontId="22" fillId="0" borderId="0" xfId="3" applyNumberFormat="1" applyFont="1" applyAlignment="1">
      <alignment horizontal="left" vertical="center"/>
    </xf>
    <xf numFmtId="0" fontId="22" fillId="0" borderId="0" xfId="3" applyFont="1" applyAlignment="1">
      <alignment horizontal="left" vertical="center"/>
    </xf>
    <xf numFmtId="0" fontId="22" fillId="0" borderId="0" xfId="3" applyFont="1" applyAlignment="1">
      <alignment horizontal="right" vertical="center"/>
    </xf>
    <xf numFmtId="171" fontId="22" fillId="0" borderId="0" xfId="4" applyNumberFormat="1" applyFont="1" applyFill="1" applyAlignment="1">
      <alignment horizontal="right" vertical="center"/>
    </xf>
    <xf numFmtId="171" fontId="22" fillId="0" borderId="0" xfId="3" applyNumberFormat="1" applyFont="1"/>
    <xf numFmtId="0" fontId="32" fillId="0" borderId="0" xfId="3" applyFont="1" applyAlignment="1">
      <alignment vertical="center"/>
    </xf>
    <xf numFmtId="0" fontId="30" fillId="0" borderId="0" xfId="3" applyFont="1" applyAlignment="1">
      <alignment vertical="center"/>
    </xf>
    <xf numFmtId="171" fontId="30" fillId="0" borderId="0" xfId="4" applyNumberFormat="1" applyFont="1" applyFill="1" applyBorder="1" applyAlignment="1">
      <alignment horizontal="right" vertical="center"/>
    </xf>
    <xf numFmtId="171" fontId="30" fillId="0" borderId="7" xfId="4" applyNumberFormat="1" applyFont="1" applyFill="1" applyBorder="1" applyAlignment="1">
      <alignment horizontal="right" vertical="center"/>
    </xf>
    <xf numFmtId="14" fontId="32" fillId="0" borderId="0" xfId="3" applyNumberFormat="1" applyFont="1" applyAlignment="1">
      <alignment horizontal="right" vertical="center"/>
    </xf>
    <xf numFmtId="171" fontId="22" fillId="0" borderId="0" xfId="3" applyNumberFormat="1" applyFont="1" applyAlignment="1">
      <alignment vertical="center"/>
    </xf>
    <xf numFmtId="14" fontId="22" fillId="0" borderId="0" xfId="3" applyNumberFormat="1" applyFont="1" applyAlignment="1">
      <alignment vertical="center"/>
    </xf>
    <xf numFmtId="171" fontId="32" fillId="0" borderId="0" xfId="3" applyNumberFormat="1" applyFont="1" applyAlignment="1">
      <alignment vertical="center"/>
    </xf>
    <xf numFmtId="171" fontId="22" fillId="0" borderId="11" xfId="4" applyNumberFormat="1" applyFont="1" applyFill="1" applyBorder="1" applyAlignment="1">
      <alignment horizontal="right" vertical="center"/>
    </xf>
    <xf numFmtId="0" fontId="30" fillId="0" borderId="0" xfId="3" applyFont="1"/>
    <xf numFmtId="167" fontId="32" fillId="0" borderId="0" xfId="5" applyNumberFormat="1" applyFont="1" applyFill="1" applyAlignment="1">
      <alignment vertical="center"/>
    </xf>
    <xf numFmtId="0" fontId="36" fillId="0" borderId="0" xfId="3" applyFont="1" applyAlignment="1">
      <alignment vertical="center"/>
    </xf>
    <xf numFmtId="0" fontId="37" fillId="0" borderId="0" xfId="3" applyFont="1" applyAlignment="1">
      <alignment vertical="center"/>
    </xf>
    <xf numFmtId="171" fontId="30" fillId="0" borderId="0" xfId="3" applyNumberFormat="1" applyFont="1" applyAlignment="1">
      <alignment horizontal="right" vertical="center"/>
    </xf>
    <xf numFmtId="0" fontId="32" fillId="0" borderId="0" xfId="3" applyFont="1" applyAlignment="1">
      <alignment horizontal="center" vertical="center"/>
    </xf>
    <xf numFmtId="173" fontId="32" fillId="0" borderId="0" xfId="3" applyNumberFormat="1" applyFont="1" applyAlignment="1">
      <alignment horizontal="right" vertical="center"/>
    </xf>
    <xf numFmtId="0" fontId="22" fillId="0" borderId="1" xfId="3" applyFont="1" applyBorder="1" applyAlignment="1">
      <alignment vertical="center"/>
    </xf>
    <xf numFmtId="0" fontId="22" fillId="0" borderId="7" xfId="3" applyFont="1" applyBorder="1" applyAlignment="1">
      <alignment vertical="center"/>
    </xf>
    <xf numFmtId="167" fontId="22" fillId="0" borderId="2" xfId="3" applyNumberFormat="1" applyFont="1" applyBorder="1" applyAlignment="1">
      <alignment vertical="center"/>
    </xf>
    <xf numFmtId="176" fontId="30" fillId="0" borderId="16" xfId="3" applyNumberFormat="1" applyFont="1" applyBorder="1" applyAlignment="1">
      <alignment horizontal="center"/>
    </xf>
    <xf numFmtId="177" fontId="30" fillId="0" borderId="16" xfId="3" applyNumberFormat="1" applyFont="1" applyBorder="1" applyAlignment="1">
      <alignment horizontal="center"/>
    </xf>
    <xf numFmtId="0" fontId="30" fillId="0" borderId="3" xfId="3" applyFont="1" applyBorder="1" applyAlignment="1">
      <alignment vertical="center"/>
    </xf>
    <xf numFmtId="171" fontId="30" fillId="0" borderId="2" xfId="4" applyNumberFormat="1" applyFont="1" applyFill="1" applyBorder="1" applyAlignment="1">
      <alignment horizontal="right" vertical="center"/>
    </xf>
    <xf numFmtId="174" fontId="30" fillId="0" borderId="0" xfId="3" applyNumberFormat="1" applyFont="1" applyAlignment="1">
      <alignment horizontal="right" vertical="center"/>
    </xf>
    <xf numFmtId="0" fontId="22" fillId="0" borderId="5" xfId="3" applyFont="1" applyBorder="1" applyAlignment="1">
      <alignment vertical="center"/>
    </xf>
    <xf numFmtId="0" fontId="22" fillId="0" borderId="11" xfId="3" applyFont="1" applyBorder="1" applyAlignment="1">
      <alignment vertical="center"/>
    </xf>
    <xf numFmtId="171" fontId="22" fillId="0" borderId="6" xfId="4" applyNumberFormat="1" applyFont="1" applyFill="1" applyBorder="1" applyAlignment="1">
      <alignment horizontal="right" vertical="center"/>
    </xf>
    <xf numFmtId="174" fontId="32" fillId="0" borderId="0" xfId="3" applyNumberFormat="1" applyFont="1" applyAlignment="1">
      <alignment horizontal="right" vertical="center"/>
    </xf>
    <xf numFmtId="171" fontId="32" fillId="0" borderId="0" xfId="4" applyNumberFormat="1" applyFont="1" applyFill="1" applyBorder="1" applyAlignment="1">
      <alignment horizontal="right" vertical="center"/>
    </xf>
    <xf numFmtId="178" fontId="32" fillId="0" borderId="0" xfId="3" applyNumberFormat="1" applyFont="1" applyAlignment="1">
      <alignment horizontal="right" vertical="center"/>
    </xf>
    <xf numFmtId="0" fontId="22" fillId="0" borderId="0" xfId="3" applyFont="1" applyAlignment="1">
      <alignment horizontal="right"/>
    </xf>
    <xf numFmtId="0" fontId="30" fillId="0" borderId="0" xfId="3" applyFont="1" applyAlignment="1">
      <alignment horizontal="center" vertical="center"/>
    </xf>
    <xf numFmtId="173" fontId="38" fillId="0" borderId="0" xfId="3" applyNumberFormat="1" applyFont="1" applyAlignment="1">
      <alignment horizontal="center" vertical="center"/>
    </xf>
    <xf numFmtId="0" fontId="38" fillId="0" borderId="0" xfId="3" applyFont="1" applyAlignment="1">
      <alignment horizontal="center" vertical="center"/>
    </xf>
    <xf numFmtId="0" fontId="30" fillId="0" borderId="0" xfId="3" applyFont="1" applyAlignment="1">
      <alignment horizontal="left" vertical="center"/>
    </xf>
    <xf numFmtId="179" fontId="33" fillId="0" borderId="0" xfId="3" applyNumberFormat="1" applyFont="1" applyAlignment="1">
      <alignment horizontal="right" vertical="center"/>
    </xf>
    <xf numFmtId="167" fontId="22" fillId="0" borderId="0" xfId="3" applyNumberFormat="1" applyFont="1"/>
    <xf numFmtId="175" fontId="22" fillId="0" borderId="0" xfId="3" applyNumberFormat="1" applyFont="1"/>
    <xf numFmtId="174" fontId="22" fillId="0" borderId="0" xfId="3" applyNumberFormat="1" applyFont="1" applyAlignment="1">
      <alignment horizontal="right" vertical="center"/>
    </xf>
    <xf numFmtId="0" fontId="22" fillId="0" borderId="0" xfId="3" applyFont="1" applyAlignment="1">
      <alignment horizontal="center"/>
    </xf>
    <xf numFmtId="0" fontId="22" fillId="0" borderId="11" xfId="3" applyFont="1" applyBorder="1"/>
    <xf numFmtId="179" fontId="33" fillId="0" borderId="11" xfId="3" applyNumberFormat="1" applyFont="1" applyBorder="1" applyAlignment="1">
      <alignment horizontal="right" vertical="center"/>
    </xf>
    <xf numFmtId="0" fontId="22" fillId="0" borderId="7" xfId="3" applyFont="1" applyBorder="1"/>
    <xf numFmtId="173" fontId="29" fillId="0" borderId="17" xfId="3" applyNumberFormat="1" applyFont="1" applyBorder="1" applyAlignment="1">
      <alignment horizontal="center" vertical="center"/>
    </xf>
    <xf numFmtId="167" fontId="30" fillId="0" borderId="0" xfId="5" applyNumberFormat="1" applyFont="1" applyFill="1" applyAlignment="1">
      <alignment vertical="center"/>
    </xf>
    <xf numFmtId="14" fontId="22" fillId="0" borderId="0" xfId="3" applyNumberFormat="1" applyFont="1"/>
    <xf numFmtId="0" fontId="22" fillId="0" borderId="0" xfId="3" applyFont="1" applyAlignment="1">
      <alignment horizontal="center" vertical="center"/>
    </xf>
    <xf numFmtId="0" fontId="30" fillId="0" borderId="11" xfId="3" applyFont="1" applyBorder="1"/>
    <xf numFmtId="171" fontId="22" fillId="0" borderId="11" xfId="3" applyNumberFormat="1" applyFont="1" applyBorder="1" applyAlignment="1">
      <alignment vertical="center"/>
    </xf>
    <xf numFmtId="171" fontId="30" fillId="0" borderId="10" xfId="3" applyNumberFormat="1" applyFont="1" applyBorder="1" applyAlignment="1">
      <alignment vertical="center"/>
    </xf>
    <xf numFmtId="0" fontId="22" fillId="0" borderId="0" xfId="3" applyFont="1" applyAlignment="1">
      <alignment horizontal="centerContinuous"/>
    </xf>
    <xf numFmtId="167" fontId="39" fillId="0" borderId="0" xfId="3" applyNumberFormat="1" applyFont="1"/>
    <xf numFmtId="167" fontId="30" fillId="0" borderId="11" xfId="3" applyNumberFormat="1" applyFont="1" applyBorder="1"/>
    <xf numFmtId="167" fontId="40" fillId="0" borderId="11" xfId="3" applyNumberFormat="1" applyFont="1" applyBorder="1"/>
    <xf numFmtId="0" fontId="30" fillId="0" borderId="1" xfId="3" applyFont="1" applyBorder="1" applyAlignment="1">
      <alignment horizontal="left" vertical="center"/>
    </xf>
    <xf numFmtId="14" fontId="22" fillId="0" borderId="7" xfId="3" applyNumberFormat="1" applyFont="1" applyBorder="1"/>
    <xf numFmtId="171" fontId="30" fillId="0" borderId="7" xfId="3" applyNumberFormat="1" applyFont="1" applyBorder="1" applyAlignment="1">
      <alignment vertical="center"/>
    </xf>
    <xf numFmtId="171" fontId="30" fillId="0" borderId="2" xfId="3" applyNumberFormat="1" applyFont="1" applyBorder="1" applyAlignment="1">
      <alignment vertical="center"/>
    </xf>
    <xf numFmtId="0" fontId="22" fillId="0" borderId="0" xfId="3" applyFont="1" applyAlignment="1">
      <alignment horizontal="right" textRotation="90"/>
    </xf>
    <xf numFmtId="174" fontId="30" fillId="0" borderId="0" xfId="3" applyNumberFormat="1" applyFont="1"/>
    <xf numFmtId="167" fontId="22" fillId="0" borderId="1" xfId="5" applyNumberFormat="1" applyFont="1" applyFill="1" applyBorder="1"/>
    <xf numFmtId="167" fontId="22" fillId="0" borderId="7" xfId="5" applyNumberFormat="1" applyFont="1" applyFill="1" applyBorder="1"/>
    <xf numFmtId="167" fontId="22" fillId="0" borderId="2" xfId="5" applyNumberFormat="1" applyFont="1" applyBorder="1"/>
    <xf numFmtId="0" fontId="30" fillId="0" borderId="3" xfId="3" applyFont="1" applyBorder="1"/>
    <xf numFmtId="167" fontId="30" fillId="0" borderId="0" xfId="5" applyNumberFormat="1" applyFont="1" applyFill="1" applyBorder="1"/>
    <xf numFmtId="167" fontId="30" fillId="0" borderId="4" xfId="5" applyNumberFormat="1" applyFont="1" applyFill="1" applyBorder="1"/>
    <xf numFmtId="167" fontId="22" fillId="0" borderId="3" xfId="5" applyNumberFormat="1" applyFont="1" applyFill="1" applyBorder="1"/>
    <xf numFmtId="167" fontId="22" fillId="0" borderId="0" xfId="5" applyNumberFormat="1" applyFont="1" applyFill="1" applyBorder="1"/>
    <xf numFmtId="167" fontId="22" fillId="0" borderId="4" xfId="5" applyNumberFormat="1" applyFont="1" applyBorder="1"/>
    <xf numFmtId="0" fontId="30" fillId="0" borderId="5" xfId="3" applyFont="1" applyBorder="1"/>
    <xf numFmtId="180" fontId="30" fillId="0" borderId="11" xfId="3" applyNumberFormat="1" applyFont="1" applyBorder="1" applyAlignment="1">
      <alignment horizontal="right" vertical="center"/>
    </xf>
    <xf numFmtId="180" fontId="30" fillId="0" borderId="6" xfId="3" applyNumberFormat="1" applyFont="1" applyBorder="1" applyAlignment="1">
      <alignment horizontal="right" vertical="center"/>
    </xf>
    <xf numFmtId="174" fontId="40" fillId="0" borderId="0" xfId="3" applyNumberFormat="1" applyFont="1"/>
    <xf numFmtId="0" fontId="31" fillId="0" borderId="0" xfId="3" applyFont="1" applyAlignment="1">
      <alignment horizontal="left" vertical="center"/>
    </xf>
    <xf numFmtId="167" fontId="22" fillId="0" borderId="5" xfId="5" applyNumberFormat="1" applyFont="1" applyFill="1" applyBorder="1"/>
    <xf numFmtId="167" fontId="22" fillId="0" borderId="11" xfId="5" applyNumberFormat="1" applyFont="1" applyFill="1" applyBorder="1"/>
    <xf numFmtId="167" fontId="22" fillId="0" borderId="6" xfId="5" applyNumberFormat="1" applyFont="1" applyBorder="1"/>
    <xf numFmtId="181" fontId="31" fillId="6" borderId="15" xfId="3" applyNumberFormat="1" applyFont="1" applyFill="1" applyBorder="1" applyAlignment="1">
      <alignment horizontal="left" vertical="center"/>
    </xf>
    <xf numFmtId="0" fontId="22" fillId="0" borderId="10" xfId="3" applyFont="1" applyBorder="1" applyAlignment="1">
      <alignment horizontal="centerContinuous"/>
    </xf>
    <xf numFmtId="0" fontId="30" fillId="0" borderId="18" xfId="3" applyFont="1" applyBorder="1" applyAlignment="1">
      <alignment horizontal="centerContinuous" vertical="center"/>
    </xf>
    <xf numFmtId="182" fontId="29" fillId="0" borderId="8" xfId="3" applyNumberFormat="1" applyFont="1" applyBorder="1" applyAlignment="1">
      <alignment horizontal="center" vertical="center"/>
    </xf>
    <xf numFmtId="182" fontId="29" fillId="0" borderId="11" xfId="3" applyNumberFormat="1" applyFont="1" applyBorder="1" applyAlignment="1">
      <alignment horizontal="center" vertical="center"/>
    </xf>
    <xf numFmtId="176" fontId="29" fillId="0" borderId="18" xfId="3" applyNumberFormat="1" applyFont="1" applyBorder="1" applyAlignment="1">
      <alignment horizontal="center" vertical="center"/>
    </xf>
    <xf numFmtId="177" fontId="29" fillId="0" borderId="10" xfId="3" applyNumberFormat="1" applyFont="1" applyBorder="1" applyAlignment="1">
      <alignment horizontal="center" vertical="center"/>
    </xf>
    <xf numFmtId="177" fontId="29" fillId="0" borderId="9" xfId="3" applyNumberFormat="1" applyFont="1" applyBorder="1" applyAlignment="1">
      <alignment horizontal="center" vertical="center"/>
    </xf>
    <xf numFmtId="173" fontId="29" fillId="0" borderId="8" xfId="3" applyNumberFormat="1" applyFont="1" applyBorder="1" applyAlignment="1">
      <alignment horizontal="center" vertical="center"/>
    </xf>
    <xf numFmtId="173" fontId="29" fillId="0" borderId="14" xfId="3" applyNumberFormat="1" applyFont="1" applyBorder="1" applyAlignment="1">
      <alignment horizontal="center" vertical="center"/>
    </xf>
    <xf numFmtId="171" fontId="30" fillId="0" borderId="0" xfId="4" applyNumberFormat="1" applyFont="1" applyFill="1" applyAlignment="1">
      <alignment horizontal="right" vertical="center"/>
    </xf>
    <xf numFmtId="171" fontId="30" fillId="0" borderId="19" xfId="4" applyNumberFormat="1" applyFont="1" applyFill="1" applyBorder="1" applyAlignment="1">
      <alignment horizontal="right" vertical="center"/>
    </xf>
    <xf numFmtId="167" fontId="34" fillId="0" borderId="0" xfId="5" applyNumberFormat="1" applyFont="1" applyFill="1" applyAlignment="1">
      <alignment horizontal="center" vertical="center"/>
    </xf>
    <xf numFmtId="0" fontId="34" fillId="0" borderId="0" xfId="3" applyFont="1" applyAlignment="1">
      <alignment horizontal="left" vertical="center" indent="1"/>
    </xf>
    <xf numFmtId="175" fontId="34" fillId="0" borderId="0" xfId="3" applyNumberFormat="1" applyFont="1" applyAlignment="1">
      <alignment horizontal="right" vertical="center"/>
    </xf>
    <xf numFmtId="175" fontId="34" fillId="0" borderId="20" xfId="3" applyNumberFormat="1" applyFont="1" applyBorder="1" applyAlignment="1">
      <alignment horizontal="right" vertical="center"/>
    </xf>
    <xf numFmtId="171" fontId="22" fillId="0" borderId="20" xfId="4" applyNumberFormat="1" applyFont="1" applyFill="1" applyBorder="1" applyAlignment="1">
      <alignment horizontal="right" vertical="center"/>
    </xf>
    <xf numFmtId="0" fontId="34" fillId="0" borderId="0" xfId="3" applyFont="1" applyAlignment="1">
      <alignment horizontal="left" vertical="center"/>
    </xf>
    <xf numFmtId="171" fontId="30" fillId="0" borderId="20" xfId="4" applyNumberFormat="1" applyFont="1" applyFill="1" applyBorder="1" applyAlignment="1">
      <alignment horizontal="right" vertical="center"/>
    </xf>
    <xf numFmtId="171" fontId="32" fillId="0" borderId="0" xfId="4" applyNumberFormat="1" applyFont="1" applyFill="1" applyAlignment="1">
      <alignment horizontal="right" vertical="center"/>
    </xf>
    <xf numFmtId="0" fontId="35" fillId="0" borderId="0" xfId="3" applyFont="1" applyAlignment="1">
      <alignment vertical="center"/>
    </xf>
    <xf numFmtId="0" fontId="34" fillId="0" borderId="7" xfId="3" applyFont="1" applyBorder="1" applyAlignment="1">
      <alignment vertical="center"/>
    </xf>
    <xf numFmtId="183" fontId="34" fillId="0" borderId="7" xfId="4" applyNumberFormat="1" applyFont="1" applyFill="1" applyBorder="1" applyAlignment="1">
      <alignment horizontal="right" vertical="center"/>
    </xf>
    <xf numFmtId="0" fontId="34" fillId="0" borderId="0" xfId="3" applyFont="1" applyAlignment="1">
      <alignment vertical="center"/>
    </xf>
    <xf numFmtId="183" fontId="34" fillId="0" borderId="0" xfId="4" applyNumberFormat="1" applyFont="1" applyFill="1" applyBorder="1" applyAlignment="1">
      <alignment horizontal="right" vertical="center"/>
    </xf>
    <xf numFmtId="0" fontId="34" fillId="0" borderId="11" xfId="3" applyFont="1" applyBorder="1" applyAlignment="1">
      <alignment vertical="center"/>
    </xf>
    <xf numFmtId="2" fontId="22" fillId="0" borderId="11" xfId="3" applyNumberFormat="1" applyFont="1" applyBorder="1" applyAlignment="1">
      <alignment vertical="center"/>
    </xf>
    <xf numFmtId="171" fontId="30" fillId="0" borderId="0" xfId="3" applyNumberFormat="1" applyFont="1" applyAlignment="1">
      <alignment horizontal="center" vertical="center"/>
    </xf>
    <xf numFmtId="2" fontId="22" fillId="0" borderId="0" xfId="3" applyNumberFormat="1" applyFont="1"/>
    <xf numFmtId="0" fontId="14" fillId="0" borderId="11" xfId="0" applyFont="1" applyBorder="1" applyAlignment="1">
      <alignment horizontal="right"/>
    </xf>
    <xf numFmtId="2" fontId="0" fillId="0" borderId="0" xfId="0" applyNumberFormat="1"/>
    <xf numFmtId="0" fontId="14" fillId="0" borderId="0" xfId="0" applyFont="1"/>
    <xf numFmtId="0" fontId="14" fillId="7" borderId="11" xfId="0" applyFont="1" applyFill="1" applyBorder="1"/>
    <xf numFmtId="0" fontId="0" fillId="7" borderId="0" xfId="0" applyFill="1" applyAlignment="1">
      <alignment horizontal="right"/>
    </xf>
    <xf numFmtId="14" fontId="15" fillId="7" borderId="0" xfId="0" applyNumberFormat="1" applyFont="1" applyFill="1" applyAlignment="1">
      <alignment horizontal="right"/>
    </xf>
    <xf numFmtId="0" fontId="0" fillId="7" borderId="0" xfId="0" applyFill="1"/>
    <xf numFmtId="3" fontId="15" fillId="7" borderId="0" xfId="0" applyNumberFormat="1" applyFont="1" applyFill="1"/>
    <xf numFmtId="3" fontId="15" fillId="7" borderId="11" xfId="0" applyNumberFormat="1" applyFont="1" applyFill="1" applyBorder="1"/>
    <xf numFmtId="169" fontId="14" fillId="7" borderId="0" xfId="0" applyNumberFormat="1" applyFont="1" applyFill="1"/>
    <xf numFmtId="169" fontId="5" fillId="7" borderId="0" xfId="0" applyNumberFormat="1" applyFont="1" applyFill="1"/>
    <xf numFmtId="0" fontId="15" fillId="7" borderId="0" xfId="0" applyFont="1" applyFill="1"/>
    <xf numFmtId="0" fontId="0" fillId="7" borderId="11" xfId="0" applyFill="1" applyBorder="1"/>
    <xf numFmtId="169" fontId="16" fillId="7" borderId="0" xfId="0" applyNumberFormat="1" applyFont="1" applyFill="1"/>
    <xf numFmtId="169" fontId="5" fillId="7" borderId="13" xfId="0" applyNumberFormat="1" applyFont="1" applyFill="1" applyBorder="1"/>
    <xf numFmtId="0" fontId="17" fillId="7" borderId="0" xfId="0" applyFont="1" applyFill="1"/>
    <xf numFmtId="169" fontId="12" fillId="7" borderId="7" xfId="0" applyNumberFormat="1" applyFont="1" applyFill="1" applyBorder="1"/>
    <xf numFmtId="169" fontId="13" fillId="7" borderId="0" xfId="0" applyNumberFormat="1" applyFont="1" applyFill="1"/>
    <xf numFmtId="169" fontId="12" fillId="7" borderId="0" xfId="0" applyNumberFormat="1" applyFont="1" applyFill="1"/>
    <xf numFmtId="169" fontId="0" fillId="7" borderId="0" xfId="0" applyNumberFormat="1" applyFill="1"/>
    <xf numFmtId="184" fontId="0" fillId="7" borderId="0" xfId="6" applyNumberFormat="1" applyFont="1" applyFill="1"/>
    <xf numFmtId="0" fontId="10" fillId="0" borderId="0" xfId="0" applyFont="1"/>
    <xf numFmtId="2" fontId="10" fillId="0" borderId="0" xfId="0" applyNumberFormat="1" applyFont="1"/>
    <xf numFmtId="2" fontId="10" fillId="7" borderId="0" xfId="0" applyNumberFormat="1" applyFont="1" applyFill="1"/>
    <xf numFmtId="14" fontId="0" fillId="0" borderId="0" xfId="0" applyNumberFormat="1"/>
    <xf numFmtId="0" fontId="6" fillId="4" borderId="2" xfId="0" applyFont="1" applyFill="1" applyBorder="1"/>
    <xf numFmtId="185" fontId="22" fillId="0" borderId="0" xfId="6" applyNumberFormat="1" applyFont="1" applyAlignment="1">
      <alignment vertical="center"/>
    </xf>
    <xf numFmtId="0" fontId="31" fillId="8" borderId="15" xfId="3" applyFont="1" applyFill="1" applyBorder="1" applyAlignment="1">
      <alignment horizontal="left" vertical="center"/>
    </xf>
    <xf numFmtId="0" fontId="41" fillId="6" borderId="15" xfId="3" applyFont="1" applyFill="1" applyBorder="1" applyAlignment="1">
      <alignment horizontal="right" vertical="center"/>
    </xf>
    <xf numFmtId="0" fontId="0" fillId="0" borderId="0" xfId="0" applyAlignment="1">
      <alignment vertical="center"/>
    </xf>
    <xf numFmtId="188" fontId="0" fillId="0" borderId="0" xfId="0" applyNumberFormat="1" applyAlignment="1">
      <alignment vertical="center"/>
    </xf>
    <xf numFmtId="2" fontId="0" fillId="0" borderId="0" xfId="0" applyNumberFormat="1" applyAlignment="1">
      <alignment vertical="center"/>
    </xf>
    <xf numFmtId="0" fontId="0" fillId="2" borderId="11" xfId="0" applyFill="1" applyBorder="1" applyAlignment="1">
      <alignment horizontal="right" vertical="center"/>
    </xf>
    <xf numFmtId="171" fontId="42" fillId="0" borderId="0" xfId="4" applyNumberFormat="1" applyFont="1" applyFill="1" applyAlignment="1">
      <alignment horizontal="right" vertical="center"/>
    </xf>
    <xf numFmtId="171" fontId="43" fillId="0" borderId="0" xfId="4" applyNumberFormat="1" applyFont="1" applyFill="1" applyAlignment="1">
      <alignment horizontal="right" vertical="center"/>
    </xf>
    <xf numFmtId="0" fontId="35" fillId="0" borderId="11" xfId="3" applyFont="1" applyBorder="1" applyAlignment="1">
      <alignment vertical="center"/>
    </xf>
    <xf numFmtId="167" fontId="44" fillId="0" borderId="19" xfId="1" applyNumberFormat="1" applyFont="1" applyFill="1" applyBorder="1" applyAlignment="1">
      <alignment horizontal="right" vertical="center"/>
    </xf>
    <xf numFmtId="167" fontId="44" fillId="0" borderId="7" xfId="1" applyNumberFormat="1" applyFont="1" applyFill="1" applyBorder="1" applyAlignment="1">
      <alignment horizontal="right" vertical="center"/>
    </xf>
    <xf numFmtId="167" fontId="44" fillId="0" borderId="2" xfId="1" applyNumberFormat="1" applyFont="1" applyFill="1" applyBorder="1" applyAlignment="1">
      <alignment horizontal="right" vertical="center"/>
    </xf>
    <xf numFmtId="167" fontId="44" fillId="0" borderId="20" xfId="1" applyNumberFormat="1" applyFont="1" applyFill="1" applyBorder="1" applyAlignment="1">
      <alignment horizontal="right" vertical="center"/>
    </xf>
    <xf numFmtId="167" fontId="44" fillId="0" borderId="0" xfId="1" applyNumberFormat="1" applyFont="1" applyFill="1" applyBorder="1" applyAlignment="1">
      <alignment horizontal="right" vertical="center"/>
    </xf>
    <xf numFmtId="167" fontId="44" fillId="0" borderId="4" xfId="1" applyNumberFormat="1" applyFont="1" applyFill="1" applyBorder="1" applyAlignment="1">
      <alignment horizontal="right" vertical="center"/>
    </xf>
    <xf numFmtId="167" fontId="44" fillId="0" borderId="21" xfId="1" applyNumberFormat="1" applyFont="1" applyFill="1" applyBorder="1" applyAlignment="1">
      <alignment horizontal="right" vertical="center"/>
    </xf>
    <xf numFmtId="167" fontId="44" fillId="0" borderId="11" xfId="1" applyNumberFormat="1" applyFont="1" applyFill="1" applyBorder="1" applyAlignment="1">
      <alignment horizontal="right" vertical="center"/>
    </xf>
    <xf numFmtId="167" fontId="44" fillId="0" borderId="6" xfId="1" applyNumberFormat="1" applyFont="1" applyFill="1" applyBorder="1" applyAlignment="1">
      <alignment horizontal="right" vertical="center"/>
    </xf>
    <xf numFmtId="183" fontId="34" fillId="0" borderId="11" xfId="4" applyNumberFormat="1" applyFont="1" applyFill="1" applyBorder="1" applyAlignment="1">
      <alignment horizontal="right" vertical="center"/>
    </xf>
    <xf numFmtId="167" fontId="45" fillId="0" borderId="20" xfId="1" applyNumberFormat="1" applyFont="1" applyFill="1" applyBorder="1" applyAlignment="1">
      <alignment horizontal="right" vertical="center"/>
    </xf>
    <xf numFmtId="167" fontId="45" fillId="0" borderId="0" xfId="1" applyNumberFormat="1" applyFont="1" applyFill="1" applyBorder="1" applyAlignment="1">
      <alignment horizontal="right" vertical="center"/>
    </xf>
    <xf numFmtId="167" fontId="45" fillId="0" borderId="4" xfId="1" applyNumberFormat="1" applyFont="1" applyFill="1" applyBorder="1" applyAlignment="1">
      <alignment horizontal="right" vertical="center"/>
    </xf>
    <xf numFmtId="189" fontId="34" fillId="0" borderId="0" xfId="4" applyNumberFormat="1" applyFont="1" applyFill="1" applyBorder="1" applyAlignment="1">
      <alignment horizontal="right" vertical="center"/>
    </xf>
    <xf numFmtId="171" fontId="42" fillId="0" borderId="0" xfId="4" applyNumberFormat="1" applyFont="1" applyFill="1" applyBorder="1" applyAlignment="1">
      <alignment horizontal="right" vertical="center"/>
    </xf>
    <xf numFmtId="171" fontId="42" fillId="0" borderId="7" xfId="4" applyNumberFormat="1" applyFont="1" applyFill="1" applyBorder="1" applyAlignment="1">
      <alignment horizontal="right" vertical="center"/>
    </xf>
    <xf numFmtId="0" fontId="34" fillId="0" borderId="0" xfId="3" applyFont="1"/>
    <xf numFmtId="186" fontId="32" fillId="0" borderId="0" xfId="3" applyNumberFormat="1" applyFont="1"/>
    <xf numFmtId="0" fontId="22" fillId="0" borderId="15" xfId="3" applyFont="1" applyBorder="1"/>
    <xf numFmtId="0" fontId="30" fillId="0" borderId="15" xfId="3" applyFont="1" applyBorder="1" applyAlignment="1">
      <alignment horizontal="right"/>
    </xf>
    <xf numFmtId="187" fontId="30" fillId="0" borderId="0" xfId="3" applyNumberFormat="1" applyFont="1"/>
    <xf numFmtId="167" fontId="34" fillId="0" borderId="0" xfId="1" applyNumberFormat="1" applyFont="1" applyFill="1"/>
    <xf numFmtId="167" fontId="34" fillId="0" borderId="0" xfId="3" applyNumberFormat="1" applyFont="1"/>
    <xf numFmtId="167" fontId="46" fillId="0" borderId="0" xfId="1" applyNumberFormat="1" applyFont="1"/>
    <xf numFmtId="186" fontId="32" fillId="0" borderId="0" xfId="3" applyNumberFormat="1" applyFont="1" applyAlignment="1">
      <alignment horizontal="right" vertical="center"/>
    </xf>
    <xf numFmtId="174" fontId="33" fillId="0" borderId="0" xfId="3" applyNumberFormat="1" applyFont="1" applyAlignment="1">
      <alignment horizontal="right" vertical="center"/>
    </xf>
    <xf numFmtId="190" fontId="30" fillId="0" borderId="0" xfId="5" applyNumberFormat="1" applyFont="1" applyFill="1" applyAlignment="1">
      <alignment vertical="center"/>
    </xf>
    <xf numFmtId="0" fontId="30" fillId="0" borderId="15" xfId="7" applyFont="1" applyBorder="1" applyAlignment="1">
      <alignment horizontal="left" vertical="center"/>
    </xf>
    <xf numFmtId="0" fontId="29" fillId="0" borderId="15" xfId="7" applyFont="1" applyBorder="1" applyAlignment="1">
      <alignment horizontal="left" vertical="center"/>
    </xf>
    <xf numFmtId="0" fontId="47" fillId="0" borderId="0" xfId="7" applyFont="1"/>
    <xf numFmtId="0" fontId="5" fillId="0" borderId="22" xfId="0" applyFont="1" applyBorder="1"/>
    <xf numFmtId="167" fontId="5" fillId="0" borderId="0" xfId="0" applyNumberFormat="1" applyFont="1"/>
    <xf numFmtId="167" fontId="49" fillId="0" borderId="0" xfId="0" applyNumberFormat="1" applyFont="1"/>
    <xf numFmtId="0" fontId="48" fillId="0" borderId="0" xfId="3" applyFont="1" applyAlignment="1">
      <alignment horizontal="center" wrapText="1"/>
    </xf>
    <xf numFmtId="0" fontId="8" fillId="5" borderId="0" xfId="0" applyFont="1" applyFill="1" applyAlignment="1">
      <alignment horizontal="center"/>
    </xf>
    <xf numFmtId="0" fontId="2" fillId="0" borderId="0" xfId="7" applyFont="1" applyAlignment="1">
      <alignment vertical="top" wrapText="1"/>
    </xf>
  </cellXfs>
  <cellStyles count="8">
    <cellStyle name="Comma" xfId="6" builtinId="3"/>
    <cellStyle name="Comma 2" xfId="4" xr:uid="{8060D2AA-00F6-4789-9F62-691238FB4C52}"/>
    <cellStyle name="Normal" xfId="0" builtinId="0"/>
    <cellStyle name="Normal 13" xfId="7" xr:uid="{2006E3D3-E288-4D24-87B4-5D2B972EA4B6}"/>
    <cellStyle name="Normal 2" xfId="2" xr:uid="{00000000-0005-0000-0000-000002000000}"/>
    <cellStyle name="Normal 3" xfId="3" xr:uid="{644A423C-737E-4A6C-BE16-F31550B7A59C}"/>
    <cellStyle name="Per cent 2" xfId="5" xr:uid="{9E52191B-9737-436A-8DDE-DB26DF016CDF}"/>
    <cellStyle name="Percent" xfId="1" builtinId="5"/>
  </cellStyles>
  <dxfs count="4">
    <dxf>
      <font>
        <b val="0"/>
        <i/>
        <color theme="0" tint="-0.24994659260841701"/>
      </font>
    </dxf>
    <dxf>
      <font>
        <b/>
        <i val="0"/>
        <color theme="4"/>
      </font>
    </dxf>
    <dxf>
      <font>
        <b val="0"/>
        <i/>
        <color theme="0" tint="-0.24994659260841701"/>
      </font>
    </dxf>
    <dxf>
      <font>
        <b/>
        <i val="0"/>
        <color theme="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9966"/>
      <color rgb="FF0000FF"/>
      <color rgb="FF339933"/>
      <color rgb="FFFFFFCC"/>
      <color rgb="FF3572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Summary!$I$35:$J$35</c:f>
              <c:strCache>
                <c:ptCount val="2"/>
                <c:pt idx="0">
                  <c:v>Revenue</c:v>
                </c:pt>
              </c:strCache>
            </c:strRef>
          </c:tx>
          <c:spPr>
            <a:ln w="28575" cap="rnd">
              <a:solidFill>
                <a:schemeClr val="accent6">
                  <a:lumMod val="50000"/>
                </a:schemeClr>
              </a:solidFill>
              <a:round/>
            </a:ln>
            <a:effectLst/>
          </c:spPr>
          <c:marker>
            <c:symbol val="diamond"/>
            <c:size val="8"/>
            <c:spPr>
              <a:solidFill>
                <a:schemeClr val="accent6">
                  <a:lumMod val="50000"/>
                </a:schemeClr>
              </a:solidFill>
              <a:ln w="9525">
                <a:solidFill>
                  <a:schemeClr val="accent6">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Summary!$K$34:$L$34</c:f>
              <c:strCache>
                <c:ptCount val="2"/>
                <c:pt idx="0">
                  <c:v>Q1 2023</c:v>
                </c:pt>
                <c:pt idx="1">
                  <c:v>Q1 2024</c:v>
                </c:pt>
              </c:strCache>
            </c:strRef>
          </c:cat>
          <c:val>
            <c:numRef>
              <c:f>Summary!$K$35:$L$35</c:f>
              <c:numCache>
                <c:formatCode>0.0</c:formatCode>
                <c:ptCount val="2"/>
                <c:pt idx="0">
                  <c:v>713.68105705000039</c:v>
                </c:pt>
                <c:pt idx="1">
                  <c:v>910.1179484890107</c:v>
                </c:pt>
              </c:numCache>
            </c:numRef>
          </c:val>
          <c:smooth val="0"/>
          <c:extLst>
            <c:ext xmlns:c16="http://schemas.microsoft.com/office/drawing/2014/chart" uri="{C3380CC4-5D6E-409C-BE32-E72D297353CC}">
              <c16:uniqueId val="{00000000-F65E-4B31-B01B-AF3F63D17B4F}"/>
            </c:ext>
          </c:extLst>
        </c:ser>
        <c:ser>
          <c:idx val="1"/>
          <c:order val="1"/>
          <c:tx>
            <c:strRef>
              <c:f>Summary!$I$38</c:f>
              <c:strCache>
                <c:ptCount val="1"/>
                <c:pt idx="0">
                  <c:v>Gross Profit</c:v>
                </c:pt>
              </c:strCache>
            </c:strRef>
          </c:tx>
          <c:spPr>
            <a:ln w="28575" cap="rnd">
              <a:solidFill>
                <a:schemeClr val="bg2">
                  <a:lumMod val="75000"/>
                </a:schemeClr>
              </a:solidFill>
              <a:round/>
            </a:ln>
            <a:effectLst/>
          </c:spPr>
          <c:marker>
            <c:symbol val="diamond"/>
            <c:size val="8"/>
            <c:spPr>
              <a:solidFill>
                <a:schemeClr val="bg2">
                  <a:lumMod val="75000"/>
                </a:schemeClr>
              </a:solidFill>
              <a:ln w="9525">
                <a:solidFill>
                  <a:schemeClr val="bg2">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Summary!$K$38:$L$38</c:f>
              <c:numCache>
                <c:formatCode>0.0</c:formatCode>
                <c:ptCount val="2"/>
                <c:pt idx="0">
                  <c:v>274.76720696425014</c:v>
                </c:pt>
                <c:pt idx="1">
                  <c:v>387.71024605631857</c:v>
                </c:pt>
              </c:numCache>
            </c:numRef>
          </c:val>
          <c:smooth val="0"/>
          <c:extLst>
            <c:ext xmlns:c16="http://schemas.microsoft.com/office/drawing/2014/chart" uri="{C3380CC4-5D6E-409C-BE32-E72D297353CC}">
              <c16:uniqueId val="{00000001-F65E-4B31-B01B-AF3F63D17B4F}"/>
            </c:ext>
          </c:extLst>
        </c:ser>
        <c:ser>
          <c:idx val="2"/>
          <c:order val="2"/>
          <c:tx>
            <c:strRef>
              <c:f>Summary!$I$42</c:f>
              <c:strCache>
                <c:ptCount val="1"/>
                <c:pt idx="0">
                  <c:v>EBITDA</c:v>
                </c:pt>
              </c:strCache>
            </c:strRef>
          </c:tx>
          <c:spPr>
            <a:ln w="28575" cap="rnd">
              <a:solidFill>
                <a:schemeClr val="accent3">
                  <a:lumMod val="75000"/>
                </a:schemeClr>
              </a:solidFill>
              <a:round/>
            </a:ln>
            <a:effectLst/>
          </c:spPr>
          <c:marker>
            <c:symbol val="diamond"/>
            <c:size val="8"/>
            <c:spPr>
              <a:solidFill>
                <a:schemeClr val="accent3">
                  <a:lumMod val="75000"/>
                </a:schemeClr>
              </a:solidFill>
              <a:ln w="9525">
                <a:solidFill>
                  <a:schemeClr val="accent3">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Summary!$K$42:$L$42</c:f>
              <c:numCache>
                <c:formatCode>0.0</c:formatCode>
                <c:ptCount val="2"/>
                <c:pt idx="0">
                  <c:v>45.053036600000027</c:v>
                </c:pt>
                <c:pt idx="1">
                  <c:v>61.025249725274705</c:v>
                </c:pt>
              </c:numCache>
            </c:numRef>
          </c:val>
          <c:smooth val="0"/>
          <c:extLst>
            <c:ext xmlns:c16="http://schemas.microsoft.com/office/drawing/2014/chart" uri="{C3380CC4-5D6E-409C-BE32-E72D297353CC}">
              <c16:uniqueId val="{00000002-F65E-4B31-B01B-AF3F63D17B4F}"/>
            </c:ext>
          </c:extLst>
        </c:ser>
        <c:dLbls>
          <c:showLegendKey val="0"/>
          <c:showVal val="0"/>
          <c:showCatName val="0"/>
          <c:showSerName val="0"/>
          <c:showPercent val="0"/>
          <c:showBubbleSize val="0"/>
        </c:dLbls>
        <c:marker val="1"/>
        <c:smooth val="0"/>
        <c:axId val="758714624"/>
        <c:axId val="758716544"/>
      </c:lineChart>
      <c:catAx>
        <c:axId val="75871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58716544"/>
        <c:crosses val="autoZero"/>
        <c:auto val="1"/>
        <c:lblAlgn val="ctr"/>
        <c:lblOffset val="100"/>
        <c:noMultiLvlLbl val="0"/>
      </c:catAx>
      <c:valAx>
        <c:axId val="758716544"/>
        <c:scaling>
          <c:orientation val="minMax"/>
        </c:scaling>
        <c:delete val="1"/>
        <c:axPos val="l"/>
        <c:numFmt formatCode="0.0" sourceLinked="1"/>
        <c:majorTickMark val="none"/>
        <c:minorTickMark val="none"/>
        <c:tickLblPos val="nextTo"/>
        <c:crossAx val="758714624"/>
        <c:crosses val="autoZero"/>
        <c:crossBetween val="between"/>
      </c:valAx>
      <c:spPr>
        <a:noFill/>
        <a:ln>
          <a:noFill/>
        </a:ln>
        <a:effectLst/>
      </c:spPr>
    </c:plotArea>
    <c:legend>
      <c:legendPos val="r"/>
      <c:layout>
        <c:manualLayout>
          <c:xMode val="edge"/>
          <c:yMode val="edge"/>
          <c:x val="0.73051955343545516"/>
          <c:y val="0.34953356998808865"/>
          <c:w val="0.20472212435101855"/>
          <c:h val="0.3009328600238227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noFill/>
            <a:ln w="25400">
              <a:noFill/>
            </a:ln>
          </c:spPr>
          <c:invertIfNegative val="0"/>
          <c:dLbls>
            <c:numFmt formatCode="#,##0" sourceLinked="0"/>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Field'!$C$14:$C$17</c:f>
              <c:strCache>
                <c:ptCount val="4"/>
                <c:pt idx="0">
                  <c:v>LBO (5 year exit)</c:v>
                </c:pt>
                <c:pt idx="1">
                  <c:v>FCFE</c:v>
                </c:pt>
                <c:pt idx="2">
                  <c:v>DCF</c:v>
                </c:pt>
                <c:pt idx="3">
                  <c:v>Trading Comps FY+1 EBITDA</c:v>
                </c:pt>
              </c:strCache>
            </c:strRef>
          </c:cat>
          <c:val>
            <c:numRef>
              <c:f>'Football Field'!$D$14:$D$17</c:f>
              <c:numCache>
                <c:formatCode>General</c:formatCode>
                <c:ptCount val="4"/>
                <c:pt idx="0">
                  <c:v>440</c:v>
                </c:pt>
                <c:pt idx="1">
                  <c:v>510</c:v>
                </c:pt>
                <c:pt idx="2">
                  <c:v>550</c:v>
                </c:pt>
                <c:pt idx="3">
                  <c:v>0</c:v>
                </c:pt>
              </c:numCache>
            </c:numRef>
          </c:val>
          <c:extLst>
            <c:ext xmlns:c16="http://schemas.microsoft.com/office/drawing/2014/chart" uri="{C3380CC4-5D6E-409C-BE32-E72D297353CC}">
              <c16:uniqueId val="{00000000-1325-514A-B0B4-61B3928DBD0E}"/>
            </c:ext>
          </c:extLst>
        </c:ser>
        <c:ser>
          <c:idx val="1"/>
          <c:order val="1"/>
          <c:spPr>
            <a:solidFill>
              <a:srgbClr val="4F81BD"/>
            </a:solidFill>
            <a:ln w="25400">
              <a:noFill/>
            </a:ln>
          </c:spPr>
          <c:invertIfNegative val="0"/>
          <c:dLbls>
            <c:dLbl>
              <c:idx val="0"/>
              <c:layout>
                <c:manualLayout>
                  <c:x val="5.6923228346456703E-2"/>
                  <c:y val="0"/>
                </c:manualLayout>
              </c:layout>
              <c:tx>
                <c:rich>
                  <a:bodyPr/>
                  <a:lstStyle/>
                  <a:p>
                    <a:pPr>
                      <a:defRPr sz="800" b="0" i="0" u="none" strike="noStrike" baseline="0">
                        <a:solidFill>
                          <a:srgbClr val="000000"/>
                        </a:solidFill>
                        <a:latin typeface="Arial"/>
                        <a:ea typeface="Arial"/>
                        <a:cs typeface="Arial"/>
                      </a:defRPr>
                    </a:pPr>
                    <a:r>
                      <a:rPr lang="en-US"/>
                      <a:t>490</a:t>
                    </a:r>
                  </a:p>
                </c:rich>
              </c:tx>
              <c:numFmt formatCode="#,##0" sourceLinked="0"/>
              <c:spPr>
                <a:noFill/>
                <a:ln w="25400">
                  <a:noFill/>
                </a:ln>
              </c:spPr>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1325-514A-B0B4-61B3928DBD0E}"/>
                </c:ext>
              </c:extLst>
            </c:dLbl>
            <c:dLbl>
              <c:idx val="1"/>
              <c:layout>
                <c:manualLayout>
                  <c:x val="6.8659011373578299E-2"/>
                  <c:y val="0"/>
                </c:manualLayout>
              </c:layout>
              <c:tx>
                <c:rich>
                  <a:bodyPr/>
                  <a:lstStyle/>
                  <a:p>
                    <a:pPr>
                      <a:defRPr sz="800" b="0" i="0" u="none" strike="noStrike" baseline="0">
                        <a:solidFill>
                          <a:srgbClr val="000000"/>
                        </a:solidFill>
                        <a:latin typeface="Arial"/>
                        <a:ea typeface="Arial"/>
                        <a:cs typeface="Arial"/>
                      </a:defRPr>
                    </a:pPr>
                    <a:r>
                      <a:rPr lang="en-US"/>
                      <a:t>580</a:t>
                    </a:r>
                  </a:p>
                </c:rich>
              </c:tx>
              <c:numFmt formatCode="#,##0" sourceLinked="0"/>
              <c:spPr>
                <a:noFill/>
                <a:ln w="25400">
                  <a:noFill/>
                </a:ln>
              </c:spPr>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1325-514A-B0B4-61B3928DBD0E}"/>
                </c:ext>
              </c:extLst>
            </c:dLbl>
            <c:dLbl>
              <c:idx val="2"/>
              <c:layout>
                <c:manualLayout>
                  <c:x val="0.15178980752405899"/>
                  <c:y val="4.2437781360066697E-17"/>
                </c:manualLayout>
              </c:layout>
              <c:tx>
                <c:rich>
                  <a:bodyPr/>
                  <a:lstStyle/>
                  <a:p>
                    <a:pPr>
                      <a:defRPr sz="800" b="0" i="0" u="none" strike="noStrike" baseline="0">
                        <a:solidFill>
                          <a:srgbClr val="000000"/>
                        </a:solidFill>
                        <a:latin typeface="Arial"/>
                        <a:ea typeface="Arial"/>
                        <a:cs typeface="Arial"/>
                      </a:defRPr>
                    </a:pPr>
                    <a:r>
                      <a:rPr lang="en-US"/>
                      <a:t>750</a:t>
                    </a:r>
                  </a:p>
                </c:rich>
              </c:tx>
              <c:numFmt formatCode="#,##0" sourceLinked="0"/>
              <c:spPr>
                <a:noFill/>
                <a:ln w="25400">
                  <a:noFill/>
                </a:ln>
              </c:spPr>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1325-514A-B0B4-61B3928DBD0E}"/>
                </c:ext>
              </c:extLst>
            </c:dLbl>
            <c:dLbl>
              <c:idx val="3"/>
              <c:layout>
                <c:manualLayout>
                  <c:x val="7.9641732283464606E-2"/>
                  <c:y val="0"/>
                </c:manualLayout>
              </c:layout>
              <c:tx>
                <c:rich>
                  <a:bodyPr/>
                  <a:lstStyle/>
                  <a:p>
                    <a:pPr>
                      <a:defRPr sz="800" b="0" i="0" u="none" strike="noStrike" baseline="0">
                        <a:solidFill>
                          <a:srgbClr val="000000"/>
                        </a:solidFill>
                        <a:latin typeface="Arial"/>
                        <a:ea typeface="Arial"/>
                        <a:cs typeface="Arial"/>
                      </a:defRPr>
                    </a:pPr>
                    <a:r>
                      <a:rPr lang="en-US"/>
                      <a:t>476</a:t>
                    </a:r>
                  </a:p>
                </c:rich>
              </c:tx>
              <c:numFmt formatCode="#,##0" sourceLinked="0"/>
              <c:spPr>
                <a:noFill/>
                <a:ln w="25400">
                  <a:noFill/>
                </a:ln>
              </c:spPr>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1325-514A-B0B4-61B3928DBD0E}"/>
                </c:ext>
              </c:extLst>
            </c:dLbl>
            <c:numFmt formatCode="#,##0" sourceLinked="0"/>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Field'!$C$14:$C$17</c:f>
              <c:strCache>
                <c:ptCount val="4"/>
                <c:pt idx="0">
                  <c:v>LBO (5 year exit)</c:v>
                </c:pt>
                <c:pt idx="1">
                  <c:v>FCFE</c:v>
                </c:pt>
                <c:pt idx="2">
                  <c:v>DCF</c:v>
                </c:pt>
                <c:pt idx="3">
                  <c:v>Trading Comps FY+1 EBITDA</c:v>
                </c:pt>
              </c:strCache>
            </c:strRef>
          </c:cat>
          <c:val>
            <c:numRef>
              <c:f>'Football Field'!$E$14:$E$17</c:f>
              <c:numCache>
                <c:formatCode>General</c:formatCode>
                <c:ptCount val="4"/>
                <c:pt idx="0">
                  <c:v>50</c:v>
                </c:pt>
                <c:pt idx="1">
                  <c:v>70</c:v>
                </c:pt>
                <c:pt idx="2">
                  <c:v>200</c:v>
                </c:pt>
                <c:pt idx="3">
                  <c:v>0</c:v>
                </c:pt>
              </c:numCache>
            </c:numRef>
          </c:val>
          <c:extLst>
            <c:ext xmlns:c16="http://schemas.microsoft.com/office/drawing/2014/chart" uri="{C3380CC4-5D6E-409C-BE32-E72D297353CC}">
              <c16:uniqueId val="{00000005-1325-514A-B0B4-61B3928DBD0E}"/>
            </c:ext>
          </c:extLst>
        </c:ser>
        <c:dLbls>
          <c:showLegendKey val="0"/>
          <c:showVal val="0"/>
          <c:showCatName val="0"/>
          <c:showSerName val="0"/>
          <c:showPercent val="0"/>
          <c:showBubbleSize val="0"/>
        </c:dLbls>
        <c:gapWidth val="150"/>
        <c:overlap val="100"/>
        <c:axId val="1799700752"/>
        <c:axId val="1799703072"/>
      </c:barChart>
      <c:catAx>
        <c:axId val="1799700752"/>
        <c:scaling>
          <c:orientation val="minMax"/>
        </c:scaling>
        <c:delete val="0"/>
        <c:axPos val="l"/>
        <c:numFmt formatCode="General" sourceLinked="0"/>
        <c:majorTickMark val="out"/>
        <c:minorTickMark val="none"/>
        <c:tickLblPos val="nextTo"/>
        <c:spPr>
          <a:ln w="3175">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99703072"/>
        <c:crosses val="autoZero"/>
        <c:auto val="1"/>
        <c:lblAlgn val="ctr"/>
        <c:lblOffset val="100"/>
        <c:noMultiLvlLbl val="0"/>
      </c:catAx>
      <c:valAx>
        <c:axId val="1799703072"/>
        <c:scaling>
          <c:orientation val="minMax"/>
          <c:max val="800"/>
          <c:min val="300"/>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99700752"/>
        <c:crosses val="autoZero"/>
        <c:crossBetween val="between"/>
        <c:majorUnit val="100"/>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NULL"/><Relationship Id="rId1" Type="http://schemas.openxmlformats.org/officeDocument/2006/relationships/customXml" Target="../ink/ink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65</xdr:row>
      <xdr:rowOff>0</xdr:rowOff>
    </xdr:from>
    <xdr:to>
      <xdr:col>23</xdr:col>
      <xdr:colOff>35770</xdr:colOff>
      <xdr:row>65</xdr:row>
      <xdr:rowOff>52560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C5EA36D-653B-4038-A439-0564F0AC7F14}"/>
                </a:ext>
                <a:ext uri="{147F2762-F138-4A5C-976F-8EAC2B608ADB}">
                  <a16:predDERef xmlns:a16="http://schemas.microsoft.com/office/drawing/2014/main" pred="{1686425E-5709-2A46-A94C-B243E1C73470}"/>
                </a:ext>
              </a:extLst>
            </xdr14:cNvPr>
            <xdr14:cNvContentPartPr/>
          </xdr14:nvContentPartPr>
          <xdr14:nvPr macro=""/>
          <xdr14:xfrm>
            <a:off x="29948760" y="11159280"/>
            <a:ext cx="42120" cy="52560"/>
          </xdr14:xfrm>
        </xdr:contentPart>
      </mc:Choice>
      <mc:Fallback xmlns="">
        <xdr:pic>
          <xdr:nvPicPr>
            <xdr:cNvPr id="17" name="Ink 16">
              <a:extLst>
                <a:ext uri="{FF2B5EF4-FFF2-40B4-BE49-F238E27FC236}">
                  <a16:creationId xmlns:a16="http://schemas.microsoft.com/office/drawing/2014/main" id="{44B18DBF-656D-B44D-818F-8C500C94EF80}"/>
                </a:ext>
                <a:ext uri="{147F2762-F138-4A5C-976F-8EAC2B608ADB}">
                  <a16:predDERef xmlns:a16="http://schemas.microsoft.com/office/drawing/2014/main" pred="{1686425E-5709-2A46-A94C-B243E1C73470}"/>
                </a:ext>
              </a:extLst>
            </xdr:cNvPr>
            <xdr:cNvPicPr/>
          </xdr:nvPicPr>
          <xdr:blipFill>
            <a:blip xmlns:r="http://schemas.openxmlformats.org/officeDocument/2006/relationships" r:embed="rId2"/>
            <a:stretch>
              <a:fillRect/>
            </a:stretch>
          </xdr:blipFill>
          <xdr:spPr>
            <a:xfrm>
              <a:off x="29940120" y="11150280"/>
              <a:ext cx="59760" cy="70200"/>
            </a:xfrm>
            <a:prstGeom prst="rect">
              <a:avLst/>
            </a:prstGeom>
          </xdr:spPr>
        </xdr:pic>
      </mc:Fallback>
    </mc:AlternateContent>
    <xdr:clientData/>
  </xdr:twoCellAnchor>
  <xdr:twoCellAnchor>
    <xdr:from>
      <xdr:col>12</xdr:col>
      <xdr:colOff>58614</xdr:colOff>
      <xdr:row>32</xdr:row>
      <xdr:rowOff>41413</xdr:rowOff>
    </xdr:from>
    <xdr:to>
      <xdr:col>16</xdr:col>
      <xdr:colOff>864576</xdr:colOff>
      <xdr:row>44</xdr:row>
      <xdr:rowOff>44824</xdr:rowOff>
    </xdr:to>
    <xdr:graphicFrame macro="">
      <xdr:nvGraphicFramePr>
        <xdr:cNvPr id="4" name="Chart 3">
          <a:extLst>
            <a:ext uri="{FF2B5EF4-FFF2-40B4-BE49-F238E27FC236}">
              <a16:creationId xmlns:a16="http://schemas.microsoft.com/office/drawing/2014/main" id="{5CA7CB5B-E9BC-0FBB-798A-5EA78568D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38100</xdr:colOff>
      <xdr:row>3</xdr:row>
      <xdr:rowOff>101600</xdr:rowOff>
    </xdr:from>
    <xdr:to>
      <xdr:col>18</xdr:col>
      <xdr:colOff>342900</xdr:colOff>
      <xdr:row>17</xdr:row>
      <xdr:rowOff>177800</xdr:rowOff>
    </xdr:to>
    <xdr:graphicFrame macro="">
      <xdr:nvGraphicFramePr>
        <xdr:cNvPr id="23553" name="Chart 1">
          <a:extLst>
            <a:ext uri="{FF2B5EF4-FFF2-40B4-BE49-F238E27FC236}">
              <a16:creationId xmlns:a16="http://schemas.microsoft.com/office/drawing/2014/main" id="{AB16742E-176F-8C47-B602-6AAE0ED36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6-03T15:05:53.948"/>
    </inkml:context>
    <inkml:brush xml:id="br0">
      <inkml:brushProperty name="width" value="0.1" units="cm"/>
      <inkml:brushProperty name="height" value="0.6" units="cm"/>
      <inkml:brushProperty name="color" value="#849398"/>
      <inkml:brushProperty name="inkEffects" value="pencil"/>
    </inkml:brush>
  </inkml:definitions>
  <inkml:trace contextRef="#ctx0" brushRef="#br0">117 0 11866 192553 64276,'-13'16'-1782'0'0,"6"7"1782"0"0,-12-14 0 0 0,13 14 0 0 0,-20-7 0 0 0,10 13 0 0 0,-13 0 0 0 0</inkml:trace>
</inkml:ink>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07E1BA8-47D9-403C-BA0E-A9B80B0085B3}">
  <we:reference id="wa200004245" version="3.0.0.0" store="en-US" storeType="OMEX"/>
  <we:alternateReferences>
    <we:reference id="WA200004245" version="3.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_xldudf_PREQIN_LP</we:customFunctionIds>
        <we:customFunctionIds>_xldudf_PREQIN_GP</we:customFunctionIds>
        <we:customFunctionIds>_xldudf_PREQIN_IC</we:customFunctionIds>
        <we:customFunctionIds>_xldudf_PREQIN_SP</we:customFunctionIds>
        <we:customFunctionIds>_xldudf_PREQIN_FUND</we:customFunctionIds>
        <we:customFunctionIds>_xldudf_PREQIN_CI</we:customFunctionIds>
        <we:customFunctionIds>_xldudf_PREQIN_DEAL</we:customFunctionIds>
      </we:customFunctionIdList>
    </a:ext>
    <a:ext xmlns:a="http://schemas.openxmlformats.org/drawingml/2006/main" uri="{0858819E-0033-43BF-8937-05EC82904868}">
      <we:backgroundApp state="1" runtimeId="Taskpane.Url"/>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2FDB-804A-41CF-85ED-10B865605035}">
  <sheetPr>
    <pageSetUpPr fitToPage="1"/>
  </sheetPr>
  <dimension ref="B2:FN183"/>
  <sheetViews>
    <sheetView showGridLines="0" zoomScale="70" zoomScaleNormal="70" zoomScaleSheetLayoutView="85" workbookViewId="0">
      <selection activeCell="K84" sqref="K84"/>
    </sheetView>
  </sheetViews>
  <sheetFormatPr defaultColWidth="8.7109375" defaultRowHeight="14.25" outlineLevelRow="1" x14ac:dyDescent="0.25"/>
  <cols>
    <col min="1" max="1" width="6.42578125" style="53" customWidth="1"/>
    <col min="2" max="17" width="15.42578125" style="53" customWidth="1"/>
    <col min="18" max="19" width="11" style="53" customWidth="1"/>
    <col min="20" max="27" width="17.5703125" style="53" customWidth="1"/>
    <col min="28" max="36" width="17.7109375" style="53" customWidth="1"/>
    <col min="37" max="16384" width="8.7109375" style="53"/>
  </cols>
  <sheetData>
    <row r="2" spans="2:170" ht="21" x14ac:dyDescent="0.25">
      <c r="B2" s="51" t="str">
        <f>V6</f>
        <v>reMarkable</v>
      </c>
      <c r="C2" s="51"/>
      <c r="D2" s="51"/>
      <c r="E2" s="52"/>
      <c r="F2" s="52"/>
      <c r="G2" s="52"/>
      <c r="H2" s="52"/>
      <c r="I2" s="52"/>
      <c r="J2" s="52"/>
      <c r="L2" s="54"/>
      <c r="M2" s="52"/>
      <c r="N2" s="52"/>
      <c r="O2" s="52"/>
      <c r="P2" s="52"/>
      <c r="Q2" s="55" t="str">
        <f ca="1">V20</f>
        <v>GP CASE</v>
      </c>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row>
    <row r="3" spans="2:170" ht="15" customHeight="1" x14ac:dyDescent="0.25">
      <c r="B3" s="57" t="str">
        <f>"(All numbers in "&amp;V7&amp;" millions, unless otherwise stated, FYE "&amp;TEXT(V10,"mmmm")&amp;")"</f>
        <v>(All numbers in NOK millions, unless otherwise stated, FYE December)</v>
      </c>
      <c r="C3" s="57"/>
      <c r="D3" s="57"/>
      <c r="E3" s="58"/>
      <c r="F3" s="59"/>
      <c r="G3" s="58"/>
      <c r="H3" s="58"/>
      <c r="I3" s="58"/>
      <c r="J3" s="58"/>
      <c r="L3" s="56"/>
      <c r="M3" s="58"/>
      <c r="N3" s="58"/>
      <c r="O3" s="58"/>
      <c r="P3" s="58"/>
      <c r="Q3" s="60">
        <f ca="1">NOW()</f>
        <v>45618.67626226852</v>
      </c>
      <c r="R3" s="56"/>
      <c r="S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row>
    <row r="4" spans="2:170" ht="15" customHeight="1" x14ac:dyDescent="0.25">
      <c r="B4" s="57"/>
      <c r="C4" s="57"/>
      <c r="D4" s="57"/>
      <c r="E4" s="58"/>
      <c r="F4" s="59"/>
      <c r="G4" s="58"/>
      <c r="H4" s="58"/>
      <c r="I4" s="58"/>
      <c r="J4" s="58"/>
      <c r="L4" s="56"/>
      <c r="M4" s="58"/>
      <c r="N4" s="58"/>
      <c r="O4" s="58"/>
      <c r="P4" s="58"/>
      <c r="Q4" s="61"/>
      <c r="R4" s="56"/>
      <c r="S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row>
    <row r="5" spans="2:170" ht="15" customHeight="1" x14ac:dyDescent="0.25">
      <c r="B5" s="56"/>
      <c r="C5" s="56"/>
      <c r="D5" s="56"/>
      <c r="E5" s="56"/>
      <c r="F5" s="56"/>
      <c r="G5" s="62"/>
      <c r="H5" s="62"/>
      <c r="I5" s="62"/>
      <c r="J5" s="62"/>
      <c r="L5" s="62"/>
      <c r="M5" s="62"/>
      <c r="N5" s="62"/>
      <c r="O5" s="62"/>
      <c r="P5" s="62"/>
      <c r="Q5" s="62"/>
      <c r="R5" s="56"/>
      <c r="S5" s="56"/>
      <c r="T5" s="63" t="s">
        <v>214</v>
      </c>
      <c r="U5" s="64"/>
      <c r="V5" s="65"/>
      <c r="Y5"/>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row>
    <row r="6" spans="2:170" ht="15" customHeight="1" thickBot="1" x14ac:dyDescent="0.3">
      <c r="B6" s="66" t="s">
        <v>273</v>
      </c>
      <c r="C6" s="66"/>
      <c r="D6" s="66"/>
      <c r="E6" s="66"/>
      <c r="F6" s="208"/>
      <c r="G6" s="208"/>
      <c r="I6" s="66" t="s">
        <v>233</v>
      </c>
      <c r="J6" s="66"/>
      <c r="K6" s="66"/>
      <c r="L6" s="66"/>
      <c r="M6" s="66"/>
      <c r="N6" s="66"/>
      <c r="O6" s="66"/>
      <c r="P6" s="66"/>
      <c r="Q6" s="66"/>
      <c r="R6" s="56"/>
      <c r="S6" s="56"/>
      <c r="T6" s="56" t="s">
        <v>216</v>
      </c>
      <c r="U6" s="56"/>
      <c r="V6" s="67" t="s">
        <v>272</v>
      </c>
      <c r="W6" s="56"/>
      <c r="Y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row>
    <row r="7" spans="2:170" ht="15" customHeight="1" x14ac:dyDescent="0.25">
      <c r="B7" s="56" t="s">
        <v>282</v>
      </c>
      <c r="C7" s="56"/>
      <c r="D7" s="56"/>
      <c r="E7" s="70"/>
      <c r="F7"/>
      <c r="G7" s="72" cm="1">
        <f t="array" ref="G7">INDEX(B51:S51,0,MATCH(V16,B50:S50,0))</f>
        <v>3570.9806635944119</v>
      </c>
      <c r="K7" s="93">
        <f>K50</f>
        <v>45657</v>
      </c>
      <c r="L7" s="94">
        <f>L50</f>
        <v>46022</v>
      </c>
      <c r="M7" s="94">
        <f>M50</f>
        <v>46387</v>
      </c>
      <c r="N7" s="94">
        <f>N50</f>
        <v>46752</v>
      </c>
      <c r="O7" s="94">
        <f>O50</f>
        <v>47118</v>
      </c>
      <c r="P7"/>
      <c r="Q7"/>
      <c r="R7" s="56"/>
      <c r="S7" s="56"/>
      <c r="T7" s="56" t="s">
        <v>218</v>
      </c>
      <c r="U7" s="56"/>
      <c r="V7" s="67" t="s">
        <v>33</v>
      </c>
      <c r="W7" s="56"/>
      <c r="Y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row>
    <row r="8" spans="2:170" ht="15" customHeight="1" x14ac:dyDescent="0.25">
      <c r="B8" s="56" t="s">
        <v>220</v>
      </c>
      <c r="C8" s="56"/>
      <c r="D8" s="56"/>
      <c r="E8" s="56"/>
      <c r="F8"/>
      <c r="G8" s="241">
        <f>G9/G7</f>
        <v>2.7694852833595567</v>
      </c>
      <c r="I8" s="83" t="s">
        <v>298</v>
      </c>
      <c r="J8" s="83"/>
      <c r="K8" s="97">
        <f>$V$21</f>
        <v>2.5</v>
      </c>
      <c r="L8" s="97">
        <f>$V$21</f>
        <v>2.5</v>
      </c>
      <c r="M8" s="97">
        <f>$V$21</f>
        <v>2.5</v>
      </c>
      <c r="N8" s="97">
        <f>$V$21</f>
        <v>2.5</v>
      </c>
      <c r="O8" s="97">
        <f>$V$21</f>
        <v>2.5</v>
      </c>
      <c r="P8"/>
      <c r="Q8"/>
      <c r="S8" s="56"/>
      <c r="T8" s="53" t="s">
        <v>221</v>
      </c>
      <c r="V8" s="67" t="s">
        <v>219</v>
      </c>
      <c r="W8" s="56"/>
      <c r="Y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row>
    <row r="9" spans="2:170" ht="15" customHeight="1" x14ac:dyDescent="0.25">
      <c r="B9" s="75" t="str">
        <f>"TEV as of "&amp;TEXT(V11,"mmm 'yy")</f>
        <v>TEV as of Dec '23</v>
      </c>
      <c r="C9" s="75"/>
      <c r="D9" s="75"/>
      <c r="E9" s="76"/>
      <c r="F9"/>
      <c r="G9" s="77">
        <f>SUM(G11:G13)</f>
        <v>9889.7783949862678</v>
      </c>
      <c r="I9" s="53" t="s">
        <v>278</v>
      </c>
      <c r="K9" s="82" cm="1">
        <f t="array" ref="K9">INDEX($B$51:$S$51,0,MATCH(K$7,$B$50:$S$50,0))</f>
        <v>4424.9430648340176</v>
      </c>
      <c r="L9" s="82" cm="1">
        <f t="array" ref="L9">INDEX($B$51:$S$51,0,MATCH(L$7,$B$50:$S$50,0))</f>
        <v>5483.1215768371239</v>
      </c>
      <c r="M9" s="82" cm="1">
        <f t="array" ref="M9">INDEX($B$51:$S$51,0,MATCH(M$7,$B$50:$S$50,0))</f>
        <v>6794.3523308371814</v>
      </c>
      <c r="N9" s="82" cm="1">
        <f t="array" ref="N9">INDEX($B$51:$S$51,0,MATCH(N$7,$B$50:$S$50,0))</f>
        <v>8419.1501043063436</v>
      </c>
      <c r="O9" s="82" cm="1">
        <f t="array" ref="O9">INDEX($B$51:$S$51,0,MATCH(O$7,$B$50:$S$50,0))</f>
        <v>9425.8256252307983</v>
      </c>
      <c r="P9"/>
      <c r="Q9"/>
      <c r="R9" s="56"/>
      <c r="S9" s="56"/>
      <c r="T9" s="53" t="str">
        <f>V8&amp;"/"&amp;V7&amp;" FX Rate"</f>
        <v>USD/NOK FX Rate</v>
      </c>
      <c r="V9" s="240">
        <v>9.8616313999999997E-2</v>
      </c>
      <c r="W9" s="56"/>
      <c r="X9"/>
      <c r="Y9"/>
      <c r="Z9"/>
      <c r="AA9"/>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row>
    <row r="10" spans="2:170" ht="15" customHeight="1" x14ac:dyDescent="0.25">
      <c r="B10" s="56"/>
      <c r="C10" s="56"/>
      <c r="D10" s="56"/>
      <c r="E10" s="56"/>
      <c r="F10"/>
      <c r="G10" s="56"/>
      <c r="I10" s="83" t="s">
        <v>237</v>
      </c>
      <c r="J10" s="83"/>
      <c r="K10" s="76">
        <f>K8*K9</f>
        <v>11062.357662085044</v>
      </c>
      <c r="L10" s="76">
        <f>L8*L9</f>
        <v>13707.803942092811</v>
      </c>
      <c r="M10" s="76">
        <f>M8*M9</f>
        <v>16985.880827092955</v>
      </c>
      <c r="N10" s="76">
        <f>N8*N9</f>
        <v>21047.875260765861</v>
      </c>
      <c r="O10" s="76">
        <f>O8*O9</f>
        <v>23564.564063076996</v>
      </c>
      <c r="P10"/>
      <c r="Q10"/>
      <c r="R10" s="56"/>
      <c r="S10" s="56"/>
      <c r="T10" s="56" t="s">
        <v>227</v>
      </c>
      <c r="U10" s="56"/>
      <c r="V10" s="78">
        <v>45291</v>
      </c>
      <c r="X10"/>
      <c r="Y10"/>
      <c r="Z10"/>
      <c r="AA10"/>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6"/>
      <c r="EF10" s="56"/>
      <c r="EG10" s="56"/>
      <c r="EH10" s="56"/>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row>
    <row r="11" spans="2:170" ht="15" customHeight="1" x14ac:dyDescent="0.25">
      <c r="B11" s="56" t="str">
        <f>"Less: Net Debt / (Cash) as of "&amp;TEXT(V16,"mmm 'yy")</f>
        <v>Less: Net Debt / (Cash) as of Dec '23</v>
      </c>
      <c r="C11" s="56"/>
      <c r="D11" s="56"/>
      <c r="E11" s="56"/>
      <c r="F11"/>
      <c r="G11" s="79" cm="1">
        <f t="array" ref="G11">INDEX(B80:S80,0,MATCH(V16,B50:S50,0))</f>
        <v>195.74854424</v>
      </c>
      <c r="I11" s="70" t="s">
        <v>239</v>
      </c>
      <c r="K11" s="102">
        <v>0</v>
      </c>
      <c r="L11" s="102">
        <v>0</v>
      </c>
      <c r="M11" s="102">
        <v>0</v>
      </c>
      <c r="N11" s="102">
        <v>0</v>
      </c>
      <c r="O11" s="102">
        <v>0</v>
      </c>
      <c r="P11"/>
      <c r="Q11"/>
      <c r="R11" s="56"/>
      <c r="S11" s="56"/>
      <c r="T11" s="56" t="s">
        <v>228</v>
      </c>
      <c r="U11" s="56"/>
      <c r="V11" s="78">
        <v>45291</v>
      </c>
      <c r="W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row>
    <row r="12" spans="2:170" ht="15" customHeight="1" x14ac:dyDescent="0.25">
      <c r="B12" s="56" t="s">
        <v>229</v>
      </c>
      <c r="C12" s="56"/>
      <c r="D12" s="56"/>
      <c r="E12" s="56"/>
      <c r="F12"/>
      <c r="G12" s="81">
        <v>0</v>
      </c>
      <c r="I12" s="70" t="s">
        <v>243</v>
      </c>
      <c r="K12" s="82" cm="1">
        <f t="array" ref="K12">INDEX($B$80:$S$80,0,MATCH(K$7,$B$50:$S$50,0))</f>
        <v>195.74854424</v>
      </c>
      <c r="L12" s="82" cm="1">
        <f t="array" ref="L12">INDEX($B$80:$S$80,0,MATCH(L$7,$B$50:$S$50,0))</f>
        <v>195.74854424</v>
      </c>
      <c r="M12" s="82" cm="1">
        <f t="array" ref="M12">INDEX($B$80:$S$80,0,MATCH(M$7,$B$50:$S$50,0))</f>
        <v>195.74854424</v>
      </c>
      <c r="N12" s="82" cm="1">
        <f t="array" ref="N12">INDEX($B$80:$S$80,0,MATCH(N$7,$B$50:$S$50,0))</f>
        <v>195.74854423999994</v>
      </c>
      <c r="O12" s="82" cm="1">
        <f t="array" ref="O12">INDEX($B$80:$S$80,0,MATCH(O$7,$B$50:$S$50,0))</f>
        <v>195.74854423999994</v>
      </c>
      <c r="P12"/>
      <c r="Q12"/>
      <c r="R12" s="56"/>
      <c r="S12" s="56"/>
      <c r="T12" s="53" t="s">
        <v>230</v>
      </c>
      <c r="V12" s="78">
        <v>45291</v>
      </c>
      <c r="W12" s="80"/>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6"/>
      <c r="EF12" s="56"/>
      <c r="EG12" s="56"/>
      <c r="EH12" s="56"/>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row>
    <row r="13" spans="2:170" ht="15" customHeight="1" x14ac:dyDescent="0.25">
      <c r="B13" s="75" t="str">
        <f>"Total Equity as of "&amp;TEXT($V$11,"mmm 'yy")&amp;IF($V$8&lt;&gt;$V$7," (In "&amp;$V$7&amp;")","")</f>
        <v>Total Equity as of Dec '23 (In NOK)</v>
      </c>
      <c r="C13" s="75"/>
      <c r="D13" s="75"/>
      <c r="E13" s="76"/>
      <c r="F13"/>
      <c r="G13" s="77">
        <f>G16/G15</f>
        <v>9694.0298507462685</v>
      </c>
      <c r="I13" s="108" t="s">
        <v>245</v>
      </c>
      <c r="K13" s="76">
        <f>K10-K11-K12</f>
        <v>10866.609117845044</v>
      </c>
      <c r="L13" s="76">
        <f>L10-L11-L12</f>
        <v>13512.055397852811</v>
      </c>
      <c r="M13" s="76">
        <f>M10-M11-M12</f>
        <v>16790.132282852956</v>
      </c>
      <c r="N13" s="76">
        <f>N10-N11-N12</f>
        <v>20852.126716525861</v>
      </c>
      <c r="O13" s="76">
        <f>O10-O11-O12</f>
        <v>23368.815518836996</v>
      </c>
      <c r="P13"/>
      <c r="Q13"/>
      <c r="R13" s="56"/>
      <c r="S13" s="56"/>
      <c r="T13" s="56" t="s">
        <v>231</v>
      </c>
      <c r="U13" s="56"/>
      <c r="V13" s="67">
        <v>365</v>
      </c>
      <c r="X13" s="56"/>
      <c r="Y13" s="56"/>
      <c r="Z13" s="56"/>
      <c r="AA13" s="56"/>
      <c r="AB13" s="56"/>
      <c r="AC13" s="79"/>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6"/>
      <c r="EF13" s="56"/>
      <c r="EG13" s="56"/>
      <c r="EH13" s="56"/>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row>
    <row r="14" spans="2:170" ht="15" customHeight="1" x14ac:dyDescent="0.25">
      <c r="F14"/>
      <c r="I14" s="56" t="s">
        <v>248</v>
      </c>
      <c r="K14" s="110">
        <f>$V$14</f>
        <v>5.3600000000000002E-2</v>
      </c>
      <c r="L14" s="110">
        <f>K16</f>
        <v>5.3600000000000002E-2</v>
      </c>
      <c r="M14" s="110">
        <f>L16</f>
        <v>5.3600000000000002E-2</v>
      </c>
      <c r="N14" s="110">
        <f>M16</f>
        <v>5.3600000000000002E-2</v>
      </c>
      <c r="O14" s="110">
        <f>N16</f>
        <v>0</v>
      </c>
      <c r="P14"/>
      <c r="Q14"/>
      <c r="R14" s="56"/>
      <c r="S14" s="56"/>
      <c r="T14" s="56" t="s">
        <v>232</v>
      </c>
      <c r="U14" s="56"/>
      <c r="V14" s="84">
        <v>5.3600000000000002E-2</v>
      </c>
      <c r="W14" s="56"/>
      <c r="X14" s="56"/>
      <c r="Y14" s="56"/>
      <c r="Z14" s="56"/>
      <c r="AA14" s="79"/>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row>
    <row r="15" spans="2:170" ht="15" customHeight="1" x14ac:dyDescent="0.25">
      <c r="B15" s="56" t="str">
        <f>IF(G15=1,"FX Rate","x: "&amp;T9)</f>
        <v>x: USD/NOK FX Rate</v>
      </c>
      <c r="C15" s="56"/>
      <c r="D15" s="56"/>
      <c r="F15"/>
      <c r="G15" s="179">
        <f>IF(V8=V7,1,V9)</f>
        <v>9.8616313999999997E-2</v>
      </c>
      <c r="I15" s="53" t="s">
        <v>249</v>
      </c>
      <c r="K15" s="111">
        <f>IF(YEAR(EDATE($V$12,$V$23*12))=YEAR(K$7),-$V$14,0)</f>
        <v>0</v>
      </c>
      <c r="L15" s="111">
        <f>IF(YEAR(EDATE($V$12,$V$23*12))=YEAR(L$7),-$V$14,0)</f>
        <v>0</v>
      </c>
      <c r="M15" s="111">
        <f>IF(YEAR(EDATE($V$12,$V$23*12))=YEAR(M$7),-$V$14,0)</f>
        <v>0</v>
      </c>
      <c r="N15" s="111">
        <f>IF(YEAR(EDATE($V$12,$V$23*12))=YEAR(N$7),-$V$14,0)</f>
        <v>-5.3600000000000002E-2</v>
      </c>
      <c r="O15" s="111">
        <f>IF(YEAR(EDATE($V$12,$V$23*12))=YEAR(O$7),-$V$14,0)</f>
        <v>0</v>
      </c>
      <c r="P15"/>
      <c r="Q15"/>
      <c r="R15" s="56"/>
      <c r="S15" s="56"/>
      <c r="T15" s="56" t="str">
        <f>"Fund Equity Stake as of "&amp;TEXT(V11,"mmm 'yy")&amp;" In "&amp;V8</f>
        <v>Fund Equity Stake as of Dec '23 In USD</v>
      </c>
      <c r="U15" s="56"/>
      <c r="V15" s="68">
        <f>519.6*V9</f>
        <v>51.2410367544</v>
      </c>
      <c r="W15" s="85"/>
      <c r="X15" s="56"/>
      <c r="Y15" s="56"/>
      <c r="Z15" s="56"/>
      <c r="AA15" s="79"/>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row>
    <row r="16" spans="2:170" ht="15" customHeight="1" x14ac:dyDescent="0.25">
      <c r="B16" s="75" t="str">
        <f>"Total Equity as of "&amp;TEXT($V$11,"mmm 'yy")&amp;IF($V$8&lt;&gt;$V$7," (In "&amp;$V$8&amp;")","")</f>
        <v>Total Equity as of Dec '23 (In USD)</v>
      </c>
      <c r="C16" s="75"/>
      <c r="D16" s="75"/>
      <c r="F16"/>
      <c r="G16" s="77">
        <f>G19/G18</f>
        <v>955.98949168656713</v>
      </c>
      <c r="I16" s="56" t="s">
        <v>250</v>
      </c>
      <c r="K16" s="110">
        <f>SUM(K14:K15)</f>
        <v>5.3600000000000002E-2</v>
      </c>
      <c r="L16" s="110">
        <f>SUM(L14:L15)</f>
        <v>5.3600000000000002E-2</v>
      </c>
      <c r="M16" s="110">
        <f>SUM(M14:M15)</f>
        <v>5.3600000000000002E-2</v>
      </c>
      <c r="N16" s="110">
        <f>SUM(N14:N15)</f>
        <v>0</v>
      </c>
      <c r="O16" s="110">
        <f>SUM(O14:O15)</f>
        <v>0</v>
      </c>
      <c r="Q16" s="87"/>
      <c r="S16" s="56"/>
      <c r="T16" s="56" t="s">
        <v>217</v>
      </c>
      <c r="U16" s="88"/>
      <c r="V16" s="89">
        <v>45291</v>
      </c>
      <c r="W16" s="56"/>
      <c r="X16" s="56"/>
      <c r="Y16" s="56"/>
      <c r="Z16" s="56"/>
      <c r="AA16" s="79"/>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56"/>
      <c r="EH16" s="56"/>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row>
    <row r="17" spans="2:170" ht="15" customHeight="1" x14ac:dyDescent="0.25">
      <c r="I17" s="83" t="s">
        <v>252</v>
      </c>
      <c r="K17" s="77">
        <f>IF(K$16&gt;0,K13*K16,K13*-K15)</f>
        <v>582.45024871649434</v>
      </c>
      <c r="L17" s="77">
        <f>IF(L$16&gt;0,L13*L16,L13*-L15)</f>
        <v>724.24616932491074</v>
      </c>
      <c r="M17" s="77">
        <f>IF(M$16&gt;0,M13*M16,M13*-M15)</f>
        <v>899.95109036091844</v>
      </c>
      <c r="N17" s="77">
        <f>IF(N$16&gt;0,N13*N16,N13*-N15)</f>
        <v>1117.6739920057862</v>
      </c>
      <c r="O17" s="77">
        <f>IF(O$16&gt;0,O13*O16,O13*-O15)</f>
        <v>0</v>
      </c>
      <c r="S17" s="56"/>
      <c r="W17" s="56"/>
      <c r="X17" s="56"/>
      <c r="Y17" s="56"/>
      <c r="Z17" s="56"/>
      <c r="AA17" s="79"/>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6"/>
      <c r="EF17" s="56"/>
      <c r="EG17" s="56"/>
      <c r="EH17" s="56"/>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row>
    <row r="18" spans="2:170" ht="15" customHeight="1" x14ac:dyDescent="0.25">
      <c r="B18" s="90" t="s">
        <v>234</v>
      </c>
      <c r="C18" s="91"/>
      <c r="D18" s="91"/>
      <c r="E18" s="91"/>
      <c r="F18" s="91"/>
      <c r="G18" s="92">
        <f>V14</f>
        <v>5.3600000000000002E-2</v>
      </c>
      <c r="R18" s="70"/>
      <c r="S18" s="56"/>
      <c r="W18" s="56"/>
      <c r="X18" s="56"/>
      <c r="Y18" s="56"/>
      <c r="Z18" s="56"/>
      <c r="AA18" s="79"/>
      <c r="AB18" s="56"/>
      <c r="AC18" s="79"/>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6"/>
      <c r="EF18" s="56"/>
      <c r="EG18" s="56"/>
      <c r="EH18" s="56"/>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row>
    <row r="19" spans="2:170" ht="15" customHeight="1" x14ac:dyDescent="0.25">
      <c r="B19" s="95" t="str">
        <f>"Fund Equity Stake as of "&amp;TEXT($V$11,"mmm 'yy")&amp;IF($V$8&lt;&gt;$V$7," (In "&amp;$V$8&amp;")","")</f>
        <v>Fund Equity Stake as of Dec '23 (In USD)</v>
      </c>
      <c r="C19" s="75"/>
      <c r="D19" s="75"/>
      <c r="E19" s="76"/>
      <c r="F19" s="76"/>
      <c r="G19" s="96">
        <f>V15</f>
        <v>51.2410367544</v>
      </c>
      <c r="R19" s="70"/>
      <c r="S19" s="56"/>
      <c r="T19" s="63" t="s">
        <v>235</v>
      </c>
      <c r="U19" s="64"/>
      <c r="V19" s="65"/>
      <c r="W19" s="56"/>
      <c r="X19"/>
      <c r="Y19"/>
      <c r="Z19"/>
      <c r="AA19"/>
      <c r="AB19" s="56"/>
      <c r="AC19" s="79"/>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6"/>
      <c r="EF19" s="56"/>
      <c r="EG19" s="56"/>
      <c r="EH19" s="56"/>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row>
    <row r="20" spans="2:170" ht="15" customHeight="1" thickBot="1" x14ac:dyDescent="0.3">
      <c r="B20" s="98" t="str">
        <f>"Other Direct Investors Equity Stake as of "&amp;TEXT($V$11,"mmm 'yy")&amp;IF($V$8&lt;&gt;$V$7," (In "&amp;$V$8&amp;")","")</f>
        <v>Other Direct Investors Equity Stake as of Dec '23 (In USD)</v>
      </c>
      <c r="C20" s="99"/>
      <c r="D20" s="99"/>
      <c r="E20" s="82"/>
      <c r="F20" s="82"/>
      <c r="G20" s="100">
        <f>G16-G19</f>
        <v>904.74845493216708</v>
      </c>
      <c r="I20" s="66" t="s">
        <v>254</v>
      </c>
      <c r="J20" s="66"/>
      <c r="K20" s="66"/>
      <c r="L20" s="66"/>
      <c r="M20" s="66"/>
      <c r="N20" s="66"/>
      <c r="O20" s="66"/>
      <c r="P20" s="66"/>
      <c r="Q20" s="66"/>
      <c r="R20" s="56"/>
      <c r="S20" s="56"/>
      <c r="T20" s="56" t="s">
        <v>222</v>
      </c>
      <c r="U20" s="88">
        <v>1</v>
      </c>
      <c r="V20" s="71" t="str">
        <f ca="1">OFFSET(V29,U20-1,0)</f>
        <v>GP CASE</v>
      </c>
      <c r="W20" s="56"/>
      <c r="X20"/>
      <c r="Y20"/>
      <c r="Z20"/>
      <c r="AA20"/>
      <c r="AC20" s="73"/>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6"/>
      <c r="EF20" s="56"/>
      <c r="EG20" s="56"/>
      <c r="EH20" s="56"/>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row>
    <row r="21" spans="2:170" ht="15" customHeight="1" x14ac:dyDescent="0.25">
      <c r="K21" s="117">
        <f>V12</f>
        <v>45291</v>
      </c>
      <c r="L21" s="117">
        <f>L7</f>
        <v>46022</v>
      </c>
      <c r="M21" s="117">
        <f>M7</f>
        <v>46387</v>
      </c>
      <c r="N21" s="117">
        <f>N7</f>
        <v>46752</v>
      </c>
      <c r="O21" s="117">
        <f>O7</f>
        <v>47118</v>
      </c>
      <c r="R21" s="56"/>
      <c r="S21" s="56"/>
      <c r="T21" s="56" t="s">
        <v>236</v>
      </c>
      <c r="U21" s="56"/>
      <c r="V21" s="101">
        <v>2.5</v>
      </c>
      <c r="W21" s="56"/>
      <c r="X21" s="56"/>
      <c r="Y21" s="56"/>
      <c r="Z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6"/>
      <c r="EF21" s="56"/>
      <c r="EG21" s="56"/>
      <c r="EH21" s="56"/>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row>
    <row r="22" spans="2:170" ht="15" customHeight="1" thickBot="1" x14ac:dyDescent="0.3">
      <c r="B22" s="66" t="str">
        <f>"Carrying Valuation Metrics | "&amp;B9&amp;""</f>
        <v>Carrying Valuation Metrics | TEV as of Dec '23</v>
      </c>
      <c r="C22" s="66"/>
      <c r="D22" s="66"/>
      <c r="E22" s="66"/>
      <c r="F22" s="66"/>
      <c r="G22" s="66"/>
      <c r="I22" s="75" t="s">
        <v>299</v>
      </c>
      <c r="J22" s="83"/>
      <c r="K22" s="242">
        <f>K23/(-$G$19/G15)</f>
        <v>0.99999895943103823</v>
      </c>
      <c r="L22" s="118"/>
      <c r="M22" s="118"/>
      <c r="N22" s="118"/>
      <c r="O22" s="118"/>
      <c r="R22" s="56"/>
      <c r="S22" s="56"/>
      <c r="T22" s="56" t="s">
        <v>238</v>
      </c>
      <c r="V22" s="101">
        <v>0.5</v>
      </c>
      <c r="W22" s="56"/>
      <c r="X22" s="56"/>
      <c r="Y22" s="56"/>
      <c r="Z22" s="56"/>
      <c r="AB22" s="56"/>
      <c r="AC22" s="79"/>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6"/>
      <c r="EF22" s="56"/>
      <c r="EG22" s="56"/>
      <c r="EH22" s="56"/>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row>
    <row r="23" spans="2:170" ht="15" customHeight="1" x14ac:dyDescent="0.25">
      <c r="F23" s="105" t="s">
        <v>241</v>
      </c>
      <c r="G23" s="105" t="s">
        <v>242</v>
      </c>
      <c r="I23" s="56" t="s">
        <v>257</v>
      </c>
      <c r="J23" s="119"/>
      <c r="K23" s="79">
        <f>-XNPV($V$24,K24:O24,$K$21:$O$21)</f>
        <v>-519.59945932036749</v>
      </c>
      <c r="L23" s="79"/>
      <c r="M23" s="79"/>
      <c r="N23" s="79"/>
      <c r="O23" s="79"/>
      <c r="R23" s="56"/>
      <c r="S23" s="56"/>
      <c r="T23" s="53" t="s">
        <v>240</v>
      </c>
      <c r="V23" s="103">
        <v>4</v>
      </c>
      <c r="W23" s="56"/>
      <c r="X23" s="56"/>
      <c r="Y23" s="56"/>
      <c r="Z23" s="56"/>
      <c r="AA23" s="79"/>
      <c r="AB23" s="56"/>
      <c r="AC23" s="79"/>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6"/>
      <c r="EF23" s="56"/>
      <c r="EG23" s="56"/>
      <c r="EH23" s="56"/>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row>
    <row r="24" spans="2:170" ht="15" customHeight="1" x14ac:dyDescent="0.25">
      <c r="B24" s="75"/>
      <c r="C24" s="75"/>
      <c r="D24" s="75"/>
      <c r="F24" s="106">
        <f>J50</f>
        <v>45291</v>
      </c>
      <c r="G24" s="107" t="str">
        <f>TEXT(K50,"mmm 'yy")</f>
        <v>Dec '24</v>
      </c>
      <c r="I24" s="70" t="s">
        <v>305</v>
      </c>
      <c r="J24" s="119"/>
      <c r="K24" s="122">
        <f>-K15*K13</f>
        <v>0</v>
      </c>
      <c r="L24" s="122">
        <f>-L15*L13</f>
        <v>0</v>
      </c>
      <c r="M24" s="122">
        <f>-M15*M13</f>
        <v>0</v>
      </c>
      <c r="N24" s="122">
        <f>-N15*N13</f>
        <v>1117.6739920057862</v>
      </c>
      <c r="O24" s="122">
        <f>-O15*O13</f>
        <v>0</v>
      </c>
      <c r="R24" s="56"/>
      <c r="S24" s="56"/>
      <c r="T24" s="53" t="s">
        <v>244</v>
      </c>
      <c r="V24" s="84">
        <v>0.21088999999999999</v>
      </c>
      <c r="Y24" s="56"/>
      <c r="Z24" s="56"/>
      <c r="AA24" s="79"/>
      <c r="AB24" s="56"/>
      <c r="AC24" s="79"/>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6"/>
      <c r="EF24" s="56"/>
      <c r="EG24" s="56"/>
      <c r="EH24" s="56"/>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row>
    <row r="25" spans="2:170" ht="15" customHeight="1" x14ac:dyDescent="0.25">
      <c r="B25" s="70" t="s">
        <v>246</v>
      </c>
      <c r="C25" s="70"/>
      <c r="D25" s="70"/>
      <c r="F25" s="109">
        <f>$G$9/J51</f>
        <v>2.7694852833595567</v>
      </c>
      <c r="G25" s="109">
        <f>$G$9/K51</f>
        <v>2.2350069255314224</v>
      </c>
      <c r="I25" s="75" t="s">
        <v>258</v>
      </c>
      <c r="J25" s="119"/>
      <c r="K25" s="123">
        <f>SUM(K23:K24)</f>
        <v>-519.59945932036749</v>
      </c>
      <c r="L25" s="123">
        <f>SUM(L23:L24)</f>
        <v>0</v>
      </c>
      <c r="M25" s="123">
        <f>SUM(M23:M24)</f>
        <v>0</v>
      </c>
      <c r="N25" s="123">
        <f>SUM(N23:N24)</f>
        <v>1117.6739920057862</v>
      </c>
      <c r="O25" s="123">
        <f>SUM(O23:O24)</f>
        <v>0</v>
      </c>
      <c r="R25" s="56"/>
      <c r="S25" s="56"/>
      <c r="T25"/>
      <c r="U25"/>
      <c r="V25"/>
      <c r="W25"/>
      <c r="X25"/>
      <c r="Y25"/>
      <c r="Z25"/>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6"/>
      <c r="EF25" s="56"/>
      <c r="EG25" s="56"/>
      <c r="EH25" s="56"/>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row>
    <row r="26" spans="2:170" ht="15" customHeight="1" x14ac:dyDescent="0.25">
      <c r="B26" s="70" t="s">
        <v>247</v>
      </c>
      <c r="C26" s="70"/>
      <c r="D26" s="70"/>
      <c r="F26" s="109">
        <f>$G$9/J61</f>
        <v>24.893705350091235</v>
      </c>
      <c r="G26" s="109">
        <f>$G$9/K61</f>
        <v>25.468510647265425</v>
      </c>
      <c r="R26" s="56"/>
      <c r="S26" s="56"/>
      <c r="T26"/>
      <c r="U26"/>
      <c r="V26"/>
      <c r="W26"/>
      <c r="X26"/>
      <c r="Y26"/>
      <c r="Z2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row>
    <row r="27" spans="2:170" ht="15" customHeight="1" x14ac:dyDescent="0.25">
      <c r="B27" s="114" t="s">
        <v>251</v>
      </c>
      <c r="C27" s="114"/>
      <c r="D27" s="114"/>
      <c r="E27" s="114"/>
      <c r="F27" s="115">
        <f>J80/J61</f>
        <v>0.49272151391079017</v>
      </c>
      <c r="G27" s="115">
        <f>K80/K61</f>
        <v>0.50409864448434583</v>
      </c>
      <c r="H27" s="107"/>
      <c r="I27" s="128" t="s">
        <v>306</v>
      </c>
      <c r="J27" s="129"/>
      <c r="K27" s="130"/>
      <c r="L27" s="130"/>
      <c r="M27" s="130"/>
      <c r="N27" s="131">
        <f>SUM(K25:O25)</f>
        <v>598.07453268541872</v>
      </c>
      <c r="R27" s="56"/>
      <c r="S27" s="56"/>
      <c r="T27" s="63" t="s">
        <v>215</v>
      </c>
      <c r="U27" s="64"/>
      <c r="V27" s="65"/>
      <c r="W27"/>
      <c r="X27"/>
      <c r="Y27"/>
      <c r="Z27"/>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row>
    <row r="28" spans="2:170" ht="15" customHeight="1" x14ac:dyDescent="0.25">
      <c r="E28" s="109"/>
      <c r="F28" s="109"/>
      <c r="G28" s="109"/>
      <c r="H28" s="113"/>
      <c r="I28" s="137" t="s">
        <v>259</v>
      </c>
      <c r="K28" s="138"/>
      <c r="L28" s="138"/>
      <c r="M28" s="138"/>
      <c r="N28" s="139">
        <f>XIRR(K25:O25,$K$21:$O$21)</f>
        <v>0.21089000105857855</v>
      </c>
      <c r="S28" s="56"/>
      <c r="T28" s="56" t="s">
        <v>217</v>
      </c>
      <c r="U28" s="56"/>
      <c r="V28" s="69">
        <f>J50</f>
        <v>45291</v>
      </c>
      <c r="W28"/>
      <c r="X28"/>
      <c r="Y28"/>
      <c r="Z28"/>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row>
    <row r="29" spans="2:170" ht="15" customHeight="1" thickBot="1" x14ac:dyDescent="0.3">
      <c r="B29" s="66" t="s">
        <v>253</v>
      </c>
      <c r="C29" s="66"/>
      <c r="D29" s="66"/>
      <c r="E29" s="66"/>
      <c r="F29" s="66"/>
      <c r="G29" s="66"/>
      <c r="H29" s="113"/>
      <c r="I29" s="143" t="s">
        <v>260</v>
      </c>
      <c r="J29" s="114"/>
      <c r="K29" s="144"/>
      <c r="L29" s="144"/>
      <c r="M29" s="144"/>
      <c r="N29" s="145">
        <f>SUMIF(K23:O24,"&gt;0")/-SUMIF(K23:O24,"&lt;0")</f>
        <v>2.1510299365355308</v>
      </c>
      <c r="S29" s="56"/>
      <c r="T29" s="56" t="s">
        <v>222</v>
      </c>
      <c r="U29" s="67" t="s">
        <v>223</v>
      </c>
      <c r="V29" s="74" t="s">
        <v>224</v>
      </c>
      <c r="W29"/>
      <c r="X29"/>
      <c r="Y29"/>
      <c r="Z29"/>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row>
    <row r="30" spans="2:170" ht="15" customHeight="1" x14ac:dyDescent="0.25">
      <c r="B30" s="53" t="str">
        <f>"Implied TEV as of "&amp;TEXT(V11,"mmm 'yy")</f>
        <v>Implied TEV as of Dec '23</v>
      </c>
      <c r="E30" s="83"/>
      <c r="G30" s="59">
        <f>G34+G11</f>
        <v>9889.7683076796911</v>
      </c>
      <c r="T30" s="56" t="s">
        <v>222</v>
      </c>
      <c r="U30" s="67" t="s">
        <v>225</v>
      </c>
      <c r="V30" s="74" t="s">
        <v>226</v>
      </c>
      <c r="W30"/>
      <c r="X30"/>
      <c r="Y30"/>
      <c r="Z30"/>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row>
    <row r="31" spans="2:170" ht="15" customHeight="1" x14ac:dyDescent="0.25">
      <c r="B31" s="53" t="s">
        <v>255</v>
      </c>
      <c r="E31" s="83"/>
      <c r="G31" s="112">
        <f>G30/J61</f>
        <v>24.893679959184819</v>
      </c>
      <c r="T31"/>
      <c r="U31"/>
      <c r="V31"/>
      <c r="W31"/>
      <c r="X31"/>
      <c r="Y31"/>
      <c r="Z31"/>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row>
    <row r="32" spans="2:170" ht="15" customHeight="1" thickBot="1" x14ac:dyDescent="0.3">
      <c r="B32" s="53" t="s">
        <v>283</v>
      </c>
      <c r="G32" s="112">
        <f>G30/G7</f>
        <v>2.7694824585594451</v>
      </c>
      <c r="I32" s="207" t="s">
        <v>277</v>
      </c>
      <c r="J32" s="207"/>
      <c r="K32" s="207"/>
      <c r="L32" s="207"/>
      <c r="M32" s="207"/>
      <c r="N32" s="207"/>
      <c r="O32" s="207"/>
      <c r="P32" s="207"/>
      <c r="Q32" s="207"/>
      <c r="T32"/>
      <c r="U32"/>
      <c r="V32"/>
      <c r="W32"/>
      <c r="X32"/>
      <c r="Y32"/>
      <c r="Z32"/>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row>
    <row r="33" spans="2:170" ht="15" customHeight="1" x14ac:dyDescent="0.25">
      <c r="B33" s="53" t="s">
        <v>256</v>
      </c>
      <c r="G33" s="110">
        <f>K22</f>
        <v>0.99999895943103823</v>
      </c>
      <c r="I33" s="232" t="s">
        <v>281</v>
      </c>
      <c r="K33" s="233">
        <v>9.7662673418998744E-2</v>
      </c>
      <c r="L33" s="233">
        <v>9.5042626226203311E-2</v>
      </c>
      <c r="R33" s="104"/>
      <c r="T33"/>
      <c r="U33"/>
      <c r="V33"/>
      <c r="W33"/>
      <c r="X33"/>
      <c r="Y33"/>
      <c r="Z33"/>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row>
    <row r="34" spans="2:170" ht="15" customHeight="1" thickBot="1" x14ac:dyDescent="0.3">
      <c r="B34" s="53" t="str">
        <f>"Implied Equity Value as of "&amp;TEXT(V11,"mmm 'yy")</f>
        <v>Implied Equity Value as of Dec '23</v>
      </c>
      <c r="E34" s="83"/>
      <c r="G34" s="59">
        <f>G35/$G$18</f>
        <v>9694.0197634396918</v>
      </c>
      <c r="I34" s="234"/>
      <c r="J34" s="234"/>
      <c r="K34" s="235" t="s">
        <v>279</v>
      </c>
      <c r="L34" s="235" t="s">
        <v>280</v>
      </c>
      <c r="R34" s="104"/>
      <c r="T34"/>
      <c r="U34"/>
      <c r="V34"/>
      <c r="W34"/>
      <c r="X34"/>
      <c r="Y34"/>
      <c r="Z34"/>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row>
    <row r="35" spans="2:170" ht="15" customHeight="1" x14ac:dyDescent="0.25">
      <c r="B35" s="114" t="str">
        <f>"Implied Fund Stake Value as of "&amp;TEXT(V11,"mmm 'yy")</f>
        <v>Implied Fund Stake Value as of Dec '23</v>
      </c>
      <c r="C35" s="114"/>
      <c r="D35" s="114"/>
      <c r="E35" s="121"/>
      <c r="F35" s="114"/>
      <c r="G35" s="82">
        <f>-K23</f>
        <v>519.59945932036749</v>
      </c>
      <c r="I35" s="83" t="s">
        <v>278</v>
      </c>
      <c r="J35" s="83"/>
      <c r="K35" s="236">
        <f>69.7/K33</f>
        <v>713.68105705000039</v>
      </c>
      <c r="L35" s="236">
        <f>86.5/L33</f>
        <v>910.1179484890107</v>
      </c>
      <c r="R35" s="104"/>
      <c r="W35" s="120"/>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row>
    <row r="36" spans="2:170" ht="15" customHeight="1" x14ac:dyDescent="0.25">
      <c r="I36" s="164" t="s">
        <v>0</v>
      </c>
      <c r="L36" s="237">
        <f>L35/K35 -1</f>
        <v>0.27524464814994798</v>
      </c>
      <c r="W36" s="120"/>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row>
    <row r="37" spans="2:170" ht="15" customHeight="1" thickBot="1" x14ac:dyDescent="0.3">
      <c r="B37" s="66" t="s">
        <v>304</v>
      </c>
      <c r="C37" s="66"/>
      <c r="D37" s="66"/>
      <c r="E37" s="66"/>
      <c r="F37" s="66"/>
      <c r="G37" s="66"/>
      <c r="I37" s="114"/>
      <c r="J37" s="114"/>
      <c r="K37" s="114"/>
      <c r="L37" s="114"/>
      <c r="W37" s="120"/>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row>
    <row r="38" spans="2:170" ht="15" customHeight="1" x14ac:dyDescent="0.25">
      <c r="D38" s="124" t="s">
        <v>303</v>
      </c>
      <c r="E38" s="124"/>
      <c r="F38" s="124"/>
      <c r="G38" s="124"/>
      <c r="I38" s="83" t="s">
        <v>2</v>
      </c>
      <c r="J38" s="83"/>
      <c r="K38" s="236">
        <v>274.76720696425014</v>
      </c>
      <c r="L38" s="236">
        <v>387.71024605631857</v>
      </c>
      <c r="W38" s="120"/>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6"/>
      <c r="EF38" s="56"/>
      <c r="EG38" s="56"/>
      <c r="EH38" s="56"/>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row>
    <row r="39" spans="2:170" ht="15" customHeight="1" outlineLevel="1" x14ac:dyDescent="0.25">
      <c r="C39" s="125">
        <f>K22</f>
        <v>0.99999895943103823</v>
      </c>
      <c r="D39" s="126">
        <f>E39-2%</f>
        <v>0.18000000000000002</v>
      </c>
      <c r="E39" s="127">
        <v>0.2</v>
      </c>
      <c r="F39" s="126">
        <f>E39+2%</f>
        <v>0.22</v>
      </c>
      <c r="G39" s="126">
        <f>F39+2%</f>
        <v>0.24</v>
      </c>
      <c r="I39" s="164" t="s">
        <v>0</v>
      </c>
      <c r="L39" s="237">
        <f>L38/K38 -1</f>
        <v>0.41104992236851401</v>
      </c>
      <c r="W39" s="120"/>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row>
    <row r="40" spans="2:170" ht="15" customHeight="1" x14ac:dyDescent="0.25">
      <c r="B40" s="132"/>
      <c r="C40" s="133">
        <f>C41-$V$22</f>
        <v>1.5</v>
      </c>
      <c r="D40" s="134">
        <f t="dataTable" ref="D40:G44" dt2D="1" dtr="1" r1="V24" r2="V21"/>
        <v>0.66121972061988554</v>
      </c>
      <c r="E40" s="135">
        <v>0.6181997781515387</v>
      </c>
      <c r="F40" s="135">
        <v>0.57862186265801396</v>
      </c>
      <c r="G40" s="136">
        <v>0.54216075012504505</v>
      </c>
      <c r="I40" s="164" t="s">
        <v>265</v>
      </c>
      <c r="K40" s="238">
        <f>K38/K35</f>
        <v>0.38499999999999995</v>
      </c>
      <c r="L40" s="238">
        <f>L38/L35</f>
        <v>0.42599999999999999</v>
      </c>
      <c r="R40" s="56"/>
      <c r="W40" s="120"/>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6"/>
      <c r="EF40" s="56"/>
      <c r="EG40" s="56"/>
      <c r="EH40" s="56"/>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row>
    <row r="41" spans="2:170" ht="15" customHeight="1" x14ac:dyDescent="0.25">
      <c r="B41" s="249" t="s">
        <v>302</v>
      </c>
      <c r="C41" s="133">
        <f>C42-$V$22</f>
        <v>2</v>
      </c>
      <c r="D41" s="140">
        <v>0.88509644191746251</v>
      </c>
      <c r="E41" s="141">
        <v>0.8275107456310129</v>
      </c>
      <c r="F41" s="141">
        <v>0.77453248274891329</v>
      </c>
      <c r="G41" s="142">
        <v>0.72572631444372626</v>
      </c>
      <c r="I41" s="114"/>
      <c r="J41" s="114"/>
      <c r="K41" s="114"/>
      <c r="L41" s="114"/>
      <c r="R41" s="56"/>
      <c r="W41" s="120"/>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row>
    <row r="42" spans="2:170" ht="15" customHeight="1" x14ac:dyDescent="0.25">
      <c r="B42" s="249"/>
      <c r="C42" s="146">
        <v>2.5</v>
      </c>
      <c r="D42" s="140">
        <v>1.1089731632150397</v>
      </c>
      <c r="E42" s="141">
        <v>1.0368217131104873</v>
      </c>
      <c r="F42" s="141">
        <v>0.97044310283981272</v>
      </c>
      <c r="G42" s="142">
        <v>0.90929187876240736</v>
      </c>
      <c r="I42" s="83" t="s">
        <v>3</v>
      </c>
      <c r="J42" s="83"/>
      <c r="K42" s="236">
        <f>4.4/K33</f>
        <v>45.053036600000027</v>
      </c>
      <c r="L42" s="236">
        <f>5.8/L33</f>
        <v>61.025249725274705</v>
      </c>
      <c r="R42" s="56"/>
      <c r="W42" s="120"/>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row>
    <row r="43" spans="2:170" ht="15" customHeight="1" x14ac:dyDescent="0.25">
      <c r="B43" s="132"/>
      <c r="C43" s="133">
        <f>C42+$V$22</f>
        <v>3</v>
      </c>
      <c r="D43" s="140">
        <v>1.3328498845126162</v>
      </c>
      <c r="E43" s="141">
        <v>1.2461326805899613</v>
      </c>
      <c r="F43" s="141">
        <v>1.1663537229307119</v>
      </c>
      <c r="G43" s="142">
        <v>1.0928574430810885</v>
      </c>
      <c r="I43" s="164" t="s">
        <v>0</v>
      </c>
      <c r="L43" s="237">
        <f>L42/K42 -1</f>
        <v>0.35452023505280583</v>
      </c>
      <c r="R43" s="56"/>
      <c r="W43" s="120"/>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row>
    <row r="44" spans="2:170" ht="15" customHeight="1" x14ac:dyDescent="0.25">
      <c r="B44" s="132"/>
      <c r="C44" s="133">
        <f>C43+$V$22</f>
        <v>3.5</v>
      </c>
      <c r="D44" s="148">
        <v>1.5567266058101932</v>
      </c>
      <c r="E44" s="149">
        <v>1.4554436480694355</v>
      </c>
      <c r="F44" s="149">
        <v>1.3622643430216115</v>
      </c>
      <c r="G44" s="150">
        <v>1.2764230073997695</v>
      </c>
      <c r="I44" s="164" t="s">
        <v>266</v>
      </c>
      <c r="K44" s="238">
        <f>K42/K35</f>
        <v>6.3127690100430414E-2</v>
      </c>
      <c r="L44" s="238">
        <f>L42/L35</f>
        <v>6.7052023121387277E-2</v>
      </c>
      <c r="N44" s="147"/>
      <c r="O44" s="147"/>
      <c r="P44" s="147"/>
      <c r="Q44" s="147"/>
      <c r="R44" s="56"/>
      <c r="W44" s="120"/>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c r="EF44" s="56"/>
      <c r="EG44" s="56"/>
      <c r="EH44" s="56"/>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row>
    <row r="45" spans="2:170" ht="15" customHeight="1" x14ac:dyDescent="0.25">
      <c r="R45" s="56"/>
      <c r="W45" s="120"/>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row>
    <row r="46" spans="2:170" ht="15" customHeight="1" x14ac:dyDescent="0.25">
      <c r="I46" s="114"/>
      <c r="N46" s="79"/>
      <c r="O46" s="79"/>
      <c r="P46" s="79"/>
      <c r="Q46" s="79"/>
      <c r="R46" s="56"/>
      <c r="W46" s="120"/>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6"/>
      <c r="EF46" s="56"/>
      <c r="EG46" s="56"/>
      <c r="EH46" s="56"/>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row>
    <row r="47" spans="2:170" ht="15" customHeight="1" thickBot="1" x14ac:dyDescent="0.3">
      <c r="B47" s="66" t="s">
        <v>261</v>
      </c>
      <c r="C47" s="66"/>
      <c r="D47" s="66"/>
      <c r="E47" s="66"/>
      <c r="F47" s="66"/>
      <c r="G47" s="66"/>
      <c r="H47" s="66"/>
      <c r="I47" s="66"/>
      <c r="J47" s="66"/>
      <c r="K47" s="66"/>
      <c r="L47" s="66"/>
      <c r="M47" s="151"/>
      <c r="N47" s="151"/>
      <c r="O47" s="66"/>
      <c r="P47" s="151"/>
      <c r="Q47" s="66"/>
      <c r="R47" s="56"/>
      <c r="S47" s="56"/>
      <c r="W47" s="68"/>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row>
    <row r="48" spans="2:170" ht="15" customHeight="1" x14ac:dyDescent="0.25">
      <c r="B48" s="70"/>
      <c r="C48" s="70"/>
      <c r="D48" s="70"/>
      <c r="E48" s="70"/>
      <c r="F48" s="71"/>
      <c r="G48" s="70"/>
      <c r="H48" s="70"/>
      <c r="I48" s="70"/>
      <c r="J48" s="70"/>
      <c r="K48" s="70"/>
      <c r="L48" s="56"/>
      <c r="M48" s="56"/>
      <c r="N48" s="56"/>
      <c r="O48" s="56"/>
      <c r="P48" s="56"/>
      <c r="Q48" s="56"/>
      <c r="S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row>
    <row r="49" spans="2:170" ht="15" customHeight="1" x14ac:dyDescent="0.25">
      <c r="C49" s="70"/>
      <c r="D49" s="70"/>
      <c r="H49" s="63" t="str">
        <f>"Historical Fiscal Years Ending "&amp;TEXT(Summary!$V$10,"mmm dd")</f>
        <v>Historical Fiscal Years Ending Dec 31</v>
      </c>
      <c r="I49" s="152"/>
      <c r="J49" s="64"/>
      <c r="K49" s="153" t="str">
        <f>"Projected Fiscal Years Ending "&amp;TEXT(Summary!$V$10,"mmm dd")</f>
        <v>Projected Fiscal Years Ending Dec 31</v>
      </c>
      <c r="L49" s="64"/>
      <c r="M49" s="64"/>
      <c r="N49" s="64"/>
      <c r="O49" s="65"/>
      <c r="P49" s="63" t="s">
        <v>262</v>
      </c>
      <c r="Q49" s="65"/>
      <c r="S49"/>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row>
    <row r="50" spans="2:170" ht="15" customHeight="1" x14ac:dyDescent="0.25">
      <c r="C50" s="70"/>
      <c r="D50" s="70"/>
      <c r="H50" s="154">
        <v>44561</v>
      </c>
      <c r="I50" s="155">
        <v>44926</v>
      </c>
      <c r="J50" s="155">
        <v>45291</v>
      </c>
      <c r="K50" s="156">
        <v>45657</v>
      </c>
      <c r="L50" s="157">
        <v>46022</v>
      </c>
      <c r="M50" s="157">
        <v>46387</v>
      </c>
      <c r="N50" s="157">
        <v>46752</v>
      </c>
      <c r="O50" s="158">
        <v>47118</v>
      </c>
      <c r="P50" s="159" t="str">
        <f>TEXT(H50,"'yy")&amp;" - "&amp;TEXT(K50,"'yy")</f>
        <v>'21 - '24</v>
      </c>
      <c r="Q50" s="160" t="str">
        <f>TEXT(K50,"'yy")&amp;" - "&amp;TEXT(O50,"'yy")</f>
        <v>'24 - '28</v>
      </c>
      <c r="S50"/>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row>
    <row r="51" spans="2:170" ht="15" customHeight="1" x14ac:dyDescent="0.25">
      <c r="B51" s="75" t="s">
        <v>263</v>
      </c>
      <c r="C51" s="75"/>
      <c r="D51" s="75"/>
      <c r="H51" s="213">
        <f>'Annual reports rM 2017-2023'!H13/1000</f>
        <v>2675.5650000000001</v>
      </c>
      <c r="I51" s="213">
        <f>'Annual reports rM 2017-2023'!I13/1000</f>
        <v>2712.0198089999999</v>
      </c>
      <c r="J51" s="213">
        <f>'Annual reports rM 2017-2023'!K13/1000</f>
        <v>3570.9806635944119</v>
      </c>
      <c r="K51" s="162">
        <f>J51*(1+K83)</f>
        <v>4424.9430648340176</v>
      </c>
      <c r="L51" s="161">
        <f>K51*(1+L83)</f>
        <v>5483.1215768371239</v>
      </c>
      <c r="M51" s="161">
        <f>L51*(1+M83)</f>
        <v>6794.3523308371814</v>
      </c>
      <c r="N51" s="161">
        <f>M51*(1+N83)</f>
        <v>8419.1501043063436</v>
      </c>
      <c r="O51" s="161">
        <f>N51*(1+O83)</f>
        <v>9425.8256252307983</v>
      </c>
      <c r="P51" s="163">
        <f>(K51/H51)^(1/(YEAR(K$50)-YEAR(H$50)))-1</f>
        <v>0.18258053671675722</v>
      </c>
      <c r="Q51" s="163">
        <f>(O51/K51)^(1/(YEAR(O$50)-YEAR(K$50)))-1</f>
        <v>0.20810012296796976</v>
      </c>
      <c r="S51"/>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6"/>
      <c r="EF51" s="56"/>
      <c r="EG51" s="56"/>
      <c r="EH51" s="56"/>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row>
    <row r="52" spans="2:170" ht="15" customHeight="1" x14ac:dyDescent="0.25">
      <c r="B52" s="164" t="s">
        <v>0</v>
      </c>
      <c r="C52" s="164"/>
      <c r="D52" s="164"/>
      <c r="H52" s="165"/>
      <c r="I52" s="165">
        <f t="shared" ref="I52" si="0">I51/H51-1</f>
        <v>1.3625088158949472E-2</v>
      </c>
      <c r="J52" s="165">
        <f t="shared" ref="J52" si="1">J51/I51-1</f>
        <v>0.31672366541862962</v>
      </c>
      <c r="K52" s="166">
        <f>K51/J51-1</f>
        <v>0.23913946383009543</v>
      </c>
      <c r="L52" s="165">
        <f>L51/K51-1</f>
        <v>0.23913946383009543</v>
      </c>
      <c r="M52" s="165">
        <f>M51/L51-1</f>
        <v>0.23913946383009543</v>
      </c>
      <c r="N52" s="165">
        <f>N51/M51-1</f>
        <v>0.23913946383009543</v>
      </c>
      <c r="O52" s="165">
        <f>O51/N51-1</f>
        <v>0.11956973191504772</v>
      </c>
      <c r="P52" s="56"/>
      <c r="Q52" s="56"/>
      <c r="S52"/>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6"/>
      <c r="EF52" s="56"/>
      <c r="EG52" s="56"/>
      <c r="EH52" s="56"/>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row>
    <row r="53" spans="2:170" ht="15" customHeight="1" x14ac:dyDescent="0.25">
      <c r="B53" s="164"/>
      <c r="C53" s="164"/>
      <c r="D53" s="164"/>
      <c r="H53" s="165"/>
      <c r="I53" s="165"/>
      <c r="J53" s="165"/>
      <c r="K53" s="166"/>
      <c r="L53" s="165"/>
      <c r="M53" s="165"/>
      <c r="N53" s="165"/>
      <c r="O53" s="165"/>
      <c r="P53" s="56"/>
      <c r="Q53" s="56"/>
      <c r="S53"/>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row>
    <row r="54" spans="2:170" ht="15" customHeight="1" x14ac:dyDescent="0.25">
      <c r="B54" s="56" t="s">
        <v>264</v>
      </c>
      <c r="C54" s="56"/>
      <c r="D54" s="56"/>
      <c r="H54" s="214">
        <f>-'Annual reports rM 2017-2023'!H16/1000</f>
        <v>-1503.564617</v>
      </c>
      <c r="I54" s="214">
        <f>-'Annual reports rM 2017-2023'!I16/1000</f>
        <v>-1530.1716699999999</v>
      </c>
      <c r="J54" s="214">
        <f>-'Annual reports rM 2017-2023'!K16/1000</f>
        <v>-1859.1961129203839</v>
      </c>
      <c r="K54" s="167">
        <f>-(K84*K51)</f>
        <v>-2303.8032745191617</v>
      </c>
      <c r="L54" s="72">
        <f>-(L84*L51)</f>
        <v>-2854.7335543576924</v>
      </c>
      <c r="M54" s="72">
        <f>-(M84*M51)</f>
        <v>-3537.413005924574</v>
      </c>
      <c r="N54" s="72">
        <f>-(N84*N51)</f>
        <v>-4383.3480555069827</v>
      </c>
      <c r="O54" s="72">
        <f>-(O84*O51)</f>
        <v>-4907.4638073942979</v>
      </c>
      <c r="P54" s="163">
        <f>(K54/H54)^(1/(YEAR(K$50)-YEAR(H$50)))-1</f>
        <v>0.15285432026038981</v>
      </c>
      <c r="Q54" s="163">
        <f>(O54/K54)^(1/(YEAR(O$50)-YEAR(K$50)))-1</f>
        <v>0.20810012296796976</v>
      </c>
      <c r="S54"/>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6"/>
      <c r="EF54" s="56"/>
      <c r="EG54" s="56"/>
      <c r="EH54" s="56"/>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row>
    <row r="55" spans="2:170" ht="15" customHeight="1" x14ac:dyDescent="0.25">
      <c r="B55" s="83" t="s">
        <v>2</v>
      </c>
      <c r="C55" s="83"/>
      <c r="D55" s="83"/>
      <c r="H55" s="77">
        <f t="shared" ref="H55:O55" si="2">H51+H54</f>
        <v>1172.0003830000001</v>
      </c>
      <c r="I55" s="77">
        <f t="shared" si="2"/>
        <v>1181.8481389999999</v>
      </c>
      <c r="J55" s="77">
        <f t="shared" si="2"/>
        <v>1711.784550674028</v>
      </c>
      <c r="K55" s="162">
        <f t="shared" si="2"/>
        <v>2121.1397903148559</v>
      </c>
      <c r="L55" s="77">
        <f t="shared" si="2"/>
        <v>2628.3880224794316</v>
      </c>
      <c r="M55" s="77">
        <f t="shared" si="2"/>
        <v>3256.9393249126074</v>
      </c>
      <c r="N55" s="77">
        <f t="shared" si="2"/>
        <v>4035.8020487993608</v>
      </c>
      <c r="O55" s="77">
        <f t="shared" si="2"/>
        <v>4518.3618178365004</v>
      </c>
      <c r="P55" s="163">
        <f>(K55/H55)^(1/(YEAR(K$50)-YEAR(H$50)))-1</f>
        <v>0.21865426412836664</v>
      </c>
      <c r="Q55" s="163">
        <f>(O55/K55)^(1/(YEAR(O$50)-YEAR(K$50)))-1</f>
        <v>0.20810012296796976</v>
      </c>
      <c r="S55"/>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row>
    <row r="56" spans="2:170" ht="15" customHeight="1" x14ac:dyDescent="0.25">
      <c r="B56" s="164" t="s">
        <v>0</v>
      </c>
      <c r="C56" s="164"/>
      <c r="D56" s="164"/>
      <c r="H56" s="165"/>
      <c r="I56" s="165">
        <f t="shared" ref="I56:O56" si="3">I55/H55-1</f>
        <v>8.4025194384256263E-3</v>
      </c>
      <c r="J56" s="165">
        <f t="shared" si="3"/>
        <v>0.44839636683138018</v>
      </c>
      <c r="K56" s="166">
        <f t="shared" si="3"/>
        <v>0.23913946383009543</v>
      </c>
      <c r="L56" s="165">
        <f t="shared" si="3"/>
        <v>0.23913946383009543</v>
      </c>
      <c r="M56" s="165">
        <f t="shared" si="3"/>
        <v>0.23913946383009543</v>
      </c>
      <c r="N56" s="165">
        <f t="shared" si="3"/>
        <v>0.23913946383009521</v>
      </c>
      <c r="O56" s="165">
        <f t="shared" si="3"/>
        <v>0.11956973191504772</v>
      </c>
      <c r="S56"/>
      <c r="U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6"/>
      <c r="EF56" s="56"/>
      <c r="EG56" s="56"/>
      <c r="EH56" s="56"/>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row>
    <row r="57" spans="2:170" ht="15" customHeight="1" x14ac:dyDescent="0.25">
      <c r="B57" s="164" t="s">
        <v>265</v>
      </c>
      <c r="C57" s="164"/>
      <c r="D57" s="164"/>
      <c r="H57" s="165">
        <f t="shared" ref="H57:O57" si="4">H55/H$51</f>
        <v>0.4380384640253554</v>
      </c>
      <c r="I57" s="165">
        <f t="shared" si="4"/>
        <v>0.43578152898366235</v>
      </c>
      <c r="J57" s="165">
        <f t="shared" si="4"/>
        <v>0.47935979271055795</v>
      </c>
      <c r="K57" s="166">
        <f>K55/K$51</f>
        <v>0.47935979271055801</v>
      </c>
      <c r="L57" s="165">
        <f t="shared" si="4"/>
        <v>0.47935979271055801</v>
      </c>
      <c r="M57" s="165">
        <f t="shared" si="4"/>
        <v>0.47935979271055795</v>
      </c>
      <c r="N57" s="165">
        <f t="shared" si="4"/>
        <v>0.4793597927105579</v>
      </c>
      <c r="O57" s="165">
        <f t="shared" si="4"/>
        <v>0.4793597927105579</v>
      </c>
      <c r="P57" s="163"/>
      <c r="S57"/>
      <c r="U57" s="120"/>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6"/>
      <c r="EF57" s="56"/>
      <c r="EG57" s="56"/>
      <c r="EH57" s="56"/>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row>
    <row r="58" spans="2:170" ht="15" customHeight="1" x14ac:dyDescent="0.25">
      <c r="B58" s="164"/>
      <c r="C58" s="164"/>
      <c r="D58" s="164"/>
      <c r="H58" s="165"/>
      <c r="I58" s="165"/>
      <c r="J58" s="165"/>
      <c r="K58" s="166"/>
      <c r="L58" s="165"/>
      <c r="M58" s="165"/>
      <c r="N58" s="165"/>
      <c r="O58" s="165"/>
      <c r="P58" s="163"/>
      <c r="S58"/>
      <c r="U58" s="120"/>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row>
    <row r="59" spans="2:170" ht="15" customHeight="1" x14ac:dyDescent="0.25">
      <c r="B59" s="53" t="s">
        <v>131</v>
      </c>
      <c r="C59" s="164"/>
      <c r="D59" s="164"/>
      <c r="H59" s="214">
        <f>-'Annual reports rM 2017-2023'!H17/1000</f>
        <v>-190.49213500000002</v>
      </c>
      <c r="I59" s="214">
        <f>-'Annual reports rM 2017-2023'!I17/1000</f>
        <v>-312.60186200000004</v>
      </c>
      <c r="J59" s="214">
        <f>-'Annual reports rM 2017-2023'!K17/1000</f>
        <v>-440.77704876328772</v>
      </c>
      <c r="K59" s="167">
        <f>-K51*K85</f>
        <v>-546.18423587315215</v>
      </c>
      <c r="L59" s="72">
        <f>-L51*L85</f>
        <v>-676.79844119230813</v>
      </c>
      <c r="M59" s="72">
        <f>-M51*M85</f>
        <v>-838.64765754008101</v>
      </c>
      <c r="N59" s="72">
        <f>-N51*N85</f>
        <v>-1039.2014087065816</v>
      </c>
      <c r="O59" s="72">
        <f>-O51*O85</f>
        <v>-1163.4584425513672</v>
      </c>
      <c r="P59" s="163"/>
      <c r="S59"/>
      <c r="U59" s="120"/>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6"/>
      <c r="EF59" s="56"/>
      <c r="EG59" s="56"/>
      <c r="EH59" s="56"/>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row>
    <row r="60" spans="2:170" ht="15" customHeight="1" x14ac:dyDescent="0.25">
      <c r="B60" s="53" t="s">
        <v>136</v>
      </c>
      <c r="H60" s="214">
        <f>-('Annual reports rM 2017-2023'!H22/1000)</f>
        <v>-704.08824500000003</v>
      </c>
      <c r="I60" s="214">
        <f>-('Annual reports rM 2017-2023'!I22/1000)</f>
        <v>-757.06490599999995</v>
      </c>
      <c r="J60" s="214">
        <f>-('Annual reports rM 2017-2023'!K22/1000)</f>
        <v>-873.72721535227413</v>
      </c>
      <c r="K60" s="167">
        <f>-K86*K51</f>
        <v>-1186.6415877571956</v>
      </c>
      <c r="L60" s="72">
        <f>-L86*L51</f>
        <v>-1470.4144208119446</v>
      </c>
      <c r="M60" s="72">
        <f>-M86*M51</f>
        <v>-1822.0485370129534</v>
      </c>
      <c r="N60" s="72">
        <f>-N86*N51</f>
        <v>-2257.7722472266405</v>
      </c>
      <c r="O60" s="72">
        <f>-O86*O51</f>
        <v>-2527.7334695527647</v>
      </c>
      <c r="P60" s="163"/>
      <c r="Q60" s="163"/>
      <c r="S60"/>
      <c r="U60" s="120"/>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row>
    <row r="61" spans="2:170" ht="15" customHeight="1" x14ac:dyDescent="0.25">
      <c r="B61" s="75" t="s">
        <v>3</v>
      </c>
      <c r="C61" s="75"/>
      <c r="D61" s="75"/>
      <c r="H61" s="77">
        <f>H59+H55+H60</f>
        <v>277.42000300000007</v>
      </c>
      <c r="I61" s="77">
        <f>I59+I55+I60</f>
        <v>112.18137100000001</v>
      </c>
      <c r="J61" s="77">
        <f t="shared" ref="J61:O61" si="5">J59+J55+J60</f>
        <v>397.28028655846617</v>
      </c>
      <c r="K61" s="162">
        <f t="shared" si="5"/>
        <v>388.31396668450816</v>
      </c>
      <c r="L61" s="77">
        <f t="shared" si="5"/>
        <v>481.17516047517893</v>
      </c>
      <c r="M61" s="77">
        <f t="shared" si="5"/>
        <v>596.24313035957289</v>
      </c>
      <c r="N61" s="77">
        <f t="shared" si="5"/>
        <v>738.82839286613853</v>
      </c>
      <c r="O61" s="77">
        <f t="shared" si="5"/>
        <v>827.16990573236853</v>
      </c>
      <c r="P61" s="163">
        <f>(K61/H61)^(1/(YEAR(K$50)-YEAR(H$50)))-1</f>
        <v>0.11861785319395102</v>
      </c>
      <c r="Q61" s="163">
        <f>(O61/K61)^(1/(YEAR(O$50)-YEAR(K$50)))-1</f>
        <v>0.20810012296796954</v>
      </c>
      <c r="S61"/>
      <c r="U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6"/>
      <c r="EF61" s="56"/>
      <c r="EG61" s="56"/>
      <c r="EH61" s="56"/>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row>
    <row r="62" spans="2:170" ht="15" customHeight="1" x14ac:dyDescent="0.25">
      <c r="B62" s="164" t="s">
        <v>0</v>
      </c>
      <c r="C62" s="164"/>
      <c r="D62" s="164"/>
      <c r="H62" s="165"/>
      <c r="I62" s="165">
        <f t="shared" ref="I62:O62" si="6">I61/H61-1</f>
        <v>-0.59562623535837833</v>
      </c>
      <c r="J62" s="165">
        <f t="shared" si="6"/>
        <v>2.5414105124322837</v>
      </c>
      <c r="K62" s="166">
        <f t="shared" si="6"/>
        <v>-2.2569254446604625E-2</v>
      </c>
      <c r="L62" s="165">
        <f t="shared" si="6"/>
        <v>0.23913946383009521</v>
      </c>
      <c r="M62" s="165">
        <f t="shared" si="6"/>
        <v>0.23913946383009455</v>
      </c>
      <c r="N62" s="165">
        <f t="shared" si="6"/>
        <v>0.23913946383009499</v>
      </c>
      <c r="O62" s="165">
        <f t="shared" si="6"/>
        <v>0.11956973191504816</v>
      </c>
      <c r="P62" s="56"/>
      <c r="Q62" s="56"/>
      <c r="S62"/>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row>
    <row r="63" spans="2:170" ht="15" customHeight="1" x14ac:dyDescent="0.25">
      <c r="B63" s="164" t="s">
        <v>266</v>
      </c>
      <c r="C63" s="164"/>
      <c r="D63" s="164"/>
      <c r="H63" s="165">
        <f t="shared" ref="H63:O63" si="7">H61/H$51</f>
        <v>0.10368651219462059</v>
      </c>
      <c r="I63" s="165">
        <f t="shared" si="7"/>
        <v>4.1364510180832537E-2</v>
      </c>
      <c r="J63" s="165">
        <f>J61/J$51</f>
        <v>0.1112524328705211</v>
      </c>
      <c r="K63" s="166">
        <f>K61/K$51</f>
        <v>8.7755697868866042E-2</v>
      </c>
      <c r="L63" s="165">
        <f t="shared" si="7"/>
        <v>8.7755697868866028E-2</v>
      </c>
      <c r="M63" s="165">
        <f t="shared" si="7"/>
        <v>8.7755697868865959E-2</v>
      </c>
      <c r="N63" s="165">
        <f t="shared" si="7"/>
        <v>8.7755697868865931E-2</v>
      </c>
      <c r="O63" s="165">
        <f t="shared" si="7"/>
        <v>8.7755697868865959E-2</v>
      </c>
      <c r="P63" s="56"/>
      <c r="Q63" s="56"/>
      <c r="S63"/>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6"/>
      <c r="EF63" s="56"/>
      <c r="EG63" s="56"/>
      <c r="EH63" s="56"/>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row>
    <row r="64" spans="2:170" ht="15" customHeight="1" x14ac:dyDescent="0.25">
      <c r="B64" s="168"/>
      <c r="C64" s="168"/>
      <c r="D64" s="168"/>
      <c r="H64" s="165"/>
      <c r="I64" s="165"/>
      <c r="J64" s="165"/>
      <c r="K64" s="166"/>
      <c r="L64" s="165"/>
      <c r="M64" s="165"/>
      <c r="N64" s="165"/>
      <c r="O64" s="165"/>
      <c r="P64" s="56"/>
      <c r="Q64" s="56"/>
      <c r="S64"/>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6"/>
      <c r="EF64" s="56"/>
      <c r="EG64" s="56"/>
      <c r="EH64" s="56"/>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row>
    <row r="65" spans="2:170" ht="15" customHeight="1" x14ac:dyDescent="0.25">
      <c r="B65" s="56" t="s">
        <v>5</v>
      </c>
      <c r="C65" s="56"/>
      <c r="D65" s="56"/>
      <c r="H65" s="214">
        <f>-'Annual reports rM 2017-2023'!H20/1000</f>
        <v>-37.378599000000001</v>
      </c>
      <c r="I65" s="214">
        <f>-'Annual reports rM 2017-2023'!I20/1000</f>
        <v>-50.480273999999994</v>
      </c>
      <c r="J65" s="214">
        <f>-'Annual reports rM 2017-2023'!K20/1000</f>
        <v>-94.746468425753434</v>
      </c>
      <c r="K65" s="167">
        <f>K74*K89</f>
        <v>-13.432373493068182</v>
      </c>
      <c r="L65" s="72">
        <f>L74*L89</f>
        <v>-14.26678636128522</v>
      </c>
      <c r="M65" s="72">
        <f>M74*M89</f>
        <v>-14.732115001917904</v>
      </c>
      <c r="N65" s="72">
        <f>N74*N89</f>
        <v>-14.604116067647885</v>
      </c>
      <c r="O65" s="72">
        <f>O74*O89</f>
        <v>-12.262744733034586</v>
      </c>
      <c r="P65" s="56"/>
      <c r="Q65" s="56"/>
      <c r="S65"/>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6"/>
      <c r="EF65" s="56"/>
      <c r="EG65" s="56"/>
      <c r="EH65" s="56"/>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row>
    <row r="66" spans="2:170" ht="15" x14ac:dyDescent="0.25">
      <c r="B66" s="75" t="s">
        <v>4</v>
      </c>
      <c r="C66" s="75"/>
      <c r="D66" s="75"/>
      <c r="G66" s="73"/>
      <c r="H66" s="77">
        <f>SUM(H61,H65:H65,)</f>
        <v>240.04140400000006</v>
      </c>
      <c r="I66" s="77">
        <f t="shared" ref="I66:O66" si="8">SUM(I61,I65:I65,)</f>
        <v>61.701097000000019</v>
      </c>
      <c r="J66" s="77">
        <f t="shared" si="8"/>
        <v>302.53381813271272</v>
      </c>
      <c r="K66" s="162">
        <f>SUM(K61,K65:K65,)</f>
        <v>374.88159319144</v>
      </c>
      <c r="L66" s="77">
        <f t="shared" si="8"/>
        <v>466.90837411389373</v>
      </c>
      <c r="M66" s="77">
        <f t="shared" si="8"/>
        <v>581.51101535765497</v>
      </c>
      <c r="N66" s="77">
        <f t="shared" si="8"/>
        <v>724.22427679849068</v>
      </c>
      <c r="O66" s="77">
        <f t="shared" si="8"/>
        <v>814.907160999334</v>
      </c>
      <c r="P66" s="56"/>
      <c r="S66"/>
    </row>
    <row r="67" spans="2:170" ht="15" x14ac:dyDescent="0.25">
      <c r="B67" s="56"/>
      <c r="C67" s="56"/>
      <c r="D67" s="56"/>
      <c r="H67" s="72"/>
      <c r="I67" s="72"/>
      <c r="J67" s="72"/>
      <c r="K67" s="167"/>
      <c r="L67" s="72"/>
      <c r="M67" s="72"/>
      <c r="N67" s="72"/>
      <c r="O67" s="72"/>
      <c r="P67" s="56"/>
      <c r="S67"/>
    </row>
    <row r="68" spans="2:170" ht="15" x14ac:dyDescent="0.25">
      <c r="B68" s="56" t="s">
        <v>146</v>
      </c>
      <c r="C68" s="56"/>
      <c r="D68" s="56"/>
      <c r="H68" s="214">
        <f>'Annual reports rM 2017-2023'!H38/1000</f>
        <v>-37.936358999999996</v>
      </c>
      <c r="I68" s="214">
        <f>'Annual reports rM 2017-2023'!I38/1000</f>
        <v>-33.961275000000001</v>
      </c>
      <c r="J68" s="214">
        <f>'Annual reports rM 2017-2023'!K38/1000</f>
        <v>-15.505888032219179</v>
      </c>
      <c r="K68" s="167">
        <f>J68</f>
        <v>-15.505888032219179</v>
      </c>
      <c r="L68" s="72">
        <f t="shared" ref="L68:O68" si="9">K68</f>
        <v>-15.505888032219179</v>
      </c>
      <c r="M68" s="72">
        <f t="shared" si="9"/>
        <v>-15.505888032219179</v>
      </c>
      <c r="N68" s="72">
        <f t="shared" si="9"/>
        <v>-15.505888032219179</v>
      </c>
      <c r="O68" s="72">
        <f t="shared" si="9"/>
        <v>-15.505888032219179</v>
      </c>
      <c r="P68" s="56"/>
      <c r="S68"/>
    </row>
    <row r="69" spans="2:170" ht="15" x14ac:dyDescent="0.25">
      <c r="B69" s="83" t="s">
        <v>289</v>
      </c>
      <c r="C69" s="83"/>
      <c r="D69" s="83"/>
      <c r="G69" s="73"/>
      <c r="H69" s="77">
        <f>SUM(H66,H68)</f>
        <v>202.10504500000008</v>
      </c>
      <c r="I69" s="77">
        <f t="shared" ref="I69:O69" si="10">SUM(I66,I68)</f>
        <v>27.739822000000018</v>
      </c>
      <c r="J69" s="77">
        <f t="shared" si="10"/>
        <v>287.02793010049356</v>
      </c>
      <c r="K69" s="162">
        <f>SUM(K66,K68)</f>
        <v>359.37570515922084</v>
      </c>
      <c r="L69" s="77">
        <f t="shared" si="10"/>
        <v>451.40248608167457</v>
      </c>
      <c r="M69" s="77">
        <f t="shared" si="10"/>
        <v>566.00512732543575</v>
      </c>
      <c r="N69" s="77">
        <f t="shared" si="10"/>
        <v>708.71838876627146</v>
      </c>
      <c r="O69" s="77">
        <f t="shared" si="10"/>
        <v>799.40127296711478</v>
      </c>
      <c r="S69"/>
    </row>
    <row r="70" spans="2:170" ht="15" x14ac:dyDescent="0.25">
      <c r="K70" s="167"/>
      <c r="S70"/>
    </row>
    <row r="71" spans="2:170" ht="15" x14ac:dyDescent="0.25">
      <c r="B71" s="53" t="s">
        <v>6</v>
      </c>
      <c r="H71" s="214">
        <f>-'Annual reports rM 2017-2023'!H43/1000</f>
        <v>-45.838169000000001</v>
      </c>
      <c r="I71" s="214">
        <f>-'Annual reports rM 2017-2023'!I43/1000</f>
        <v>-5.520467</v>
      </c>
      <c r="J71" s="214">
        <f>-'Annual reports rM 2017-2023'!K43/1000</f>
        <v>-70.082811371780835</v>
      </c>
      <c r="K71" s="167">
        <f>-K69*K88</f>
        <v>-79.062655135028592</v>
      </c>
      <c r="L71" s="72">
        <f t="shared" ref="L71:O71" si="11">-L69*L88</f>
        <v>-99.308546937968401</v>
      </c>
      <c r="M71" s="72">
        <f t="shared" si="11"/>
        <v>-124.52112801159586</v>
      </c>
      <c r="N71" s="72">
        <f t="shared" si="11"/>
        <v>-155.91804552857971</v>
      </c>
      <c r="O71" s="72">
        <f t="shared" si="11"/>
        <v>-175.86828005276524</v>
      </c>
      <c r="S71"/>
    </row>
    <row r="72" spans="2:170" ht="15" customHeight="1" x14ac:dyDescent="0.25">
      <c r="B72" s="75" t="s">
        <v>8</v>
      </c>
      <c r="C72" s="75"/>
      <c r="D72" s="75"/>
      <c r="H72" s="77">
        <f t="shared" ref="H72:J72" si="12">SUM(H69,H71)</f>
        <v>156.26687600000008</v>
      </c>
      <c r="I72" s="77">
        <f t="shared" si="12"/>
        <v>22.219355000000018</v>
      </c>
      <c r="J72" s="77">
        <f t="shared" si="12"/>
        <v>216.94511872871271</v>
      </c>
      <c r="K72" s="162">
        <f>SUM(K69,K71)</f>
        <v>280.31305002419225</v>
      </c>
      <c r="L72" s="77">
        <f t="shared" ref="L72:O72" si="13">SUM(L69,L71)</f>
        <v>352.09393914370617</v>
      </c>
      <c r="M72" s="77">
        <f t="shared" si="13"/>
        <v>441.48399931383989</v>
      </c>
      <c r="N72" s="77">
        <f t="shared" si="13"/>
        <v>552.80034323769178</v>
      </c>
      <c r="O72" s="77">
        <f t="shared" si="13"/>
        <v>623.53299291434951</v>
      </c>
      <c r="P72" s="56"/>
      <c r="Q72" s="56"/>
      <c r="S72"/>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6"/>
      <c r="EF72" s="56"/>
      <c r="EG72" s="56"/>
      <c r="EH72" s="56"/>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row>
    <row r="73" spans="2:170" ht="15" customHeight="1" x14ac:dyDescent="0.25">
      <c r="B73" s="75"/>
      <c r="C73" s="75"/>
      <c r="D73" s="75"/>
      <c r="H73" s="76"/>
      <c r="I73" s="76"/>
      <c r="J73" s="76"/>
      <c r="K73" s="169"/>
      <c r="L73" s="76"/>
      <c r="M73" s="76"/>
      <c r="N73" s="76"/>
      <c r="O73" s="76"/>
      <c r="P73" s="56"/>
      <c r="Q73" s="56"/>
      <c r="S73"/>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row>
    <row r="74" spans="2:170" ht="15" customHeight="1" x14ac:dyDescent="0.25">
      <c r="B74" s="75" t="s">
        <v>295</v>
      </c>
      <c r="C74" s="75"/>
      <c r="D74" s="75"/>
      <c r="H74" s="230">
        <f>-('Annual reports rM 2017-2023'!H62-'Annual reports rM 2017-2023'!G62+'Annual reports rM 2017-2023'!H21+'Annual reports rM 2017-2023'!H20)/1000</f>
        <v>-86.193792000000002</v>
      </c>
      <c r="I74" s="230">
        <f>-('Annual reports rM 2017-2023'!I62-'Annual reports rM 2017-2023'!H62+'Annual reports rM 2017-2023'!I21+'Annual reports rM 2017-2023'!I20)/1000</f>
        <v>-256.15083199999998</v>
      </c>
      <c r="J74" s="230">
        <f>-('Annual reports rM 2017-2023'!K62-'Annual reports rM 2017-2023'!I62+'Annual reports rM 2017-2023'!K21+'Annual reports rM 2017-2023'!K20)/1000</f>
        <v>-279.2752675757535</v>
      </c>
      <c r="K74" s="169">
        <f>-K51*K87</f>
        <v>-44.24943064834018</v>
      </c>
      <c r="L74" s="76">
        <f t="shared" ref="L74:O74" si="14">-L51*L87</f>
        <v>-54.831215768371237</v>
      </c>
      <c r="M74" s="76">
        <f t="shared" si="14"/>
        <v>-67.943523308371809</v>
      </c>
      <c r="N74" s="76">
        <f t="shared" si="14"/>
        <v>-84.19150104306344</v>
      </c>
      <c r="O74" s="76">
        <f t="shared" si="14"/>
        <v>-94.258256252307987</v>
      </c>
      <c r="P74" s="56"/>
      <c r="Q74" s="56"/>
      <c r="S74"/>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row>
    <row r="75" spans="2:170" ht="15" customHeight="1" x14ac:dyDescent="0.25">
      <c r="B75" s="75"/>
      <c r="C75" s="75"/>
      <c r="D75" s="75"/>
      <c r="H75" s="76"/>
      <c r="I75" s="76"/>
      <c r="J75" s="76"/>
      <c r="K75" s="169"/>
      <c r="L75" s="76"/>
      <c r="M75" s="76"/>
      <c r="N75" s="76"/>
      <c r="O75" s="76"/>
      <c r="P75" s="56"/>
      <c r="Q75" s="56"/>
      <c r="S75"/>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6"/>
      <c r="EF75" s="56"/>
      <c r="EG75" s="56"/>
      <c r="EH75" s="56"/>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row>
    <row r="76" spans="2:170" ht="15" customHeight="1" x14ac:dyDescent="0.25">
      <c r="B76" s="56" t="s">
        <v>267</v>
      </c>
      <c r="C76" s="56"/>
      <c r="D76" s="56"/>
      <c r="H76" s="214">
        <f>'Annual reports rM 2017-2023'!G71/1000</f>
        <v>275.20800000000003</v>
      </c>
      <c r="I76" s="72">
        <f>H77</f>
        <v>637.278682</v>
      </c>
      <c r="J76" s="72">
        <f>I77</f>
        <v>395.02925799999997</v>
      </c>
      <c r="K76" s="167"/>
      <c r="L76" s="72"/>
      <c r="M76" s="72"/>
      <c r="N76" s="72"/>
      <c r="O76" s="72"/>
      <c r="P76" s="56"/>
      <c r="Q76" s="56"/>
      <c r="S7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row>
    <row r="77" spans="2:170" ht="15" customHeight="1" x14ac:dyDescent="0.25">
      <c r="B77" s="75" t="s">
        <v>268</v>
      </c>
      <c r="C77" s="75"/>
      <c r="D77" s="75"/>
      <c r="H77" s="231">
        <f>'Annual reports rM 2017-2023'!H72/1000</f>
        <v>637.278682</v>
      </c>
      <c r="I77" s="231">
        <f>'Annual reports rM 2017-2023'!I71/1000</f>
        <v>395.02925799999997</v>
      </c>
      <c r="J77" s="231">
        <f>'Annual reports rM 2017-2023'!K71/1000</f>
        <v>947.63225011999998</v>
      </c>
      <c r="K77" s="162">
        <f>J77</f>
        <v>947.63225011999998</v>
      </c>
      <c r="L77" s="77">
        <f>K77</f>
        <v>947.63225011999998</v>
      </c>
      <c r="M77" s="77">
        <f t="shared" ref="M77:O77" si="15">L77</f>
        <v>947.63225011999998</v>
      </c>
      <c r="N77" s="77">
        <f>M77-'Annual reports rM 2017-2023'!K90/1000</f>
        <v>463.45272824</v>
      </c>
      <c r="O77" s="77">
        <f t="shared" si="15"/>
        <v>463.45272824</v>
      </c>
      <c r="P77" s="56"/>
      <c r="Q77" s="56"/>
      <c r="S77"/>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6"/>
      <c r="EF77" s="56"/>
      <c r="EG77" s="56"/>
      <c r="EH77" s="56"/>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row>
    <row r="78" spans="2:170" ht="15" customHeight="1" x14ac:dyDescent="0.25">
      <c r="B78" s="75"/>
      <c r="C78" s="75"/>
      <c r="D78" s="75"/>
      <c r="H78" s="76"/>
      <c r="I78" s="76"/>
      <c r="J78" s="76"/>
      <c r="K78" s="169"/>
      <c r="L78" s="76"/>
      <c r="M78" s="76"/>
      <c r="N78" s="76"/>
      <c r="O78" s="76"/>
      <c r="P78" s="56"/>
      <c r="Q78" s="56"/>
      <c r="S78"/>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row>
    <row r="79" spans="2:170" ht="15" customHeight="1" x14ac:dyDescent="0.25">
      <c r="B79" s="56" t="s">
        <v>269</v>
      </c>
      <c r="C79" s="56"/>
      <c r="D79" s="56"/>
      <c r="H79" s="214">
        <f>('Annual reports rM 2017-2023'!H90+'Annual reports rM 2017-2023'!H93+'Annual reports rM 2017-2023'!H95+'Annual reports rM 2017-2023'!H96+'Annual reports rM 2017-2023'!H97+'Annual reports rM 2017-2023'!H98+'Annual reports rM 2017-2023'!H100)/1000</f>
        <v>650.77856799999995</v>
      </c>
      <c r="I79" s="214">
        <f>('Annual reports rM 2017-2023'!I90+'Annual reports rM 2017-2023'!I93+'Annual reports rM 2017-2023'!I95+'Annual reports rM 2017-2023'!I96+'Annual reports rM 2017-2023'!I97+'Annual reports rM 2017-2023'!I98+'Annual reports rM 2017-2023'!I100)/1000</f>
        <v>429.73721899999998</v>
      </c>
      <c r="J79" s="214">
        <f>('Annual reports rM 2017-2023'!K90+'Annual reports rM 2017-2023'!K93+'Annual reports rM 2017-2023'!K95+'Annual reports rM 2017-2023'!K96+'Annual reports rM 2017-2023'!K97+'Annual reports rM 2017-2023'!K98+'Annual reports rM 2017-2023'!K100)/1000</f>
        <v>1143.38079436</v>
      </c>
      <c r="K79" s="167">
        <f>J79</f>
        <v>1143.38079436</v>
      </c>
      <c r="L79" s="82">
        <f t="shared" ref="L79:M79" si="16">K79</f>
        <v>1143.38079436</v>
      </c>
      <c r="M79" s="82">
        <f t="shared" si="16"/>
        <v>1143.38079436</v>
      </c>
      <c r="N79" s="82">
        <f>M79-('Annual reports rM 2017-2023'!K90/1000)</f>
        <v>659.20127247999994</v>
      </c>
      <c r="O79" s="72">
        <f>N79</f>
        <v>659.20127247999994</v>
      </c>
      <c r="P79" s="56"/>
      <c r="Q79" s="56"/>
      <c r="S79"/>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row>
    <row r="80" spans="2:170" ht="15" customHeight="1" x14ac:dyDescent="0.25">
      <c r="B80" s="75" t="s">
        <v>270</v>
      </c>
      <c r="C80" s="75"/>
      <c r="D80" s="75"/>
      <c r="H80" s="77">
        <f>H79-H77</f>
        <v>13.499885999999947</v>
      </c>
      <c r="I80" s="77">
        <f t="shared" ref="I80:O80" si="17">I79-I77</f>
        <v>34.707961000000012</v>
      </c>
      <c r="J80" s="77">
        <f t="shared" si="17"/>
        <v>195.74854424</v>
      </c>
      <c r="K80" s="162">
        <f t="shared" si="17"/>
        <v>195.74854424</v>
      </c>
      <c r="L80" s="76">
        <f t="shared" si="17"/>
        <v>195.74854424</v>
      </c>
      <c r="M80" s="76">
        <f t="shared" si="17"/>
        <v>195.74854424</v>
      </c>
      <c r="N80" s="77">
        <f t="shared" si="17"/>
        <v>195.74854423999994</v>
      </c>
      <c r="O80" s="77">
        <f t="shared" si="17"/>
        <v>195.74854423999994</v>
      </c>
      <c r="P80" s="56"/>
      <c r="Q80" s="56"/>
      <c r="S80"/>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row>
    <row r="81" spans="2:170" ht="15" customHeight="1" x14ac:dyDescent="0.25">
      <c r="B81" s="75"/>
      <c r="C81" s="75"/>
      <c r="D81" s="75"/>
      <c r="H81" s="76"/>
      <c r="I81" s="76"/>
      <c r="J81" s="76"/>
      <c r="K81" s="169"/>
      <c r="L81" s="76"/>
      <c r="M81" s="76"/>
      <c r="N81" s="76"/>
      <c r="O81" s="76"/>
      <c r="P81" s="56"/>
      <c r="Q81" s="56"/>
      <c r="R81" s="170"/>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row>
    <row r="82" spans="2:170" ht="15" customHeight="1" x14ac:dyDescent="0.25">
      <c r="B82" s="215" t="s">
        <v>290</v>
      </c>
      <c r="C82" s="171"/>
      <c r="D82" s="171"/>
      <c r="H82" s="76"/>
      <c r="I82" s="76"/>
      <c r="J82" s="76"/>
      <c r="K82" s="169"/>
      <c r="L82" s="76"/>
      <c r="M82" s="76"/>
      <c r="N82" s="76"/>
      <c r="O82" s="76"/>
      <c r="P82" s="56"/>
      <c r="Q82" s="56"/>
      <c r="R82" s="170"/>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row>
    <row r="83" spans="2:170" ht="15" customHeight="1" x14ac:dyDescent="0.25">
      <c r="B83" t="s">
        <v>213</v>
      </c>
      <c r="C83" s="172"/>
      <c r="D83" s="172"/>
      <c r="E83" s="116"/>
      <c r="F83" s="116"/>
      <c r="G83" s="116"/>
      <c r="H83" s="173"/>
      <c r="I83" s="173"/>
      <c r="J83" s="173"/>
      <c r="K83" s="216">
        <f>Assumptions!K10</f>
        <v>0.23913946383009552</v>
      </c>
      <c r="L83" s="217">
        <f>Assumptions!L10</f>
        <v>0.23913946383009552</v>
      </c>
      <c r="M83" s="217">
        <f>Assumptions!M10</f>
        <v>0.23913946383009552</v>
      </c>
      <c r="N83" s="217">
        <f>Assumptions!N10</f>
        <v>0.23913946383009552</v>
      </c>
      <c r="O83" s="218">
        <f>Assumptions!O10</f>
        <v>0.11956973191504776</v>
      </c>
      <c r="P83" s="56"/>
      <c r="Q83" s="56"/>
      <c r="R83" s="170"/>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row>
    <row r="84" spans="2:170" ht="15" customHeight="1" x14ac:dyDescent="0.25">
      <c r="B84" t="s">
        <v>291</v>
      </c>
      <c r="C84" s="174"/>
      <c r="D84" s="174"/>
      <c r="H84" s="175"/>
      <c r="I84" s="175"/>
      <c r="J84" s="229"/>
      <c r="K84" s="219">
        <f>Assumptions!K17</f>
        <v>0.52064020728944205</v>
      </c>
      <c r="L84" s="220">
        <f>Assumptions!L17</f>
        <v>0.52064020728944205</v>
      </c>
      <c r="M84" s="220">
        <f>Assumptions!M17</f>
        <v>0.52064020728944205</v>
      </c>
      <c r="N84" s="220">
        <f>Assumptions!N17</f>
        <v>0.52064020728944205</v>
      </c>
      <c r="O84" s="221">
        <f>Assumptions!O17</f>
        <v>0.52064020728944205</v>
      </c>
      <c r="P84" s="56"/>
      <c r="Q84" s="56"/>
      <c r="R84" s="170"/>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row>
    <row r="85" spans="2:170" ht="15" customHeight="1" x14ac:dyDescent="0.25">
      <c r="B85" t="s">
        <v>292</v>
      </c>
      <c r="C85" s="174"/>
      <c r="D85" s="174"/>
      <c r="H85" s="175"/>
      <c r="I85" s="175"/>
      <c r="J85" s="175"/>
      <c r="K85" s="219">
        <f>Assumptions!K21</f>
        <v>0.12343305391063598</v>
      </c>
      <c r="L85" s="220">
        <f>Assumptions!L21</f>
        <v>0.12343305391063598</v>
      </c>
      <c r="M85" s="220">
        <f>Assumptions!M21</f>
        <v>0.12343305391063598</v>
      </c>
      <c r="N85" s="220">
        <f>Assumptions!N21</f>
        <v>0.12343305391063598</v>
      </c>
      <c r="O85" s="221">
        <f>Assumptions!O21</f>
        <v>0.12343305391063598</v>
      </c>
      <c r="P85" s="56"/>
      <c r="Q85" s="56"/>
      <c r="R85" s="170"/>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row>
    <row r="86" spans="2:170" ht="15" customHeight="1" x14ac:dyDescent="0.25">
      <c r="B86" t="s">
        <v>293</v>
      </c>
      <c r="C86" s="174"/>
      <c r="D86" s="174"/>
      <c r="H86" s="175"/>
      <c r="I86" s="175"/>
      <c r="J86" s="175"/>
      <c r="K86" s="219">
        <f>Assumptions!K25</f>
        <v>0.26817104093105598</v>
      </c>
      <c r="L86" s="220">
        <f>Assumptions!L25</f>
        <v>0.26817104093105598</v>
      </c>
      <c r="M86" s="220">
        <f>Assumptions!M25</f>
        <v>0.26817104093105598</v>
      </c>
      <c r="N86" s="220">
        <f>Assumptions!N25</f>
        <v>0.26817104093105598</v>
      </c>
      <c r="O86" s="221">
        <f>Assumptions!O25</f>
        <v>0.26817104093105598</v>
      </c>
      <c r="P86" s="56"/>
      <c r="Q86" s="56"/>
      <c r="R86" s="170"/>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6"/>
      <c r="EF86" s="56"/>
      <c r="EG86" s="56"/>
      <c r="EH86" s="56"/>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row>
    <row r="87" spans="2:170" ht="15" customHeight="1" x14ac:dyDescent="0.25">
      <c r="B87" t="s">
        <v>294</v>
      </c>
      <c r="C87" s="174"/>
      <c r="D87" s="174"/>
      <c r="H87" s="175"/>
      <c r="I87" s="175"/>
      <c r="J87" s="175"/>
      <c r="K87" s="219">
        <f>Assumptions!K29</f>
        <v>0.01</v>
      </c>
      <c r="L87" s="220">
        <f>Assumptions!L29</f>
        <v>0.01</v>
      </c>
      <c r="M87" s="220">
        <f>Assumptions!M29</f>
        <v>0.01</v>
      </c>
      <c r="N87" s="220">
        <f>Assumptions!N29</f>
        <v>0.01</v>
      </c>
      <c r="O87" s="221">
        <f>Assumptions!O29</f>
        <v>0.01</v>
      </c>
      <c r="P87" s="56"/>
      <c r="Q87" s="56"/>
      <c r="R87" s="102"/>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row>
    <row r="88" spans="2:170" ht="15" customHeight="1" x14ac:dyDescent="0.25">
      <c r="B88" t="s">
        <v>297</v>
      </c>
      <c r="C88" s="174"/>
      <c r="D88" s="174"/>
      <c r="H88" s="175"/>
      <c r="I88" s="175"/>
      <c r="J88" s="175"/>
      <c r="K88" s="226">
        <v>0.22</v>
      </c>
      <c r="L88" s="227">
        <v>0.22</v>
      </c>
      <c r="M88" s="227">
        <v>0.22</v>
      </c>
      <c r="N88" s="227">
        <v>0.22</v>
      </c>
      <c r="O88" s="228">
        <v>0.22</v>
      </c>
      <c r="P88" s="56"/>
      <c r="Q88" s="56"/>
      <c r="R88" s="102"/>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c r="CC88" s="56"/>
      <c r="CD88" s="56"/>
      <c r="CE88" s="56"/>
      <c r="CF88" s="56"/>
      <c r="CG88" s="56"/>
      <c r="CH88" s="56"/>
      <c r="CI88" s="56"/>
      <c r="CJ88" s="56"/>
      <c r="CK88" s="56"/>
      <c r="CL88" s="56"/>
      <c r="CM88" s="56"/>
      <c r="CN88" s="56"/>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6"/>
      <c r="EF88" s="56"/>
      <c r="EG88" s="56"/>
      <c r="EH88" s="56"/>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row>
    <row r="89" spans="2:170" ht="15" customHeight="1" x14ac:dyDescent="0.25">
      <c r="B89" s="36" t="s">
        <v>296</v>
      </c>
      <c r="C89" s="176"/>
      <c r="D89" s="176"/>
      <c r="E89" s="114"/>
      <c r="F89" s="114"/>
      <c r="G89" s="114"/>
      <c r="H89" s="225"/>
      <c r="I89" s="225"/>
      <c r="J89" s="225"/>
      <c r="K89" s="222">
        <f>Assumptions!K33</f>
        <v>0.30356036894165184</v>
      </c>
      <c r="L89" s="223">
        <f>Assumptions!L33</f>
        <v>0.26019460194998728</v>
      </c>
      <c r="M89" s="223">
        <f>Assumptions!M33</f>
        <v>0.21682883495832272</v>
      </c>
      <c r="N89" s="223">
        <f>Assumptions!N33</f>
        <v>0.17346306796665817</v>
      </c>
      <c r="O89" s="224">
        <f>Assumptions!O33</f>
        <v>0.13009730097499361</v>
      </c>
      <c r="P89" s="56"/>
      <c r="Q89" s="56"/>
      <c r="R89" s="102"/>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row>
    <row r="90" spans="2:170" ht="15" customHeight="1" x14ac:dyDescent="0.25">
      <c r="B90" s="99"/>
      <c r="C90" s="99"/>
      <c r="D90" s="99"/>
      <c r="E90" s="99"/>
      <c r="F90" s="99"/>
      <c r="G90" s="99"/>
      <c r="H90" s="177"/>
      <c r="I90" s="99"/>
      <c r="J90" s="99"/>
      <c r="K90" s="99"/>
      <c r="L90" s="99"/>
      <c r="M90" s="99"/>
      <c r="N90" s="99"/>
      <c r="O90" s="99"/>
      <c r="P90" s="99"/>
      <c r="Q90" s="99"/>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row>
    <row r="91" spans="2:170" ht="15" customHeight="1" x14ac:dyDescent="0.25">
      <c r="B91" s="56"/>
      <c r="C91" s="56"/>
      <c r="D91" s="56"/>
      <c r="E91" s="56"/>
      <c r="F91" s="56"/>
      <c r="G91" s="56"/>
      <c r="H91" s="56"/>
      <c r="I91" s="56"/>
      <c r="J91" s="56"/>
      <c r="K91" s="56"/>
      <c r="L91" s="56"/>
      <c r="M91" s="56"/>
      <c r="N91" s="56"/>
      <c r="O91" s="56"/>
      <c r="P91" s="56"/>
      <c r="Q91" s="165" t="s">
        <v>271</v>
      </c>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row>
    <row r="92" spans="2:170" ht="15" customHeight="1" x14ac:dyDescent="0.25">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row>
    <row r="93" spans="2:170" ht="15" customHeight="1" x14ac:dyDescent="0.25">
      <c r="B93" s="86"/>
      <c r="C93" s="86"/>
      <c r="D93" s="86"/>
      <c r="H93" s="178"/>
      <c r="I93" s="178"/>
      <c r="J93" s="178"/>
      <c r="K93" s="178"/>
      <c r="L93" s="178"/>
      <c r="M93" s="178"/>
      <c r="N93" s="178"/>
      <c r="O93" s="178"/>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6"/>
      <c r="EF93" s="56"/>
      <c r="EG93" s="56"/>
      <c r="EH93" s="56"/>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row>
    <row r="94" spans="2:170" ht="15" customHeight="1" x14ac:dyDescent="0.25">
      <c r="B94" s="86"/>
      <c r="C94" s="86"/>
      <c r="D94" s="86"/>
      <c r="H94" s="178"/>
      <c r="I94" s="178"/>
      <c r="J94" s="178"/>
      <c r="K94" s="178"/>
      <c r="L94" s="178"/>
      <c r="M94" s="178"/>
      <c r="N94" s="178"/>
      <c r="O94" s="178"/>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6"/>
      <c r="EF94" s="56"/>
      <c r="EG94" s="56"/>
      <c r="EH94" s="56"/>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row>
    <row r="95" spans="2:170" ht="15" customHeight="1" x14ac:dyDescent="0.25">
      <c r="B95" s="86"/>
      <c r="C95" s="86"/>
      <c r="D95" s="86"/>
      <c r="H95" s="178"/>
      <c r="I95" s="178"/>
      <c r="J95" s="178"/>
      <c r="K95" s="178"/>
      <c r="L95" s="178"/>
      <c r="M95" s="178"/>
      <c r="N95" s="178"/>
      <c r="O95" s="178"/>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6"/>
      <c r="EF95" s="56"/>
      <c r="EG95" s="56"/>
      <c r="EH95" s="56"/>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row>
    <row r="96" spans="2:170" ht="15" customHeight="1" x14ac:dyDescent="0.25">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row>
    <row r="97" spans="2:170" ht="15" customHeight="1" x14ac:dyDescent="0.25">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row>
    <row r="98" spans="2:170" ht="15" customHeight="1" x14ac:dyDescent="0.25">
      <c r="I98" s="56"/>
      <c r="J98" s="20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row>
    <row r="99" spans="2:170" ht="15" customHeight="1" x14ac:dyDescent="0.25">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row>
    <row r="100" spans="2:170" ht="15" customHeight="1" x14ac:dyDescent="0.25">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row>
    <row r="101" spans="2:170" ht="15" customHeight="1" x14ac:dyDescent="0.25">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row>
    <row r="102" spans="2:170" ht="15" customHeight="1" x14ac:dyDescent="0.25">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6"/>
      <c r="EF102" s="56"/>
      <c r="EG102" s="56"/>
      <c r="EH102" s="56"/>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row>
    <row r="103" spans="2:170" ht="15" customHeight="1" x14ac:dyDescent="0.25">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row>
    <row r="104" spans="2:170" ht="15" customHeight="1" x14ac:dyDescent="0.25">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row>
    <row r="105" spans="2:170" ht="15" customHeight="1" x14ac:dyDescent="0.25">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row>
    <row r="106" spans="2:170" ht="15" customHeight="1" x14ac:dyDescent="0.25">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row>
    <row r="107" spans="2:170" ht="15" customHeight="1" x14ac:dyDescent="0.25">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6"/>
      <c r="EF107" s="56"/>
      <c r="EG107" s="56"/>
      <c r="EH107" s="56"/>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row>
    <row r="108" spans="2:170" ht="15" customHeight="1" x14ac:dyDescent="0.25">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row>
    <row r="109" spans="2:170" ht="15" customHeight="1" x14ac:dyDescent="0.25">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6"/>
      <c r="EF109" s="56"/>
      <c r="EG109" s="56"/>
      <c r="EH109" s="56"/>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row>
    <row r="110" spans="2:170" ht="15" customHeight="1" x14ac:dyDescent="0.25">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6"/>
      <c r="EF110" s="56"/>
      <c r="EG110" s="56"/>
      <c r="EH110" s="56"/>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row>
    <row r="111" spans="2:170" ht="15" customHeight="1" x14ac:dyDescent="0.25">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row>
    <row r="112" spans="2:170" ht="15" customHeight="1" x14ac:dyDescent="0.25">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6"/>
      <c r="EF112" s="56"/>
      <c r="EG112" s="56"/>
      <c r="EH112" s="56"/>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row>
    <row r="113" spans="2:170" ht="15" customHeight="1" x14ac:dyDescent="0.25">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c r="EF113" s="56"/>
      <c r="EG113" s="56"/>
      <c r="EH113" s="56"/>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row>
    <row r="114" spans="2:170" ht="15" customHeight="1" x14ac:dyDescent="0.25">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row>
    <row r="115" spans="2:170" ht="15" customHeight="1" x14ac:dyDescent="0.25">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row>
    <row r="116" spans="2:170" ht="15" customHeight="1" x14ac:dyDescent="0.25">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6"/>
      <c r="EF116" s="56"/>
      <c r="EG116" s="56"/>
      <c r="EH116" s="56"/>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row>
    <row r="117" spans="2:170" ht="15" customHeight="1" x14ac:dyDescent="0.25">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row>
    <row r="118" spans="2:170" ht="15" customHeight="1" x14ac:dyDescent="0.25">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row>
    <row r="119" spans="2:170" ht="15" customHeight="1" x14ac:dyDescent="0.25">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row>
    <row r="120" spans="2:170" ht="15" customHeight="1" x14ac:dyDescent="0.25">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row>
    <row r="121" spans="2:170" ht="15" customHeight="1" x14ac:dyDescent="0.25">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6"/>
      <c r="EF121" s="56"/>
      <c r="EG121" s="56"/>
      <c r="EH121" s="56"/>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row>
    <row r="122" spans="2:170" ht="15" customHeight="1" x14ac:dyDescent="0.25">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row>
    <row r="123" spans="2:170" ht="15" customHeight="1" x14ac:dyDescent="0.25">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6"/>
      <c r="EF123" s="56"/>
      <c r="EG123" s="56"/>
      <c r="EH123" s="56"/>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row>
    <row r="124" spans="2:170" ht="15" customHeight="1" x14ac:dyDescent="0.25">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6"/>
      <c r="EF124" s="56"/>
      <c r="EG124" s="56"/>
      <c r="EH124" s="56"/>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row>
    <row r="125" spans="2:170" ht="15" customHeight="1" x14ac:dyDescent="0.25">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row>
    <row r="126" spans="2:170" ht="15" customHeight="1" x14ac:dyDescent="0.25">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6"/>
      <c r="EF126" s="56"/>
      <c r="EG126" s="56"/>
      <c r="EH126" s="56"/>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row>
    <row r="127" spans="2:170" ht="15" customHeight="1" x14ac:dyDescent="0.25">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6"/>
      <c r="EF127" s="56"/>
      <c r="EG127" s="56"/>
      <c r="EH127" s="56"/>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row>
    <row r="128" spans="2:170" ht="15" customHeight="1" x14ac:dyDescent="0.25">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6"/>
      <c r="EF128" s="56"/>
      <c r="EG128" s="56"/>
      <c r="EH128" s="56"/>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row>
    <row r="129" spans="2:170" ht="15" customHeight="1" x14ac:dyDescent="0.25">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6"/>
      <c r="EF129" s="56"/>
      <c r="EG129" s="56"/>
      <c r="EH129" s="56"/>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row>
    <row r="130" spans="2:170" ht="15" customHeight="1" x14ac:dyDescent="0.25">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6"/>
      <c r="EF130" s="56"/>
      <c r="EG130" s="56"/>
      <c r="EH130" s="56"/>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row>
    <row r="131" spans="2:170" ht="15" customHeight="1" x14ac:dyDescent="0.25">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6"/>
      <c r="EF131" s="56"/>
      <c r="EG131" s="56"/>
      <c r="EH131" s="56"/>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row>
    <row r="132" spans="2:170" ht="15" customHeight="1" x14ac:dyDescent="0.25">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c r="BU132" s="56"/>
      <c r="BV132" s="56"/>
      <c r="BW132" s="56"/>
      <c r="BX132" s="56"/>
      <c r="BY132" s="56"/>
      <c r="BZ132" s="56"/>
      <c r="CA132" s="56"/>
      <c r="CB132" s="56"/>
      <c r="CC132" s="56"/>
      <c r="CD132" s="56"/>
      <c r="CE132" s="56"/>
      <c r="CF132" s="56"/>
      <c r="CG132" s="56"/>
      <c r="CH132" s="56"/>
      <c r="CI132" s="56"/>
      <c r="CJ132" s="56"/>
      <c r="CK132" s="56"/>
      <c r="CL132" s="56"/>
      <c r="CM132" s="56"/>
      <c r="CN132" s="56"/>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6"/>
      <c r="EF132" s="56"/>
      <c r="EG132" s="56"/>
      <c r="EH132" s="56"/>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row>
    <row r="133" spans="2:170" ht="15" customHeight="1" x14ac:dyDescent="0.25">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6"/>
      <c r="EF133" s="56"/>
      <c r="EG133" s="56"/>
      <c r="EH133" s="56"/>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row>
    <row r="134" spans="2:170" ht="15" customHeight="1" x14ac:dyDescent="0.25">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6"/>
      <c r="EF134" s="56"/>
      <c r="EG134" s="56"/>
      <c r="EH134" s="56"/>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row>
    <row r="135" spans="2:170" ht="15" customHeight="1" x14ac:dyDescent="0.25">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56"/>
      <c r="CJ135" s="56"/>
      <c r="CK135" s="56"/>
      <c r="CL135" s="56"/>
      <c r="CM135" s="56"/>
      <c r="CN135" s="56"/>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6"/>
      <c r="EF135" s="56"/>
      <c r="EG135" s="56"/>
      <c r="EH135" s="56"/>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row>
    <row r="136" spans="2:170" ht="15" customHeight="1" x14ac:dyDescent="0.25">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6"/>
      <c r="EF136" s="56"/>
      <c r="EG136" s="56"/>
      <c r="EH136" s="56"/>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row>
    <row r="137" spans="2:170" ht="15" customHeight="1" x14ac:dyDescent="0.25">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c r="BU137" s="56"/>
      <c r="BV137" s="56"/>
      <c r="BW137" s="56"/>
      <c r="BX137" s="56"/>
      <c r="BY137" s="56"/>
      <c r="BZ137" s="56"/>
      <c r="CA137" s="56"/>
      <c r="CB137" s="56"/>
      <c r="CC137" s="56"/>
      <c r="CD137" s="56"/>
      <c r="CE137" s="56"/>
      <c r="CF137" s="56"/>
      <c r="CG137" s="56"/>
      <c r="CH137" s="56"/>
      <c r="CI137" s="56"/>
      <c r="CJ137" s="56"/>
      <c r="CK137" s="56"/>
      <c r="CL137" s="56"/>
      <c r="CM137" s="56"/>
      <c r="CN137" s="56"/>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6"/>
      <c r="EF137" s="56"/>
      <c r="EG137" s="56"/>
      <c r="EH137" s="56"/>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row>
    <row r="138" spans="2:170" ht="15" customHeight="1" x14ac:dyDescent="0.25">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row>
    <row r="139" spans="2:170" ht="15" customHeight="1" x14ac:dyDescent="0.25">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6"/>
      <c r="EF139" s="56"/>
      <c r="EG139" s="56"/>
      <c r="EH139" s="56"/>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row>
    <row r="140" spans="2:170" ht="15" customHeight="1" x14ac:dyDescent="0.25">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6"/>
      <c r="EF140" s="56"/>
      <c r="EG140" s="56"/>
      <c r="EH140" s="56"/>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row>
    <row r="141" spans="2:170" ht="15" customHeight="1" x14ac:dyDescent="0.25">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row>
    <row r="142" spans="2:170" ht="15" customHeight="1" x14ac:dyDescent="0.25">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row>
    <row r="143" spans="2:170" ht="15" customHeight="1" x14ac:dyDescent="0.25">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row>
    <row r="144" spans="2:170" ht="15" customHeight="1" x14ac:dyDescent="0.25">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6"/>
      <c r="EF144" s="56"/>
      <c r="EG144" s="56"/>
      <c r="EH144" s="56"/>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row>
    <row r="145" spans="2:170" ht="15" customHeight="1" x14ac:dyDescent="0.25">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row>
    <row r="146" spans="2:170" ht="15" customHeight="1" x14ac:dyDescent="0.25">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row>
    <row r="147" spans="2:170" ht="15" customHeight="1" x14ac:dyDescent="0.25">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row>
    <row r="148" spans="2:170" ht="15" customHeight="1" x14ac:dyDescent="0.25">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6"/>
      <c r="EF148" s="56"/>
      <c r="EG148" s="56"/>
      <c r="EH148" s="56"/>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row>
    <row r="149" spans="2:170" ht="15" customHeight="1" x14ac:dyDescent="0.25">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row>
    <row r="150" spans="2:170" ht="15" customHeight="1" x14ac:dyDescent="0.25">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row>
    <row r="151" spans="2:170" ht="15" customHeight="1" x14ac:dyDescent="0.25">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row>
    <row r="152" spans="2:170" ht="15" customHeight="1" x14ac:dyDescent="0.25">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row>
    <row r="153" spans="2:170" ht="15" customHeight="1" x14ac:dyDescent="0.25">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row>
    <row r="154" spans="2:170" ht="15" customHeight="1" x14ac:dyDescent="0.25">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row>
    <row r="155" spans="2:170" ht="15" customHeight="1" x14ac:dyDescent="0.25">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row>
    <row r="156" spans="2:170" ht="15" customHeight="1" x14ac:dyDescent="0.25">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6"/>
      <c r="EF156" s="56"/>
      <c r="EG156" s="56"/>
      <c r="EH156" s="56"/>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row>
    <row r="157" spans="2:170" ht="15" customHeight="1" x14ac:dyDescent="0.25">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6"/>
      <c r="EF157" s="56"/>
      <c r="EG157" s="56"/>
      <c r="EH157" s="56"/>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row>
    <row r="158" spans="2:170" ht="15" customHeight="1" x14ac:dyDescent="0.25">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56"/>
      <c r="EK158" s="56"/>
      <c r="EL158" s="56"/>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row>
    <row r="159" spans="2:170" ht="15" customHeight="1" x14ac:dyDescent="0.25">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6"/>
      <c r="EF159" s="56"/>
      <c r="EG159" s="56"/>
      <c r="EH159" s="56"/>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row>
    <row r="160" spans="2:170" ht="15" customHeight="1" x14ac:dyDescent="0.25">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6"/>
      <c r="EF160" s="56"/>
      <c r="EG160" s="56"/>
      <c r="EH160" s="56"/>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row>
    <row r="161" spans="2:170" ht="15" customHeight="1" x14ac:dyDescent="0.25">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6"/>
      <c r="EF161" s="56"/>
      <c r="EG161" s="56"/>
      <c r="EH161" s="56"/>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row>
    <row r="162" spans="2:170" ht="15" customHeight="1" x14ac:dyDescent="0.25">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6"/>
      <c r="EF162" s="56"/>
      <c r="EG162" s="56"/>
      <c r="EH162" s="56"/>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row>
    <row r="163" spans="2:170" ht="15" customHeight="1" x14ac:dyDescent="0.25">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6"/>
      <c r="EF163" s="56"/>
      <c r="EG163" s="56"/>
      <c r="EH163" s="56"/>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row>
    <row r="164" spans="2:170" ht="15" customHeight="1" x14ac:dyDescent="0.25">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6"/>
      <c r="EF164" s="56"/>
      <c r="EG164" s="56"/>
      <c r="EH164" s="56"/>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row>
    <row r="165" spans="2:170" ht="15" customHeight="1" x14ac:dyDescent="0.25">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c r="BU165" s="56"/>
      <c r="BV165" s="56"/>
      <c r="BW165" s="56"/>
      <c r="BX165" s="56"/>
      <c r="BY165" s="56"/>
      <c r="BZ165" s="56"/>
      <c r="CA165" s="56"/>
      <c r="CB165" s="56"/>
      <c r="CC165" s="56"/>
      <c r="CD165" s="56"/>
      <c r="CE165" s="56"/>
      <c r="CF165" s="56"/>
      <c r="CG165" s="56"/>
      <c r="CH165" s="56"/>
      <c r="CI165" s="56"/>
      <c r="CJ165" s="56"/>
      <c r="CK165" s="56"/>
      <c r="CL165" s="56"/>
      <c r="CM165" s="56"/>
      <c r="CN165" s="56"/>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6"/>
      <c r="EF165" s="56"/>
      <c r="EG165" s="56"/>
      <c r="EH165" s="56"/>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row>
    <row r="166" spans="2:170" ht="15" customHeight="1" x14ac:dyDescent="0.25">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6"/>
      <c r="EF166" s="56"/>
      <c r="EG166" s="56"/>
      <c r="EH166" s="56"/>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row>
    <row r="167" spans="2:170" ht="15" customHeight="1" x14ac:dyDescent="0.25">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6"/>
      <c r="EF167" s="56"/>
      <c r="EG167" s="56"/>
      <c r="EH167" s="56"/>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row>
    <row r="168" spans="2:170" ht="15" customHeight="1" x14ac:dyDescent="0.25">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6"/>
      <c r="EF168" s="56"/>
      <c r="EG168" s="56"/>
      <c r="EH168" s="56"/>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row>
    <row r="169" spans="2:170" ht="15" customHeight="1" x14ac:dyDescent="0.25">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6"/>
      <c r="EF169" s="56"/>
      <c r="EG169" s="56"/>
      <c r="EH169" s="56"/>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row>
    <row r="170" spans="2:170" ht="15" customHeight="1" x14ac:dyDescent="0.25">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6"/>
      <c r="EF170" s="56"/>
      <c r="EG170" s="56"/>
      <c r="EH170" s="56"/>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row>
    <row r="171" spans="2:170" ht="15" customHeight="1" x14ac:dyDescent="0.25">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6"/>
      <c r="EF171" s="56"/>
      <c r="EG171" s="56"/>
      <c r="EH171" s="56"/>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row>
    <row r="172" spans="2:170" ht="15" customHeight="1" x14ac:dyDescent="0.25">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6"/>
      <c r="EF172" s="56"/>
      <c r="EG172" s="56"/>
      <c r="EH172" s="56"/>
      <c r="EI172" s="56"/>
      <c r="EJ172" s="56"/>
      <c r="EK172" s="56"/>
      <c r="EL172" s="56"/>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row>
    <row r="173" spans="2:170" ht="15" customHeight="1" x14ac:dyDescent="0.25">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6"/>
      <c r="EF173" s="56"/>
      <c r="EG173" s="56"/>
      <c r="EH173" s="56"/>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row>
    <row r="174" spans="2:170" ht="15" customHeight="1" x14ac:dyDescent="0.25">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6"/>
      <c r="EF174" s="56"/>
      <c r="EG174" s="56"/>
      <c r="EH174" s="56"/>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row>
    <row r="175" spans="2:170" ht="15" customHeight="1" x14ac:dyDescent="0.25">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6"/>
      <c r="EF175" s="56"/>
      <c r="EG175" s="56"/>
      <c r="EH175" s="56"/>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row>
    <row r="176" spans="2:170" ht="15" customHeight="1" x14ac:dyDescent="0.25">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6"/>
      <c r="EF176" s="56"/>
      <c r="EG176" s="56"/>
      <c r="EH176" s="56"/>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row>
    <row r="177" spans="2:170" ht="15" customHeight="1" x14ac:dyDescent="0.25">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6"/>
      <c r="EF177" s="56"/>
      <c r="EG177" s="56"/>
      <c r="EH177" s="56"/>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row>
    <row r="178" spans="2:170" ht="15" customHeight="1" x14ac:dyDescent="0.25">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6"/>
      <c r="EF178" s="56"/>
      <c r="EG178" s="56"/>
      <c r="EH178" s="56"/>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row>
    <row r="179" spans="2:170" ht="15" customHeight="1" x14ac:dyDescent="0.25">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6"/>
      <c r="EF179" s="56"/>
      <c r="EG179" s="56"/>
      <c r="EH179" s="56"/>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row>
    <row r="180" spans="2:170" x14ac:dyDescent="0.25">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row>
    <row r="181" spans="2:170" x14ac:dyDescent="0.25">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6"/>
      <c r="EF181" s="56"/>
      <c r="EG181" s="56"/>
      <c r="EH181" s="56"/>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row>
    <row r="182" spans="2:170" x14ac:dyDescent="0.25">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6"/>
      <c r="EF182" s="56"/>
      <c r="EG182" s="56"/>
      <c r="EH182" s="56"/>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row>
    <row r="183" spans="2:170" x14ac:dyDescent="0.25">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6"/>
      <c r="EF183" s="56"/>
      <c r="EG183" s="56"/>
      <c r="EH183" s="56"/>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row>
  </sheetData>
  <mergeCells count="1">
    <mergeCell ref="B41:B42"/>
  </mergeCells>
  <conditionalFormatting sqref="H93:O95">
    <cfRule type="containsText" dxfId="3" priority="1" operator="containsText" text="ERROR">
      <formula>NOT(ISERROR(SEARCH("ERROR",H93)))</formula>
    </cfRule>
    <cfRule type="containsText" dxfId="2" priority="2" operator="containsText" text="OK">
      <formula>NOT(ISERROR(SEARCH("OK",H93)))</formula>
    </cfRule>
  </conditionalFormatting>
  <conditionalFormatting sqref="Q16">
    <cfRule type="containsText" dxfId="1" priority="3" operator="containsText" text="ERROR">
      <formula>NOT(ISERROR(SEARCH("ERROR",Q16)))</formula>
    </cfRule>
    <cfRule type="containsText" dxfId="0" priority="4" operator="containsText" text="OK">
      <formula>NOT(ISERROR(SEARCH("OK",Q16)))</formula>
    </cfRule>
  </conditionalFormatting>
  <printOptions horizontalCentered="1"/>
  <pageMargins left="0.70866141732283472" right="0.70866141732283472" top="0.74803149606299213" bottom="0.74803149606299213" header="0.31496062992125984" footer="0.31496062992125984"/>
  <pageSetup scale="36"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576D-372C-43B7-9036-0C56A49C1435}">
  <dimension ref="A1"/>
  <sheetViews>
    <sheetView zoomScaleNormal="100"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60A43-9181-4C4C-99AC-D655199FAB2A}">
  <sheetPr codeName="Sheet10"/>
  <dimension ref="A1:Y133"/>
  <sheetViews>
    <sheetView showGridLines="0" tabSelected="1" topLeftCell="A123" zoomScaleNormal="100" workbookViewId="0">
      <selection activeCell="G11" sqref="G11"/>
    </sheetView>
  </sheetViews>
  <sheetFormatPr defaultColWidth="8.85546875" defaultRowHeight="15" outlineLevelRow="1" outlineLevelCol="1" x14ac:dyDescent="0.25"/>
  <cols>
    <col min="1" max="1" width="31.5703125" bestFit="1" customWidth="1"/>
    <col min="2" max="2" width="24.140625" hidden="1" customWidth="1" outlineLevel="1"/>
    <col min="3" max="3" width="13.140625" customWidth="1" collapsed="1"/>
    <col min="4" max="8" width="13.140625" customWidth="1"/>
    <col min="9" max="10" width="14.85546875" bestFit="1" customWidth="1"/>
    <col min="11" max="11" width="14.85546875" customWidth="1"/>
    <col min="13" max="13" width="14.85546875" bestFit="1" customWidth="1"/>
    <col min="16" max="19" width="13.140625" customWidth="1"/>
    <col min="20" max="21" width="14.85546875" bestFit="1" customWidth="1"/>
  </cols>
  <sheetData>
    <row r="1" spans="1:25" s="10" customFormat="1" x14ac:dyDescent="0.25">
      <c r="A1" s="10" t="s">
        <v>122</v>
      </c>
      <c r="B1" s="10" t="s">
        <v>111</v>
      </c>
      <c r="C1" s="10">
        <v>917352836</v>
      </c>
    </row>
    <row r="2" spans="1:25" s="10" customFormat="1" x14ac:dyDescent="0.25">
      <c r="A2" s="10" t="s">
        <v>121</v>
      </c>
      <c r="B2" s="10" t="s">
        <v>110</v>
      </c>
      <c r="C2" s="10" t="s">
        <v>109</v>
      </c>
    </row>
    <row r="3" spans="1:25" s="10" customFormat="1" x14ac:dyDescent="0.25"/>
    <row r="4" spans="1:25" x14ac:dyDescent="0.25">
      <c r="A4" s="201" t="s">
        <v>275</v>
      </c>
      <c r="J4" s="181"/>
      <c r="K4" s="202">
        <v>10.562594027397262</v>
      </c>
    </row>
    <row r="5" spans="1:25" s="10" customFormat="1" x14ac:dyDescent="0.25">
      <c r="A5" s="27" t="s">
        <v>123</v>
      </c>
      <c r="B5" s="27" t="s">
        <v>108</v>
      </c>
      <c r="C5" s="28">
        <v>2016</v>
      </c>
      <c r="D5" s="28">
        <v>2017</v>
      </c>
      <c r="E5" s="28">
        <v>2018</v>
      </c>
      <c r="F5" s="28">
        <v>2019</v>
      </c>
      <c r="G5" s="28">
        <v>2020</v>
      </c>
      <c r="H5" s="28">
        <v>2021</v>
      </c>
      <c r="I5" s="28">
        <v>2022</v>
      </c>
      <c r="J5" s="28">
        <v>2023</v>
      </c>
      <c r="K5" s="183">
        <v>2023</v>
      </c>
      <c r="M5" s="180" t="s">
        <v>274</v>
      </c>
      <c r="P5"/>
      <c r="Q5"/>
      <c r="R5"/>
      <c r="S5"/>
      <c r="T5"/>
      <c r="U5"/>
      <c r="V5"/>
      <c r="W5"/>
      <c r="X5"/>
      <c r="Y5"/>
    </row>
    <row r="6" spans="1:25" x14ac:dyDescent="0.25">
      <c r="A6" t="s">
        <v>124</v>
      </c>
      <c r="B6" t="s">
        <v>107</v>
      </c>
      <c r="C6" s="32" t="s">
        <v>106</v>
      </c>
      <c r="D6" s="32" t="s">
        <v>106</v>
      </c>
      <c r="E6" s="32" t="s">
        <v>106</v>
      </c>
      <c r="F6" s="32" t="s">
        <v>106</v>
      </c>
      <c r="G6" s="32" t="s">
        <v>106</v>
      </c>
      <c r="H6" s="32" t="s">
        <v>106</v>
      </c>
      <c r="I6" s="32"/>
      <c r="J6" s="32"/>
      <c r="K6" s="184"/>
    </row>
    <row r="7" spans="1:25" x14ac:dyDescent="0.25">
      <c r="A7" t="s">
        <v>125</v>
      </c>
      <c r="B7" t="s">
        <v>105</v>
      </c>
      <c r="C7" s="33">
        <v>42501</v>
      </c>
      <c r="D7" s="33">
        <v>42736</v>
      </c>
      <c r="E7" s="33">
        <v>43101</v>
      </c>
      <c r="F7" s="33">
        <v>43466</v>
      </c>
      <c r="G7" s="33">
        <v>43831</v>
      </c>
      <c r="H7" s="33">
        <v>44197</v>
      </c>
      <c r="I7" s="33">
        <v>44562</v>
      </c>
      <c r="J7" s="33">
        <v>44927</v>
      </c>
      <c r="K7" s="185">
        <v>44927</v>
      </c>
      <c r="M7" s="204">
        <v>44927</v>
      </c>
    </row>
    <row r="8" spans="1:25" x14ac:dyDescent="0.25">
      <c r="A8" t="s">
        <v>126</v>
      </c>
      <c r="B8" t="s">
        <v>104</v>
      </c>
      <c r="C8" s="33">
        <v>42735</v>
      </c>
      <c r="D8" s="33">
        <v>43100</v>
      </c>
      <c r="E8" s="33">
        <v>43465</v>
      </c>
      <c r="F8" s="33">
        <v>43830</v>
      </c>
      <c r="G8" s="33">
        <v>44196</v>
      </c>
      <c r="H8" s="33">
        <v>44561</v>
      </c>
      <c r="I8" s="33">
        <v>44926</v>
      </c>
      <c r="J8" s="33">
        <v>45291</v>
      </c>
      <c r="K8" s="185">
        <v>45291</v>
      </c>
      <c r="M8" s="204">
        <v>45291</v>
      </c>
    </row>
    <row r="9" spans="1:25" x14ac:dyDescent="0.25">
      <c r="A9" t="s">
        <v>127</v>
      </c>
      <c r="B9" t="s">
        <v>34</v>
      </c>
      <c r="C9" s="32" t="s">
        <v>33</v>
      </c>
      <c r="D9" s="32" t="s">
        <v>33</v>
      </c>
      <c r="E9" s="32" t="s">
        <v>33</v>
      </c>
      <c r="F9" s="32" t="s">
        <v>33</v>
      </c>
      <c r="G9" s="32" t="s">
        <v>33</v>
      </c>
      <c r="H9" s="32" t="s">
        <v>33</v>
      </c>
      <c r="I9" s="32" t="s">
        <v>33</v>
      </c>
      <c r="J9" s="32" t="s">
        <v>33</v>
      </c>
      <c r="K9" s="184" t="s">
        <v>33</v>
      </c>
      <c r="M9" s="32" t="s">
        <v>219</v>
      </c>
    </row>
    <row r="10" spans="1:25" x14ac:dyDescent="0.25">
      <c r="K10" s="186"/>
    </row>
    <row r="11" spans="1:25" x14ac:dyDescent="0.25">
      <c r="A11" s="29" t="s">
        <v>128</v>
      </c>
      <c r="B11" s="29" t="s">
        <v>103</v>
      </c>
      <c r="C11" s="23">
        <v>0</v>
      </c>
      <c r="D11" s="23">
        <v>178226</v>
      </c>
      <c r="E11" s="23">
        <v>218308</v>
      </c>
      <c r="F11" s="23">
        <v>368836</v>
      </c>
      <c r="G11" s="23">
        <v>1214283</v>
      </c>
      <c r="H11" s="23">
        <v>2666252.568</v>
      </c>
      <c r="I11" s="23">
        <f>2565749.989</f>
        <v>2565749.9890000001</v>
      </c>
      <c r="J11" s="25">
        <v>3605000</v>
      </c>
      <c r="K11" s="187">
        <f>M11*$K$4</f>
        <v>3388268.9121084935</v>
      </c>
      <c r="M11" s="23">
        <v>320780</v>
      </c>
    </row>
    <row r="12" spans="1:25" x14ac:dyDescent="0.25">
      <c r="A12" s="34" t="s">
        <v>129</v>
      </c>
      <c r="B12" s="34" t="s">
        <v>102</v>
      </c>
      <c r="C12" s="35">
        <v>250</v>
      </c>
      <c r="D12" s="35">
        <v>0</v>
      </c>
      <c r="E12" s="36"/>
      <c r="F12" s="36"/>
      <c r="G12" s="35">
        <v>299</v>
      </c>
      <c r="H12" s="35">
        <v>9312.8439999999991</v>
      </c>
      <c r="I12" s="35">
        <f>146269.82</f>
        <v>146269.82</v>
      </c>
      <c r="J12" s="37">
        <v>120000</v>
      </c>
      <c r="K12" s="188">
        <f>M12*$K$4</f>
        <v>182711.75148591783</v>
      </c>
      <c r="M12" s="37">
        <v>17298</v>
      </c>
    </row>
    <row r="13" spans="1:25" x14ac:dyDescent="0.25">
      <c r="A13" s="10" t="s">
        <v>130</v>
      </c>
      <c r="B13" s="10" t="s">
        <v>101</v>
      </c>
      <c r="C13" s="24">
        <v>250</v>
      </c>
      <c r="D13" s="24">
        <v>178226</v>
      </c>
      <c r="E13" s="24">
        <v>218308</v>
      </c>
      <c r="F13" s="24">
        <v>368836</v>
      </c>
      <c r="G13" s="24">
        <v>1214582</v>
      </c>
      <c r="H13" s="24">
        <v>2675565</v>
      </c>
      <c r="I13" s="24">
        <v>2712019.8089999999</v>
      </c>
      <c r="J13" s="13">
        <f>J11+J12</f>
        <v>3725000</v>
      </c>
      <c r="K13" s="189">
        <f>M13*$K$4</f>
        <v>3570980.6635944117</v>
      </c>
      <c r="M13" s="13">
        <f>M11+M12</f>
        <v>338078</v>
      </c>
    </row>
    <row r="14" spans="1:25" x14ac:dyDescent="0.25">
      <c r="A14" s="10"/>
      <c r="B14" s="10"/>
      <c r="C14" s="24"/>
      <c r="D14" s="24"/>
      <c r="E14" s="24"/>
      <c r="F14" s="24"/>
      <c r="G14" s="239">
        <f>G13/F13 -1</f>
        <v>2.2930136971445303</v>
      </c>
      <c r="H14" s="239">
        <f t="shared" ref="H14:I14" si="0">H13/G13 -1</f>
        <v>1.2028689705594187</v>
      </c>
      <c r="I14" s="239">
        <f t="shared" si="0"/>
        <v>1.3625088158949472E-2</v>
      </c>
      <c r="J14" s="13"/>
      <c r="K14" s="239">
        <f>K13/I13 -1</f>
        <v>0.31672366541862962</v>
      </c>
      <c r="M14" s="13"/>
    </row>
    <row r="15" spans="1:25" x14ac:dyDescent="0.25">
      <c r="A15" s="10"/>
      <c r="B15" s="10"/>
      <c r="C15" s="24"/>
      <c r="D15" s="24"/>
      <c r="E15" s="24"/>
      <c r="F15" s="24"/>
      <c r="H15" s="24"/>
      <c r="I15" s="13"/>
      <c r="J15" s="13"/>
      <c r="K15" s="190"/>
    </row>
    <row r="16" spans="1:25" x14ac:dyDescent="0.25">
      <c r="A16" s="20" t="s">
        <v>1</v>
      </c>
      <c r="B16" s="20" t="s">
        <v>100</v>
      </c>
      <c r="C16" s="24">
        <v>2783</v>
      </c>
      <c r="D16" s="24">
        <v>124593</v>
      </c>
      <c r="E16" s="24">
        <v>123780</v>
      </c>
      <c r="F16" s="24">
        <v>219644</v>
      </c>
      <c r="G16" s="24">
        <v>785675</v>
      </c>
      <c r="H16" s="24">
        <v>1503564.6170000001</v>
      </c>
      <c r="I16" s="24">
        <f>1530171.67</f>
        <v>1530171.67</v>
      </c>
      <c r="J16" s="24">
        <v>2185000</v>
      </c>
      <c r="K16" s="189">
        <f>M16*$K$4</f>
        <v>1859196.1129203839</v>
      </c>
      <c r="M16" s="24">
        <v>176017</v>
      </c>
    </row>
    <row r="17" spans="1:13" x14ac:dyDescent="0.25">
      <c r="A17" s="20" t="s">
        <v>131</v>
      </c>
      <c r="B17" s="20" t="s">
        <v>99</v>
      </c>
      <c r="C17" s="24">
        <v>1439</v>
      </c>
      <c r="D17" s="24">
        <v>11240</v>
      </c>
      <c r="E17" s="24">
        <v>27596</v>
      </c>
      <c r="F17" s="24">
        <v>52952</v>
      </c>
      <c r="G17" s="24">
        <v>95943</v>
      </c>
      <c r="H17" s="24">
        <v>190492.13500000001</v>
      </c>
      <c r="I17" s="24">
        <f>312601.862</f>
        <v>312601.86200000002</v>
      </c>
      <c r="J17" s="24">
        <v>453000</v>
      </c>
      <c r="K17" s="189">
        <f>M17*$K$4</f>
        <v>440777.04876328772</v>
      </c>
      <c r="M17" s="24">
        <v>41730</v>
      </c>
    </row>
    <row r="18" spans="1:13" x14ac:dyDescent="0.25">
      <c r="A18" s="29" t="s">
        <v>132</v>
      </c>
      <c r="B18" s="29" t="s">
        <v>98</v>
      </c>
      <c r="C18" s="23">
        <v>1109</v>
      </c>
      <c r="D18" s="23">
        <v>8635</v>
      </c>
      <c r="E18" s="23">
        <v>20103</v>
      </c>
      <c r="F18" s="23">
        <v>36517</v>
      </c>
      <c r="G18" s="23">
        <v>72742</v>
      </c>
      <c r="H18" s="23">
        <v>147567</v>
      </c>
      <c r="K18" s="191"/>
    </row>
    <row r="19" spans="1:13" x14ac:dyDescent="0.25">
      <c r="A19" s="29" t="s">
        <v>133</v>
      </c>
      <c r="B19" s="29" t="s">
        <v>97</v>
      </c>
      <c r="C19" s="23">
        <v>28</v>
      </c>
      <c r="D19" s="23">
        <v>505</v>
      </c>
      <c r="E19" s="23">
        <v>2192</v>
      </c>
      <c r="F19" s="23">
        <v>4605</v>
      </c>
      <c r="G19" s="23">
        <v>8080</v>
      </c>
      <c r="H19" s="23">
        <v>17101</v>
      </c>
      <c r="K19" s="191"/>
    </row>
    <row r="20" spans="1:13" x14ac:dyDescent="0.25">
      <c r="A20" s="20" t="s">
        <v>134</v>
      </c>
      <c r="B20" s="20" t="s">
        <v>96</v>
      </c>
      <c r="C20" s="24">
        <v>0</v>
      </c>
      <c r="D20" s="24">
        <v>60</v>
      </c>
      <c r="E20" s="24">
        <v>1875</v>
      </c>
      <c r="F20" s="24">
        <v>6303</v>
      </c>
      <c r="G20" s="24">
        <v>14750</v>
      </c>
      <c r="H20" s="24">
        <v>37378.599000000002</v>
      </c>
      <c r="I20" s="24">
        <f>50480.274</f>
        <v>50480.273999999998</v>
      </c>
      <c r="J20" s="24">
        <v>72000</v>
      </c>
      <c r="K20" s="189">
        <f>M20*$K$4</f>
        <v>94746.468425753439</v>
      </c>
      <c r="M20" s="24">
        <v>8970</v>
      </c>
    </row>
    <row r="21" spans="1:13" x14ac:dyDescent="0.25">
      <c r="A21" s="20" t="s">
        <v>135</v>
      </c>
      <c r="B21" s="20" t="s">
        <v>95</v>
      </c>
      <c r="C21" s="10"/>
      <c r="D21" s="10"/>
      <c r="E21" s="10"/>
      <c r="F21" s="24">
        <v>1018</v>
      </c>
      <c r="G21" s="10"/>
      <c r="H21" s="10"/>
      <c r="K21" s="191"/>
    </row>
    <row r="22" spans="1:13" x14ac:dyDescent="0.25">
      <c r="A22" s="20" t="s">
        <v>136</v>
      </c>
      <c r="B22" s="20" t="s">
        <v>94</v>
      </c>
      <c r="C22" s="24">
        <v>2207</v>
      </c>
      <c r="D22" s="24">
        <v>41627</v>
      </c>
      <c r="E22" s="24">
        <v>77355</v>
      </c>
      <c r="F22" s="24">
        <v>117136</v>
      </c>
      <c r="G22" s="24">
        <v>227681</v>
      </c>
      <c r="H22" s="24">
        <v>704088.245</v>
      </c>
      <c r="I22" s="24">
        <f>757064.906</f>
        <v>757064.90599999996</v>
      </c>
      <c r="J22" s="24">
        <v>713000</v>
      </c>
      <c r="K22" s="189">
        <f>M22*$K$4</f>
        <v>873727.21535227413</v>
      </c>
      <c r="M22" s="24">
        <v>82719</v>
      </c>
    </row>
    <row r="23" spans="1:13" x14ac:dyDescent="0.25">
      <c r="A23" s="38" t="s">
        <v>137</v>
      </c>
      <c r="B23" s="38" t="s">
        <v>93</v>
      </c>
      <c r="C23" s="36"/>
      <c r="D23" s="35"/>
      <c r="E23" s="36"/>
      <c r="F23" s="35"/>
      <c r="G23" s="36"/>
      <c r="H23" s="35"/>
      <c r="I23" s="36"/>
      <c r="J23" s="36"/>
      <c r="K23" s="192">
        <f>K22/K13</f>
        <v>0.2446743059294009</v>
      </c>
      <c r="M23" s="36"/>
    </row>
    <row r="24" spans="1:13" x14ac:dyDescent="0.25">
      <c r="A24" s="10" t="s">
        <v>138</v>
      </c>
      <c r="B24" s="10" t="s">
        <v>92</v>
      </c>
      <c r="C24" s="24">
        <v>6429</v>
      </c>
      <c r="D24" s="24">
        <v>177520</v>
      </c>
      <c r="E24" s="24">
        <v>230607</v>
      </c>
      <c r="F24" s="24">
        <v>397053</v>
      </c>
      <c r="G24" s="24">
        <v>1124049</v>
      </c>
      <c r="H24" s="24">
        <v>2433767</v>
      </c>
      <c r="I24" s="24">
        <v>2650318.713</v>
      </c>
      <c r="J24" s="13">
        <f>+J16+J17+J20+J22</f>
        <v>3423000</v>
      </c>
      <c r="K24" s="190">
        <f>M24*$K$4</f>
        <v>3268446.8454616992</v>
      </c>
      <c r="M24" s="13">
        <f>+M16+M17+M20+M22</f>
        <v>309436</v>
      </c>
    </row>
    <row r="25" spans="1:13" x14ac:dyDescent="0.25">
      <c r="A25" s="39" t="s">
        <v>139</v>
      </c>
      <c r="B25" s="39" t="s">
        <v>118</v>
      </c>
      <c r="C25" s="40">
        <f>C22+C17+C16+C23+C20+C21</f>
        <v>6429</v>
      </c>
      <c r="D25" s="40">
        <f t="shared" ref="D25:G25" si="1">D22+D17+D16+D23+D20+D21</f>
        <v>177520</v>
      </c>
      <c r="E25" s="40">
        <f t="shared" si="1"/>
        <v>230606</v>
      </c>
      <c r="F25" s="40">
        <f t="shared" si="1"/>
        <v>397053</v>
      </c>
      <c r="G25" s="40">
        <f t="shared" si="1"/>
        <v>1124049</v>
      </c>
      <c r="H25" s="40">
        <f>H22+H17+H16+H23+H20+H21</f>
        <v>2435523.5959999999</v>
      </c>
      <c r="I25" s="40">
        <f>I22+I17+I16+I23+I20+I21</f>
        <v>2650318.7120000003</v>
      </c>
      <c r="J25" s="40">
        <f>J22+J17+J16+J23+J20+J21</f>
        <v>3423000</v>
      </c>
      <c r="K25" s="193"/>
    </row>
    <row r="26" spans="1:13" x14ac:dyDescent="0.25">
      <c r="C26" s="13"/>
      <c r="D26" s="13"/>
      <c r="E26" s="13"/>
      <c r="F26" s="13"/>
      <c r="G26" s="13"/>
      <c r="H26" s="13"/>
      <c r="K26" s="186"/>
    </row>
    <row r="27" spans="1:13" ht="15.75" thickBot="1" x14ac:dyDescent="0.3">
      <c r="A27" s="42" t="s">
        <v>140</v>
      </c>
      <c r="B27" s="42" t="s">
        <v>91</v>
      </c>
      <c r="C27" s="43">
        <v>-6179</v>
      </c>
      <c r="D27" s="43">
        <v>706</v>
      </c>
      <c r="E27" s="43">
        <v>-12299</v>
      </c>
      <c r="F27" s="43">
        <v>-28217</v>
      </c>
      <c r="G27" s="43">
        <v>90533</v>
      </c>
      <c r="H27" s="43">
        <v>241798</v>
      </c>
      <c r="I27" s="43">
        <v>61701.095999999998</v>
      </c>
      <c r="J27" s="44">
        <f>J13-J24</f>
        <v>302000</v>
      </c>
      <c r="K27" s="194">
        <f>M27*$K$4</f>
        <v>302533.81813271239</v>
      </c>
      <c r="M27" s="44">
        <f>M13-M24</f>
        <v>28642</v>
      </c>
    </row>
    <row r="28" spans="1:13" x14ac:dyDescent="0.25">
      <c r="A28" s="39" t="s">
        <v>139</v>
      </c>
      <c r="B28" s="39" t="s">
        <v>118</v>
      </c>
      <c r="C28" s="40">
        <f>C13-C24</f>
        <v>-6179</v>
      </c>
      <c r="D28" s="40">
        <f t="shared" ref="D28:G28" si="2">D13-D24</f>
        <v>706</v>
      </c>
      <c r="E28" s="40">
        <f t="shared" si="2"/>
        <v>-12299</v>
      </c>
      <c r="F28" s="40">
        <f t="shared" si="2"/>
        <v>-28217</v>
      </c>
      <c r="G28" s="40">
        <f t="shared" si="2"/>
        <v>90533</v>
      </c>
      <c r="H28" s="40">
        <f>H13-H24</f>
        <v>241798</v>
      </c>
      <c r="I28" s="40">
        <f>I13-I24</f>
        <v>61701.095999999903</v>
      </c>
      <c r="J28" s="41"/>
      <c r="K28" s="195"/>
    </row>
    <row r="29" spans="1:13" x14ac:dyDescent="0.25">
      <c r="A29" s="18"/>
      <c r="B29" s="18"/>
      <c r="C29" s="19"/>
      <c r="D29" s="19"/>
      <c r="E29" s="19"/>
      <c r="F29" s="19"/>
      <c r="G29" s="19"/>
      <c r="H29" s="19"/>
      <c r="K29" s="186"/>
    </row>
    <row r="30" spans="1:13" x14ac:dyDescent="0.25">
      <c r="A30" t="s">
        <v>3</v>
      </c>
      <c r="B30" t="s">
        <v>3</v>
      </c>
      <c r="C30" s="13">
        <f t="shared" ref="C30:H30" si="3">C27+C20+C21</f>
        <v>-6179</v>
      </c>
      <c r="D30" s="13">
        <f t="shared" si="3"/>
        <v>766</v>
      </c>
      <c r="E30" s="13">
        <f t="shared" si="3"/>
        <v>-10424</v>
      </c>
      <c r="F30" s="13">
        <f>F27+F20+F21</f>
        <v>-20896</v>
      </c>
      <c r="G30" s="13">
        <f t="shared" si="3"/>
        <v>105283</v>
      </c>
      <c r="H30" s="13">
        <f t="shared" si="3"/>
        <v>279176.59899999999</v>
      </c>
      <c r="I30" s="13">
        <f>I27+I20+I21</f>
        <v>112181.37</v>
      </c>
      <c r="J30" s="13">
        <f>J27+J20+J21</f>
        <v>374000</v>
      </c>
      <c r="K30" s="189">
        <f>M30*$K$4</f>
        <v>397280.2865584658</v>
      </c>
      <c r="M30" s="13">
        <f>M27+M20+M21</f>
        <v>37612</v>
      </c>
    </row>
    <row r="31" spans="1:13" x14ac:dyDescent="0.25">
      <c r="C31" s="13"/>
      <c r="D31" s="13"/>
      <c r="E31" s="13"/>
      <c r="F31" s="13"/>
      <c r="G31" s="13"/>
      <c r="H31" s="13"/>
      <c r="K31" s="186"/>
    </row>
    <row r="32" spans="1:13" x14ac:dyDescent="0.25">
      <c r="A32" s="29" t="s">
        <v>141</v>
      </c>
      <c r="B32" s="29" t="s">
        <v>90</v>
      </c>
      <c r="C32" s="23">
        <v>1</v>
      </c>
      <c r="D32" s="23">
        <v>26</v>
      </c>
      <c r="E32" s="23">
        <v>55</v>
      </c>
      <c r="F32" s="23">
        <v>62</v>
      </c>
      <c r="G32" s="23">
        <v>61</v>
      </c>
      <c r="H32" s="23">
        <v>30.431999999999999</v>
      </c>
      <c r="I32" s="23">
        <f>2034.101</f>
        <v>2034.1010000000001</v>
      </c>
      <c r="K32" s="186"/>
    </row>
    <row r="33" spans="1:13" x14ac:dyDescent="0.25">
      <c r="A33" s="34" t="s">
        <v>142</v>
      </c>
      <c r="B33" s="34" t="s">
        <v>89</v>
      </c>
      <c r="C33" s="35">
        <v>5</v>
      </c>
      <c r="D33" s="35">
        <v>168</v>
      </c>
      <c r="E33" s="35">
        <v>508</v>
      </c>
      <c r="F33" s="35">
        <v>5606</v>
      </c>
      <c r="G33" s="35">
        <v>23466</v>
      </c>
      <c r="H33" s="35">
        <v>37203.353000000003</v>
      </c>
      <c r="I33" s="35">
        <v>73088.410999999993</v>
      </c>
      <c r="J33" s="36"/>
      <c r="K33" s="192"/>
      <c r="M33" s="36"/>
    </row>
    <row r="34" spans="1:13" x14ac:dyDescent="0.25">
      <c r="A34" s="20" t="s">
        <v>143</v>
      </c>
      <c r="B34" s="20" t="s">
        <v>88</v>
      </c>
      <c r="C34" s="24">
        <v>6</v>
      </c>
      <c r="D34" s="24">
        <v>194</v>
      </c>
      <c r="E34" s="24">
        <v>563</v>
      </c>
      <c r="F34" s="24">
        <v>5668</v>
      </c>
      <c r="G34" s="24">
        <v>23527</v>
      </c>
      <c r="H34" s="24">
        <v>37233.785000000003</v>
      </c>
      <c r="I34" s="24">
        <v>75122.512000000002</v>
      </c>
      <c r="J34" s="24">
        <v>167000</v>
      </c>
      <c r="K34" s="189">
        <f>M34*$K$4</f>
        <v>22086.384111287676</v>
      </c>
      <c r="M34" s="24">
        <f>1538+553</f>
        <v>2091</v>
      </c>
    </row>
    <row r="35" spans="1:13" x14ac:dyDescent="0.25">
      <c r="A35" s="29" t="s">
        <v>212</v>
      </c>
      <c r="B35" s="29" t="s">
        <v>87</v>
      </c>
      <c r="C35" s="23">
        <v>0</v>
      </c>
      <c r="D35" s="23">
        <v>6</v>
      </c>
      <c r="E35" s="23">
        <v>1160</v>
      </c>
      <c r="F35" s="23">
        <v>1609</v>
      </c>
      <c r="G35" s="23">
        <v>1152</v>
      </c>
      <c r="H35" s="23">
        <v>3470.4679999999998</v>
      </c>
      <c r="I35" s="23">
        <v>7874.9620000000004</v>
      </c>
      <c r="K35" s="191"/>
    </row>
    <row r="36" spans="1:13" x14ac:dyDescent="0.25">
      <c r="A36" s="29" t="s">
        <v>144</v>
      </c>
      <c r="B36" s="29" t="s">
        <v>86</v>
      </c>
      <c r="C36" s="23">
        <v>39</v>
      </c>
      <c r="D36" s="23">
        <v>2197</v>
      </c>
      <c r="E36" s="23">
        <v>3308</v>
      </c>
      <c r="F36" s="23">
        <v>7053</v>
      </c>
      <c r="G36" s="23">
        <v>64768</v>
      </c>
      <c r="H36" s="23">
        <v>71699.676000000007</v>
      </c>
      <c r="I36" s="35">
        <v>101208.826</v>
      </c>
      <c r="K36" s="191"/>
    </row>
    <row r="37" spans="1:13" x14ac:dyDescent="0.25">
      <c r="A37" s="45" t="s">
        <v>145</v>
      </c>
      <c r="B37" s="45" t="s">
        <v>85</v>
      </c>
      <c r="C37" s="46">
        <v>39</v>
      </c>
      <c r="D37" s="46">
        <v>2203</v>
      </c>
      <c r="E37" s="46">
        <v>4468</v>
      </c>
      <c r="F37" s="46">
        <v>8662</v>
      </c>
      <c r="G37" s="46">
        <v>65921</v>
      </c>
      <c r="H37" s="46">
        <v>75170.144</v>
      </c>
      <c r="I37" s="46">
        <v>109083.788</v>
      </c>
      <c r="J37" s="46">
        <v>170000</v>
      </c>
      <c r="K37" s="196">
        <f>M37*$K$4</f>
        <v>37592.272143506852</v>
      </c>
      <c r="M37" s="24">
        <v>3559</v>
      </c>
    </row>
    <row r="38" spans="1:13" ht="15.75" thickBot="1" x14ac:dyDescent="0.3">
      <c r="A38" s="47" t="s">
        <v>146</v>
      </c>
      <c r="B38" s="47" t="s">
        <v>84</v>
      </c>
      <c r="C38" s="43">
        <v>-33</v>
      </c>
      <c r="D38" s="43">
        <v>-2009</v>
      </c>
      <c r="E38" s="43">
        <v>-3905</v>
      </c>
      <c r="F38" s="43">
        <v>-2994</v>
      </c>
      <c r="G38" s="43">
        <v>-42394</v>
      </c>
      <c r="H38" s="43">
        <v>-37936.358999999997</v>
      </c>
      <c r="I38" s="43">
        <v>-33961.275000000001</v>
      </c>
      <c r="J38" s="44">
        <f>+J34-J37</f>
        <v>-3000</v>
      </c>
      <c r="K38" s="194">
        <f>M38*$K$4</f>
        <v>-15505.88803221918</v>
      </c>
      <c r="M38" s="44">
        <f>+M34-M37</f>
        <v>-1468</v>
      </c>
    </row>
    <row r="39" spans="1:13" x14ac:dyDescent="0.25">
      <c r="A39" s="10"/>
      <c r="B39" s="10"/>
      <c r="C39" s="13"/>
      <c r="D39" s="13"/>
      <c r="E39" s="13"/>
      <c r="F39" s="13"/>
      <c r="G39" s="13"/>
      <c r="H39" s="13"/>
      <c r="K39" s="186"/>
    </row>
    <row r="40" spans="1:13" ht="15.75" thickBot="1" x14ac:dyDescent="0.3">
      <c r="A40" s="47" t="s">
        <v>147</v>
      </c>
      <c r="B40" s="47" t="s">
        <v>83</v>
      </c>
      <c r="C40" s="43">
        <v>-6212</v>
      </c>
      <c r="D40" s="43">
        <v>-1303</v>
      </c>
      <c r="E40" s="43">
        <v>-16204</v>
      </c>
      <c r="F40" s="43">
        <v>-31211</v>
      </c>
      <c r="G40" s="43">
        <v>48139</v>
      </c>
      <c r="H40" s="43">
        <v>203862</v>
      </c>
      <c r="I40" s="43">
        <v>27739.82</v>
      </c>
      <c r="J40" s="44">
        <f>+J27+J38</f>
        <v>299000</v>
      </c>
      <c r="K40" s="194">
        <f>M40*$K$4</f>
        <v>287027.93010049319</v>
      </c>
      <c r="M40" s="44">
        <f>+M27+M38</f>
        <v>27174</v>
      </c>
    </row>
    <row r="41" spans="1:13" x14ac:dyDescent="0.25">
      <c r="A41" s="39" t="s">
        <v>139</v>
      </c>
      <c r="B41" s="39" t="s">
        <v>118</v>
      </c>
      <c r="C41" s="40">
        <f t="shared" ref="C41:G41" si="4">C27+C38</f>
        <v>-6212</v>
      </c>
      <c r="D41" s="40">
        <f t="shared" si="4"/>
        <v>-1303</v>
      </c>
      <c r="E41" s="40">
        <f t="shared" si="4"/>
        <v>-16204</v>
      </c>
      <c r="F41" s="40">
        <f t="shared" si="4"/>
        <v>-31211</v>
      </c>
      <c r="G41" s="40">
        <f t="shared" si="4"/>
        <v>48139</v>
      </c>
      <c r="H41" s="40">
        <f>H27+H38</f>
        <v>203861.641</v>
      </c>
      <c r="I41" s="40">
        <f>I27+I38</f>
        <v>27739.820999999996</v>
      </c>
      <c r="J41" s="41"/>
      <c r="K41" s="195"/>
    </row>
    <row r="42" spans="1:13" x14ac:dyDescent="0.25">
      <c r="A42" s="18"/>
      <c r="B42" s="18"/>
      <c r="C42" s="19"/>
      <c r="D42" s="19"/>
      <c r="E42" s="19"/>
      <c r="F42" s="19"/>
      <c r="G42" s="19"/>
      <c r="H42" s="19"/>
      <c r="K42" s="186"/>
    </row>
    <row r="43" spans="1:13" x14ac:dyDescent="0.25">
      <c r="A43" t="s">
        <v>148</v>
      </c>
      <c r="B43" t="s">
        <v>82</v>
      </c>
      <c r="C43" s="23">
        <v>0</v>
      </c>
      <c r="D43" s="23">
        <v>0</v>
      </c>
      <c r="E43" s="23">
        <v>-6520</v>
      </c>
      <c r="F43" s="23">
        <v>-7943</v>
      </c>
      <c r="G43" s="23">
        <v>9542</v>
      </c>
      <c r="H43" s="23">
        <v>45838.169000000002</v>
      </c>
      <c r="I43" s="23">
        <v>5520.4669999999996</v>
      </c>
      <c r="J43" s="23">
        <v>68000</v>
      </c>
      <c r="K43" s="197">
        <f>M43*$K$4</f>
        <v>70082.81137178083</v>
      </c>
      <c r="M43" s="23">
        <v>6635</v>
      </c>
    </row>
    <row r="44" spans="1:13" x14ac:dyDescent="0.25">
      <c r="A44" t="s">
        <v>149</v>
      </c>
      <c r="B44" t="s">
        <v>81</v>
      </c>
      <c r="C44" s="23">
        <v>-6212</v>
      </c>
      <c r="D44" s="23">
        <v>-1303</v>
      </c>
      <c r="E44" s="23">
        <v>-9684</v>
      </c>
      <c r="F44" s="23">
        <v>-23269</v>
      </c>
      <c r="G44" s="23">
        <v>38597</v>
      </c>
      <c r="H44" s="23">
        <v>158005</v>
      </c>
      <c r="K44" s="186"/>
    </row>
    <row r="45" spans="1:13" ht="15.75" thickBot="1" x14ac:dyDescent="0.3">
      <c r="A45" s="47" t="s">
        <v>211</v>
      </c>
      <c r="B45" s="47" t="s">
        <v>80</v>
      </c>
      <c r="C45" s="43">
        <v>-6212</v>
      </c>
      <c r="D45" s="43">
        <v>-1303</v>
      </c>
      <c r="E45" s="43">
        <v>-9684</v>
      </c>
      <c r="F45" s="43">
        <v>-23269</v>
      </c>
      <c r="G45" s="43">
        <v>38597</v>
      </c>
      <c r="H45" s="43">
        <v>156267.28700000001</v>
      </c>
      <c r="I45" s="43">
        <v>22219.352999999999</v>
      </c>
      <c r="J45" s="44">
        <f>J40-J43</f>
        <v>231000</v>
      </c>
      <c r="K45" s="194">
        <f>M45*$K$4</f>
        <v>216945.11872871238</v>
      </c>
      <c r="M45" s="44">
        <f>M40-M43</f>
        <v>20539</v>
      </c>
    </row>
    <row r="46" spans="1:13" x14ac:dyDescent="0.25">
      <c r="A46" t="s">
        <v>185</v>
      </c>
      <c r="B46" t="s">
        <v>79</v>
      </c>
      <c r="D46" s="23">
        <v>7300</v>
      </c>
      <c r="E46" s="23">
        <v>0</v>
      </c>
      <c r="K46" s="186"/>
    </row>
    <row r="47" spans="1:13" x14ac:dyDescent="0.25">
      <c r="A47" t="s">
        <v>150</v>
      </c>
      <c r="B47" t="s">
        <v>78</v>
      </c>
      <c r="G47" s="23">
        <v>538</v>
      </c>
      <c r="H47" s="23">
        <v>10038</v>
      </c>
      <c r="K47" s="186"/>
    </row>
    <row r="48" spans="1:13" x14ac:dyDescent="0.25">
      <c r="A48" t="s">
        <v>151</v>
      </c>
      <c r="B48" t="s">
        <v>77</v>
      </c>
      <c r="H48" s="23">
        <v>147967</v>
      </c>
      <c r="K48" s="186"/>
    </row>
    <row r="49" spans="1:21" x14ac:dyDescent="0.25">
      <c r="A49" t="s">
        <v>152</v>
      </c>
      <c r="B49" t="s">
        <v>51</v>
      </c>
      <c r="C49" s="23">
        <v>-6212</v>
      </c>
      <c r="D49" s="23">
        <v>-8603</v>
      </c>
      <c r="E49" s="23">
        <v>-9684</v>
      </c>
      <c r="F49" s="23">
        <v>-23269</v>
      </c>
      <c r="G49" s="23">
        <v>38060</v>
      </c>
      <c r="K49" s="186"/>
    </row>
    <row r="50" spans="1:21" x14ac:dyDescent="0.25">
      <c r="A50" t="s">
        <v>153</v>
      </c>
      <c r="B50" t="s">
        <v>76</v>
      </c>
      <c r="C50" s="23">
        <v>-6212</v>
      </c>
      <c r="D50" s="23">
        <v>-1303</v>
      </c>
      <c r="E50" s="23">
        <v>-9684</v>
      </c>
      <c r="F50" s="23">
        <v>-23269</v>
      </c>
      <c r="G50" s="23">
        <v>38597</v>
      </c>
      <c r="H50" s="23">
        <v>156267.28700000001</v>
      </c>
      <c r="I50" s="23">
        <v>22219.352999999999</v>
      </c>
      <c r="K50" s="186"/>
    </row>
    <row r="51" spans="1:21" x14ac:dyDescent="0.25">
      <c r="C51" s="30"/>
      <c r="D51" s="30"/>
      <c r="E51" s="30"/>
      <c r="F51" s="30"/>
      <c r="G51" s="30"/>
      <c r="H51" s="30"/>
      <c r="K51" s="186"/>
    </row>
    <row r="52" spans="1:21" x14ac:dyDescent="0.25">
      <c r="A52" t="s">
        <v>275</v>
      </c>
      <c r="C52" s="30"/>
      <c r="D52" s="30"/>
      <c r="E52" s="30"/>
      <c r="F52" s="30"/>
      <c r="G52" s="30"/>
      <c r="H52" s="30"/>
      <c r="K52" s="203">
        <v>10.140309999999999</v>
      </c>
    </row>
    <row r="53" spans="1:21" s="10" customFormat="1" x14ac:dyDescent="0.25">
      <c r="A53" s="27" t="s">
        <v>154</v>
      </c>
      <c r="B53" s="27" t="s">
        <v>75</v>
      </c>
      <c r="C53" s="28">
        <v>2016</v>
      </c>
      <c r="D53" s="28">
        <v>2017</v>
      </c>
      <c r="E53" s="28">
        <v>2018</v>
      </c>
      <c r="F53" s="28">
        <v>2019</v>
      </c>
      <c r="G53" s="28">
        <v>2020</v>
      </c>
      <c r="H53" s="28">
        <v>2021</v>
      </c>
      <c r="I53" s="28">
        <v>2022</v>
      </c>
      <c r="J53" s="28">
        <v>2023</v>
      </c>
      <c r="K53" s="183">
        <v>2023</v>
      </c>
      <c r="M53" s="180" t="s">
        <v>274</v>
      </c>
      <c r="P53"/>
      <c r="Q53"/>
      <c r="R53"/>
      <c r="S53"/>
      <c r="T53"/>
      <c r="U53"/>
    </row>
    <row r="54" spans="1:21" x14ac:dyDescent="0.25">
      <c r="A54" s="31" t="s">
        <v>155</v>
      </c>
      <c r="B54" s="31" t="s">
        <v>74</v>
      </c>
      <c r="D54" s="23">
        <v>1028</v>
      </c>
      <c r="E54" s="23">
        <v>16568</v>
      </c>
      <c r="F54" s="23">
        <v>53588</v>
      </c>
      <c r="G54" s="23">
        <v>81651</v>
      </c>
      <c r="H54" s="23">
        <v>117308.039</v>
      </c>
      <c r="I54" s="23">
        <v>246945.36</v>
      </c>
      <c r="J54" s="23">
        <v>456000</v>
      </c>
      <c r="K54" s="197">
        <f t="shared" ref="K54:K102" si="5">M54*$K$52</f>
        <v>435698.69977000001</v>
      </c>
      <c r="M54" s="23">
        <v>42967</v>
      </c>
    </row>
    <row r="55" spans="1:21" x14ac:dyDescent="0.25">
      <c r="A55" s="31" t="s">
        <v>156</v>
      </c>
      <c r="B55" s="31" t="s">
        <v>73</v>
      </c>
      <c r="E55" s="23">
        <v>232</v>
      </c>
      <c r="F55" s="23">
        <v>208</v>
      </c>
      <c r="G55" s="23">
        <v>185</v>
      </c>
      <c r="H55" s="23">
        <v>161.548</v>
      </c>
      <c r="I55" s="23">
        <v>10211.191000000001</v>
      </c>
      <c r="K55" s="186"/>
      <c r="M55" s="23"/>
    </row>
    <row r="56" spans="1:21" x14ac:dyDescent="0.25">
      <c r="A56" s="31" t="s">
        <v>157</v>
      </c>
      <c r="B56" s="31" t="s">
        <v>72</v>
      </c>
      <c r="E56" s="23">
        <v>6520</v>
      </c>
      <c r="F56" s="23">
        <v>14462</v>
      </c>
      <c r="G56" s="23">
        <v>7810</v>
      </c>
      <c r="H56" s="23">
        <v>7498.1409999999996</v>
      </c>
      <c r="I56" s="23">
        <v>9657.7260000000006</v>
      </c>
      <c r="J56" s="23">
        <v>9000</v>
      </c>
      <c r="K56" s="197">
        <f t="shared" si="5"/>
        <v>5039.7340699999995</v>
      </c>
      <c r="M56" s="23">
        <v>497</v>
      </c>
    </row>
    <row r="57" spans="1:21" x14ac:dyDescent="0.25">
      <c r="A57" s="20" t="s">
        <v>158</v>
      </c>
      <c r="B57" s="20" t="s">
        <v>71</v>
      </c>
      <c r="C57" s="24">
        <v>0</v>
      </c>
      <c r="D57" s="24">
        <v>1028</v>
      </c>
      <c r="E57" s="24">
        <v>23320</v>
      </c>
      <c r="F57" s="24">
        <v>68259</v>
      </c>
      <c r="G57" s="24">
        <v>89647</v>
      </c>
      <c r="H57" s="24">
        <v>124967.728</v>
      </c>
      <c r="I57" s="24">
        <v>266814.277</v>
      </c>
      <c r="J57" s="13">
        <f>+J54+J55+J56</f>
        <v>465000</v>
      </c>
      <c r="K57" s="190">
        <f>M57*$K$52</f>
        <v>440738.43383999995</v>
      </c>
      <c r="M57" s="24">
        <f>M54+M56</f>
        <v>43464</v>
      </c>
    </row>
    <row r="58" spans="1:21" x14ac:dyDescent="0.25">
      <c r="A58" s="31" t="s">
        <v>159</v>
      </c>
      <c r="B58" s="31" t="s">
        <v>70</v>
      </c>
      <c r="E58" s="23">
        <v>121</v>
      </c>
      <c r="F58" s="23">
        <v>176</v>
      </c>
      <c r="G58" s="23">
        <v>3077</v>
      </c>
      <c r="H58" s="23">
        <v>18849.79</v>
      </c>
      <c r="I58" s="23">
        <v>32785.951999999997</v>
      </c>
      <c r="J58" s="23">
        <v>35000</v>
      </c>
      <c r="K58" s="197">
        <f t="shared" si="5"/>
        <v>42447.337659999997</v>
      </c>
      <c r="M58" s="23">
        <v>4186</v>
      </c>
    </row>
    <row r="59" spans="1:21" x14ac:dyDescent="0.25">
      <c r="A59" s="20" t="s">
        <v>160</v>
      </c>
      <c r="B59" s="20" t="s">
        <v>69</v>
      </c>
      <c r="C59" s="24">
        <v>0</v>
      </c>
      <c r="D59" s="24">
        <v>0</v>
      </c>
      <c r="E59" s="24">
        <v>121</v>
      </c>
      <c r="F59" s="24">
        <v>176</v>
      </c>
      <c r="G59" s="24">
        <v>3077</v>
      </c>
      <c r="H59" s="24">
        <v>18849.79</v>
      </c>
      <c r="I59" s="24">
        <v>32785.951999999997</v>
      </c>
      <c r="J59" s="13">
        <f>J58</f>
        <v>35000</v>
      </c>
      <c r="K59" s="190">
        <f t="shared" si="5"/>
        <v>42447.337659999997</v>
      </c>
      <c r="M59" s="13">
        <f>M58</f>
        <v>4186</v>
      </c>
    </row>
    <row r="60" spans="1:21" x14ac:dyDescent="0.25">
      <c r="A60" s="31" t="s">
        <v>161</v>
      </c>
      <c r="B60" s="31" t="s">
        <v>68</v>
      </c>
      <c r="G60" s="23">
        <v>6358</v>
      </c>
      <c r="H60" s="23">
        <v>4078.6750000000002</v>
      </c>
      <c r="I60" s="23">
        <v>53966.523000000001</v>
      </c>
      <c r="J60" s="23">
        <v>55000</v>
      </c>
      <c r="K60" s="197">
        <f t="shared" si="5"/>
        <v>54909.77865</v>
      </c>
      <c r="M60" s="23">
        <v>5415</v>
      </c>
    </row>
    <row r="61" spans="1:21" x14ac:dyDescent="0.25">
      <c r="A61" s="20" t="s">
        <v>162</v>
      </c>
      <c r="B61" s="20" t="s">
        <v>67</v>
      </c>
      <c r="C61" s="24">
        <v>0</v>
      </c>
      <c r="D61" s="24">
        <v>0</v>
      </c>
      <c r="E61" s="10"/>
      <c r="F61" s="10"/>
      <c r="G61" s="24">
        <v>6358</v>
      </c>
      <c r="H61" s="24">
        <v>4078.6750000000002</v>
      </c>
      <c r="I61" s="24">
        <v>53966.523000000001</v>
      </c>
      <c r="J61" s="13">
        <f>J60</f>
        <v>55000</v>
      </c>
      <c r="K61" s="190">
        <f t="shared" si="5"/>
        <v>54909.77865</v>
      </c>
      <c r="M61" s="13">
        <f>M60</f>
        <v>5415</v>
      </c>
    </row>
    <row r="62" spans="1:21" x14ac:dyDescent="0.25">
      <c r="A62" s="10" t="s">
        <v>160</v>
      </c>
      <c r="B62" s="10" t="s">
        <v>66</v>
      </c>
      <c r="C62" s="24">
        <v>0</v>
      </c>
      <c r="D62" s="24">
        <v>1028</v>
      </c>
      <c r="E62" s="24">
        <v>23440</v>
      </c>
      <c r="F62" s="24">
        <v>68435</v>
      </c>
      <c r="G62" s="24">
        <v>99081</v>
      </c>
      <c r="H62" s="24">
        <v>147896.193</v>
      </c>
      <c r="I62" s="24">
        <v>353566.75099999999</v>
      </c>
      <c r="J62" s="13">
        <f>+J57+J59+J61</f>
        <v>555000</v>
      </c>
      <c r="K62" s="190">
        <f>M62*$K$52</f>
        <v>538095.55015000002</v>
      </c>
      <c r="M62" s="13">
        <f>+M57+M59+M61</f>
        <v>53065</v>
      </c>
    </row>
    <row r="63" spans="1:21" x14ac:dyDescent="0.25">
      <c r="A63" s="39" t="s">
        <v>139</v>
      </c>
      <c r="B63" s="39" t="s">
        <v>118</v>
      </c>
      <c r="C63" s="40">
        <f>C61+C59+C57</f>
        <v>0</v>
      </c>
      <c r="D63" s="40">
        <f t="shared" ref="D63:G63" si="6">D61+D59+D57</f>
        <v>1028</v>
      </c>
      <c r="E63" s="40">
        <f t="shared" si="6"/>
        <v>23441</v>
      </c>
      <c r="F63" s="40">
        <f t="shared" si="6"/>
        <v>68435</v>
      </c>
      <c r="G63" s="40">
        <f t="shared" si="6"/>
        <v>99082</v>
      </c>
      <c r="H63" s="40">
        <f>H61+H59+H57</f>
        <v>147896.193</v>
      </c>
      <c r="I63" s="40">
        <f>I61+I59+I57</f>
        <v>353566.75199999998</v>
      </c>
      <c r="J63" s="41"/>
      <c r="K63" s="195"/>
    </row>
    <row r="64" spans="1:21" x14ac:dyDescent="0.25">
      <c r="A64" s="18"/>
      <c r="B64" s="18"/>
      <c r="C64" s="13"/>
      <c r="D64" s="13"/>
      <c r="E64" s="13"/>
      <c r="F64" s="13"/>
      <c r="G64" s="13"/>
      <c r="H64" s="13"/>
      <c r="K64" s="186"/>
    </row>
    <row r="65" spans="1:13" x14ac:dyDescent="0.25">
      <c r="A65" s="21" t="s">
        <v>163</v>
      </c>
      <c r="B65" s="21" t="s">
        <v>65</v>
      </c>
      <c r="C65" s="10"/>
      <c r="D65" s="24">
        <v>31819</v>
      </c>
      <c r="E65" s="24">
        <v>35063</v>
      </c>
      <c r="F65" s="24">
        <v>13229</v>
      </c>
      <c r="G65" s="24">
        <v>37963</v>
      </c>
      <c r="H65" s="24">
        <v>311866.886</v>
      </c>
      <c r="I65" s="24">
        <v>206583.095</v>
      </c>
      <c r="J65" s="24">
        <v>351000</v>
      </c>
      <c r="K65" s="198">
        <f t="shared" si="5"/>
        <v>427322.80371000001</v>
      </c>
      <c r="M65" s="24">
        <v>42141</v>
      </c>
    </row>
    <row r="66" spans="1:13" x14ac:dyDescent="0.25">
      <c r="A66" s="20" t="s">
        <v>164</v>
      </c>
      <c r="B66" s="20" t="s">
        <v>64</v>
      </c>
      <c r="C66" s="24">
        <v>0</v>
      </c>
      <c r="D66" s="24">
        <v>31819</v>
      </c>
      <c r="E66" s="24">
        <v>35063</v>
      </c>
      <c r="F66" s="24">
        <v>13229</v>
      </c>
      <c r="G66" s="24">
        <v>37963</v>
      </c>
      <c r="H66" s="24">
        <v>311866.886</v>
      </c>
      <c r="I66" s="24">
        <v>206583.095</v>
      </c>
      <c r="J66" s="13">
        <f>J65</f>
        <v>351000</v>
      </c>
      <c r="K66" s="190">
        <f t="shared" si="5"/>
        <v>427322.80371000001</v>
      </c>
      <c r="L66" s="13"/>
      <c r="M66" s="13">
        <f>M65</f>
        <v>42141</v>
      </c>
    </row>
    <row r="67" spans="1:13" x14ac:dyDescent="0.25">
      <c r="A67" s="31" t="s">
        <v>165</v>
      </c>
      <c r="B67" s="31" t="s">
        <v>63</v>
      </c>
      <c r="D67" s="23">
        <v>40</v>
      </c>
      <c r="E67" s="23">
        <v>47</v>
      </c>
      <c r="F67" s="23">
        <v>128</v>
      </c>
      <c r="G67" s="23">
        <v>18030</v>
      </c>
      <c r="H67" s="23">
        <v>55155.885000000002</v>
      </c>
      <c r="I67" s="23">
        <v>25704.006000000001</v>
      </c>
      <c r="J67" s="23">
        <v>99000</v>
      </c>
      <c r="K67" s="197">
        <f t="shared" si="5"/>
        <v>98949.144979999997</v>
      </c>
      <c r="M67" s="23">
        <v>9758</v>
      </c>
    </row>
    <row r="68" spans="1:13" x14ac:dyDescent="0.25">
      <c r="A68" s="31" t="s">
        <v>161</v>
      </c>
      <c r="B68" s="31" t="s">
        <v>62</v>
      </c>
      <c r="C68" s="23">
        <v>4762</v>
      </c>
      <c r="D68" s="23">
        <v>15769</v>
      </c>
      <c r="E68" s="23">
        <v>15086</v>
      </c>
      <c r="F68" s="23">
        <v>18292</v>
      </c>
      <c r="G68" s="23">
        <v>63528</v>
      </c>
      <c r="H68" s="23">
        <v>73443.581000000006</v>
      </c>
      <c r="I68" s="23">
        <v>184153.82699999999</v>
      </c>
      <c r="K68" s="200">
        <f>M68*$K$52</f>
        <v>55295.110430000001</v>
      </c>
      <c r="M68" s="23">
        <v>5453</v>
      </c>
    </row>
    <row r="69" spans="1:13" x14ac:dyDescent="0.25">
      <c r="A69" s="31" t="s">
        <v>166</v>
      </c>
      <c r="B69" s="31" t="s">
        <v>61</v>
      </c>
      <c r="E69" s="23">
        <v>37</v>
      </c>
      <c r="F69" s="23">
        <v>383</v>
      </c>
      <c r="G69" s="23">
        <v>61</v>
      </c>
      <c r="H69" s="23">
        <v>0</v>
      </c>
      <c r="I69" s="23">
        <v>1413.9739999999999</v>
      </c>
      <c r="J69" s="23">
        <v>28000</v>
      </c>
      <c r="K69" s="197"/>
    </row>
    <row r="70" spans="1:13" x14ac:dyDescent="0.25">
      <c r="A70" s="20" t="s">
        <v>167</v>
      </c>
      <c r="B70" s="20" t="s">
        <v>60</v>
      </c>
      <c r="C70" s="24">
        <v>4762</v>
      </c>
      <c r="D70" s="24">
        <v>15809</v>
      </c>
      <c r="E70" s="24">
        <v>15170</v>
      </c>
      <c r="F70" s="24">
        <v>18803</v>
      </c>
      <c r="G70" s="24">
        <v>81618</v>
      </c>
      <c r="H70" s="24">
        <v>128599.466</v>
      </c>
      <c r="I70" s="24">
        <v>211271.807</v>
      </c>
      <c r="J70" s="13">
        <f>+J67+J68+J69</f>
        <v>127000</v>
      </c>
      <c r="K70" s="190">
        <f t="shared" si="5"/>
        <v>154244.25540999998</v>
      </c>
      <c r="M70" s="13">
        <f>+M67+M68+M69</f>
        <v>15211</v>
      </c>
    </row>
    <row r="71" spans="1:13" x14ac:dyDescent="0.25">
      <c r="A71" s="31" t="s">
        <v>168</v>
      </c>
      <c r="B71" s="31" t="s">
        <v>59</v>
      </c>
      <c r="C71" s="23">
        <v>7141</v>
      </c>
      <c r="D71" s="23">
        <v>56830</v>
      </c>
      <c r="E71" s="23">
        <v>50741</v>
      </c>
      <c r="F71" s="23">
        <v>165537</v>
      </c>
      <c r="G71" s="23">
        <v>275208</v>
      </c>
      <c r="H71" s="23">
        <v>637278.68200000003</v>
      </c>
      <c r="I71" s="23">
        <v>395029.25799999997</v>
      </c>
      <c r="J71" s="23">
        <v>953000</v>
      </c>
      <c r="K71" s="197">
        <f t="shared" si="5"/>
        <v>947632.25011999998</v>
      </c>
      <c r="M71" s="23">
        <v>93452</v>
      </c>
    </row>
    <row r="72" spans="1:13" x14ac:dyDescent="0.25">
      <c r="A72" s="31" t="s">
        <v>169</v>
      </c>
      <c r="B72" s="20" t="s">
        <v>58</v>
      </c>
      <c r="C72" s="24">
        <v>7141</v>
      </c>
      <c r="D72" s="24">
        <v>56830</v>
      </c>
      <c r="E72" s="24">
        <v>50741</v>
      </c>
      <c r="F72" s="24">
        <v>165537</v>
      </c>
      <c r="G72" s="24">
        <v>275208</v>
      </c>
      <c r="H72" s="24">
        <v>637278.68200000003</v>
      </c>
      <c r="I72" s="24">
        <v>395029.25799999997</v>
      </c>
      <c r="J72" s="13">
        <f>J71</f>
        <v>953000</v>
      </c>
      <c r="K72" s="190">
        <f t="shared" si="5"/>
        <v>947632.25011999998</v>
      </c>
      <c r="L72" s="13"/>
      <c r="M72" s="13">
        <f>M71</f>
        <v>93452</v>
      </c>
    </row>
    <row r="73" spans="1:13" x14ac:dyDescent="0.25">
      <c r="A73" s="31" t="s">
        <v>170</v>
      </c>
      <c r="B73" s="10" t="s">
        <v>57</v>
      </c>
      <c r="C73" s="24">
        <v>11903</v>
      </c>
      <c r="D73" s="24">
        <v>104459</v>
      </c>
      <c r="E73" s="24">
        <v>100974</v>
      </c>
      <c r="F73" s="24">
        <v>197569</v>
      </c>
      <c r="G73" s="24">
        <v>394790</v>
      </c>
      <c r="H73" s="24">
        <v>1077745.034</v>
      </c>
      <c r="I73" s="24">
        <v>812884.16</v>
      </c>
      <c r="J73" s="13">
        <f>+J66+J70+J72</f>
        <v>1431000</v>
      </c>
      <c r="K73" s="190">
        <f t="shared" si="5"/>
        <v>1529199.3092399999</v>
      </c>
      <c r="M73" s="13">
        <f>+M66+M70+M72</f>
        <v>150804</v>
      </c>
    </row>
    <row r="74" spans="1:13" x14ac:dyDescent="0.25">
      <c r="A74" s="39" t="s">
        <v>139</v>
      </c>
      <c r="B74" s="39" t="s">
        <v>118</v>
      </c>
      <c r="C74" s="40">
        <f>C72+C70+C66</f>
        <v>11903</v>
      </c>
      <c r="D74" s="40">
        <f t="shared" ref="D74:I74" si="7">D72+D70+D66</f>
        <v>104458</v>
      </c>
      <c r="E74" s="40">
        <f t="shared" si="7"/>
        <v>100974</v>
      </c>
      <c r="F74" s="40">
        <f t="shared" si="7"/>
        <v>197569</v>
      </c>
      <c r="G74" s="40">
        <f t="shared" si="7"/>
        <v>394789</v>
      </c>
      <c r="H74" s="40">
        <f t="shared" si="7"/>
        <v>1077745.034</v>
      </c>
      <c r="I74" s="40">
        <f t="shared" si="7"/>
        <v>812884.15999999992</v>
      </c>
      <c r="J74" s="41"/>
      <c r="K74" s="195"/>
    </row>
    <row r="75" spans="1:13" x14ac:dyDescent="0.25">
      <c r="B75" s="18"/>
      <c r="C75" s="30"/>
      <c r="D75" s="30"/>
      <c r="E75" s="30"/>
      <c r="F75" s="30"/>
      <c r="G75" s="30"/>
      <c r="H75" s="30"/>
      <c r="I75" s="30"/>
      <c r="K75" s="186"/>
    </row>
    <row r="76" spans="1:13" ht="15.75" thickBot="1" x14ac:dyDescent="0.3">
      <c r="A76" s="47" t="s">
        <v>7</v>
      </c>
      <c r="B76" s="47" t="s">
        <v>56</v>
      </c>
      <c r="C76" s="43">
        <v>11903</v>
      </c>
      <c r="D76" s="43">
        <v>105486</v>
      </c>
      <c r="E76" s="43">
        <v>124414</v>
      </c>
      <c r="F76" s="43">
        <v>266004</v>
      </c>
      <c r="G76" s="43">
        <v>493871</v>
      </c>
      <c r="H76" s="43">
        <v>1225641.227</v>
      </c>
      <c r="I76" s="43">
        <v>1166450.9110000001</v>
      </c>
      <c r="J76" s="44">
        <f>+J62+J73</f>
        <v>1986000</v>
      </c>
      <c r="K76" s="194">
        <f t="shared" si="5"/>
        <v>2067294.8593899999</v>
      </c>
      <c r="M76" s="44">
        <f>+M62+M73</f>
        <v>203869</v>
      </c>
    </row>
    <row r="77" spans="1:13" x14ac:dyDescent="0.25">
      <c r="A77" s="39" t="s">
        <v>139</v>
      </c>
      <c r="B77" s="39" t="s">
        <v>118</v>
      </c>
      <c r="C77" s="40">
        <f>C73+C62</f>
        <v>11903</v>
      </c>
      <c r="D77" s="40">
        <f t="shared" ref="D77:G77" si="8">D73+D62</f>
        <v>105487</v>
      </c>
      <c r="E77" s="40">
        <f t="shared" si="8"/>
        <v>124414</v>
      </c>
      <c r="F77" s="40">
        <f t="shared" si="8"/>
        <v>266004</v>
      </c>
      <c r="G77" s="40">
        <f t="shared" si="8"/>
        <v>493871</v>
      </c>
      <c r="H77" s="40">
        <f>H73+H62</f>
        <v>1225641.227</v>
      </c>
      <c r="I77" s="40">
        <f>I73+I62</f>
        <v>1166450.9110000001</v>
      </c>
      <c r="J77" s="41"/>
      <c r="K77" s="195"/>
    </row>
    <row r="78" spans="1:13" x14ac:dyDescent="0.25">
      <c r="C78" s="30"/>
      <c r="D78" s="30"/>
      <c r="E78" s="30"/>
      <c r="F78" s="30"/>
      <c r="G78" s="30"/>
      <c r="H78" s="30"/>
      <c r="K78" s="186"/>
    </row>
    <row r="79" spans="1:13" x14ac:dyDescent="0.25">
      <c r="A79" s="31" t="s">
        <v>171</v>
      </c>
      <c r="B79" s="31" t="s">
        <v>55</v>
      </c>
      <c r="C79" s="23">
        <v>1719</v>
      </c>
      <c r="D79" s="23">
        <v>2247</v>
      </c>
      <c r="E79" s="23">
        <v>3000</v>
      </c>
      <c r="F79" s="23">
        <v>3000</v>
      </c>
      <c r="G79" s="23">
        <v>3000</v>
      </c>
      <c r="H79" s="23">
        <f>2573.523-30.413</f>
        <v>2543.11</v>
      </c>
      <c r="I79" s="23">
        <f>2544.196-1.085</f>
        <v>2543.1109999999999</v>
      </c>
      <c r="J79" s="23">
        <v>5000</v>
      </c>
      <c r="K79" s="197">
        <f t="shared" si="5"/>
        <v>3092.7945499999996</v>
      </c>
      <c r="M79" s="23">
        <v>305</v>
      </c>
    </row>
    <row r="80" spans="1:13" x14ac:dyDescent="0.25">
      <c r="A80" s="31" t="s">
        <v>172</v>
      </c>
      <c r="B80" s="31" t="s">
        <v>54</v>
      </c>
      <c r="C80" s="23">
        <v>2313</v>
      </c>
      <c r="D80" s="23">
        <v>67070</v>
      </c>
      <c r="E80" s="23">
        <v>73715</v>
      </c>
      <c r="F80" s="23">
        <v>73715</v>
      </c>
      <c r="G80" s="23">
        <v>73715</v>
      </c>
      <c r="H80" s="23">
        <v>66175.936000000002</v>
      </c>
      <c r="I80" s="23">
        <v>163942.21599999999</v>
      </c>
      <c r="J80" s="23">
        <v>83000</v>
      </c>
      <c r="K80" s="197">
        <f t="shared" si="5"/>
        <v>258892.25460999997</v>
      </c>
      <c r="M80" s="23">
        <v>25531</v>
      </c>
    </row>
    <row r="81" spans="1:14" x14ac:dyDescent="0.25">
      <c r="A81" s="31" t="s">
        <v>173</v>
      </c>
      <c r="B81" s="31" t="s">
        <v>53</v>
      </c>
      <c r="F81" s="23">
        <v>130174</v>
      </c>
      <c r="G81" s="23">
        <v>130174</v>
      </c>
      <c r="H81" s="23">
        <v>163942.21599999999</v>
      </c>
      <c r="I81" s="23">
        <v>77132.740999999995</v>
      </c>
      <c r="J81" s="23">
        <v>153000</v>
      </c>
      <c r="K81" s="197">
        <f t="shared" si="5"/>
        <v>21101.985109999998</v>
      </c>
      <c r="M81" s="23">
        <v>2081</v>
      </c>
    </row>
    <row r="82" spans="1:14" x14ac:dyDescent="0.25">
      <c r="A82" s="20" t="s">
        <v>174</v>
      </c>
      <c r="B82" s="20" t="s">
        <v>52</v>
      </c>
      <c r="C82" s="24">
        <v>4032</v>
      </c>
      <c r="D82" s="24">
        <v>69317</v>
      </c>
      <c r="E82" s="24">
        <v>76715</v>
      </c>
      <c r="F82" s="24">
        <v>206888</v>
      </c>
      <c r="G82" s="24">
        <v>206888</v>
      </c>
      <c r="H82" s="24">
        <v>232661.26199999999</v>
      </c>
      <c r="I82" s="24">
        <v>243618.068</v>
      </c>
      <c r="J82" s="13">
        <f>J79+J80+J81</f>
        <v>241000</v>
      </c>
      <c r="K82" s="190">
        <f t="shared" si="5"/>
        <v>283087.03427</v>
      </c>
      <c r="M82" s="13">
        <f>M79+M80+M81</f>
        <v>27917</v>
      </c>
    </row>
    <row r="83" spans="1:14" x14ac:dyDescent="0.25">
      <c r="A83" s="39" t="s">
        <v>139</v>
      </c>
      <c r="B83" s="39" t="s">
        <v>118</v>
      </c>
      <c r="C83" s="40">
        <f>C79+C80+C81</f>
        <v>4032</v>
      </c>
      <c r="D83" s="40">
        <f t="shared" ref="D83:G83" si="9">D79+D80+D81</f>
        <v>69317</v>
      </c>
      <c r="E83" s="40">
        <f t="shared" si="9"/>
        <v>76715</v>
      </c>
      <c r="F83" s="40">
        <f t="shared" si="9"/>
        <v>206889</v>
      </c>
      <c r="G83" s="40">
        <f t="shared" si="9"/>
        <v>206889</v>
      </c>
      <c r="H83" s="40">
        <f>H79+H80+H81</f>
        <v>232661.26199999999</v>
      </c>
      <c r="I83" s="40">
        <f>I79+I80+I81</f>
        <v>243618.06799999997</v>
      </c>
      <c r="J83" s="41"/>
      <c r="K83" s="195"/>
    </row>
    <row r="84" spans="1:14" x14ac:dyDescent="0.25">
      <c r="A84" s="18"/>
      <c r="B84" s="18"/>
      <c r="C84" s="30"/>
      <c r="D84" s="30"/>
      <c r="E84" s="30"/>
      <c r="F84" s="30"/>
      <c r="G84" s="30"/>
      <c r="H84" s="30"/>
      <c r="K84" s="186"/>
    </row>
    <row r="85" spans="1:14" x14ac:dyDescent="0.25">
      <c r="A85" s="31" t="s">
        <v>152</v>
      </c>
      <c r="B85" s="31" t="s">
        <v>51</v>
      </c>
      <c r="C85" s="23">
        <v>-6212</v>
      </c>
      <c r="D85" s="23">
        <v>-7515</v>
      </c>
      <c r="E85" s="23">
        <v>-24499</v>
      </c>
      <c r="F85" s="23">
        <v>-47768</v>
      </c>
      <c r="G85" s="23">
        <v>-9708</v>
      </c>
      <c r="H85" s="23">
        <v>138258</v>
      </c>
      <c r="I85" s="23">
        <v>180427.864</v>
      </c>
      <c r="K85" s="186"/>
    </row>
    <row r="86" spans="1:14" x14ac:dyDescent="0.25">
      <c r="A86" s="20" t="s">
        <v>175</v>
      </c>
      <c r="B86" s="20" t="s">
        <v>50</v>
      </c>
      <c r="C86" s="24">
        <v>-6212</v>
      </c>
      <c r="D86" s="24">
        <v>-7515</v>
      </c>
      <c r="E86" s="24">
        <v>-24499</v>
      </c>
      <c r="F86" s="24">
        <v>-47768</v>
      </c>
      <c r="G86" s="24">
        <v>-9708</v>
      </c>
      <c r="H86" s="24">
        <f>158472.566+3485.38</f>
        <v>161957.946</v>
      </c>
      <c r="I86" s="24">
        <f>180427.864+3913.352</f>
        <v>184341.21600000001</v>
      </c>
      <c r="J86" s="24">
        <v>393000</v>
      </c>
      <c r="K86" s="198">
        <f t="shared" si="5"/>
        <v>294241.37526999996</v>
      </c>
      <c r="M86" s="24">
        <v>29017</v>
      </c>
    </row>
    <row r="87" spans="1:14" x14ac:dyDescent="0.25">
      <c r="A87" s="10" t="s">
        <v>176</v>
      </c>
      <c r="B87" s="10" t="s">
        <v>49</v>
      </c>
      <c r="C87" s="24">
        <v>-2180</v>
      </c>
      <c r="D87" s="24">
        <v>61802</v>
      </c>
      <c r="E87" s="24">
        <v>52216</v>
      </c>
      <c r="F87" s="24">
        <v>159120</v>
      </c>
      <c r="G87" s="24">
        <v>197180</v>
      </c>
      <c r="H87" s="24">
        <v>394619.20799999998</v>
      </c>
      <c r="I87" s="24">
        <v>427959.28399999999</v>
      </c>
      <c r="J87" s="13">
        <f>+J82+J86</f>
        <v>634000</v>
      </c>
      <c r="K87" s="190">
        <f t="shared" si="5"/>
        <v>577328.40954000002</v>
      </c>
      <c r="M87" s="13">
        <f>+M82+M86</f>
        <v>56934</v>
      </c>
    </row>
    <row r="88" spans="1:14" x14ac:dyDescent="0.25">
      <c r="A88" s="39" t="s">
        <v>139</v>
      </c>
      <c r="B88" s="39" t="s">
        <v>118</v>
      </c>
      <c r="C88" s="40">
        <f>C82+C86</f>
        <v>-2180</v>
      </c>
      <c r="D88" s="40">
        <f t="shared" ref="D88:G88" si="10">D82+D86</f>
        <v>61802</v>
      </c>
      <c r="E88" s="40">
        <f t="shared" si="10"/>
        <v>52216</v>
      </c>
      <c r="F88" s="40">
        <f t="shared" si="10"/>
        <v>159120</v>
      </c>
      <c r="G88" s="40">
        <f t="shared" si="10"/>
        <v>197180</v>
      </c>
      <c r="H88" s="40">
        <f>H82+H86</f>
        <v>394619.20799999998</v>
      </c>
      <c r="I88" s="40">
        <f>I82+I86</f>
        <v>427959.28399999999</v>
      </c>
      <c r="J88" s="41"/>
      <c r="K88" s="195"/>
    </row>
    <row r="89" spans="1:14" x14ac:dyDescent="0.25">
      <c r="C89" s="30"/>
      <c r="D89" s="30"/>
      <c r="E89" s="30"/>
      <c r="F89" s="30"/>
      <c r="G89" s="30"/>
      <c r="H89" s="30"/>
      <c r="I89" s="30"/>
      <c r="K89" s="186"/>
    </row>
    <row r="90" spans="1:14" x14ac:dyDescent="0.25">
      <c r="A90" s="31" t="s">
        <v>177</v>
      </c>
      <c r="B90" s="31" t="s">
        <v>48</v>
      </c>
      <c r="E90" s="23">
        <v>40000</v>
      </c>
      <c r="F90" s="23">
        <v>0</v>
      </c>
      <c r="J90" s="23">
        <v>486000</v>
      </c>
      <c r="K90" s="197">
        <f t="shared" si="5"/>
        <v>484179.52187999996</v>
      </c>
      <c r="M90" s="23">
        <v>47748</v>
      </c>
      <c r="N90">
        <f>M90/M30</f>
        <v>1.2694884611294268</v>
      </c>
    </row>
    <row r="91" spans="1:14" x14ac:dyDescent="0.25">
      <c r="A91" s="20" t="s">
        <v>178</v>
      </c>
      <c r="B91" s="20" t="s">
        <v>47</v>
      </c>
      <c r="C91" s="24">
        <v>0</v>
      </c>
      <c r="D91" s="24">
        <v>0</v>
      </c>
      <c r="E91" s="24">
        <v>40000</v>
      </c>
      <c r="F91" s="24">
        <v>0</v>
      </c>
      <c r="G91" s="10"/>
      <c r="H91" s="10"/>
      <c r="J91" s="30">
        <f>J90</f>
        <v>486000</v>
      </c>
      <c r="K91" s="199">
        <f t="shared" si="5"/>
        <v>484179.52187999996</v>
      </c>
      <c r="M91" s="30">
        <f>M90</f>
        <v>47748</v>
      </c>
    </row>
    <row r="92" spans="1:14" x14ac:dyDescent="0.25">
      <c r="A92" s="20" t="s">
        <v>179</v>
      </c>
      <c r="B92" s="20" t="s">
        <v>46</v>
      </c>
      <c r="C92" s="24">
        <v>0</v>
      </c>
      <c r="D92" s="24">
        <v>0</v>
      </c>
      <c r="E92" s="24">
        <v>40000</v>
      </c>
      <c r="F92" s="24">
        <v>0</v>
      </c>
      <c r="G92" s="24">
        <v>0</v>
      </c>
      <c r="H92" s="24">
        <v>0</v>
      </c>
      <c r="J92" s="30">
        <f>J91</f>
        <v>486000</v>
      </c>
      <c r="K92" s="199">
        <f t="shared" si="5"/>
        <v>484179.52187999996</v>
      </c>
      <c r="M92" s="30">
        <f>M91</f>
        <v>47748</v>
      </c>
    </row>
    <row r="93" spans="1:14" x14ac:dyDescent="0.25">
      <c r="A93" s="31" t="s">
        <v>180</v>
      </c>
      <c r="B93" s="31" t="s">
        <v>45</v>
      </c>
      <c r="F93" s="23">
        <v>20066</v>
      </c>
      <c r="G93" s="23">
        <v>46778</v>
      </c>
      <c r="H93" s="23">
        <v>208500.44500000001</v>
      </c>
      <c r="I93" s="23">
        <v>141736.367</v>
      </c>
      <c r="J93" s="23">
        <v>14000</v>
      </c>
      <c r="K93" s="197"/>
    </row>
    <row r="94" spans="1:14" x14ac:dyDescent="0.25">
      <c r="A94" s="31" t="s">
        <v>181</v>
      </c>
      <c r="B94" s="31" t="s">
        <v>44</v>
      </c>
      <c r="C94" s="23">
        <v>639</v>
      </c>
      <c r="D94" s="23">
        <v>18453</v>
      </c>
      <c r="E94" s="23">
        <v>13477</v>
      </c>
      <c r="F94" s="23">
        <v>42542</v>
      </c>
      <c r="G94" s="23">
        <v>84854</v>
      </c>
      <c r="H94" s="23">
        <v>180243.451</v>
      </c>
      <c r="I94" s="23">
        <v>308754.408</v>
      </c>
      <c r="J94" s="23">
        <v>332000</v>
      </c>
      <c r="K94" s="197">
        <f>M94*$K$52</f>
        <v>333028.06101999996</v>
      </c>
      <c r="M94" s="23">
        <v>32842</v>
      </c>
    </row>
    <row r="95" spans="1:14" x14ac:dyDescent="0.25">
      <c r="A95" s="31" t="s">
        <v>182</v>
      </c>
      <c r="B95" s="31" t="s">
        <v>43</v>
      </c>
      <c r="G95" s="23">
        <v>2738</v>
      </c>
      <c r="H95" s="23">
        <v>42651.152999999998</v>
      </c>
      <c r="I95" s="23">
        <v>7680.049</v>
      </c>
      <c r="J95" s="23">
        <v>70000</v>
      </c>
      <c r="K95" s="197">
        <f t="shared" si="5"/>
        <v>45388.027559999995</v>
      </c>
      <c r="M95" s="23">
        <v>4476</v>
      </c>
    </row>
    <row r="96" spans="1:14" x14ac:dyDescent="0.25">
      <c r="A96" s="31" t="s">
        <v>183</v>
      </c>
      <c r="B96" s="31" t="s">
        <v>42</v>
      </c>
      <c r="C96" s="23">
        <v>126</v>
      </c>
      <c r="D96" s="23">
        <v>2512</v>
      </c>
      <c r="E96" s="23">
        <v>2440</v>
      </c>
      <c r="F96" s="23">
        <v>8515</v>
      </c>
      <c r="G96" s="23">
        <v>25379</v>
      </c>
      <c r="H96" s="23">
        <v>37262.014999999999</v>
      </c>
      <c r="I96" s="23">
        <v>46643.841</v>
      </c>
      <c r="J96" s="23">
        <v>113000</v>
      </c>
      <c r="K96" s="197">
        <f t="shared" si="5"/>
        <v>21193.247899999998</v>
      </c>
      <c r="M96" s="23">
        <v>2090</v>
      </c>
    </row>
    <row r="97" spans="1:21" x14ac:dyDescent="0.25">
      <c r="A97" s="31" t="s">
        <v>184</v>
      </c>
      <c r="B97" s="31" t="s">
        <v>41</v>
      </c>
      <c r="D97" s="23">
        <v>7300</v>
      </c>
      <c r="E97" s="23">
        <v>0</v>
      </c>
      <c r="K97" s="186"/>
    </row>
    <row r="98" spans="1:21" x14ac:dyDescent="0.25">
      <c r="A98" s="31" t="s">
        <v>186</v>
      </c>
      <c r="B98" s="31" t="s">
        <v>120</v>
      </c>
      <c r="D98" s="30"/>
      <c r="E98" s="30"/>
      <c r="H98" s="23">
        <v>14730.93</v>
      </c>
      <c r="I98" s="23">
        <v>34360.491000000002</v>
      </c>
      <c r="K98" s="186"/>
    </row>
    <row r="99" spans="1:21" x14ac:dyDescent="0.25">
      <c r="A99" s="31" t="s">
        <v>187</v>
      </c>
      <c r="B99" s="31" t="s">
        <v>40</v>
      </c>
      <c r="G99" s="23">
        <v>2011</v>
      </c>
      <c r="K99" s="200">
        <f>M99*$K$52</f>
        <v>13557.59447</v>
      </c>
      <c r="M99" s="23">
        <v>1337</v>
      </c>
    </row>
    <row r="100" spans="1:21" x14ac:dyDescent="0.25">
      <c r="A100" s="31" t="s">
        <v>188</v>
      </c>
      <c r="B100" s="31" t="s">
        <v>39</v>
      </c>
      <c r="C100" s="23">
        <v>13318</v>
      </c>
      <c r="D100" s="23">
        <v>15419</v>
      </c>
      <c r="E100" s="23">
        <v>16281</v>
      </c>
      <c r="F100" s="23">
        <v>35760</v>
      </c>
      <c r="G100" s="23">
        <v>134931</v>
      </c>
      <c r="H100" s="23">
        <v>347634.02500000002</v>
      </c>
      <c r="I100" s="23">
        <v>199316.47099999999</v>
      </c>
      <c r="J100" s="23">
        <v>338000</v>
      </c>
      <c r="K100" s="197">
        <f t="shared" si="5"/>
        <v>592619.99702000001</v>
      </c>
      <c r="M100" s="23">
        <f>58306+136</f>
        <v>58442</v>
      </c>
    </row>
    <row r="101" spans="1:21" x14ac:dyDescent="0.25">
      <c r="A101" s="20" t="s">
        <v>189</v>
      </c>
      <c r="B101" s="20" t="s">
        <v>38</v>
      </c>
      <c r="C101" s="24">
        <v>14083</v>
      </c>
      <c r="D101" s="24">
        <v>43684</v>
      </c>
      <c r="E101" s="24">
        <v>32199</v>
      </c>
      <c r="F101" s="24">
        <v>106884</v>
      </c>
      <c r="G101" s="24">
        <v>296691</v>
      </c>
      <c r="H101" s="24">
        <v>831022.01899999997</v>
      </c>
      <c r="I101" s="24">
        <v>738491.62699999998</v>
      </c>
      <c r="J101" s="13">
        <f>+J93+J94+J95+J96+J98+J100</f>
        <v>867000</v>
      </c>
      <c r="K101" s="190">
        <f>M101*$K$52</f>
        <v>1005786.92797</v>
      </c>
      <c r="M101" s="13">
        <f>+M93+M94+M95+M96+M99+M100</f>
        <v>99187</v>
      </c>
    </row>
    <row r="102" spans="1:21" x14ac:dyDescent="0.25">
      <c r="A102" s="10" t="s">
        <v>190</v>
      </c>
      <c r="B102" s="10" t="s">
        <v>37</v>
      </c>
      <c r="C102" s="24">
        <v>14083</v>
      </c>
      <c r="D102" s="24">
        <v>43684</v>
      </c>
      <c r="E102" s="24">
        <v>72199</v>
      </c>
      <c r="F102" s="24">
        <v>106884</v>
      </c>
      <c r="G102" s="24">
        <v>296691</v>
      </c>
      <c r="H102" s="13">
        <f>+H92+H101</f>
        <v>831022.01899999997</v>
      </c>
      <c r="I102" s="13">
        <f>+I92+I101</f>
        <v>738491.62699999998</v>
      </c>
      <c r="J102" s="13">
        <f>+J92+J101</f>
        <v>1353000</v>
      </c>
      <c r="K102" s="190">
        <f t="shared" si="5"/>
        <v>1489966.44985</v>
      </c>
      <c r="M102" s="13">
        <f>+M92+M101</f>
        <v>146935</v>
      </c>
    </row>
    <row r="103" spans="1:21" x14ac:dyDescent="0.25">
      <c r="A103" s="39" t="s">
        <v>139</v>
      </c>
      <c r="B103" s="39" t="s">
        <v>118</v>
      </c>
      <c r="C103" s="40">
        <f>C101+C92</f>
        <v>14083</v>
      </c>
      <c r="D103" s="40">
        <f t="shared" ref="D103:G103" si="11">D101+D92</f>
        <v>43684</v>
      </c>
      <c r="E103" s="40">
        <f t="shared" si="11"/>
        <v>72199</v>
      </c>
      <c r="F103" s="40">
        <f t="shared" si="11"/>
        <v>106884</v>
      </c>
      <c r="G103" s="40">
        <f t="shared" si="11"/>
        <v>296691</v>
      </c>
      <c r="H103" s="40">
        <f>H101+H92</f>
        <v>831022.01899999997</v>
      </c>
      <c r="I103" s="40">
        <f>I101+I92</f>
        <v>738491.62699999998</v>
      </c>
      <c r="J103" s="41"/>
      <c r="K103" s="195"/>
    </row>
    <row r="104" spans="1:21" x14ac:dyDescent="0.25">
      <c r="A104" s="10"/>
      <c r="B104" s="10"/>
      <c r="C104" s="13"/>
      <c r="D104" s="13"/>
      <c r="E104" s="13"/>
      <c r="F104" s="13"/>
      <c r="G104" s="13"/>
      <c r="H104" s="13"/>
      <c r="K104" s="186"/>
    </row>
    <row r="105" spans="1:21" ht="15.75" thickBot="1" x14ac:dyDescent="0.3">
      <c r="A105" s="47" t="s">
        <v>191</v>
      </c>
      <c r="B105" s="47" t="s">
        <v>36</v>
      </c>
      <c r="C105" s="43">
        <v>11903</v>
      </c>
      <c r="D105" s="43">
        <v>105486</v>
      </c>
      <c r="E105" s="43">
        <v>124414</v>
      </c>
      <c r="F105" s="43">
        <v>266004</v>
      </c>
      <c r="G105" s="43">
        <v>493871</v>
      </c>
      <c r="H105" s="43">
        <v>1225641.227</v>
      </c>
      <c r="I105" s="43">
        <v>1166450.9110000001</v>
      </c>
      <c r="J105" s="44">
        <f>+J102+J87</f>
        <v>1987000</v>
      </c>
      <c r="K105" s="194">
        <f>M105*$K$52</f>
        <v>2067294.8593899999</v>
      </c>
      <c r="M105" s="44">
        <f>+M102+M87</f>
        <v>203869</v>
      </c>
    </row>
    <row r="106" spans="1:21" x14ac:dyDescent="0.25">
      <c r="A106" s="39" t="s">
        <v>139</v>
      </c>
      <c r="B106" s="39" t="s">
        <v>118</v>
      </c>
      <c r="C106" s="40">
        <f t="shared" ref="C106:H106" si="12">C102+C87</f>
        <v>11903</v>
      </c>
      <c r="D106" s="40">
        <f t="shared" si="12"/>
        <v>105486</v>
      </c>
      <c r="E106" s="40">
        <f t="shared" si="12"/>
        <v>124415</v>
      </c>
      <c r="F106" s="40">
        <f t="shared" si="12"/>
        <v>266004</v>
      </c>
      <c r="G106" s="40">
        <f t="shared" si="12"/>
        <v>493871</v>
      </c>
      <c r="H106" s="40">
        <f t="shared" si="12"/>
        <v>1225641.227</v>
      </c>
      <c r="I106" s="40">
        <f>I102+I87</f>
        <v>1166450.9109999998</v>
      </c>
      <c r="J106" s="40">
        <f>J102+J87</f>
        <v>1987000</v>
      </c>
      <c r="K106" s="40"/>
    </row>
    <row r="107" spans="1:21" x14ac:dyDescent="0.25">
      <c r="C107" s="30"/>
      <c r="D107" s="30"/>
      <c r="E107" s="30"/>
      <c r="F107" s="30"/>
      <c r="G107" s="30"/>
      <c r="H107" s="30"/>
    </row>
    <row r="108" spans="1:21" s="10" customFormat="1" outlineLevel="1" x14ac:dyDescent="0.25">
      <c r="A108" s="27" t="s">
        <v>192</v>
      </c>
      <c r="B108" s="27" t="s">
        <v>35</v>
      </c>
      <c r="C108" s="28">
        <v>2016</v>
      </c>
      <c r="D108" s="28">
        <v>2017</v>
      </c>
      <c r="E108" s="28">
        <v>2018</v>
      </c>
      <c r="F108" s="28">
        <v>2019</v>
      </c>
      <c r="G108" s="28">
        <v>2020</v>
      </c>
      <c r="H108" s="28">
        <v>2021</v>
      </c>
      <c r="I108" s="28"/>
      <c r="J108" s="28"/>
      <c r="K108" s="182"/>
      <c r="P108"/>
      <c r="Q108"/>
      <c r="R108"/>
      <c r="S108"/>
      <c r="T108"/>
      <c r="U108"/>
    </row>
    <row r="109" spans="1:21" outlineLevel="1" x14ac:dyDescent="0.25">
      <c r="A109" t="s">
        <v>193</v>
      </c>
      <c r="B109" t="s">
        <v>34</v>
      </c>
      <c r="C109" t="s">
        <v>33</v>
      </c>
      <c r="D109" t="s">
        <v>33</v>
      </c>
      <c r="E109" t="s">
        <v>33</v>
      </c>
      <c r="F109" t="s">
        <v>33</v>
      </c>
      <c r="G109" t="s">
        <v>33</v>
      </c>
      <c r="H109" t="s">
        <v>33</v>
      </c>
    </row>
    <row r="110" spans="1:21" outlineLevel="1" x14ac:dyDescent="0.25">
      <c r="A110" t="s">
        <v>194</v>
      </c>
      <c r="B110" t="s">
        <v>32</v>
      </c>
    </row>
    <row r="111" spans="1:21" outlineLevel="1" x14ac:dyDescent="0.25">
      <c r="A111" t="s">
        <v>195</v>
      </c>
      <c r="B111" t="s">
        <v>31</v>
      </c>
      <c r="E111" s="23">
        <v>105792</v>
      </c>
      <c r="F111" s="23">
        <v>159094</v>
      </c>
      <c r="G111" s="23">
        <v>1214283</v>
      </c>
      <c r="H111" s="23">
        <v>1005239</v>
      </c>
    </row>
    <row r="112" spans="1:21" outlineLevel="1" x14ac:dyDescent="0.25">
      <c r="A112" t="s">
        <v>196</v>
      </c>
      <c r="B112" t="s">
        <v>30</v>
      </c>
      <c r="E112" s="23">
        <v>112516</v>
      </c>
      <c r="F112" s="23">
        <v>209741</v>
      </c>
      <c r="H112" s="23">
        <v>1670327</v>
      </c>
    </row>
    <row r="113" spans="1:21" outlineLevel="1" x14ac:dyDescent="0.25">
      <c r="A113" t="s">
        <v>197</v>
      </c>
      <c r="B113" t="s">
        <v>29</v>
      </c>
      <c r="E113" s="23">
        <v>218308</v>
      </c>
      <c r="F113" s="23">
        <v>368835</v>
      </c>
      <c r="G113" s="23">
        <v>1244283</v>
      </c>
      <c r="H113" s="23">
        <v>2675566</v>
      </c>
    </row>
    <row r="114" spans="1:21" outlineLevel="1" x14ac:dyDescent="0.25">
      <c r="E114" s="30"/>
      <c r="F114" s="30"/>
      <c r="G114" s="30"/>
      <c r="H114" s="30"/>
    </row>
    <row r="115" spans="1:21" s="10" customFormat="1" outlineLevel="1" x14ac:dyDescent="0.25">
      <c r="A115" s="27" t="s">
        <v>198</v>
      </c>
      <c r="B115" s="27" t="s">
        <v>28</v>
      </c>
      <c r="C115" s="28">
        <v>2016</v>
      </c>
      <c r="D115" s="28">
        <v>2017</v>
      </c>
      <c r="E115" s="28">
        <v>2018</v>
      </c>
      <c r="F115" s="28">
        <v>2019</v>
      </c>
      <c r="G115" s="28">
        <v>2020</v>
      </c>
      <c r="H115" s="28">
        <v>2021</v>
      </c>
      <c r="I115" s="28"/>
      <c r="J115" s="28"/>
      <c r="K115" s="182"/>
      <c r="P115"/>
      <c r="Q115"/>
      <c r="R115"/>
      <c r="S115"/>
      <c r="T115"/>
      <c r="U115"/>
    </row>
    <row r="116" spans="1:21" outlineLevel="1" x14ac:dyDescent="0.25">
      <c r="A116" t="s">
        <v>199</v>
      </c>
      <c r="B116" t="s">
        <v>27</v>
      </c>
      <c r="C116" s="26">
        <v>8</v>
      </c>
      <c r="D116" s="26">
        <v>16</v>
      </c>
      <c r="E116" s="26">
        <v>40</v>
      </c>
      <c r="F116" s="26">
        <v>70</v>
      </c>
      <c r="G116" s="26">
        <v>114</v>
      </c>
      <c r="H116" s="26">
        <v>189</v>
      </c>
    </row>
    <row r="117" spans="1:21" outlineLevel="1" x14ac:dyDescent="0.25">
      <c r="A117" t="s">
        <v>200</v>
      </c>
      <c r="B117" t="s">
        <v>26</v>
      </c>
      <c r="D117" s="23">
        <v>22</v>
      </c>
    </row>
    <row r="118" spans="1:21" outlineLevel="1" x14ac:dyDescent="0.25">
      <c r="A118" t="s">
        <v>201</v>
      </c>
      <c r="B118" t="s">
        <v>25</v>
      </c>
      <c r="C118" s="23">
        <v>225</v>
      </c>
      <c r="D118" s="23">
        <v>697</v>
      </c>
      <c r="E118" s="23">
        <v>921</v>
      </c>
      <c r="F118" s="23">
        <v>1140</v>
      </c>
      <c r="G118" s="23">
        <v>1502</v>
      </c>
      <c r="H118" s="23">
        <v>3343</v>
      </c>
    </row>
    <row r="119" spans="1:21" outlineLevel="1" x14ac:dyDescent="0.25">
      <c r="A119" t="s">
        <v>202</v>
      </c>
      <c r="B119" t="s">
        <v>24</v>
      </c>
      <c r="D119" s="23">
        <v>0</v>
      </c>
      <c r="F119" s="23">
        <v>1</v>
      </c>
      <c r="G119" s="23">
        <v>1</v>
      </c>
      <c r="H119" s="23">
        <v>1204</v>
      </c>
    </row>
    <row r="120" spans="1:21" outlineLevel="1" x14ac:dyDescent="0.25">
      <c r="A120" t="s">
        <v>203</v>
      </c>
      <c r="B120" t="s">
        <v>23</v>
      </c>
      <c r="E120" s="23">
        <v>190</v>
      </c>
      <c r="F120" s="23">
        <v>180</v>
      </c>
      <c r="G120" s="23">
        <v>338</v>
      </c>
      <c r="H120" s="23">
        <v>824</v>
      </c>
    </row>
    <row r="121" spans="1:21" outlineLevel="1" x14ac:dyDescent="0.25">
      <c r="A121" t="s">
        <v>204</v>
      </c>
      <c r="B121" t="s">
        <v>22</v>
      </c>
      <c r="E121" s="23">
        <v>88</v>
      </c>
      <c r="F121" s="23">
        <v>45</v>
      </c>
      <c r="G121" s="23">
        <v>48</v>
      </c>
      <c r="H121" s="23">
        <v>3149</v>
      </c>
    </row>
    <row r="122" spans="1:21" outlineLevel="1" x14ac:dyDescent="0.25"/>
    <row r="125" spans="1:21" x14ac:dyDescent="0.25">
      <c r="A125" s="27" t="s">
        <v>112</v>
      </c>
      <c r="B125" s="27" t="s">
        <v>112</v>
      </c>
      <c r="C125" s="28"/>
      <c r="D125" s="28"/>
      <c r="E125" s="28"/>
      <c r="F125" s="28"/>
      <c r="G125" s="28"/>
      <c r="H125" s="28"/>
      <c r="I125" s="28"/>
      <c r="J125" s="28"/>
      <c r="K125" s="182"/>
    </row>
    <row r="126" spans="1:21" x14ac:dyDescent="0.25">
      <c r="A126" s="10" t="s">
        <v>205</v>
      </c>
      <c r="B126" s="10" t="s">
        <v>115</v>
      </c>
      <c r="C126" s="10"/>
      <c r="D126" s="13">
        <f>C128</f>
        <v>7141</v>
      </c>
      <c r="E126" s="13">
        <f>D128</f>
        <v>56830</v>
      </c>
      <c r="F126" s="13">
        <f t="shared" ref="F126:G126" si="13">E128</f>
        <v>50741</v>
      </c>
      <c r="G126" s="13">
        <f t="shared" si="13"/>
        <v>165537</v>
      </c>
      <c r="H126" s="13">
        <f>G128</f>
        <v>275208</v>
      </c>
      <c r="I126" s="13">
        <f>H128</f>
        <v>637278.68200000003</v>
      </c>
      <c r="J126" s="13">
        <f>I128</f>
        <v>395029.25799999997</v>
      </c>
      <c r="K126" s="13"/>
    </row>
    <row r="127" spans="1:21" x14ac:dyDescent="0.25">
      <c r="A127" t="s">
        <v>206</v>
      </c>
      <c r="B127" t="s">
        <v>113</v>
      </c>
      <c r="D127" s="30">
        <f>D128-D126</f>
        <v>49689</v>
      </c>
      <c r="E127" s="30">
        <f t="shared" ref="E127:I127" si="14">E128-E126</f>
        <v>-6089</v>
      </c>
      <c r="F127" s="30">
        <f t="shared" si="14"/>
        <v>114796</v>
      </c>
      <c r="G127" s="30">
        <f>G128-G126</f>
        <v>109671</v>
      </c>
      <c r="H127" s="30">
        <f>H128-H126</f>
        <v>362070.68200000003</v>
      </c>
      <c r="I127" s="30">
        <f t="shared" si="14"/>
        <v>-242249.42400000006</v>
      </c>
    </row>
    <row r="128" spans="1:21" x14ac:dyDescent="0.25">
      <c r="A128" s="10" t="s">
        <v>207</v>
      </c>
      <c r="B128" s="10" t="s">
        <v>114</v>
      </c>
      <c r="C128" s="13">
        <f t="shared" ref="C128:F128" si="15">C72</f>
        <v>7141</v>
      </c>
      <c r="D128" s="13">
        <f t="shared" si="15"/>
        <v>56830</v>
      </c>
      <c r="E128" s="13">
        <f t="shared" si="15"/>
        <v>50741</v>
      </c>
      <c r="F128" s="13">
        <f t="shared" si="15"/>
        <v>165537</v>
      </c>
      <c r="G128" s="13">
        <f>G72</f>
        <v>275208</v>
      </c>
      <c r="H128" s="13">
        <f>H72</f>
        <v>637278.68200000003</v>
      </c>
      <c r="I128" s="13">
        <f>I71</f>
        <v>395029.25799999997</v>
      </c>
    </row>
    <row r="131" spans="1:9" x14ac:dyDescent="0.25">
      <c r="A131" s="10" t="s">
        <v>208</v>
      </c>
      <c r="B131" s="10" t="s">
        <v>116</v>
      </c>
      <c r="C131" s="10"/>
      <c r="D131" s="13">
        <f>C133</f>
        <v>0</v>
      </c>
      <c r="E131" s="13">
        <f t="shared" ref="E131:H131" si="16">D133</f>
        <v>1028</v>
      </c>
      <c r="F131" s="13">
        <f t="shared" si="16"/>
        <v>23440</v>
      </c>
      <c r="G131" s="13">
        <f t="shared" si="16"/>
        <v>68435</v>
      </c>
      <c r="H131" s="13">
        <f t="shared" si="16"/>
        <v>99081</v>
      </c>
      <c r="I131" s="13">
        <f>H133</f>
        <v>147896.193</v>
      </c>
    </row>
    <row r="132" spans="1:9" x14ac:dyDescent="0.25">
      <c r="A132" t="s">
        <v>209</v>
      </c>
      <c r="B132" t="s">
        <v>119</v>
      </c>
      <c r="D132" s="30">
        <f>D133-D131</f>
        <v>1028</v>
      </c>
      <c r="E132" s="30">
        <f t="shared" ref="E132:I132" si="17">E133-E131</f>
        <v>22412</v>
      </c>
      <c r="F132" s="30">
        <f t="shared" si="17"/>
        <v>44995</v>
      </c>
      <c r="G132" s="30">
        <f t="shared" si="17"/>
        <v>30646</v>
      </c>
      <c r="H132" s="30">
        <f t="shared" si="17"/>
        <v>48815.192999999999</v>
      </c>
      <c r="I132" s="30">
        <f t="shared" si="17"/>
        <v>205670.55799999999</v>
      </c>
    </row>
    <row r="133" spans="1:9" x14ac:dyDescent="0.25">
      <c r="A133" s="10" t="s">
        <v>210</v>
      </c>
      <c r="B133" s="10" t="s">
        <v>117</v>
      </c>
      <c r="C133" s="13">
        <f>C62</f>
        <v>0</v>
      </c>
      <c r="D133" s="13">
        <f>D62</f>
        <v>1028</v>
      </c>
      <c r="E133" s="13">
        <f t="shared" ref="E133:I133" si="18">E62</f>
        <v>23440</v>
      </c>
      <c r="F133" s="13">
        <f t="shared" si="18"/>
        <v>68435</v>
      </c>
      <c r="G133" s="13">
        <f t="shared" si="18"/>
        <v>99081</v>
      </c>
      <c r="H133" s="13">
        <f t="shared" si="18"/>
        <v>147896.193</v>
      </c>
      <c r="I133" s="13">
        <f t="shared" si="18"/>
        <v>353566.75099999999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Q67"/>
  <sheetViews>
    <sheetView showGridLines="0" zoomScaleNormal="100" zoomScaleSheetLayoutView="100" workbookViewId="0">
      <selection activeCell="C2" sqref="C2"/>
    </sheetView>
  </sheetViews>
  <sheetFormatPr defaultColWidth="8.85546875" defaultRowHeight="15" x14ac:dyDescent="0.25"/>
  <cols>
    <col min="1" max="1" width="2.7109375" customWidth="1"/>
    <col min="2" max="2" width="33.85546875" bestFit="1" customWidth="1"/>
    <col min="4" max="7" width="8.85546875" customWidth="1"/>
  </cols>
  <sheetData>
    <row r="2" spans="2:17" x14ac:dyDescent="0.25">
      <c r="B2" s="5" t="s">
        <v>19</v>
      </c>
      <c r="C2" s="205">
        <f>Summary!U20</f>
        <v>1</v>
      </c>
    </row>
    <row r="3" spans="2:17" x14ac:dyDescent="0.25">
      <c r="B3" s="6" t="s">
        <v>307</v>
      </c>
      <c r="C3" s="7">
        <v>1</v>
      </c>
    </row>
    <row r="4" spans="2:17" x14ac:dyDescent="0.25">
      <c r="B4" s="8" t="s">
        <v>308</v>
      </c>
      <c r="C4" s="9">
        <v>2</v>
      </c>
    </row>
    <row r="6" spans="2:17" x14ac:dyDescent="0.25">
      <c r="B6" s="250" t="s">
        <v>21</v>
      </c>
      <c r="C6" s="250"/>
      <c r="D6" s="250"/>
      <c r="E6" s="250"/>
      <c r="F6" s="250"/>
      <c r="G6" s="250"/>
      <c r="H6" s="250"/>
      <c r="I6" s="250"/>
      <c r="J6" s="250"/>
      <c r="K6" s="250"/>
      <c r="L6" s="250"/>
      <c r="M6" s="250"/>
      <c r="N6" s="250"/>
      <c r="O6" s="250"/>
    </row>
    <row r="9" spans="2:17" x14ac:dyDescent="0.25">
      <c r="B9" s="27" t="s">
        <v>213</v>
      </c>
      <c r="C9" s="36"/>
      <c r="D9" s="11">
        <v>2017</v>
      </c>
      <c r="E9" s="11">
        <f>+D9+1</f>
        <v>2018</v>
      </c>
      <c r="F9" s="11">
        <f>+E9+1</f>
        <v>2019</v>
      </c>
      <c r="G9" s="11">
        <f t="shared" ref="G9:N9" si="0">+F9+1</f>
        <v>2020</v>
      </c>
      <c r="H9" s="11">
        <f>+G9+1</f>
        <v>2021</v>
      </c>
      <c r="I9" s="11">
        <f>+H9+1</f>
        <v>2022</v>
      </c>
      <c r="J9" s="11">
        <f t="shared" si="0"/>
        <v>2023</v>
      </c>
      <c r="K9" s="246">
        <f t="shared" si="0"/>
        <v>2024</v>
      </c>
      <c r="L9" s="246">
        <f t="shared" si="0"/>
        <v>2025</v>
      </c>
      <c r="M9" s="246">
        <f t="shared" si="0"/>
        <v>2026</v>
      </c>
      <c r="N9" s="246">
        <f t="shared" si="0"/>
        <v>2027</v>
      </c>
      <c r="O9" s="246">
        <f>+N9+1</f>
        <v>2028</v>
      </c>
    </row>
    <row r="10" spans="2:17" x14ac:dyDescent="0.25">
      <c r="B10" s="247" t="s">
        <v>309</v>
      </c>
      <c r="D10" s="12"/>
      <c r="E10" s="12"/>
      <c r="F10" s="12"/>
      <c r="G10" s="12"/>
      <c r="H10" s="12"/>
      <c r="I10" s="12"/>
      <c r="J10" s="248">
        <f t="shared" ref="J10:O10" si="1">CHOOSE($C2,J12,J13)</f>
        <v>0.31672366541862962</v>
      </c>
      <c r="K10" s="248">
        <f>CHOOSE($C2,K12,K13)</f>
        <v>0.23913946383009552</v>
      </c>
      <c r="L10" s="248">
        <f t="shared" si="1"/>
        <v>0.23913946383009552</v>
      </c>
      <c r="M10" s="248">
        <f t="shared" si="1"/>
        <v>0.23913946383009552</v>
      </c>
      <c r="N10" s="248">
        <f t="shared" si="1"/>
        <v>0.23913946383009552</v>
      </c>
      <c r="O10" s="248">
        <f t="shared" si="1"/>
        <v>0.11956973191504776</v>
      </c>
      <c r="Q10" s="22"/>
    </row>
    <row r="11" spans="2:17" x14ac:dyDescent="0.25">
      <c r="B11" s="247"/>
      <c r="D11" s="12"/>
      <c r="E11" s="12"/>
      <c r="F11" s="12"/>
      <c r="G11" s="12"/>
      <c r="H11" s="12"/>
      <c r="I11" s="12"/>
      <c r="J11" s="248"/>
      <c r="K11" s="248"/>
      <c r="L11" s="248"/>
      <c r="M11" s="248"/>
      <c r="N11" s="248"/>
      <c r="O11" s="248"/>
      <c r="Q11" s="22"/>
    </row>
    <row r="12" spans="2:17" x14ac:dyDescent="0.25">
      <c r="B12" t="s">
        <v>276</v>
      </c>
      <c r="D12" s="14"/>
      <c r="E12" s="14"/>
      <c r="F12" s="14"/>
      <c r="G12" s="14"/>
      <c r="H12" s="14"/>
      <c r="J12" s="48">
        <f>Summary!J52</f>
        <v>0.31672366541862962</v>
      </c>
      <c r="K12" s="49">
        <f>AVERAGE('Annual reports rM 2017-2023'!G14:K14)/4</f>
        <v>0.23913946383009552</v>
      </c>
      <c r="L12" s="49">
        <f>K12</f>
        <v>0.23913946383009552</v>
      </c>
      <c r="M12" s="49">
        <f t="shared" ref="M12" si="2">L12</f>
        <v>0.23913946383009552</v>
      </c>
      <c r="N12" s="49">
        <f>M12</f>
        <v>0.23913946383009552</v>
      </c>
      <c r="O12" s="49">
        <f>N12/2</f>
        <v>0.11956973191504776</v>
      </c>
    </row>
    <row r="13" spans="2:17" x14ac:dyDescent="0.25">
      <c r="B13" t="s">
        <v>20</v>
      </c>
      <c r="D13" s="14"/>
      <c r="E13" s="14"/>
      <c r="F13" s="14"/>
      <c r="G13" s="14"/>
      <c r="H13" s="14"/>
      <c r="J13" s="49">
        <f>J12</f>
        <v>0.31672366541862962</v>
      </c>
      <c r="K13" s="49">
        <f>AVERAGE('Annual reports rM 2017-2023'!G14:K14)/2</f>
        <v>0.47827892766019103</v>
      </c>
      <c r="L13" s="49">
        <f t="shared" ref="L13:N13" si="3">K13</f>
        <v>0.47827892766019103</v>
      </c>
      <c r="M13" s="49">
        <f t="shared" si="3"/>
        <v>0.47827892766019103</v>
      </c>
      <c r="N13" s="49">
        <f t="shared" si="3"/>
        <v>0.47827892766019103</v>
      </c>
      <c r="O13" s="49">
        <f>N13/2</f>
        <v>0.23913946383009552</v>
      </c>
    </row>
    <row r="15" spans="2:17" x14ac:dyDescent="0.25">
      <c r="D15" s="16"/>
      <c r="E15" s="16"/>
      <c r="F15" s="16"/>
      <c r="G15" s="16"/>
      <c r="H15" s="16"/>
    </row>
    <row r="16" spans="2:17" x14ac:dyDescent="0.25">
      <c r="B16" s="27" t="s">
        <v>291</v>
      </c>
      <c r="C16" s="36"/>
      <c r="D16" s="17"/>
      <c r="E16" s="17"/>
      <c r="F16" s="17"/>
      <c r="G16" s="17"/>
      <c r="H16" s="17"/>
      <c r="I16" s="11"/>
      <c r="J16" s="11"/>
      <c r="K16" s="11"/>
      <c r="L16" s="11"/>
      <c r="M16" s="11"/>
      <c r="N16" s="11"/>
      <c r="O16" s="11"/>
    </row>
    <row r="17" spans="2:15" x14ac:dyDescent="0.25">
      <c r="B17" t="s">
        <v>276</v>
      </c>
      <c r="D17" s="15"/>
      <c r="E17" s="15"/>
      <c r="F17" s="15"/>
      <c r="G17" s="15"/>
      <c r="H17" s="15"/>
      <c r="J17" s="48">
        <f>1-Summary!J57</f>
        <v>0.52064020728944205</v>
      </c>
      <c r="K17" s="49">
        <f>J17</f>
        <v>0.52064020728944205</v>
      </c>
      <c r="L17" s="49">
        <f>K17</f>
        <v>0.52064020728944205</v>
      </c>
      <c r="M17" s="49">
        <f t="shared" ref="M17:O17" si="4">L17</f>
        <v>0.52064020728944205</v>
      </c>
      <c r="N17" s="49">
        <f t="shared" si="4"/>
        <v>0.52064020728944205</v>
      </c>
      <c r="O17" s="49">
        <f t="shared" si="4"/>
        <v>0.52064020728944205</v>
      </c>
    </row>
    <row r="18" spans="2:15" x14ac:dyDescent="0.25">
      <c r="D18" s="16"/>
      <c r="E18" s="16"/>
      <c r="F18" s="16"/>
      <c r="G18" s="16"/>
      <c r="H18" s="16"/>
    </row>
    <row r="19" spans="2:15" x14ac:dyDescent="0.25">
      <c r="D19" s="16"/>
      <c r="E19" s="16"/>
      <c r="F19" s="16"/>
      <c r="G19" s="16"/>
      <c r="H19" s="16"/>
    </row>
    <row r="20" spans="2:15" x14ac:dyDescent="0.25">
      <c r="B20" s="27" t="s">
        <v>292</v>
      </c>
      <c r="C20" s="36"/>
      <c r="D20" s="17"/>
      <c r="E20" s="17"/>
      <c r="F20" s="17"/>
      <c r="G20" s="17"/>
      <c r="H20" s="17"/>
      <c r="I20" s="11"/>
      <c r="J20" s="11"/>
      <c r="K20" s="11"/>
      <c r="L20" s="11"/>
      <c r="M20" s="11"/>
      <c r="N20" s="11"/>
      <c r="O20" s="11"/>
    </row>
    <row r="21" spans="2:15" x14ac:dyDescent="0.25">
      <c r="B21" t="s">
        <v>276</v>
      </c>
      <c r="D21" s="15"/>
      <c r="E21" s="15"/>
      <c r="F21" s="15"/>
      <c r="G21" s="15"/>
      <c r="H21" s="15"/>
      <c r="J21" s="48">
        <f>-Summary!J59/Summary!J51</f>
        <v>0.12343305391063598</v>
      </c>
      <c r="K21" s="12">
        <f>J21</f>
        <v>0.12343305391063598</v>
      </c>
      <c r="L21" s="12">
        <f t="shared" ref="L21:O21" si="5">K21</f>
        <v>0.12343305391063598</v>
      </c>
      <c r="M21" s="12">
        <f t="shared" si="5"/>
        <v>0.12343305391063598</v>
      </c>
      <c r="N21" s="12">
        <f t="shared" si="5"/>
        <v>0.12343305391063598</v>
      </c>
      <c r="O21" s="12">
        <f t="shared" si="5"/>
        <v>0.12343305391063598</v>
      </c>
    </row>
    <row r="22" spans="2:15" x14ac:dyDescent="0.25">
      <c r="D22" s="16"/>
      <c r="E22" s="16"/>
      <c r="F22" s="16"/>
      <c r="G22" s="16"/>
      <c r="H22" s="16"/>
    </row>
    <row r="23" spans="2:15" x14ac:dyDescent="0.25">
      <c r="D23" s="16"/>
      <c r="E23" s="16"/>
      <c r="F23" s="16"/>
      <c r="G23" s="16"/>
      <c r="H23" s="16"/>
    </row>
    <row r="24" spans="2:15" x14ac:dyDescent="0.25">
      <c r="B24" s="27" t="s">
        <v>293</v>
      </c>
      <c r="C24" s="36"/>
      <c r="D24" s="17"/>
      <c r="E24" s="17"/>
      <c r="F24" s="17"/>
      <c r="G24" s="17"/>
      <c r="H24" s="17"/>
      <c r="I24" s="11"/>
      <c r="J24" s="11"/>
      <c r="K24" s="11"/>
      <c r="L24" s="11"/>
      <c r="M24" s="11"/>
      <c r="N24" s="11"/>
      <c r="O24" s="11"/>
    </row>
    <row r="25" spans="2:15" x14ac:dyDescent="0.25">
      <c r="B25" t="s">
        <v>276</v>
      </c>
      <c r="D25" s="15"/>
      <c r="E25" s="15"/>
      <c r="F25" s="15"/>
      <c r="G25" s="15"/>
      <c r="H25" s="15"/>
      <c r="J25" s="48">
        <f>-Summary!J60/Summary!J51</f>
        <v>0.2446743059294009</v>
      </c>
      <c r="K25" s="12">
        <v>0.26817104093105598</v>
      </c>
      <c r="L25" s="12">
        <f t="shared" ref="L25:O25" si="6">K25</f>
        <v>0.26817104093105598</v>
      </c>
      <c r="M25" s="12">
        <f t="shared" si="6"/>
        <v>0.26817104093105598</v>
      </c>
      <c r="N25" s="12">
        <f t="shared" si="6"/>
        <v>0.26817104093105598</v>
      </c>
      <c r="O25" s="12">
        <f t="shared" si="6"/>
        <v>0.26817104093105598</v>
      </c>
    </row>
    <row r="26" spans="2:15" x14ac:dyDescent="0.25">
      <c r="D26" s="16"/>
      <c r="E26" s="16"/>
      <c r="F26" s="16"/>
      <c r="G26" s="16"/>
      <c r="H26" s="16"/>
    </row>
    <row r="27" spans="2:15" x14ac:dyDescent="0.25">
      <c r="D27" s="16"/>
      <c r="E27" s="16"/>
      <c r="F27" s="16"/>
      <c r="G27" s="16"/>
      <c r="H27" s="16"/>
    </row>
    <row r="28" spans="2:15" x14ac:dyDescent="0.25">
      <c r="B28" s="27" t="s">
        <v>294</v>
      </c>
      <c r="C28" s="36"/>
      <c r="D28" s="17"/>
      <c r="E28" s="17"/>
      <c r="F28" s="17"/>
      <c r="G28" s="17"/>
      <c r="H28" s="17"/>
      <c r="I28" s="11"/>
      <c r="J28" s="11"/>
      <c r="K28" s="11"/>
      <c r="L28" s="11"/>
      <c r="M28" s="11"/>
      <c r="N28" s="11"/>
      <c r="O28" s="11"/>
    </row>
    <row r="29" spans="2:15" x14ac:dyDescent="0.25">
      <c r="B29" t="s">
        <v>276</v>
      </c>
      <c r="D29" s="15"/>
      <c r="E29" s="15"/>
      <c r="F29" s="15"/>
      <c r="G29" s="15"/>
      <c r="H29" s="15"/>
      <c r="J29" s="50">
        <v>0.01</v>
      </c>
      <c r="K29" s="49">
        <f>J29</f>
        <v>0.01</v>
      </c>
      <c r="L29" s="49">
        <v>0.01</v>
      </c>
      <c r="M29" s="49">
        <v>0.01</v>
      </c>
      <c r="N29" s="49">
        <v>0.01</v>
      </c>
      <c r="O29" s="49">
        <v>0.01</v>
      </c>
    </row>
    <row r="30" spans="2:15" x14ac:dyDescent="0.25">
      <c r="D30" s="16"/>
      <c r="E30" s="16"/>
      <c r="F30" s="16"/>
      <c r="G30" s="16"/>
      <c r="H30" s="16"/>
    </row>
    <row r="31" spans="2:15" x14ac:dyDescent="0.25">
      <c r="D31" s="16"/>
      <c r="E31" s="16"/>
      <c r="F31" s="16"/>
      <c r="G31" s="16"/>
      <c r="H31" s="16"/>
    </row>
    <row r="32" spans="2:15" x14ac:dyDescent="0.25">
      <c r="B32" s="27" t="s">
        <v>296</v>
      </c>
      <c r="C32" s="36"/>
      <c r="D32" s="17"/>
      <c r="E32" s="17"/>
      <c r="F32" s="17"/>
      <c r="G32" s="17"/>
      <c r="H32" s="17"/>
      <c r="I32" s="11"/>
      <c r="J32" s="11"/>
      <c r="K32" s="11"/>
      <c r="L32" s="11"/>
      <c r="M32" s="11"/>
      <c r="N32" s="11"/>
      <c r="O32" s="11"/>
    </row>
    <row r="33" spans="2:15" x14ac:dyDescent="0.25">
      <c r="B33" t="s">
        <v>276</v>
      </c>
      <c r="D33" s="15"/>
      <c r="E33" s="15"/>
      <c r="F33" s="15"/>
      <c r="G33" s="15"/>
      <c r="H33" s="15"/>
      <c r="J33" s="50">
        <v>0.34692613593331639</v>
      </c>
      <c r="K33" s="50">
        <v>0.30356036894165184</v>
      </c>
      <c r="L33" s="50">
        <v>0.26019460194998728</v>
      </c>
      <c r="M33" s="50">
        <v>0.21682883495832272</v>
      </c>
      <c r="N33" s="50">
        <v>0.17346306796665817</v>
      </c>
      <c r="O33" s="50">
        <v>0.13009730097499361</v>
      </c>
    </row>
    <row r="34" spans="2:15" x14ac:dyDescent="0.25">
      <c r="D34" s="16"/>
      <c r="E34" s="16"/>
      <c r="F34" s="16"/>
      <c r="G34" s="16"/>
      <c r="H34" s="16"/>
    </row>
    <row r="35" spans="2:15" x14ac:dyDescent="0.25">
      <c r="D35" s="16"/>
      <c r="E35" s="16"/>
      <c r="F35" s="16"/>
      <c r="G35" s="16"/>
      <c r="H35" s="16"/>
    </row>
    <row r="36" spans="2:15" x14ac:dyDescent="0.25">
      <c r="D36" s="16"/>
      <c r="E36" s="16"/>
      <c r="F36" s="16"/>
      <c r="G36" s="16"/>
      <c r="H36" s="16"/>
    </row>
    <row r="37" spans="2:15" x14ac:dyDescent="0.25">
      <c r="D37" s="16"/>
      <c r="E37" s="16"/>
      <c r="F37" s="16"/>
      <c r="G37" s="16"/>
      <c r="H37" s="16"/>
    </row>
    <row r="38" spans="2:15" x14ac:dyDescent="0.25">
      <c r="D38" s="16"/>
      <c r="E38" s="16"/>
      <c r="F38" s="16"/>
      <c r="G38" s="16"/>
      <c r="H38" s="16"/>
    </row>
    <row r="39" spans="2:15" x14ac:dyDescent="0.25">
      <c r="D39" s="16"/>
      <c r="E39" s="16"/>
      <c r="F39" s="16"/>
      <c r="G39" s="16"/>
      <c r="H39" s="16"/>
    </row>
    <row r="40" spans="2:15" x14ac:dyDescent="0.25">
      <c r="D40" s="16"/>
      <c r="E40" s="16"/>
      <c r="F40" s="16"/>
      <c r="G40" s="16"/>
      <c r="H40" s="16"/>
    </row>
    <row r="41" spans="2:15" x14ac:dyDescent="0.25">
      <c r="D41" s="16"/>
      <c r="E41" s="16"/>
      <c r="F41" s="16"/>
      <c r="G41" s="16"/>
      <c r="H41" s="16"/>
    </row>
    <row r="42" spans="2:15" x14ac:dyDescent="0.25">
      <c r="D42" s="16"/>
      <c r="E42" s="16"/>
      <c r="F42" s="16"/>
      <c r="G42" s="16"/>
      <c r="H42" s="16"/>
    </row>
    <row r="43" spans="2:15" x14ac:dyDescent="0.25">
      <c r="D43" s="16"/>
      <c r="E43" s="16"/>
      <c r="F43" s="16"/>
      <c r="G43" s="16"/>
      <c r="H43" s="16"/>
    </row>
    <row r="44" spans="2:15" x14ac:dyDescent="0.25">
      <c r="D44" s="16"/>
      <c r="E44" s="16"/>
      <c r="F44" s="16"/>
      <c r="G44" s="16"/>
      <c r="H44" s="16"/>
    </row>
    <row r="45" spans="2:15" x14ac:dyDescent="0.25">
      <c r="D45" s="16"/>
      <c r="E45" s="16"/>
      <c r="F45" s="16"/>
      <c r="G45" s="16"/>
      <c r="H45" s="16"/>
    </row>
    <row r="46" spans="2:15" x14ac:dyDescent="0.25">
      <c r="D46" s="16"/>
      <c r="E46" s="16"/>
      <c r="F46" s="16"/>
      <c r="G46" s="16"/>
      <c r="H46" s="16"/>
    </row>
    <row r="47" spans="2:15" x14ac:dyDescent="0.25">
      <c r="D47" s="16"/>
      <c r="E47" s="16"/>
      <c r="F47" s="16"/>
      <c r="G47" s="16"/>
      <c r="H47" s="16"/>
    </row>
    <row r="48" spans="2:15" x14ac:dyDescent="0.25">
      <c r="D48" s="16"/>
      <c r="E48" s="16"/>
      <c r="F48" s="16"/>
      <c r="G48" s="16"/>
      <c r="H48" s="16"/>
    </row>
    <row r="49" spans="4:8" x14ac:dyDescent="0.25">
      <c r="D49" s="16"/>
      <c r="E49" s="16"/>
      <c r="F49" s="16"/>
      <c r="G49" s="16"/>
      <c r="H49" s="16"/>
    </row>
    <row r="50" spans="4:8" x14ac:dyDescent="0.25">
      <c r="D50" s="16"/>
      <c r="E50" s="16"/>
      <c r="F50" s="16"/>
      <c r="G50" s="16"/>
      <c r="H50" s="16"/>
    </row>
    <row r="51" spans="4:8" x14ac:dyDescent="0.25">
      <c r="D51" s="16"/>
      <c r="E51" s="16"/>
      <c r="F51" s="16"/>
      <c r="G51" s="16"/>
      <c r="H51" s="16"/>
    </row>
    <row r="52" spans="4:8" x14ac:dyDescent="0.25">
      <c r="D52" s="16"/>
      <c r="E52" s="16"/>
      <c r="F52" s="16"/>
      <c r="G52" s="16"/>
      <c r="H52" s="16"/>
    </row>
    <row r="53" spans="4:8" x14ac:dyDescent="0.25">
      <c r="D53" s="16"/>
      <c r="E53" s="16"/>
      <c r="F53" s="16"/>
      <c r="G53" s="16"/>
      <c r="H53" s="16"/>
    </row>
    <row r="54" spans="4:8" x14ac:dyDescent="0.25">
      <c r="D54" s="16"/>
      <c r="E54" s="16"/>
      <c r="F54" s="16"/>
      <c r="G54" s="16"/>
      <c r="H54" s="16"/>
    </row>
    <row r="55" spans="4:8" x14ac:dyDescent="0.25">
      <c r="D55" s="16"/>
      <c r="E55" s="16"/>
      <c r="F55" s="16"/>
      <c r="G55" s="16"/>
      <c r="H55" s="16"/>
    </row>
    <row r="56" spans="4:8" x14ac:dyDescent="0.25">
      <c r="D56" s="16"/>
      <c r="E56" s="16"/>
      <c r="F56" s="16"/>
      <c r="G56" s="16"/>
      <c r="H56" s="16"/>
    </row>
    <row r="57" spans="4:8" x14ac:dyDescent="0.25">
      <c r="D57" s="16"/>
      <c r="E57" s="16"/>
      <c r="F57" s="16"/>
      <c r="G57" s="16"/>
      <c r="H57" s="16"/>
    </row>
    <row r="58" spans="4:8" x14ac:dyDescent="0.25">
      <c r="D58" s="16"/>
      <c r="E58" s="16"/>
      <c r="F58" s="16"/>
      <c r="G58" s="16"/>
      <c r="H58" s="16"/>
    </row>
    <row r="59" spans="4:8" x14ac:dyDescent="0.25">
      <c r="D59" s="16"/>
      <c r="E59" s="16"/>
      <c r="F59" s="16"/>
      <c r="G59" s="16"/>
      <c r="H59" s="16"/>
    </row>
    <row r="60" spans="4:8" x14ac:dyDescent="0.25">
      <c r="D60" s="16"/>
      <c r="E60" s="16"/>
      <c r="F60" s="16"/>
      <c r="G60" s="16"/>
      <c r="H60" s="16"/>
    </row>
    <row r="61" spans="4:8" x14ac:dyDescent="0.25">
      <c r="D61" s="16"/>
      <c r="E61" s="16"/>
      <c r="F61" s="16"/>
      <c r="G61" s="16"/>
      <c r="H61" s="16"/>
    </row>
    <row r="62" spans="4:8" x14ac:dyDescent="0.25">
      <c r="D62" s="16"/>
      <c r="E62" s="16"/>
      <c r="F62" s="16"/>
      <c r="G62" s="16"/>
      <c r="H62" s="16"/>
    </row>
    <row r="63" spans="4:8" x14ac:dyDescent="0.25">
      <c r="D63" s="16"/>
      <c r="E63" s="16"/>
      <c r="F63" s="16"/>
      <c r="G63" s="16"/>
      <c r="H63" s="16"/>
    </row>
    <row r="64" spans="4:8" x14ac:dyDescent="0.25">
      <c r="D64" s="16"/>
      <c r="E64" s="16"/>
      <c r="F64" s="16"/>
      <c r="G64" s="16"/>
      <c r="H64" s="16"/>
    </row>
    <row r="65" spans="4:8" x14ac:dyDescent="0.25">
      <c r="D65" s="16"/>
      <c r="E65" s="16"/>
      <c r="F65" s="16"/>
      <c r="G65" s="16"/>
      <c r="H65" s="16"/>
    </row>
    <row r="66" spans="4:8" x14ac:dyDescent="0.25">
      <c r="D66" s="16"/>
      <c r="E66" s="16"/>
      <c r="F66" s="16"/>
      <c r="G66" s="16"/>
      <c r="H66" s="16"/>
    </row>
    <row r="67" spans="4:8" x14ac:dyDescent="0.25">
      <c r="D67" s="16"/>
      <c r="E67" s="16"/>
      <c r="F67" s="16"/>
      <c r="G67" s="16"/>
      <c r="H67" s="16"/>
    </row>
  </sheetData>
  <mergeCells count="1">
    <mergeCell ref="B6:O6"/>
  </mergeCells>
  <phoneticPr fontId="2" type="noConversion"/>
  <pageMargins left="0.75" right="0.75" top="1" bottom="1" header="0.3" footer="0.3"/>
  <pageSetup scale="4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65A6-67C5-4D8C-8570-B73BDE3AB636}">
  <dimension ref="A1:G525"/>
  <sheetViews>
    <sheetView showGridLines="0" zoomScaleNormal="100" workbookViewId="0"/>
  </sheetViews>
  <sheetFormatPr defaultRowHeight="15" x14ac:dyDescent="0.25"/>
  <cols>
    <col min="1" max="1" width="2.7109375" customWidth="1"/>
    <col min="2" max="2" width="12.140625" bestFit="1" customWidth="1"/>
    <col min="3" max="3" width="39" bestFit="1" customWidth="1"/>
  </cols>
  <sheetData>
    <row r="1" spans="1:7" x14ac:dyDescent="0.25">
      <c r="A1" t="s">
        <v>288</v>
      </c>
    </row>
    <row r="3" spans="1:7" ht="15" customHeight="1" x14ac:dyDescent="0.25">
      <c r="B3" s="212" t="s">
        <v>284</v>
      </c>
      <c r="C3" s="212" t="s">
        <v>285</v>
      </c>
      <c r="D3" s="209"/>
      <c r="E3" s="209" t="s">
        <v>279</v>
      </c>
      <c r="F3" s="209" t="s">
        <v>286</v>
      </c>
      <c r="G3" s="209" t="s">
        <v>287</v>
      </c>
    </row>
    <row r="4" spans="1:7" x14ac:dyDescent="0.25">
      <c r="B4" s="210">
        <v>44927</v>
      </c>
      <c r="C4" s="211">
        <v>9.8520299999999992</v>
      </c>
      <c r="D4" s="209"/>
      <c r="E4" s="209"/>
      <c r="F4" s="211">
        <f>AVERAGE(C4:C93)</f>
        <v>10.239326500000006</v>
      </c>
      <c r="G4" s="209">
        <f>1/F4</f>
        <v>9.7662673418998744E-2</v>
      </c>
    </row>
    <row r="5" spans="1:7" x14ac:dyDescent="0.25">
      <c r="B5" s="210">
        <v>44928</v>
      </c>
      <c r="C5" s="211">
        <v>9.8810300000000009</v>
      </c>
      <c r="D5" s="209"/>
      <c r="E5" s="209"/>
      <c r="F5" s="209"/>
      <c r="G5" s="209"/>
    </row>
    <row r="6" spans="1:7" x14ac:dyDescent="0.25">
      <c r="B6" s="210">
        <v>44929</v>
      </c>
      <c r="C6" s="211">
        <v>10.055630000000001</v>
      </c>
      <c r="D6" s="209"/>
      <c r="E6" s="209"/>
      <c r="F6" s="209"/>
      <c r="G6" s="209"/>
    </row>
    <row r="7" spans="1:7" x14ac:dyDescent="0.25">
      <c r="B7" s="210">
        <v>44930</v>
      </c>
      <c r="C7" s="211">
        <v>10.100479999999999</v>
      </c>
      <c r="D7" s="209"/>
      <c r="E7" s="209"/>
      <c r="F7" s="209"/>
      <c r="G7" s="209"/>
    </row>
    <row r="8" spans="1:7" x14ac:dyDescent="0.25">
      <c r="B8" s="210">
        <v>44931</v>
      </c>
      <c r="C8" s="211">
        <v>10.25239</v>
      </c>
      <c r="D8" s="209"/>
      <c r="E8" s="209"/>
      <c r="F8" s="209"/>
      <c r="G8" s="209"/>
    </row>
    <row r="9" spans="1:7" x14ac:dyDescent="0.25">
      <c r="B9" s="210">
        <v>44932</v>
      </c>
      <c r="C9" s="211">
        <v>10.01807</v>
      </c>
      <c r="D9" s="209"/>
      <c r="E9" s="209"/>
      <c r="F9" s="209"/>
      <c r="G9" s="209"/>
    </row>
    <row r="10" spans="1:7" x14ac:dyDescent="0.25">
      <c r="B10" s="210">
        <v>44933</v>
      </c>
      <c r="C10" s="211">
        <v>10.01807</v>
      </c>
      <c r="D10" s="209"/>
      <c r="E10" s="209"/>
      <c r="F10" s="209"/>
      <c r="G10" s="209"/>
    </row>
    <row r="11" spans="1:7" x14ac:dyDescent="0.25">
      <c r="B11" s="210">
        <v>44934</v>
      </c>
      <c r="C11" s="211">
        <v>10.01807</v>
      </c>
      <c r="D11" s="209"/>
      <c r="E11" s="209"/>
      <c r="F11" s="209"/>
      <c r="G11" s="209"/>
    </row>
    <row r="12" spans="1:7" x14ac:dyDescent="0.25">
      <c r="B12" s="210">
        <v>44935</v>
      </c>
      <c r="C12" s="211">
        <v>9.8687400000000007</v>
      </c>
      <c r="D12" s="209"/>
      <c r="E12" s="209"/>
      <c r="F12" s="209"/>
      <c r="G12" s="209"/>
    </row>
    <row r="13" spans="1:7" x14ac:dyDescent="0.25">
      <c r="B13" s="210">
        <v>44936</v>
      </c>
      <c r="C13" s="211">
        <v>9.98428</v>
      </c>
      <c r="D13" s="209"/>
      <c r="E13" s="209"/>
      <c r="F13" s="209"/>
      <c r="G13" s="209"/>
    </row>
    <row r="14" spans="1:7" x14ac:dyDescent="0.25">
      <c r="B14" s="210">
        <v>44937</v>
      </c>
      <c r="C14" s="211">
        <v>9.9965399999999995</v>
      </c>
      <c r="D14" s="209"/>
      <c r="E14" s="209"/>
      <c r="F14" s="209"/>
      <c r="G14" s="209"/>
    </row>
    <row r="15" spans="1:7" x14ac:dyDescent="0.25">
      <c r="B15" s="210">
        <v>44938</v>
      </c>
      <c r="C15" s="211">
        <v>9.9288799999999995</v>
      </c>
      <c r="D15" s="209"/>
      <c r="E15" s="209"/>
      <c r="F15" s="209"/>
      <c r="G15" s="209"/>
    </row>
    <row r="16" spans="1:7" x14ac:dyDescent="0.25">
      <c r="B16" s="210">
        <v>44939</v>
      </c>
      <c r="C16" s="211">
        <v>9.8863500000000002</v>
      </c>
      <c r="D16" s="209"/>
      <c r="E16" s="209"/>
      <c r="F16" s="209"/>
      <c r="G16" s="209"/>
    </row>
    <row r="17" spans="2:7" x14ac:dyDescent="0.25">
      <c r="B17" s="210">
        <v>44940</v>
      </c>
      <c r="C17" s="211">
        <v>9.8863500000000002</v>
      </c>
      <c r="D17" s="209"/>
      <c r="E17" s="209"/>
      <c r="F17" s="209"/>
      <c r="G17" s="209"/>
    </row>
    <row r="18" spans="2:7" x14ac:dyDescent="0.25">
      <c r="B18" s="210">
        <v>44941</v>
      </c>
      <c r="C18" s="211">
        <v>9.8863500000000002</v>
      </c>
      <c r="D18" s="209"/>
      <c r="E18" s="209"/>
      <c r="F18" s="209"/>
      <c r="G18" s="209"/>
    </row>
    <row r="19" spans="2:7" x14ac:dyDescent="0.25">
      <c r="B19" s="210">
        <v>44942</v>
      </c>
      <c r="C19" s="211">
        <v>9.9059000000000008</v>
      </c>
      <c r="D19" s="209"/>
      <c r="E19" s="209"/>
      <c r="F19" s="209"/>
      <c r="G19" s="209"/>
    </row>
    <row r="20" spans="2:7" x14ac:dyDescent="0.25">
      <c r="B20" s="210">
        <v>44943</v>
      </c>
      <c r="C20" s="211">
        <v>9.8667200000000008</v>
      </c>
      <c r="D20" s="209"/>
      <c r="E20" s="209"/>
      <c r="F20" s="209"/>
      <c r="G20" s="209"/>
    </row>
    <row r="21" spans="2:7" x14ac:dyDescent="0.25">
      <c r="B21" s="210">
        <v>44944</v>
      </c>
      <c r="C21" s="211">
        <v>9.8668899999999997</v>
      </c>
      <c r="D21" s="209"/>
      <c r="E21" s="209"/>
      <c r="F21" s="209"/>
      <c r="G21" s="209"/>
    </row>
    <row r="22" spans="2:7" x14ac:dyDescent="0.25">
      <c r="B22" s="210">
        <v>44945</v>
      </c>
      <c r="C22" s="211">
        <v>9.9310100000000006</v>
      </c>
      <c r="D22" s="209"/>
      <c r="E22" s="209"/>
      <c r="F22" s="209"/>
      <c r="G22" s="209"/>
    </row>
    <row r="23" spans="2:7" x14ac:dyDescent="0.25">
      <c r="B23" s="210">
        <v>44946</v>
      </c>
      <c r="C23" s="211">
        <v>9.8816600000000001</v>
      </c>
      <c r="D23" s="209"/>
      <c r="E23" s="209"/>
      <c r="F23" s="209"/>
      <c r="G23" s="209"/>
    </row>
    <row r="24" spans="2:7" x14ac:dyDescent="0.25">
      <c r="B24" s="210">
        <v>44947</v>
      </c>
      <c r="C24" s="211">
        <v>9.8816600000000001</v>
      </c>
      <c r="D24" s="209"/>
      <c r="E24" s="209"/>
      <c r="F24" s="209"/>
      <c r="G24" s="209"/>
    </row>
    <row r="25" spans="2:7" x14ac:dyDescent="0.25">
      <c r="B25" s="210">
        <v>44948</v>
      </c>
      <c r="C25" s="211">
        <v>9.8816600000000001</v>
      </c>
      <c r="D25" s="209"/>
      <c r="E25" s="209"/>
      <c r="F25" s="209"/>
      <c r="G25" s="209"/>
    </row>
    <row r="26" spans="2:7" x14ac:dyDescent="0.25">
      <c r="B26" s="210">
        <v>44949</v>
      </c>
      <c r="C26" s="211">
        <v>9.8101800000000008</v>
      </c>
      <c r="D26" s="209"/>
      <c r="E26" s="209"/>
      <c r="F26" s="209"/>
      <c r="G26" s="209"/>
    </row>
    <row r="27" spans="2:7" x14ac:dyDescent="0.25">
      <c r="B27" s="210">
        <v>44950</v>
      </c>
      <c r="C27" s="211">
        <v>9.8546899999999997</v>
      </c>
      <c r="D27" s="209"/>
      <c r="E27" s="209"/>
      <c r="F27" s="209"/>
      <c r="G27" s="209"/>
    </row>
    <row r="28" spans="2:7" x14ac:dyDescent="0.25">
      <c r="B28" s="210">
        <v>44951</v>
      </c>
      <c r="C28" s="211">
        <v>9.9338899999999999</v>
      </c>
      <c r="D28" s="209"/>
      <c r="E28" s="209"/>
      <c r="F28" s="209"/>
      <c r="G28" s="209"/>
    </row>
    <row r="29" spans="2:7" x14ac:dyDescent="0.25">
      <c r="B29" s="210">
        <v>44952</v>
      </c>
      <c r="C29" s="211">
        <v>9.9071999999999996</v>
      </c>
      <c r="D29" s="209"/>
      <c r="E29" s="209"/>
      <c r="F29" s="209"/>
      <c r="G29" s="209"/>
    </row>
    <row r="30" spans="2:7" x14ac:dyDescent="0.25">
      <c r="B30" s="210">
        <v>44953</v>
      </c>
      <c r="C30" s="211">
        <v>9.8848500000000001</v>
      </c>
      <c r="D30" s="209"/>
      <c r="E30" s="209"/>
      <c r="F30" s="209"/>
      <c r="G30" s="209"/>
    </row>
    <row r="31" spans="2:7" x14ac:dyDescent="0.25">
      <c r="B31" s="210">
        <v>44954</v>
      </c>
      <c r="C31" s="211">
        <v>9.8848500000000001</v>
      </c>
      <c r="D31" s="209"/>
      <c r="E31" s="209"/>
      <c r="F31" s="209"/>
      <c r="G31" s="209"/>
    </row>
    <row r="32" spans="2:7" x14ac:dyDescent="0.25">
      <c r="B32" s="210">
        <v>44955</v>
      </c>
      <c r="C32" s="211">
        <v>9.8848500000000001</v>
      </c>
      <c r="D32" s="209"/>
      <c r="E32" s="209"/>
      <c r="F32" s="209"/>
      <c r="G32" s="209"/>
    </row>
    <row r="33" spans="2:7" x14ac:dyDescent="0.25">
      <c r="B33" s="210">
        <v>44956</v>
      </c>
      <c r="C33" s="211">
        <v>9.9477100000000007</v>
      </c>
      <c r="D33" s="209"/>
      <c r="E33" s="209"/>
      <c r="F33" s="209"/>
      <c r="G33" s="209"/>
    </row>
    <row r="34" spans="2:7" x14ac:dyDescent="0.25">
      <c r="B34" s="210">
        <v>44957</v>
      </c>
      <c r="C34" s="211">
        <v>9.9925499999999996</v>
      </c>
      <c r="D34" s="209"/>
      <c r="E34" s="209"/>
      <c r="F34" s="209"/>
      <c r="G34" s="209"/>
    </row>
    <row r="35" spans="2:7" x14ac:dyDescent="0.25">
      <c r="B35" s="210">
        <v>44958</v>
      </c>
      <c r="C35" s="211">
        <v>9.9853400000000008</v>
      </c>
      <c r="D35" s="209"/>
      <c r="E35" s="209"/>
      <c r="F35" s="209"/>
      <c r="G35" s="209"/>
    </row>
    <row r="36" spans="2:7" x14ac:dyDescent="0.25">
      <c r="B36" s="210">
        <v>44959</v>
      </c>
      <c r="C36" s="211">
        <v>10.012119999999999</v>
      </c>
      <c r="D36" s="209"/>
      <c r="E36" s="209"/>
      <c r="F36" s="209"/>
      <c r="G36" s="209"/>
    </row>
    <row r="37" spans="2:7" x14ac:dyDescent="0.25">
      <c r="B37" s="210">
        <v>44960</v>
      </c>
      <c r="C37" s="211">
        <v>10.160740000000001</v>
      </c>
      <c r="D37" s="209"/>
      <c r="E37" s="209"/>
      <c r="F37" s="209"/>
      <c r="G37" s="209"/>
    </row>
    <row r="38" spans="2:7" x14ac:dyDescent="0.25">
      <c r="B38" s="210">
        <v>44961</v>
      </c>
      <c r="C38" s="211">
        <v>10.160740000000001</v>
      </c>
      <c r="D38" s="209"/>
      <c r="E38" s="209"/>
      <c r="F38" s="209"/>
      <c r="G38" s="209"/>
    </row>
    <row r="39" spans="2:7" x14ac:dyDescent="0.25">
      <c r="B39" s="210">
        <v>44962</v>
      </c>
      <c r="C39" s="211">
        <v>10.160740000000001</v>
      </c>
      <c r="D39" s="209"/>
      <c r="E39" s="209"/>
      <c r="F39" s="209"/>
      <c r="G39" s="209"/>
    </row>
    <row r="40" spans="2:7" x14ac:dyDescent="0.25">
      <c r="B40" s="210">
        <v>44963</v>
      </c>
      <c r="C40" s="211">
        <v>10.33455</v>
      </c>
      <c r="D40" s="209"/>
      <c r="E40" s="209"/>
      <c r="F40" s="209"/>
      <c r="G40" s="209"/>
    </row>
    <row r="41" spans="2:7" x14ac:dyDescent="0.25">
      <c r="B41" s="210">
        <v>44964</v>
      </c>
      <c r="C41" s="211">
        <v>10.38068</v>
      </c>
      <c r="D41" s="209"/>
      <c r="E41" s="209"/>
      <c r="F41" s="209"/>
      <c r="G41" s="209"/>
    </row>
    <row r="42" spans="2:7" x14ac:dyDescent="0.25">
      <c r="B42" s="210">
        <v>44965</v>
      </c>
      <c r="C42" s="211">
        <v>10.322609999999999</v>
      </c>
      <c r="D42" s="209"/>
      <c r="E42" s="209"/>
      <c r="F42" s="209"/>
      <c r="G42" s="209"/>
    </row>
    <row r="43" spans="2:7" x14ac:dyDescent="0.25">
      <c r="B43" s="210">
        <v>44966</v>
      </c>
      <c r="C43" s="211">
        <v>10.14587</v>
      </c>
      <c r="D43" s="209"/>
      <c r="E43" s="209"/>
      <c r="F43" s="209"/>
      <c r="G43" s="209"/>
    </row>
    <row r="44" spans="2:7" x14ac:dyDescent="0.25">
      <c r="B44" s="210">
        <v>44967</v>
      </c>
      <c r="C44" s="211">
        <v>10.154260000000001</v>
      </c>
      <c r="D44" s="209"/>
      <c r="E44" s="209"/>
      <c r="F44" s="209"/>
      <c r="G44" s="209"/>
    </row>
    <row r="45" spans="2:7" x14ac:dyDescent="0.25">
      <c r="B45" s="210">
        <v>44968</v>
      </c>
      <c r="C45" s="211">
        <v>10.154260000000001</v>
      </c>
      <c r="D45" s="209"/>
      <c r="E45" s="209"/>
      <c r="F45" s="209"/>
      <c r="G45" s="209"/>
    </row>
    <row r="46" spans="2:7" x14ac:dyDescent="0.25">
      <c r="B46" s="210">
        <v>44969</v>
      </c>
      <c r="C46" s="211">
        <v>10.154260000000001</v>
      </c>
      <c r="D46" s="209"/>
      <c r="E46" s="209"/>
      <c r="F46" s="209"/>
      <c r="G46" s="209"/>
    </row>
    <row r="47" spans="2:7" x14ac:dyDescent="0.25">
      <c r="B47" s="210">
        <v>44970</v>
      </c>
      <c r="C47" s="211">
        <v>10.109669999999999</v>
      </c>
      <c r="D47" s="209"/>
      <c r="E47" s="209"/>
      <c r="F47" s="209"/>
      <c r="G47" s="209"/>
    </row>
    <row r="48" spans="2:7" x14ac:dyDescent="0.25">
      <c r="B48" s="210">
        <v>44971</v>
      </c>
      <c r="C48" s="211">
        <v>10.161250000000001</v>
      </c>
      <c r="D48" s="209"/>
      <c r="E48" s="209"/>
      <c r="F48" s="209"/>
      <c r="G48" s="209"/>
    </row>
    <row r="49" spans="2:7" x14ac:dyDescent="0.25">
      <c r="B49" s="210">
        <v>44972</v>
      </c>
      <c r="C49" s="211">
        <v>10.237590000000001</v>
      </c>
      <c r="D49" s="209"/>
      <c r="E49" s="209"/>
      <c r="F49" s="209"/>
      <c r="G49" s="209"/>
    </row>
    <row r="50" spans="2:7" x14ac:dyDescent="0.25">
      <c r="B50" s="210">
        <v>44973</v>
      </c>
      <c r="C50" s="211">
        <v>10.23935</v>
      </c>
      <c r="D50" s="209"/>
      <c r="E50" s="209"/>
      <c r="F50" s="209"/>
      <c r="G50" s="209"/>
    </row>
    <row r="51" spans="2:7" x14ac:dyDescent="0.25">
      <c r="B51" s="210">
        <v>44974</v>
      </c>
      <c r="C51" s="211">
        <v>10.32668</v>
      </c>
      <c r="D51" s="209"/>
      <c r="E51" s="209"/>
      <c r="F51" s="209"/>
      <c r="G51" s="209"/>
    </row>
    <row r="52" spans="2:7" x14ac:dyDescent="0.25">
      <c r="B52" s="210">
        <v>44975</v>
      </c>
      <c r="C52" s="211">
        <v>10.32668</v>
      </c>
      <c r="D52" s="209"/>
      <c r="E52" s="209"/>
      <c r="F52" s="209"/>
      <c r="G52" s="209"/>
    </row>
    <row r="53" spans="2:7" x14ac:dyDescent="0.25">
      <c r="B53" s="210">
        <v>44976</v>
      </c>
      <c r="C53" s="211">
        <v>10.32668</v>
      </c>
      <c r="D53" s="209"/>
      <c r="E53" s="209"/>
      <c r="F53" s="209"/>
      <c r="G53" s="209"/>
    </row>
    <row r="54" spans="2:7" x14ac:dyDescent="0.25">
      <c r="B54" s="210">
        <v>44977</v>
      </c>
      <c r="C54" s="211">
        <v>10.230449999999999</v>
      </c>
      <c r="D54" s="209"/>
      <c r="E54" s="209"/>
      <c r="F54" s="209"/>
      <c r="G54" s="209"/>
    </row>
    <row r="55" spans="2:7" x14ac:dyDescent="0.25">
      <c r="B55" s="210">
        <v>44978</v>
      </c>
      <c r="C55" s="211">
        <v>10.27097</v>
      </c>
      <c r="D55" s="209"/>
      <c r="E55" s="209"/>
      <c r="F55" s="209"/>
      <c r="G55" s="209"/>
    </row>
    <row r="56" spans="2:7" x14ac:dyDescent="0.25">
      <c r="B56" s="210">
        <v>44979</v>
      </c>
      <c r="C56" s="211">
        <v>10.32349</v>
      </c>
      <c r="D56" s="209"/>
      <c r="E56" s="209"/>
      <c r="F56" s="209"/>
      <c r="G56" s="209"/>
    </row>
    <row r="57" spans="2:7" x14ac:dyDescent="0.25">
      <c r="B57" s="210">
        <v>44980</v>
      </c>
      <c r="C57" s="211">
        <v>10.32005</v>
      </c>
      <c r="D57" s="209"/>
      <c r="E57" s="209"/>
      <c r="F57" s="209"/>
      <c r="G57" s="209"/>
    </row>
    <row r="58" spans="2:7" x14ac:dyDescent="0.25">
      <c r="B58" s="210">
        <v>44981</v>
      </c>
      <c r="C58" s="211">
        <v>10.385429999999999</v>
      </c>
      <c r="D58" s="209"/>
      <c r="E58" s="209"/>
      <c r="F58" s="209"/>
      <c r="G58" s="209"/>
    </row>
    <row r="59" spans="2:7" x14ac:dyDescent="0.25">
      <c r="B59" s="210">
        <v>44982</v>
      </c>
      <c r="C59" s="211">
        <v>10.385429999999999</v>
      </c>
      <c r="D59" s="209"/>
      <c r="E59" s="209"/>
      <c r="F59" s="209"/>
      <c r="G59" s="209"/>
    </row>
    <row r="60" spans="2:7" x14ac:dyDescent="0.25">
      <c r="B60" s="210">
        <v>44983</v>
      </c>
      <c r="C60" s="211">
        <v>10.385429999999999</v>
      </c>
      <c r="D60" s="209"/>
      <c r="E60" s="209"/>
      <c r="F60" s="209"/>
      <c r="G60" s="209"/>
    </row>
    <row r="61" spans="2:7" x14ac:dyDescent="0.25">
      <c r="B61" s="210">
        <v>44984</v>
      </c>
      <c r="C61" s="211">
        <v>10.36547</v>
      </c>
      <c r="D61" s="209"/>
      <c r="E61" s="209"/>
      <c r="F61" s="209"/>
      <c r="G61" s="209"/>
    </row>
    <row r="62" spans="2:7" x14ac:dyDescent="0.25">
      <c r="B62" s="210">
        <v>44985</v>
      </c>
      <c r="C62" s="211">
        <v>10.33386</v>
      </c>
      <c r="D62" s="209"/>
      <c r="E62" s="209"/>
      <c r="F62" s="209"/>
      <c r="G62" s="209"/>
    </row>
    <row r="63" spans="2:7" x14ac:dyDescent="0.25">
      <c r="B63" s="210">
        <v>44986</v>
      </c>
      <c r="C63" s="211">
        <v>10.401565</v>
      </c>
      <c r="D63" s="209"/>
      <c r="E63" s="209"/>
      <c r="F63" s="209"/>
      <c r="G63" s="209"/>
    </row>
    <row r="64" spans="2:7" x14ac:dyDescent="0.25">
      <c r="B64" s="210">
        <v>44987</v>
      </c>
      <c r="C64" s="211">
        <v>10.44886</v>
      </c>
      <c r="D64" s="209"/>
      <c r="E64" s="209"/>
      <c r="F64" s="209"/>
      <c r="G64" s="209"/>
    </row>
    <row r="65" spans="2:7" x14ac:dyDescent="0.25">
      <c r="B65" s="210">
        <v>44988</v>
      </c>
      <c r="C65" s="211">
        <v>10.434430000000001</v>
      </c>
      <c r="D65" s="209"/>
      <c r="E65" s="209"/>
      <c r="F65" s="209"/>
      <c r="G65" s="209"/>
    </row>
    <row r="66" spans="2:7" x14ac:dyDescent="0.25">
      <c r="B66" s="210">
        <v>44989</v>
      </c>
      <c r="C66" s="211">
        <v>10.434430000000001</v>
      </c>
      <c r="D66" s="209"/>
      <c r="E66" s="209"/>
      <c r="F66" s="209"/>
      <c r="G66" s="209"/>
    </row>
    <row r="67" spans="2:7" x14ac:dyDescent="0.25">
      <c r="B67" s="210">
        <v>44990</v>
      </c>
      <c r="C67" s="211">
        <v>10.434430000000001</v>
      </c>
      <c r="D67" s="209"/>
      <c r="E67" s="209"/>
      <c r="F67" s="209"/>
      <c r="G67" s="209"/>
    </row>
    <row r="68" spans="2:7" x14ac:dyDescent="0.25">
      <c r="B68" s="210">
        <v>44991</v>
      </c>
      <c r="C68" s="211">
        <v>10.432359999999999</v>
      </c>
      <c r="D68" s="209"/>
      <c r="E68" s="209"/>
      <c r="F68" s="209"/>
      <c r="G68" s="209"/>
    </row>
    <row r="69" spans="2:7" x14ac:dyDescent="0.25">
      <c r="B69" s="210">
        <v>44992</v>
      </c>
      <c r="C69" s="211">
        <v>10.66752</v>
      </c>
      <c r="D69" s="209"/>
      <c r="E69" s="209"/>
      <c r="F69" s="209"/>
      <c r="G69" s="209"/>
    </row>
    <row r="70" spans="2:7" x14ac:dyDescent="0.25">
      <c r="B70" s="210">
        <v>44993</v>
      </c>
      <c r="C70" s="211">
        <v>10.63242</v>
      </c>
      <c r="D70" s="209"/>
      <c r="E70" s="209"/>
      <c r="F70" s="209"/>
      <c r="G70" s="209"/>
    </row>
    <row r="71" spans="2:7" x14ac:dyDescent="0.25">
      <c r="B71" s="210">
        <v>44994</v>
      </c>
      <c r="C71" s="211">
        <v>10.63444</v>
      </c>
      <c r="D71" s="209"/>
      <c r="E71" s="209"/>
      <c r="F71" s="209"/>
      <c r="G71" s="209"/>
    </row>
    <row r="72" spans="2:7" x14ac:dyDescent="0.25">
      <c r="B72" s="210">
        <v>44995</v>
      </c>
      <c r="C72" s="211">
        <v>10.591710000000001</v>
      </c>
      <c r="D72" s="209"/>
      <c r="E72" s="209"/>
      <c r="F72" s="209"/>
      <c r="G72" s="209"/>
    </row>
    <row r="73" spans="2:7" x14ac:dyDescent="0.25">
      <c r="B73" s="210">
        <v>44996</v>
      </c>
      <c r="C73" s="211">
        <v>10.591710000000001</v>
      </c>
      <c r="D73" s="209"/>
      <c r="E73" s="209"/>
      <c r="F73" s="209"/>
      <c r="G73" s="209"/>
    </row>
    <row r="74" spans="2:7" x14ac:dyDescent="0.25">
      <c r="B74" s="210">
        <v>44997</v>
      </c>
      <c r="C74" s="211">
        <v>10.591710000000001</v>
      </c>
      <c r="D74" s="209"/>
      <c r="E74" s="209"/>
      <c r="F74" s="209"/>
      <c r="G74" s="209"/>
    </row>
    <row r="75" spans="2:7" x14ac:dyDescent="0.25">
      <c r="B75" s="210">
        <v>44998</v>
      </c>
      <c r="C75" s="211">
        <v>10.54898</v>
      </c>
      <c r="D75" s="209"/>
      <c r="E75" s="209"/>
      <c r="F75" s="209"/>
      <c r="G75" s="209"/>
    </row>
    <row r="76" spans="2:7" x14ac:dyDescent="0.25">
      <c r="B76" s="210">
        <v>44999</v>
      </c>
      <c r="C76" s="211">
        <v>10.560140000000001</v>
      </c>
      <c r="D76" s="209"/>
      <c r="E76" s="209"/>
      <c r="F76" s="209"/>
      <c r="G76" s="209"/>
    </row>
    <row r="77" spans="2:7" x14ac:dyDescent="0.25">
      <c r="B77" s="210">
        <v>45000</v>
      </c>
      <c r="C77" s="211">
        <v>10.82258</v>
      </c>
      <c r="D77" s="209"/>
      <c r="E77" s="209"/>
      <c r="F77" s="209"/>
      <c r="G77" s="209"/>
    </row>
    <row r="78" spans="2:7" x14ac:dyDescent="0.25">
      <c r="B78" s="210">
        <v>45001</v>
      </c>
      <c r="C78" s="211">
        <v>10.78375</v>
      </c>
      <c r="D78" s="209"/>
      <c r="E78" s="209"/>
      <c r="F78" s="209"/>
      <c r="G78" s="209"/>
    </row>
    <row r="79" spans="2:7" x14ac:dyDescent="0.25">
      <c r="B79" s="210">
        <v>45002</v>
      </c>
      <c r="C79" s="211">
        <v>10.678089999999999</v>
      </c>
      <c r="D79" s="209"/>
      <c r="E79" s="209"/>
      <c r="F79" s="209"/>
      <c r="G79" s="209"/>
    </row>
    <row r="80" spans="2:7" x14ac:dyDescent="0.25">
      <c r="B80" s="210">
        <v>45003</v>
      </c>
      <c r="C80" s="211">
        <v>10.678089999999999</v>
      </c>
      <c r="D80" s="209"/>
      <c r="E80" s="209"/>
      <c r="F80" s="209"/>
      <c r="G80" s="209"/>
    </row>
    <row r="81" spans="2:7" x14ac:dyDescent="0.25">
      <c r="B81" s="210">
        <v>45004</v>
      </c>
      <c r="C81" s="211">
        <v>10.678089999999999</v>
      </c>
      <c r="D81" s="209"/>
      <c r="E81" s="209"/>
      <c r="F81" s="209"/>
      <c r="G81" s="209"/>
    </row>
    <row r="82" spans="2:7" x14ac:dyDescent="0.25">
      <c r="B82" s="210">
        <v>45005</v>
      </c>
      <c r="C82" s="211">
        <v>10.66159</v>
      </c>
      <c r="D82" s="209"/>
      <c r="E82" s="209"/>
      <c r="F82" s="209"/>
      <c r="G82" s="209"/>
    </row>
    <row r="83" spans="2:7" x14ac:dyDescent="0.25">
      <c r="B83" s="210">
        <v>45006</v>
      </c>
      <c r="C83" s="211">
        <v>10.54949</v>
      </c>
      <c r="D83" s="209"/>
      <c r="E83" s="209"/>
      <c r="F83" s="209"/>
      <c r="G83" s="209"/>
    </row>
    <row r="84" spans="2:7" x14ac:dyDescent="0.25">
      <c r="B84" s="210">
        <v>45007</v>
      </c>
      <c r="C84" s="211">
        <v>10.48631</v>
      </c>
      <c r="D84" s="209"/>
      <c r="E84" s="209"/>
      <c r="F84" s="209"/>
      <c r="G84" s="209"/>
    </row>
    <row r="85" spans="2:7" x14ac:dyDescent="0.25">
      <c r="B85" s="210">
        <v>45008</v>
      </c>
      <c r="C85" s="211">
        <v>10.29998</v>
      </c>
      <c r="D85" s="209"/>
      <c r="E85" s="209"/>
      <c r="F85" s="209"/>
      <c r="G85" s="209"/>
    </row>
    <row r="86" spans="2:7" x14ac:dyDescent="0.25">
      <c r="B86" s="210">
        <v>45009</v>
      </c>
      <c r="C86" s="211">
        <v>10.513439999999999</v>
      </c>
      <c r="D86" s="209"/>
      <c r="E86" s="209"/>
      <c r="F86" s="209"/>
      <c r="G86" s="209"/>
    </row>
    <row r="87" spans="2:7" x14ac:dyDescent="0.25">
      <c r="B87" s="210">
        <v>45010</v>
      </c>
      <c r="C87" s="211">
        <v>10.513439999999999</v>
      </c>
      <c r="D87" s="209"/>
      <c r="E87" s="209"/>
      <c r="F87" s="209"/>
      <c r="G87" s="209"/>
    </row>
    <row r="88" spans="2:7" x14ac:dyDescent="0.25">
      <c r="B88" s="210">
        <v>45011</v>
      </c>
      <c r="C88" s="211">
        <v>10.513439999999999</v>
      </c>
      <c r="D88" s="209"/>
      <c r="E88" s="209"/>
      <c r="F88" s="209"/>
      <c r="G88" s="209"/>
    </row>
    <row r="89" spans="2:7" x14ac:dyDescent="0.25">
      <c r="B89" s="210">
        <v>45012</v>
      </c>
      <c r="C89" s="211">
        <v>10.501250000000001</v>
      </c>
      <c r="D89" s="209"/>
      <c r="E89" s="209"/>
      <c r="F89" s="209"/>
      <c r="G89" s="209"/>
    </row>
    <row r="90" spans="2:7" x14ac:dyDescent="0.25">
      <c r="B90" s="210">
        <v>45013</v>
      </c>
      <c r="C90" s="211">
        <v>10.373749999999999</v>
      </c>
      <c r="D90" s="209"/>
      <c r="E90" s="209"/>
      <c r="F90" s="209"/>
      <c r="G90" s="209"/>
    </row>
    <row r="91" spans="2:7" x14ac:dyDescent="0.25">
      <c r="B91" s="210">
        <v>45014</v>
      </c>
      <c r="C91" s="211">
        <v>10.41358</v>
      </c>
      <c r="D91" s="209"/>
      <c r="E91" s="209"/>
      <c r="F91" s="209"/>
      <c r="G91" s="209"/>
    </row>
    <row r="92" spans="2:7" x14ac:dyDescent="0.25">
      <c r="B92" s="210">
        <v>45015</v>
      </c>
      <c r="C92" s="211">
        <v>10.40376</v>
      </c>
      <c r="D92" s="209"/>
      <c r="E92" s="209"/>
      <c r="F92" s="209"/>
      <c r="G92" s="209"/>
    </row>
    <row r="93" spans="2:7" x14ac:dyDescent="0.25">
      <c r="B93" s="210">
        <v>45016</v>
      </c>
      <c r="C93" s="211">
        <v>10.45987</v>
      </c>
      <c r="D93" s="209"/>
      <c r="E93" s="209"/>
      <c r="F93" s="209"/>
      <c r="G93" s="209"/>
    </row>
    <row r="94" spans="2:7" x14ac:dyDescent="0.25">
      <c r="B94" s="210">
        <v>45017</v>
      </c>
      <c r="C94" s="211">
        <v>10.45987</v>
      </c>
      <c r="D94" s="209"/>
      <c r="E94" s="209"/>
      <c r="F94" s="209"/>
      <c r="G94" s="209"/>
    </row>
    <row r="95" spans="2:7" x14ac:dyDescent="0.25">
      <c r="B95" s="210">
        <v>45018</v>
      </c>
      <c r="C95" s="211">
        <v>10.45987</v>
      </c>
      <c r="D95" s="209"/>
      <c r="E95" s="209"/>
      <c r="F95" s="209"/>
      <c r="G95" s="209"/>
    </row>
    <row r="96" spans="2:7" x14ac:dyDescent="0.25">
      <c r="B96" s="210">
        <v>45019</v>
      </c>
      <c r="C96" s="211">
        <v>10.30842</v>
      </c>
      <c r="D96" s="209"/>
      <c r="E96" s="209"/>
      <c r="F96" s="209"/>
      <c r="G96" s="209"/>
    </row>
    <row r="97" spans="2:7" x14ac:dyDescent="0.25">
      <c r="B97" s="210">
        <v>45020</v>
      </c>
      <c r="C97" s="211">
        <v>10.30003</v>
      </c>
      <c r="D97" s="209"/>
      <c r="E97" s="209"/>
      <c r="F97" s="209"/>
      <c r="G97" s="209"/>
    </row>
    <row r="98" spans="2:7" x14ac:dyDescent="0.25">
      <c r="B98" s="210">
        <v>45021</v>
      </c>
      <c r="C98" s="211">
        <v>10.433730000000001</v>
      </c>
      <c r="D98" s="209"/>
      <c r="E98" s="209"/>
      <c r="F98" s="209"/>
      <c r="G98" s="209"/>
    </row>
    <row r="99" spans="2:7" x14ac:dyDescent="0.25">
      <c r="B99" s="210">
        <v>45022</v>
      </c>
      <c r="C99" s="211">
        <v>10.444369999999999</v>
      </c>
      <c r="D99" s="209"/>
      <c r="E99" s="209"/>
      <c r="F99" s="209"/>
      <c r="G99" s="209"/>
    </row>
    <row r="100" spans="2:7" x14ac:dyDescent="0.25">
      <c r="B100" s="210">
        <v>45023</v>
      </c>
      <c r="C100" s="211">
        <v>10.49906</v>
      </c>
      <c r="D100" s="209"/>
      <c r="E100" s="209"/>
      <c r="F100" s="209"/>
      <c r="G100" s="209"/>
    </row>
    <row r="101" spans="2:7" x14ac:dyDescent="0.25">
      <c r="B101" s="210">
        <v>45024</v>
      </c>
      <c r="C101" s="211">
        <v>10.49906</v>
      </c>
      <c r="D101" s="209"/>
      <c r="E101" s="209"/>
      <c r="F101" s="209"/>
      <c r="G101" s="209"/>
    </row>
    <row r="102" spans="2:7" x14ac:dyDescent="0.25">
      <c r="B102" s="210">
        <v>45025</v>
      </c>
      <c r="C102" s="211">
        <v>10.49906</v>
      </c>
      <c r="D102" s="209"/>
      <c r="E102" s="209"/>
      <c r="F102" s="209"/>
      <c r="G102" s="209"/>
    </row>
    <row r="103" spans="2:7" x14ac:dyDescent="0.25">
      <c r="B103" s="210">
        <v>45026</v>
      </c>
      <c r="C103" s="211">
        <v>10.537710000000001</v>
      </c>
      <c r="D103" s="209"/>
      <c r="E103" s="209"/>
      <c r="F103" s="209"/>
      <c r="G103" s="209"/>
    </row>
    <row r="104" spans="2:7" x14ac:dyDescent="0.25">
      <c r="B104" s="210">
        <v>45027</v>
      </c>
      <c r="C104" s="211">
        <v>10.581189999999999</v>
      </c>
      <c r="D104" s="209"/>
      <c r="E104" s="209"/>
      <c r="F104" s="209"/>
      <c r="G104" s="209"/>
    </row>
    <row r="105" spans="2:7" x14ac:dyDescent="0.25">
      <c r="B105" s="210">
        <v>45028</v>
      </c>
      <c r="C105" s="211">
        <v>10.45875</v>
      </c>
      <c r="D105" s="209"/>
      <c r="E105" s="209"/>
      <c r="F105" s="209"/>
      <c r="G105" s="209"/>
    </row>
    <row r="106" spans="2:7" x14ac:dyDescent="0.25">
      <c r="B106" s="210">
        <v>45029</v>
      </c>
      <c r="C106" s="211">
        <v>10.309889999999999</v>
      </c>
      <c r="D106" s="209"/>
      <c r="E106" s="209"/>
      <c r="F106" s="209"/>
      <c r="G106" s="209"/>
    </row>
    <row r="107" spans="2:7" x14ac:dyDescent="0.25">
      <c r="B107" s="210">
        <v>45030</v>
      </c>
      <c r="C107" s="211">
        <v>10.402469999999999</v>
      </c>
      <c r="D107" s="209"/>
      <c r="E107" s="209"/>
      <c r="F107" s="209"/>
      <c r="G107" s="209"/>
    </row>
    <row r="108" spans="2:7" x14ac:dyDescent="0.25">
      <c r="B108" s="210">
        <v>45031</v>
      </c>
      <c r="C108" s="211">
        <v>10.402469999999999</v>
      </c>
      <c r="D108" s="209"/>
      <c r="E108" s="209"/>
      <c r="F108" s="209"/>
      <c r="G108" s="209"/>
    </row>
    <row r="109" spans="2:7" x14ac:dyDescent="0.25">
      <c r="B109" s="210">
        <v>45032</v>
      </c>
      <c r="C109" s="211">
        <v>10.402469999999999</v>
      </c>
      <c r="D109" s="209"/>
      <c r="E109" s="209"/>
      <c r="F109" s="209"/>
      <c r="G109" s="209"/>
    </row>
    <row r="110" spans="2:7" x14ac:dyDescent="0.25">
      <c r="B110" s="210">
        <v>45033</v>
      </c>
      <c r="C110" s="211">
        <v>10.475059999999999</v>
      </c>
      <c r="D110" s="209"/>
      <c r="E110" s="209"/>
      <c r="F110" s="209"/>
      <c r="G110" s="209"/>
    </row>
    <row r="111" spans="2:7" x14ac:dyDescent="0.25">
      <c r="B111" s="210">
        <v>45034</v>
      </c>
      <c r="C111" s="211">
        <v>10.46692</v>
      </c>
      <c r="D111" s="209"/>
      <c r="E111" s="209"/>
      <c r="F111" s="209"/>
      <c r="G111" s="209"/>
    </row>
    <row r="112" spans="2:7" x14ac:dyDescent="0.25">
      <c r="B112" s="210">
        <v>45035</v>
      </c>
      <c r="C112" s="211">
        <v>10.56983</v>
      </c>
      <c r="D112" s="209"/>
      <c r="E112" s="209"/>
      <c r="F112" s="209"/>
      <c r="G112" s="209"/>
    </row>
    <row r="113" spans="2:7" x14ac:dyDescent="0.25">
      <c r="B113" s="210">
        <v>45036</v>
      </c>
      <c r="C113" s="211">
        <v>10.592079999999999</v>
      </c>
      <c r="D113" s="209"/>
      <c r="E113" s="209"/>
      <c r="F113" s="209"/>
      <c r="G113" s="209"/>
    </row>
    <row r="114" spans="2:7" x14ac:dyDescent="0.25">
      <c r="B114" s="210">
        <v>45037</v>
      </c>
      <c r="C114" s="211">
        <v>10.592495</v>
      </c>
      <c r="D114" s="209"/>
      <c r="E114" s="209"/>
      <c r="F114" s="209"/>
      <c r="G114" s="209"/>
    </row>
    <row r="115" spans="2:7" x14ac:dyDescent="0.25">
      <c r="B115" s="210">
        <v>45038</v>
      </c>
      <c r="C115" s="211">
        <v>10.592495</v>
      </c>
      <c r="D115" s="209"/>
      <c r="E115" s="209"/>
      <c r="F115" s="209"/>
      <c r="G115" s="209"/>
    </row>
    <row r="116" spans="2:7" x14ac:dyDescent="0.25">
      <c r="B116" s="210">
        <v>45039</v>
      </c>
      <c r="C116" s="211">
        <v>10.592495</v>
      </c>
      <c r="D116" s="209"/>
      <c r="E116" s="209"/>
      <c r="F116" s="209"/>
      <c r="G116" s="209"/>
    </row>
    <row r="117" spans="2:7" x14ac:dyDescent="0.25">
      <c r="B117" s="210">
        <v>45040</v>
      </c>
      <c r="C117" s="211">
        <v>10.57104</v>
      </c>
      <c r="D117" s="209"/>
      <c r="E117" s="209"/>
      <c r="F117" s="209"/>
      <c r="G117" s="209"/>
    </row>
    <row r="118" spans="2:7" x14ac:dyDescent="0.25">
      <c r="B118" s="210">
        <v>45041</v>
      </c>
      <c r="C118" s="211">
        <v>10.6572</v>
      </c>
      <c r="D118" s="209"/>
      <c r="E118" s="209"/>
      <c r="F118" s="209"/>
      <c r="G118" s="209"/>
    </row>
    <row r="119" spans="2:7" x14ac:dyDescent="0.25">
      <c r="B119" s="210">
        <v>45042</v>
      </c>
      <c r="C119" s="211">
        <v>10.62163</v>
      </c>
      <c r="D119" s="209"/>
      <c r="E119" s="209"/>
      <c r="F119" s="209"/>
      <c r="G119" s="209"/>
    </row>
    <row r="120" spans="2:7" x14ac:dyDescent="0.25">
      <c r="B120" s="210">
        <v>45043</v>
      </c>
      <c r="C120" s="211">
        <v>10.63814</v>
      </c>
      <c r="D120" s="209"/>
      <c r="E120" s="209"/>
      <c r="F120" s="209"/>
      <c r="G120" s="209"/>
    </row>
    <row r="121" spans="2:7" x14ac:dyDescent="0.25">
      <c r="B121" s="210">
        <v>45044</v>
      </c>
      <c r="C121" s="211">
        <v>10.658810000000001</v>
      </c>
      <c r="D121" s="209"/>
      <c r="E121" s="209"/>
      <c r="F121" s="209"/>
      <c r="G121" s="209"/>
    </row>
    <row r="122" spans="2:7" x14ac:dyDescent="0.25">
      <c r="B122" s="210">
        <v>45045</v>
      </c>
      <c r="C122" s="211">
        <v>10.658810000000001</v>
      </c>
      <c r="D122" s="209"/>
      <c r="E122" s="209"/>
      <c r="F122" s="209"/>
      <c r="G122" s="209"/>
    </row>
    <row r="123" spans="2:7" x14ac:dyDescent="0.25">
      <c r="B123" s="210">
        <v>45046</v>
      </c>
      <c r="C123" s="211">
        <v>10.658810000000001</v>
      </c>
      <c r="D123" s="209"/>
      <c r="E123" s="209"/>
      <c r="F123" s="209"/>
      <c r="G123" s="209"/>
    </row>
    <row r="124" spans="2:7" x14ac:dyDescent="0.25">
      <c r="B124" s="210">
        <v>45047</v>
      </c>
      <c r="C124" s="211">
        <v>10.74954</v>
      </c>
      <c r="D124" s="209"/>
      <c r="E124" s="209"/>
      <c r="F124" s="209"/>
      <c r="G124" s="209"/>
    </row>
    <row r="125" spans="2:7" x14ac:dyDescent="0.25">
      <c r="B125" s="210">
        <v>45048</v>
      </c>
      <c r="C125" s="211">
        <v>10.821429999999999</v>
      </c>
      <c r="D125" s="209"/>
      <c r="E125" s="209"/>
      <c r="F125" s="209"/>
      <c r="G125" s="209"/>
    </row>
    <row r="126" spans="2:7" x14ac:dyDescent="0.25">
      <c r="B126" s="210">
        <v>45049</v>
      </c>
      <c r="C126" s="211">
        <v>10.77553</v>
      </c>
      <c r="D126" s="209"/>
      <c r="E126" s="209"/>
      <c r="F126" s="209"/>
      <c r="G126" s="209"/>
    </row>
    <row r="127" spans="2:7" x14ac:dyDescent="0.25">
      <c r="B127" s="210">
        <v>45050</v>
      </c>
      <c r="C127" s="211">
        <v>10.73826</v>
      </c>
      <c r="D127" s="209"/>
      <c r="E127" s="209"/>
      <c r="F127" s="209"/>
      <c r="G127" s="209"/>
    </row>
    <row r="128" spans="2:7" x14ac:dyDescent="0.25">
      <c r="B128" s="210">
        <v>45051</v>
      </c>
      <c r="C128" s="211">
        <v>10.568440000000001</v>
      </c>
      <c r="D128" s="209"/>
      <c r="E128" s="209"/>
      <c r="F128" s="209"/>
      <c r="G128" s="209"/>
    </row>
    <row r="129" spans="2:7" x14ac:dyDescent="0.25">
      <c r="B129" s="210">
        <v>45052</v>
      </c>
      <c r="C129" s="211">
        <v>10.568440000000001</v>
      </c>
      <c r="D129" s="209"/>
      <c r="E129" s="209"/>
      <c r="F129" s="209"/>
      <c r="G129" s="209"/>
    </row>
    <row r="130" spans="2:7" x14ac:dyDescent="0.25">
      <c r="B130" s="210">
        <v>45053</v>
      </c>
      <c r="C130" s="211">
        <v>10.568440000000001</v>
      </c>
      <c r="D130" s="209"/>
      <c r="E130" s="209"/>
      <c r="F130" s="209"/>
      <c r="G130" s="209"/>
    </row>
    <row r="131" spans="2:7" x14ac:dyDescent="0.25">
      <c r="B131" s="210">
        <v>45054</v>
      </c>
      <c r="C131" s="211">
        <v>10.488160000000001</v>
      </c>
      <c r="D131" s="209"/>
      <c r="E131" s="209"/>
      <c r="F131" s="209"/>
      <c r="G131" s="209"/>
    </row>
    <row r="132" spans="2:7" x14ac:dyDescent="0.25">
      <c r="B132" s="210">
        <v>45055</v>
      </c>
      <c r="C132" s="211">
        <v>10.581939999999999</v>
      </c>
      <c r="D132" s="209"/>
      <c r="E132" s="209"/>
      <c r="F132" s="209"/>
      <c r="G132" s="209"/>
    </row>
    <row r="133" spans="2:7" x14ac:dyDescent="0.25">
      <c r="B133" s="210">
        <v>45056</v>
      </c>
      <c r="C133" s="211">
        <v>10.50272</v>
      </c>
      <c r="D133" s="209"/>
      <c r="E133" s="209"/>
      <c r="F133" s="209"/>
      <c r="G133" s="209"/>
    </row>
    <row r="134" spans="2:7" x14ac:dyDescent="0.25">
      <c r="B134" s="210">
        <v>45057</v>
      </c>
      <c r="C134" s="211">
        <v>10.65279</v>
      </c>
      <c r="D134" s="209"/>
      <c r="E134" s="209"/>
      <c r="F134" s="209"/>
      <c r="G134" s="209"/>
    </row>
    <row r="135" spans="2:7" x14ac:dyDescent="0.25">
      <c r="B135" s="210">
        <v>45058</v>
      </c>
      <c r="C135" s="211">
        <v>10.69275</v>
      </c>
      <c r="D135" s="209"/>
      <c r="E135" s="209"/>
      <c r="F135" s="209"/>
      <c r="G135" s="209"/>
    </row>
    <row r="136" spans="2:7" x14ac:dyDescent="0.25">
      <c r="B136" s="210">
        <v>45059</v>
      </c>
      <c r="C136" s="211">
        <v>10.69275</v>
      </c>
      <c r="D136" s="209"/>
      <c r="E136" s="209"/>
      <c r="F136" s="209"/>
      <c r="G136" s="209"/>
    </row>
    <row r="137" spans="2:7" x14ac:dyDescent="0.25">
      <c r="B137" s="210">
        <v>45060</v>
      </c>
      <c r="C137" s="211">
        <v>10.69275</v>
      </c>
      <c r="D137" s="209"/>
      <c r="E137" s="209"/>
      <c r="F137" s="209"/>
      <c r="G137" s="209"/>
    </row>
    <row r="138" spans="2:7" x14ac:dyDescent="0.25">
      <c r="B138" s="210">
        <v>45061</v>
      </c>
      <c r="C138" s="211">
        <v>10.62288</v>
      </c>
      <c r="D138" s="209"/>
      <c r="E138" s="209"/>
      <c r="F138" s="209"/>
      <c r="G138" s="209"/>
    </row>
    <row r="139" spans="2:7" x14ac:dyDescent="0.25">
      <c r="B139" s="210">
        <v>45062</v>
      </c>
      <c r="C139" s="211">
        <v>10.70768</v>
      </c>
      <c r="D139" s="209"/>
      <c r="E139" s="209"/>
      <c r="F139" s="209"/>
      <c r="G139" s="209"/>
    </row>
    <row r="140" spans="2:7" x14ac:dyDescent="0.25">
      <c r="B140" s="210">
        <v>45063</v>
      </c>
      <c r="C140" s="211">
        <v>10.805400000000001</v>
      </c>
      <c r="D140" s="209"/>
      <c r="E140" s="209"/>
      <c r="F140" s="209"/>
      <c r="G140" s="209"/>
    </row>
    <row r="141" spans="2:7" x14ac:dyDescent="0.25">
      <c r="B141" s="210">
        <v>45064</v>
      </c>
      <c r="C141" s="211">
        <v>10.92226</v>
      </c>
      <c r="D141" s="209"/>
      <c r="E141" s="209"/>
      <c r="F141" s="209"/>
      <c r="G141" s="209"/>
    </row>
    <row r="142" spans="2:7" x14ac:dyDescent="0.25">
      <c r="B142" s="210">
        <v>45065</v>
      </c>
      <c r="C142" s="211">
        <v>10.85735</v>
      </c>
      <c r="D142" s="209"/>
      <c r="E142" s="209"/>
      <c r="F142" s="209"/>
      <c r="G142" s="209"/>
    </row>
    <row r="143" spans="2:7" x14ac:dyDescent="0.25">
      <c r="B143" s="210">
        <v>45066</v>
      </c>
      <c r="C143" s="211">
        <v>10.85735</v>
      </c>
      <c r="D143" s="209"/>
      <c r="E143" s="209"/>
      <c r="F143" s="209"/>
      <c r="G143" s="209"/>
    </row>
    <row r="144" spans="2:7" x14ac:dyDescent="0.25">
      <c r="B144" s="210">
        <v>45067</v>
      </c>
      <c r="C144" s="211">
        <v>10.85735</v>
      </c>
      <c r="D144" s="209"/>
      <c r="E144" s="209"/>
      <c r="F144" s="209"/>
      <c r="G144" s="209"/>
    </row>
    <row r="145" spans="2:7" x14ac:dyDescent="0.25">
      <c r="B145" s="210">
        <v>45068</v>
      </c>
      <c r="C145" s="211">
        <v>10.901059999999999</v>
      </c>
      <c r="D145" s="209"/>
      <c r="E145" s="209"/>
      <c r="F145" s="209"/>
      <c r="G145" s="209"/>
    </row>
    <row r="146" spans="2:7" x14ac:dyDescent="0.25">
      <c r="B146" s="210">
        <v>45069</v>
      </c>
      <c r="C146" s="211">
        <v>10.93975</v>
      </c>
      <c r="D146" s="209"/>
      <c r="E146" s="209"/>
      <c r="F146" s="209"/>
      <c r="G146" s="209"/>
    </row>
    <row r="147" spans="2:7" x14ac:dyDescent="0.25">
      <c r="B147" s="210">
        <v>45070</v>
      </c>
      <c r="C147" s="211">
        <v>10.95867</v>
      </c>
      <c r="D147" s="209"/>
      <c r="E147" s="209"/>
      <c r="F147" s="209"/>
      <c r="G147" s="209"/>
    </row>
    <row r="148" spans="2:7" x14ac:dyDescent="0.25">
      <c r="B148" s="210">
        <v>45071</v>
      </c>
      <c r="C148" s="211">
        <v>11.05697</v>
      </c>
      <c r="D148" s="209"/>
      <c r="E148" s="209"/>
      <c r="F148" s="209"/>
      <c r="G148" s="209"/>
    </row>
    <row r="149" spans="2:7" x14ac:dyDescent="0.25">
      <c r="B149" s="210">
        <v>45072</v>
      </c>
      <c r="C149" s="211">
        <v>11.093669999999999</v>
      </c>
      <c r="D149" s="209"/>
      <c r="E149" s="209"/>
      <c r="F149" s="209"/>
      <c r="G149" s="209"/>
    </row>
    <row r="150" spans="2:7" x14ac:dyDescent="0.25">
      <c r="B150" s="210">
        <v>45073</v>
      </c>
      <c r="C150" s="211">
        <v>11.093669999999999</v>
      </c>
      <c r="D150" s="209"/>
      <c r="E150" s="209"/>
      <c r="F150" s="209"/>
      <c r="G150" s="209"/>
    </row>
    <row r="151" spans="2:7" x14ac:dyDescent="0.25">
      <c r="B151" s="210">
        <v>45074</v>
      </c>
      <c r="C151" s="211">
        <v>11.093669999999999</v>
      </c>
      <c r="D151" s="209"/>
      <c r="E151" s="209"/>
      <c r="F151" s="209"/>
      <c r="G151" s="209"/>
    </row>
    <row r="152" spans="2:7" x14ac:dyDescent="0.25">
      <c r="B152" s="210">
        <v>45075</v>
      </c>
      <c r="C152" s="211">
        <v>11.122109999999999</v>
      </c>
      <c r="D152" s="209"/>
      <c r="E152" s="209"/>
      <c r="F152" s="209"/>
      <c r="G152" s="209"/>
    </row>
    <row r="153" spans="2:7" x14ac:dyDescent="0.25">
      <c r="B153" s="210">
        <v>45076</v>
      </c>
      <c r="C153" s="211">
        <v>11.196820000000001</v>
      </c>
      <c r="D153" s="209"/>
      <c r="E153" s="209"/>
      <c r="F153" s="209"/>
      <c r="G153" s="209"/>
    </row>
    <row r="154" spans="2:7" x14ac:dyDescent="0.25">
      <c r="B154" s="210">
        <v>45077</v>
      </c>
      <c r="C154" s="211">
        <v>11.16127</v>
      </c>
      <c r="D154" s="209"/>
      <c r="E154" s="209"/>
      <c r="F154" s="209"/>
      <c r="G154" s="209"/>
    </row>
    <row r="155" spans="2:7" x14ac:dyDescent="0.25">
      <c r="B155" s="210">
        <v>45078</v>
      </c>
      <c r="C155" s="211">
        <v>11.08517</v>
      </c>
      <c r="D155" s="209"/>
      <c r="E155" s="209"/>
      <c r="F155" s="209"/>
      <c r="G155" s="209"/>
    </row>
    <row r="156" spans="2:7" x14ac:dyDescent="0.25">
      <c r="B156" s="210">
        <v>45079</v>
      </c>
      <c r="C156" s="211">
        <v>11.018269999999999</v>
      </c>
      <c r="D156" s="209"/>
      <c r="E156" s="209"/>
      <c r="F156" s="209"/>
      <c r="G156" s="209"/>
    </row>
    <row r="157" spans="2:7" x14ac:dyDescent="0.25">
      <c r="B157" s="210">
        <v>45080</v>
      </c>
      <c r="C157" s="211">
        <v>11.018269999999999</v>
      </c>
      <c r="D157" s="209"/>
      <c r="E157" s="209"/>
      <c r="F157" s="209"/>
      <c r="G157" s="209"/>
    </row>
    <row r="158" spans="2:7" x14ac:dyDescent="0.25">
      <c r="B158" s="210">
        <v>45081</v>
      </c>
      <c r="C158" s="211">
        <v>11.018269999999999</v>
      </c>
      <c r="D158" s="209"/>
      <c r="E158" s="209"/>
      <c r="F158" s="209"/>
      <c r="G158" s="209"/>
    </row>
    <row r="159" spans="2:7" x14ac:dyDescent="0.25">
      <c r="B159" s="210">
        <v>45082</v>
      </c>
      <c r="C159" s="211">
        <v>11.03823</v>
      </c>
      <c r="D159" s="209"/>
      <c r="E159" s="209"/>
      <c r="F159" s="209"/>
      <c r="G159" s="209"/>
    </row>
    <row r="160" spans="2:7" x14ac:dyDescent="0.25">
      <c r="B160" s="210">
        <v>45083</v>
      </c>
      <c r="C160" s="211">
        <v>11.093070000000001</v>
      </c>
      <c r="D160" s="209"/>
      <c r="E160" s="209"/>
      <c r="F160" s="209"/>
      <c r="G160" s="209"/>
    </row>
    <row r="161" spans="2:7" x14ac:dyDescent="0.25">
      <c r="B161" s="210">
        <v>45084</v>
      </c>
      <c r="C161" s="211">
        <v>11.032489999999999</v>
      </c>
      <c r="D161" s="209"/>
      <c r="E161" s="209"/>
      <c r="F161" s="209"/>
      <c r="G161" s="209"/>
    </row>
    <row r="162" spans="2:7" x14ac:dyDescent="0.25">
      <c r="B162" s="210">
        <v>45085</v>
      </c>
      <c r="C162" s="211">
        <v>10.887180000000001</v>
      </c>
      <c r="D162" s="209"/>
      <c r="E162" s="209"/>
      <c r="F162" s="209"/>
      <c r="G162" s="209"/>
    </row>
    <row r="163" spans="2:7" x14ac:dyDescent="0.25">
      <c r="B163" s="210">
        <v>45086</v>
      </c>
      <c r="C163" s="211">
        <v>10.74633</v>
      </c>
      <c r="D163" s="209"/>
      <c r="E163" s="209"/>
      <c r="F163" s="209"/>
      <c r="G163" s="209"/>
    </row>
    <row r="164" spans="2:7" x14ac:dyDescent="0.25">
      <c r="B164" s="210">
        <v>45087</v>
      </c>
      <c r="C164" s="211">
        <v>10.74633</v>
      </c>
      <c r="D164" s="209"/>
      <c r="E164" s="209"/>
      <c r="F164" s="209"/>
      <c r="G164" s="209"/>
    </row>
    <row r="165" spans="2:7" x14ac:dyDescent="0.25">
      <c r="B165" s="210">
        <v>45088</v>
      </c>
      <c r="C165" s="211">
        <v>10.74633</v>
      </c>
      <c r="D165" s="209"/>
      <c r="E165" s="209"/>
      <c r="F165" s="209"/>
      <c r="G165" s="209"/>
    </row>
    <row r="166" spans="2:7" x14ac:dyDescent="0.25">
      <c r="B166" s="210">
        <v>45089</v>
      </c>
      <c r="C166" s="211">
        <v>10.79377</v>
      </c>
      <c r="D166" s="209"/>
      <c r="E166" s="209"/>
      <c r="F166" s="209"/>
      <c r="G166" s="209"/>
    </row>
    <row r="167" spans="2:7" x14ac:dyDescent="0.25">
      <c r="B167" s="210">
        <v>45090</v>
      </c>
      <c r="C167" s="211">
        <v>10.64527</v>
      </c>
      <c r="D167" s="209"/>
      <c r="E167" s="209"/>
      <c r="F167" s="209"/>
      <c r="G167" s="209"/>
    </row>
    <row r="168" spans="2:7" x14ac:dyDescent="0.25">
      <c r="B168" s="210">
        <v>45091</v>
      </c>
      <c r="C168" s="211">
        <v>10.54593</v>
      </c>
      <c r="D168" s="209"/>
      <c r="E168" s="209"/>
      <c r="F168" s="209"/>
      <c r="G168" s="209"/>
    </row>
    <row r="169" spans="2:7" x14ac:dyDescent="0.25">
      <c r="B169" s="210">
        <v>45092</v>
      </c>
      <c r="C169" s="211">
        <v>10.50685</v>
      </c>
      <c r="D169" s="209"/>
      <c r="E169" s="209"/>
      <c r="F169" s="209"/>
      <c r="G169" s="209"/>
    </row>
    <row r="170" spans="2:7" x14ac:dyDescent="0.25">
      <c r="B170" s="210">
        <v>45093</v>
      </c>
      <c r="C170" s="211">
        <v>10.563084999999999</v>
      </c>
      <c r="D170" s="209"/>
      <c r="E170" s="209"/>
      <c r="F170" s="209"/>
      <c r="G170" s="209"/>
    </row>
    <row r="171" spans="2:7" x14ac:dyDescent="0.25">
      <c r="B171" s="210">
        <v>45094</v>
      </c>
      <c r="C171" s="211">
        <v>10.563084999999999</v>
      </c>
      <c r="D171" s="209"/>
      <c r="E171" s="209"/>
      <c r="F171" s="209"/>
      <c r="G171" s="209"/>
    </row>
    <row r="172" spans="2:7" x14ac:dyDescent="0.25">
      <c r="B172" s="210">
        <v>45095</v>
      </c>
      <c r="C172" s="211">
        <v>10.563084999999999</v>
      </c>
      <c r="D172" s="209"/>
      <c r="E172" s="209"/>
      <c r="F172" s="209"/>
      <c r="G172" s="209"/>
    </row>
    <row r="173" spans="2:7" x14ac:dyDescent="0.25">
      <c r="B173" s="210">
        <v>45096</v>
      </c>
      <c r="C173" s="211">
        <v>10.67526</v>
      </c>
      <c r="D173" s="209"/>
      <c r="E173" s="209"/>
      <c r="F173" s="209"/>
      <c r="G173" s="209"/>
    </row>
    <row r="174" spans="2:7" x14ac:dyDescent="0.25">
      <c r="B174" s="210">
        <v>45097</v>
      </c>
      <c r="C174" s="211">
        <v>10.7773</v>
      </c>
      <c r="D174" s="209"/>
      <c r="E174" s="209"/>
      <c r="F174" s="209"/>
      <c r="G174" s="209"/>
    </row>
    <row r="175" spans="2:7" x14ac:dyDescent="0.25">
      <c r="B175" s="210">
        <v>45098</v>
      </c>
      <c r="C175" s="211">
        <v>10.70271</v>
      </c>
      <c r="D175" s="209"/>
      <c r="E175" s="209"/>
      <c r="F175" s="209"/>
      <c r="G175" s="209"/>
    </row>
    <row r="176" spans="2:7" x14ac:dyDescent="0.25">
      <c r="B176" s="210">
        <v>45099</v>
      </c>
      <c r="C176" s="211">
        <v>10.66119</v>
      </c>
      <c r="D176" s="209"/>
      <c r="E176" s="209"/>
      <c r="F176" s="209"/>
      <c r="G176" s="209"/>
    </row>
    <row r="177" spans="2:7" x14ac:dyDescent="0.25">
      <c r="B177" s="210">
        <v>45100</v>
      </c>
      <c r="C177" s="211">
        <v>10.872579999999999</v>
      </c>
      <c r="D177" s="209"/>
      <c r="E177" s="209"/>
      <c r="F177" s="209"/>
      <c r="G177" s="209"/>
    </row>
    <row r="178" spans="2:7" x14ac:dyDescent="0.25">
      <c r="B178" s="210">
        <v>45101</v>
      </c>
      <c r="C178" s="211">
        <v>10.872579999999999</v>
      </c>
      <c r="D178" s="209"/>
      <c r="E178" s="209"/>
      <c r="F178" s="209"/>
      <c r="G178" s="209"/>
    </row>
    <row r="179" spans="2:7" x14ac:dyDescent="0.25">
      <c r="B179" s="210">
        <v>45102</v>
      </c>
      <c r="C179" s="211">
        <v>10.872579999999999</v>
      </c>
      <c r="D179" s="209"/>
      <c r="E179" s="209"/>
      <c r="F179" s="209"/>
      <c r="G179" s="209"/>
    </row>
    <row r="180" spans="2:7" x14ac:dyDescent="0.25">
      <c r="B180" s="210">
        <v>45103</v>
      </c>
      <c r="C180" s="211">
        <v>10.71162</v>
      </c>
      <c r="D180" s="209"/>
      <c r="E180" s="209"/>
      <c r="F180" s="209"/>
      <c r="G180" s="209"/>
    </row>
    <row r="181" spans="2:7" x14ac:dyDescent="0.25">
      <c r="B181" s="210">
        <v>45104</v>
      </c>
      <c r="C181" s="211">
        <v>10.761609999999999</v>
      </c>
      <c r="D181" s="209"/>
      <c r="E181" s="209"/>
      <c r="F181" s="209"/>
      <c r="G181" s="209"/>
    </row>
    <row r="182" spans="2:7" x14ac:dyDescent="0.25">
      <c r="B182" s="210">
        <v>45105</v>
      </c>
      <c r="C182" s="211">
        <v>10.77765</v>
      </c>
      <c r="D182" s="209"/>
      <c r="E182" s="209"/>
      <c r="F182" s="209"/>
      <c r="G182" s="209"/>
    </row>
    <row r="183" spans="2:7" x14ac:dyDescent="0.25">
      <c r="B183" s="210">
        <v>45106</v>
      </c>
      <c r="C183" s="211">
        <v>10.79514</v>
      </c>
      <c r="D183" s="209"/>
      <c r="E183" s="209"/>
      <c r="F183" s="209"/>
      <c r="G183" s="209"/>
    </row>
    <row r="184" spans="2:7" x14ac:dyDescent="0.25">
      <c r="B184" s="210">
        <v>45107</v>
      </c>
      <c r="C184" s="211">
        <v>10.719329999999999</v>
      </c>
      <c r="D184" s="209"/>
      <c r="E184" s="209"/>
      <c r="F184" s="209"/>
      <c r="G184" s="209"/>
    </row>
    <row r="185" spans="2:7" x14ac:dyDescent="0.25">
      <c r="B185" s="210">
        <v>45108</v>
      </c>
      <c r="C185" s="211">
        <v>10.719329999999999</v>
      </c>
      <c r="D185" s="209"/>
      <c r="E185" s="209"/>
      <c r="F185" s="209"/>
      <c r="G185" s="209"/>
    </row>
    <row r="186" spans="2:7" x14ac:dyDescent="0.25">
      <c r="B186" s="210">
        <v>45109</v>
      </c>
      <c r="C186" s="211">
        <v>10.719329999999999</v>
      </c>
      <c r="D186" s="209"/>
      <c r="E186" s="209"/>
      <c r="F186" s="209"/>
      <c r="G186" s="209"/>
    </row>
    <row r="187" spans="2:7" x14ac:dyDescent="0.25">
      <c r="B187" s="210">
        <v>45110</v>
      </c>
      <c r="C187" s="211">
        <v>10.69706</v>
      </c>
      <c r="D187" s="209"/>
      <c r="E187" s="209"/>
      <c r="F187" s="209"/>
      <c r="G187" s="209"/>
    </row>
    <row r="188" spans="2:7" x14ac:dyDescent="0.25">
      <c r="B188" s="210">
        <v>45111</v>
      </c>
      <c r="C188" s="211">
        <v>10.624040000000001</v>
      </c>
      <c r="D188" s="209"/>
      <c r="E188" s="209"/>
      <c r="F188" s="209"/>
      <c r="G188" s="209"/>
    </row>
    <row r="189" spans="2:7" x14ac:dyDescent="0.25">
      <c r="B189" s="210">
        <v>45112</v>
      </c>
      <c r="C189" s="211">
        <v>10.65339</v>
      </c>
      <c r="D189" s="209"/>
      <c r="E189" s="209"/>
      <c r="F189" s="209"/>
      <c r="G189" s="209"/>
    </row>
    <row r="190" spans="2:7" x14ac:dyDescent="0.25">
      <c r="B190" s="210">
        <v>45113</v>
      </c>
      <c r="C190" s="211">
        <v>10.79899</v>
      </c>
      <c r="D190" s="209"/>
      <c r="E190" s="209"/>
      <c r="F190" s="209"/>
      <c r="G190" s="209"/>
    </row>
    <row r="191" spans="2:7" x14ac:dyDescent="0.25">
      <c r="B191" s="210">
        <v>45114</v>
      </c>
      <c r="C191" s="211">
        <v>10.622439999999999</v>
      </c>
      <c r="D191" s="209"/>
      <c r="E191" s="209"/>
      <c r="F191" s="209"/>
      <c r="G191" s="209"/>
    </row>
    <row r="192" spans="2:7" x14ac:dyDescent="0.25">
      <c r="B192" s="210">
        <v>45115</v>
      </c>
      <c r="C192" s="211">
        <v>10.622439999999999</v>
      </c>
      <c r="D192" s="209"/>
      <c r="E192" s="209"/>
      <c r="F192" s="209"/>
      <c r="G192" s="209"/>
    </row>
    <row r="193" spans="2:7" x14ac:dyDescent="0.25">
      <c r="B193" s="210">
        <v>45116</v>
      </c>
      <c r="C193" s="211">
        <v>10.622439999999999</v>
      </c>
      <c r="D193" s="209"/>
      <c r="E193" s="209"/>
      <c r="F193" s="209"/>
      <c r="G193" s="209"/>
    </row>
    <row r="194" spans="2:7" x14ac:dyDescent="0.25">
      <c r="B194" s="210">
        <v>45117</v>
      </c>
      <c r="C194" s="211">
        <v>10.52575</v>
      </c>
      <c r="D194" s="209"/>
      <c r="E194" s="209"/>
      <c r="F194" s="209"/>
      <c r="G194" s="209"/>
    </row>
    <row r="195" spans="2:7" x14ac:dyDescent="0.25">
      <c r="B195" s="210">
        <v>45118</v>
      </c>
      <c r="C195" s="211">
        <v>10.38697</v>
      </c>
      <c r="D195" s="209"/>
      <c r="E195" s="209"/>
      <c r="F195" s="209"/>
      <c r="G195" s="209"/>
    </row>
    <row r="196" spans="2:7" x14ac:dyDescent="0.25">
      <c r="B196" s="210">
        <v>45119</v>
      </c>
      <c r="C196" s="211">
        <v>10.10244</v>
      </c>
      <c r="D196" s="209"/>
      <c r="E196" s="209"/>
      <c r="F196" s="209"/>
      <c r="G196" s="209"/>
    </row>
    <row r="197" spans="2:7" x14ac:dyDescent="0.25">
      <c r="B197" s="210">
        <v>45120</v>
      </c>
      <c r="C197" s="211">
        <v>10.003579999999999</v>
      </c>
      <c r="D197" s="209"/>
      <c r="E197" s="209"/>
      <c r="F197" s="209"/>
      <c r="G197" s="209"/>
    </row>
    <row r="198" spans="2:7" x14ac:dyDescent="0.25">
      <c r="B198" s="210">
        <v>45121</v>
      </c>
      <c r="C198" s="211">
        <v>9.9997299999999996</v>
      </c>
      <c r="D198" s="209"/>
      <c r="E198" s="209"/>
      <c r="F198" s="209"/>
      <c r="G198" s="209"/>
    </row>
    <row r="199" spans="2:7" x14ac:dyDescent="0.25">
      <c r="B199" s="210">
        <v>45122</v>
      </c>
      <c r="C199" s="211">
        <v>9.9997299999999996</v>
      </c>
      <c r="D199" s="209"/>
      <c r="E199" s="209"/>
      <c r="F199" s="209"/>
      <c r="G199" s="209"/>
    </row>
    <row r="200" spans="2:7" x14ac:dyDescent="0.25">
      <c r="B200" s="210">
        <v>45123</v>
      </c>
      <c r="C200" s="211">
        <v>9.9997299999999996</v>
      </c>
      <c r="D200" s="209"/>
      <c r="E200" s="209"/>
      <c r="F200" s="209"/>
      <c r="G200" s="209"/>
    </row>
    <row r="201" spans="2:7" x14ac:dyDescent="0.25">
      <c r="B201" s="210">
        <v>45124</v>
      </c>
      <c r="C201" s="211">
        <v>10.024010000000001</v>
      </c>
      <c r="D201" s="209"/>
      <c r="E201" s="209"/>
      <c r="F201" s="209"/>
      <c r="G201" s="209"/>
    </row>
    <row r="202" spans="2:7" x14ac:dyDescent="0.25">
      <c r="B202" s="210">
        <v>45125</v>
      </c>
      <c r="C202" s="211">
        <v>10.051740000000001</v>
      </c>
      <c r="D202" s="209"/>
      <c r="E202" s="209"/>
      <c r="F202" s="209"/>
      <c r="G202" s="209"/>
    </row>
    <row r="203" spans="2:7" x14ac:dyDescent="0.25">
      <c r="B203" s="210">
        <v>45126</v>
      </c>
      <c r="C203" s="211">
        <v>10.04387</v>
      </c>
      <c r="D203" s="209"/>
      <c r="E203" s="209"/>
      <c r="F203" s="209"/>
      <c r="G203" s="209"/>
    </row>
    <row r="204" spans="2:7" x14ac:dyDescent="0.25">
      <c r="B204" s="210">
        <v>45127</v>
      </c>
      <c r="C204" s="211">
        <v>10.053140000000001</v>
      </c>
      <c r="D204" s="209"/>
      <c r="E204" s="209"/>
      <c r="F204" s="209"/>
      <c r="G204" s="209"/>
    </row>
    <row r="205" spans="2:7" x14ac:dyDescent="0.25">
      <c r="B205" s="210">
        <v>45128</v>
      </c>
      <c r="C205" s="211">
        <v>10.09385</v>
      </c>
      <c r="D205" s="209"/>
      <c r="E205" s="209"/>
      <c r="F205" s="209"/>
      <c r="G205" s="209"/>
    </row>
    <row r="206" spans="2:7" x14ac:dyDescent="0.25">
      <c r="B206" s="210">
        <v>45129</v>
      </c>
      <c r="C206" s="211">
        <v>10.09385</v>
      </c>
      <c r="D206" s="209"/>
      <c r="E206" s="209"/>
      <c r="F206" s="209"/>
      <c r="G206" s="209"/>
    </row>
    <row r="207" spans="2:7" x14ac:dyDescent="0.25">
      <c r="B207" s="210">
        <v>45130</v>
      </c>
      <c r="C207" s="211">
        <v>10.09385</v>
      </c>
      <c r="D207" s="209"/>
      <c r="E207" s="209"/>
      <c r="F207" s="209"/>
      <c r="G207" s="209"/>
    </row>
    <row r="208" spans="2:7" x14ac:dyDescent="0.25">
      <c r="B208" s="210">
        <v>45131</v>
      </c>
      <c r="C208" s="211">
        <v>10.07719</v>
      </c>
      <c r="D208" s="209"/>
      <c r="E208" s="209"/>
      <c r="F208" s="209"/>
      <c r="G208" s="209"/>
    </row>
    <row r="209" spans="2:7" x14ac:dyDescent="0.25">
      <c r="B209" s="210">
        <v>45132</v>
      </c>
      <c r="C209" s="211">
        <v>10.09023</v>
      </c>
      <c r="D209" s="209"/>
      <c r="E209" s="209"/>
      <c r="F209" s="209"/>
      <c r="G209" s="209"/>
    </row>
    <row r="210" spans="2:7" x14ac:dyDescent="0.25">
      <c r="B210" s="210">
        <v>45133</v>
      </c>
      <c r="C210" s="211">
        <v>10.110340000000001</v>
      </c>
      <c r="D210" s="209"/>
      <c r="E210" s="209"/>
      <c r="F210" s="209"/>
      <c r="G210" s="209"/>
    </row>
    <row r="211" spans="2:7" x14ac:dyDescent="0.25">
      <c r="B211" s="210">
        <v>45134</v>
      </c>
      <c r="C211" s="211">
        <v>10.13165</v>
      </c>
      <c r="D211" s="209"/>
      <c r="E211" s="209"/>
      <c r="F211" s="209"/>
      <c r="G211" s="209"/>
    </row>
    <row r="212" spans="2:7" x14ac:dyDescent="0.25">
      <c r="B212" s="210">
        <v>45135</v>
      </c>
      <c r="C212" s="211">
        <v>10.16353</v>
      </c>
      <c r="D212" s="209"/>
      <c r="E212" s="209"/>
      <c r="F212" s="209"/>
      <c r="G212" s="209"/>
    </row>
    <row r="213" spans="2:7" x14ac:dyDescent="0.25">
      <c r="B213" s="210">
        <v>45136</v>
      </c>
      <c r="C213" s="211">
        <v>10.16353</v>
      </c>
      <c r="D213" s="209"/>
      <c r="E213" s="209"/>
      <c r="F213" s="209"/>
      <c r="G213" s="209"/>
    </row>
    <row r="214" spans="2:7" x14ac:dyDescent="0.25">
      <c r="B214" s="210">
        <v>45137</v>
      </c>
      <c r="C214" s="211">
        <v>10.16353</v>
      </c>
      <c r="D214" s="209"/>
      <c r="E214" s="209"/>
      <c r="F214" s="209"/>
      <c r="G214" s="209"/>
    </row>
    <row r="215" spans="2:7" x14ac:dyDescent="0.25">
      <c r="B215" s="210">
        <v>45138</v>
      </c>
      <c r="C215" s="211">
        <v>10.098140000000001</v>
      </c>
      <c r="D215" s="209"/>
      <c r="E215" s="209"/>
      <c r="F215" s="209"/>
      <c r="G215" s="209"/>
    </row>
    <row r="216" spans="2:7" x14ac:dyDescent="0.25">
      <c r="B216" s="210">
        <v>45139</v>
      </c>
      <c r="C216" s="211">
        <v>10.227169999999999</v>
      </c>
      <c r="D216" s="209"/>
      <c r="E216" s="209"/>
      <c r="F216" s="209"/>
      <c r="G216" s="209"/>
    </row>
    <row r="217" spans="2:7" x14ac:dyDescent="0.25">
      <c r="B217" s="210">
        <v>45140</v>
      </c>
      <c r="C217" s="211">
        <v>10.283989999999999</v>
      </c>
      <c r="D217" s="209"/>
      <c r="E217" s="209"/>
      <c r="F217" s="209"/>
      <c r="G217" s="209"/>
    </row>
    <row r="218" spans="2:7" x14ac:dyDescent="0.25">
      <c r="B218" s="210">
        <v>45141</v>
      </c>
      <c r="C218" s="211">
        <v>10.22369</v>
      </c>
      <c r="D218" s="209"/>
      <c r="E218" s="209"/>
      <c r="F218" s="209"/>
      <c r="G218" s="209"/>
    </row>
    <row r="219" spans="2:7" x14ac:dyDescent="0.25">
      <c r="B219" s="210">
        <v>45142</v>
      </c>
      <c r="C219" s="211">
        <v>10.10191</v>
      </c>
      <c r="D219" s="209"/>
      <c r="E219" s="209"/>
      <c r="F219" s="209"/>
      <c r="G219" s="209"/>
    </row>
    <row r="220" spans="2:7" x14ac:dyDescent="0.25">
      <c r="B220" s="210">
        <v>45143</v>
      </c>
      <c r="C220" s="211">
        <v>10.10191</v>
      </c>
      <c r="D220" s="209"/>
      <c r="E220" s="209"/>
      <c r="F220" s="209"/>
      <c r="G220" s="209"/>
    </row>
    <row r="221" spans="2:7" x14ac:dyDescent="0.25">
      <c r="B221" s="210">
        <v>45144</v>
      </c>
      <c r="C221" s="211">
        <v>10.10191</v>
      </c>
      <c r="D221" s="209"/>
      <c r="E221" s="209"/>
      <c r="F221" s="209"/>
      <c r="G221" s="209"/>
    </row>
    <row r="222" spans="2:7" x14ac:dyDescent="0.25">
      <c r="B222" s="210">
        <v>45145</v>
      </c>
      <c r="C222" s="211">
        <v>10.167465</v>
      </c>
      <c r="D222" s="209"/>
      <c r="E222" s="209"/>
      <c r="F222" s="209"/>
      <c r="G222" s="209"/>
    </row>
    <row r="223" spans="2:7" x14ac:dyDescent="0.25">
      <c r="B223" s="210">
        <v>45146</v>
      </c>
      <c r="C223" s="211">
        <v>10.298999999999999</v>
      </c>
      <c r="D223" s="209"/>
      <c r="E223" s="209"/>
      <c r="F223" s="209"/>
      <c r="G223" s="209"/>
    </row>
    <row r="224" spans="2:7" x14ac:dyDescent="0.25">
      <c r="B224" s="210">
        <v>45147</v>
      </c>
      <c r="C224" s="211">
        <v>10.23335</v>
      </c>
      <c r="D224" s="209"/>
      <c r="E224" s="209"/>
      <c r="F224" s="209"/>
      <c r="G224" s="209"/>
    </row>
    <row r="225" spans="2:7" x14ac:dyDescent="0.25">
      <c r="B225" s="210">
        <v>45148</v>
      </c>
      <c r="C225" s="211">
        <v>10.22106</v>
      </c>
      <c r="D225" s="209"/>
      <c r="E225" s="209"/>
      <c r="F225" s="209"/>
      <c r="G225" s="209"/>
    </row>
    <row r="226" spans="2:7" x14ac:dyDescent="0.25">
      <c r="B226" s="210">
        <v>45149</v>
      </c>
      <c r="C226" s="211">
        <v>10.4284</v>
      </c>
      <c r="D226" s="209"/>
      <c r="E226" s="209"/>
      <c r="F226" s="209"/>
      <c r="G226" s="209"/>
    </row>
    <row r="227" spans="2:7" x14ac:dyDescent="0.25">
      <c r="B227" s="210">
        <v>45150</v>
      </c>
      <c r="C227" s="211">
        <v>10.4284</v>
      </c>
      <c r="D227" s="209"/>
      <c r="E227" s="209"/>
      <c r="F227" s="209"/>
      <c r="G227" s="209"/>
    </row>
    <row r="228" spans="2:7" x14ac:dyDescent="0.25">
      <c r="B228" s="210">
        <v>45151</v>
      </c>
      <c r="C228" s="211">
        <v>10.4284</v>
      </c>
      <c r="D228" s="209"/>
      <c r="E228" s="209"/>
      <c r="F228" s="209"/>
      <c r="G228" s="209"/>
    </row>
    <row r="229" spans="2:7" x14ac:dyDescent="0.25">
      <c r="B229" s="210">
        <v>45152</v>
      </c>
      <c r="C229" s="211">
        <v>10.46707</v>
      </c>
      <c r="D229" s="209"/>
      <c r="E229" s="209"/>
      <c r="F229" s="209"/>
      <c r="G229" s="209"/>
    </row>
    <row r="230" spans="2:7" x14ac:dyDescent="0.25">
      <c r="B230" s="210">
        <v>45153</v>
      </c>
      <c r="C230" s="211">
        <v>10.498060000000001</v>
      </c>
      <c r="D230" s="209"/>
      <c r="E230" s="209"/>
      <c r="F230" s="209"/>
      <c r="G230" s="209"/>
    </row>
    <row r="231" spans="2:7" x14ac:dyDescent="0.25">
      <c r="B231" s="210">
        <v>45154</v>
      </c>
      <c r="C231" s="211">
        <v>10.547549999999999</v>
      </c>
      <c r="D231" s="209"/>
      <c r="E231" s="209"/>
      <c r="F231" s="209"/>
      <c r="G231" s="209"/>
    </row>
    <row r="232" spans="2:7" x14ac:dyDescent="0.25">
      <c r="B232" s="210">
        <v>45155</v>
      </c>
      <c r="C232" s="211">
        <v>10.5745</v>
      </c>
      <c r="D232" s="209"/>
      <c r="E232" s="209"/>
      <c r="F232" s="209"/>
      <c r="G232" s="209"/>
    </row>
    <row r="233" spans="2:7" x14ac:dyDescent="0.25">
      <c r="B233" s="210">
        <v>45156</v>
      </c>
      <c r="C233" s="211">
        <v>10.6425</v>
      </c>
      <c r="D233" s="209"/>
      <c r="E233" s="209"/>
      <c r="F233" s="209"/>
      <c r="G233" s="209"/>
    </row>
    <row r="234" spans="2:7" x14ac:dyDescent="0.25">
      <c r="B234" s="210">
        <v>45157</v>
      </c>
      <c r="C234" s="211">
        <v>10.6425</v>
      </c>
      <c r="D234" s="209"/>
      <c r="E234" s="209"/>
      <c r="F234" s="209"/>
      <c r="G234" s="209"/>
    </row>
    <row r="235" spans="2:7" x14ac:dyDescent="0.25">
      <c r="B235" s="210">
        <v>45158</v>
      </c>
      <c r="C235" s="211">
        <v>10.6425</v>
      </c>
      <c r="D235" s="209"/>
      <c r="E235" s="209"/>
      <c r="F235" s="209"/>
      <c r="G235" s="209"/>
    </row>
    <row r="236" spans="2:7" x14ac:dyDescent="0.25">
      <c r="B236" s="210">
        <v>45159</v>
      </c>
      <c r="C236" s="211">
        <v>10.63002</v>
      </c>
      <c r="D236" s="209"/>
      <c r="E236" s="209"/>
      <c r="F236" s="209"/>
      <c r="G236" s="209"/>
    </row>
    <row r="237" spans="2:7" x14ac:dyDescent="0.25">
      <c r="B237" s="210">
        <v>45160</v>
      </c>
      <c r="C237" s="211">
        <v>10.62842</v>
      </c>
      <c r="D237" s="209"/>
      <c r="E237" s="209"/>
      <c r="F237" s="209"/>
      <c r="G237" s="209"/>
    </row>
    <row r="238" spans="2:7" x14ac:dyDescent="0.25">
      <c r="B238" s="210">
        <v>45161</v>
      </c>
      <c r="C238" s="211">
        <v>10.619160000000001</v>
      </c>
      <c r="D238" s="209"/>
      <c r="E238" s="209"/>
      <c r="F238" s="209"/>
      <c r="G238" s="209"/>
    </row>
    <row r="239" spans="2:7" x14ac:dyDescent="0.25">
      <c r="B239" s="210">
        <v>45162</v>
      </c>
      <c r="C239" s="211">
        <v>10.687295000000001</v>
      </c>
      <c r="D239" s="209"/>
      <c r="E239" s="209"/>
      <c r="F239" s="209"/>
      <c r="G239" s="209"/>
    </row>
    <row r="240" spans="2:7" x14ac:dyDescent="0.25">
      <c r="B240" s="210">
        <v>45163</v>
      </c>
      <c r="C240" s="211">
        <v>10.72143</v>
      </c>
      <c r="D240" s="209"/>
      <c r="E240" s="209"/>
      <c r="F240" s="209"/>
      <c r="G240" s="209"/>
    </row>
    <row r="241" spans="2:7" x14ac:dyDescent="0.25">
      <c r="B241" s="210">
        <v>45164</v>
      </c>
      <c r="C241" s="211">
        <v>10.72143</v>
      </c>
      <c r="D241" s="209"/>
      <c r="E241" s="209"/>
      <c r="F241" s="209"/>
      <c r="G241" s="209"/>
    </row>
    <row r="242" spans="2:7" x14ac:dyDescent="0.25">
      <c r="B242" s="210">
        <v>45165</v>
      </c>
      <c r="C242" s="211">
        <v>10.72143</v>
      </c>
      <c r="D242" s="209"/>
      <c r="E242" s="209"/>
      <c r="F242" s="209"/>
      <c r="G242" s="209"/>
    </row>
    <row r="243" spans="2:7" x14ac:dyDescent="0.25">
      <c r="B243" s="210">
        <v>45166</v>
      </c>
      <c r="C243" s="211">
        <v>10.73194</v>
      </c>
      <c r="D243" s="209"/>
      <c r="E243" s="209"/>
      <c r="F243" s="209"/>
      <c r="G243" s="209"/>
    </row>
    <row r="244" spans="2:7" x14ac:dyDescent="0.25">
      <c r="B244" s="210">
        <v>45167</v>
      </c>
      <c r="C244" s="211">
        <v>10.647640000000001</v>
      </c>
      <c r="D244" s="209"/>
      <c r="E244" s="209"/>
      <c r="F244" s="209"/>
      <c r="G244" s="209"/>
    </row>
    <row r="245" spans="2:7" x14ac:dyDescent="0.25">
      <c r="B245" s="210">
        <v>45168</v>
      </c>
      <c r="C245" s="211">
        <v>10.566929999999999</v>
      </c>
      <c r="D245" s="209"/>
      <c r="E245" s="209"/>
      <c r="F245" s="209"/>
      <c r="G245" s="209"/>
    </row>
    <row r="246" spans="2:7" x14ac:dyDescent="0.25">
      <c r="B246" s="210">
        <v>45169</v>
      </c>
      <c r="C246" s="211">
        <v>10.65043</v>
      </c>
      <c r="D246" s="209"/>
      <c r="E246" s="209"/>
      <c r="F246" s="209"/>
      <c r="G246" s="209"/>
    </row>
    <row r="247" spans="2:7" x14ac:dyDescent="0.25">
      <c r="B247" s="210">
        <v>45170</v>
      </c>
      <c r="C247" s="211">
        <v>10.67366</v>
      </c>
      <c r="D247" s="209"/>
      <c r="E247" s="209"/>
      <c r="F247" s="209"/>
      <c r="G247" s="209"/>
    </row>
    <row r="248" spans="2:7" x14ac:dyDescent="0.25">
      <c r="B248" s="210">
        <v>45171</v>
      </c>
      <c r="C248" s="211">
        <v>10.67366</v>
      </c>
      <c r="D248" s="209"/>
      <c r="E248" s="209"/>
      <c r="F248" s="209"/>
      <c r="G248" s="209"/>
    </row>
    <row r="249" spans="2:7" x14ac:dyDescent="0.25">
      <c r="B249" s="210">
        <v>45172</v>
      </c>
      <c r="C249" s="211">
        <v>10.67366</v>
      </c>
      <c r="D249" s="209"/>
      <c r="E249" s="209"/>
      <c r="F249" s="209"/>
      <c r="G249" s="209"/>
    </row>
    <row r="250" spans="2:7" x14ac:dyDescent="0.25">
      <c r="B250" s="210">
        <v>45173</v>
      </c>
      <c r="C250" s="211">
        <v>10.662459999999999</v>
      </c>
      <c r="D250" s="209"/>
      <c r="E250" s="209"/>
      <c r="F250" s="209"/>
      <c r="G250" s="209"/>
    </row>
    <row r="251" spans="2:7" x14ac:dyDescent="0.25">
      <c r="B251" s="210">
        <v>45174</v>
      </c>
      <c r="C251" s="211">
        <v>10.72723</v>
      </c>
      <c r="D251" s="209"/>
      <c r="E251" s="209"/>
      <c r="F251" s="209"/>
      <c r="G251" s="209"/>
    </row>
    <row r="252" spans="2:7" x14ac:dyDescent="0.25">
      <c r="B252" s="210">
        <v>45175</v>
      </c>
      <c r="C252" s="211">
        <v>10.737655</v>
      </c>
      <c r="D252" s="209"/>
      <c r="E252" s="209"/>
      <c r="F252" s="209"/>
      <c r="G252" s="209"/>
    </row>
    <row r="253" spans="2:7" x14ac:dyDescent="0.25">
      <c r="B253" s="210">
        <v>45176</v>
      </c>
      <c r="C253" s="211">
        <v>10.71781</v>
      </c>
      <c r="D253" s="209"/>
      <c r="E253" s="209"/>
      <c r="F253" s="209"/>
      <c r="G253" s="209"/>
    </row>
    <row r="254" spans="2:7" x14ac:dyDescent="0.25">
      <c r="B254" s="210">
        <v>45177</v>
      </c>
      <c r="C254" s="211">
        <v>10.66427</v>
      </c>
      <c r="D254" s="209"/>
      <c r="E254" s="209"/>
      <c r="F254" s="209"/>
      <c r="G254" s="209"/>
    </row>
    <row r="255" spans="2:7" x14ac:dyDescent="0.25">
      <c r="B255" s="210">
        <v>45178</v>
      </c>
      <c r="C255" s="211">
        <v>10.66427</v>
      </c>
      <c r="D255" s="209"/>
      <c r="E255" s="209"/>
      <c r="F255" s="209"/>
      <c r="G255" s="209"/>
    </row>
    <row r="256" spans="2:7" x14ac:dyDescent="0.25">
      <c r="B256" s="210">
        <v>45179</v>
      </c>
      <c r="C256" s="211">
        <v>10.66427</v>
      </c>
      <c r="D256" s="209"/>
      <c r="E256" s="209"/>
      <c r="F256" s="209"/>
      <c r="G256" s="209"/>
    </row>
    <row r="257" spans="2:7" x14ac:dyDescent="0.25">
      <c r="B257" s="210">
        <v>45180</v>
      </c>
      <c r="C257" s="211">
        <v>10.65767</v>
      </c>
      <c r="D257" s="209"/>
      <c r="E257" s="209"/>
      <c r="F257" s="209"/>
      <c r="G257" s="209"/>
    </row>
    <row r="258" spans="2:7" x14ac:dyDescent="0.25">
      <c r="B258" s="210">
        <v>45181</v>
      </c>
      <c r="C258" s="211">
        <v>10.679690000000001</v>
      </c>
      <c r="D258" s="209"/>
      <c r="E258" s="209"/>
      <c r="F258" s="209"/>
      <c r="G258" s="209"/>
    </row>
    <row r="259" spans="2:7" x14ac:dyDescent="0.25">
      <c r="B259" s="210">
        <v>45182</v>
      </c>
      <c r="C259" s="211">
        <v>10.69445</v>
      </c>
      <c r="D259" s="209"/>
      <c r="E259" s="209"/>
      <c r="F259" s="209"/>
      <c r="G259" s="209"/>
    </row>
    <row r="260" spans="2:7" x14ac:dyDescent="0.25">
      <c r="B260" s="210">
        <v>45183</v>
      </c>
      <c r="C260" s="211">
        <v>10.72029</v>
      </c>
      <c r="D260" s="209"/>
      <c r="E260" s="209"/>
      <c r="F260" s="209"/>
      <c r="G260" s="209"/>
    </row>
    <row r="261" spans="2:7" x14ac:dyDescent="0.25">
      <c r="B261" s="210">
        <v>45184</v>
      </c>
      <c r="C261" s="211">
        <v>10.747769999999999</v>
      </c>
      <c r="D261" s="209"/>
      <c r="E261" s="209"/>
      <c r="F261" s="209"/>
      <c r="G261" s="209"/>
    </row>
    <row r="262" spans="2:7" x14ac:dyDescent="0.25">
      <c r="B262" s="210">
        <v>45185</v>
      </c>
      <c r="C262" s="211">
        <v>10.747769999999999</v>
      </c>
      <c r="D262" s="209"/>
      <c r="E262" s="209"/>
      <c r="F262" s="209"/>
      <c r="G262" s="209"/>
    </row>
    <row r="263" spans="2:7" x14ac:dyDescent="0.25">
      <c r="B263" s="210">
        <v>45186</v>
      </c>
      <c r="C263" s="211">
        <v>10.747769999999999</v>
      </c>
      <c r="D263" s="209"/>
      <c r="E263" s="209"/>
      <c r="F263" s="209"/>
      <c r="G263" s="209"/>
    </row>
    <row r="264" spans="2:7" x14ac:dyDescent="0.25">
      <c r="B264" s="210">
        <v>45187</v>
      </c>
      <c r="C264" s="211">
        <v>10.792820000000001</v>
      </c>
      <c r="D264" s="209"/>
      <c r="E264" s="209"/>
      <c r="F264" s="209"/>
      <c r="G264" s="209"/>
    </row>
    <row r="265" spans="2:7" x14ac:dyDescent="0.25">
      <c r="B265" s="210">
        <v>45188</v>
      </c>
      <c r="C265" s="211">
        <v>10.757300000000001</v>
      </c>
      <c r="D265" s="209"/>
      <c r="E265" s="209"/>
      <c r="F265" s="209"/>
      <c r="G265" s="209"/>
    </row>
    <row r="266" spans="2:7" x14ac:dyDescent="0.25">
      <c r="B266" s="210">
        <v>45189</v>
      </c>
      <c r="C266" s="211">
        <v>10.701180000000001</v>
      </c>
      <c r="D266" s="209"/>
      <c r="E266" s="209"/>
      <c r="F266" s="209"/>
      <c r="G266" s="209"/>
    </row>
    <row r="267" spans="2:7" x14ac:dyDescent="0.25">
      <c r="B267" s="210">
        <v>45190</v>
      </c>
      <c r="C267" s="211">
        <v>10.768929999999999</v>
      </c>
      <c r="D267" s="209"/>
      <c r="E267" s="209"/>
      <c r="F267" s="209"/>
      <c r="G267" s="209"/>
    </row>
    <row r="268" spans="2:7" x14ac:dyDescent="0.25">
      <c r="B268" s="210">
        <v>45191</v>
      </c>
      <c r="C268" s="211">
        <v>10.72903</v>
      </c>
      <c r="D268" s="209"/>
      <c r="E268" s="209"/>
      <c r="F268" s="209"/>
      <c r="G268" s="209"/>
    </row>
    <row r="269" spans="2:7" x14ac:dyDescent="0.25">
      <c r="B269" s="210">
        <v>45192</v>
      </c>
      <c r="C269" s="211">
        <v>10.72903</v>
      </c>
      <c r="D269" s="209"/>
      <c r="E269" s="209"/>
      <c r="F269" s="209"/>
      <c r="G269" s="209"/>
    </row>
    <row r="270" spans="2:7" x14ac:dyDescent="0.25">
      <c r="B270" s="210">
        <v>45193</v>
      </c>
      <c r="C270" s="211">
        <v>10.72903</v>
      </c>
      <c r="D270" s="209"/>
      <c r="E270" s="209"/>
      <c r="F270" s="209"/>
      <c r="G270" s="209"/>
    </row>
    <row r="271" spans="2:7" x14ac:dyDescent="0.25">
      <c r="B271" s="210">
        <v>45194</v>
      </c>
      <c r="C271" s="211">
        <v>10.7966</v>
      </c>
      <c r="D271" s="209"/>
      <c r="E271" s="209"/>
      <c r="F271" s="209"/>
      <c r="G271" s="209"/>
    </row>
    <row r="272" spans="2:7" x14ac:dyDescent="0.25">
      <c r="B272" s="210">
        <v>45195</v>
      </c>
      <c r="C272" s="211">
        <v>10.814690000000001</v>
      </c>
      <c r="D272" s="209"/>
      <c r="E272" s="209"/>
      <c r="F272" s="209"/>
      <c r="G272" s="209"/>
    </row>
    <row r="273" spans="2:7" x14ac:dyDescent="0.25">
      <c r="B273" s="210">
        <v>45196</v>
      </c>
      <c r="C273" s="211">
        <v>10.72852</v>
      </c>
      <c r="D273" s="209"/>
      <c r="E273" s="209"/>
      <c r="F273" s="209"/>
      <c r="G273" s="209"/>
    </row>
    <row r="274" spans="2:7" x14ac:dyDescent="0.25">
      <c r="B274" s="210">
        <v>45197</v>
      </c>
      <c r="C274" s="211">
        <v>10.726509999999999</v>
      </c>
      <c r="D274" s="209"/>
      <c r="E274" s="209"/>
      <c r="F274" s="209"/>
      <c r="G274" s="209"/>
    </row>
    <row r="275" spans="2:7" x14ac:dyDescent="0.25">
      <c r="B275" s="210">
        <v>45198</v>
      </c>
      <c r="C275" s="211">
        <v>10.664440000000001</v>
      </c>
      <c r="D275" s="209"/>
      <c r="E275" s="209"/>
      <c r="F275" s="209"/>
      <c r="G275" s="209"/>
    </row>
    <row r="276" spans="2:7" x14ac:dyDescent="0.25">
      <c r="B276" s="210">
        <v>45199</v>
      </c>
      <c r="C276" s="211">
        <v>10.664440000000001</v>
      </c>
      <c r="D276" s="209"/>
      <c r="E276" s="209"/>
      <c r="F276" s="209"/>
      <c r="G276" s="209"/>
    </row>
    <row r="277" spans="2:7" x14ac:dyDescent="0.25">
      <c r="B277" s="210">
        <v>45200</v>
      </c>
      <c r="C277" s="211">
        <v>10.664440000000001</v>
      </c>
      <c r="D277" s="209"/>
      <c r="E277" s="209"/>
      <c r="F277" s="209"/>
      <c r="G277" s="209"/>
    </row>
    <row r="278" spans="2:7" x14ac:dyDescent="0.25">
      <c r="B278" s="210">
        <v>45201</v>
      </c>
      <c r="C278" s="211">
        <v>10.81128</v>
      </c>
      <c r="D278" s="209"/>
      <c r="E278" s="209"/>
      <c r="F278" s="209"/>
      <c r="G278" s="209"/>
    </row>
    <row r="279" spans="2:7" x14ac:dyDescent="0.25">
      <c r="B279" s="210">
        <v>45202</v>
      </c>
      <c r="C279" s="211">
        <v>10.98892</v>
      </c>
      <c r="D279" s="209"/>
      <c r="E279" s="209"/>
      <c r="F279" s="209"/>
      <c r="G279" s="209"/>
    </row>
    <row r="280" spans="2:7" x14ac:dyDescent="0.25">
      <c r="B280" s="210">
        <v>45203</v>
      </c>
      <c r="C280" s="211">
        <v>10.99226</v>
      </c>
      <c r="D280" s="209"/>
      <c r="E280" s="209"/>
      <c r="F280" s="209"/>
      <c r="G280" s="209"/>
    </row>
    <row r="281" spans="2:7" x14ac:dyDescent="0.25">
      <c r="B281" s="210">
        <v>45204</v>
      </c>
      <c r="C281" s="211">
        <v>10.99719</v>
      </c>
      <c r="D281" s="209"/>
      <c r="E281" s="209"/>
      <c r="F281" s="209"/>
      <c r="G281" s="209"/>
    </row>
    <row r="282" spans="2:7" x14ac:dyDescent="0.25">
      <c r="B282" s="210">
        <v>45205</v>
      </c>
      <c r="C282" s="211">
        <v>10.935079999999999</v>
      </c>
      <c r="D282" s="209"/>
      <c r="E282" s="209"/>
      <c r="F282" s="209"/>
      <c r="G282" s="209"/>
    </row>
    <row r="283" spans="2:7" x14ac:dyDescent="0.25">
      <c r="B283" s="210">
        <v>45206</v>
      </c>
      <c r="C283" s="211">
        <v>10.935079999999999</v>
      </c>
      <c r="D283" s="209"/>
      <c r="E283" s="209"/>
      <c r="F283" s="209"/>
      <c r="G283" s="209"/>
    </row>
    <row r="284" spans="2:7" x14ac:dyDescent="0.25">
      <c r="B284" s="210">
        <v>45207</v>
      </c>
      <c r="C284" s="211">
        <v>10.935079999999999</v>
      </c>
      <c r="D284" s="209"/>
      <c r="E284" s="209"/>
      <c r="F284" s="209"/>
      <c r="G284" s="209"/>
    </row>
    <row r="285" spans="2:7" x14ac:dyDescent="0.25">
      <c r="B285" s="210">
        <v>45208</v>
      </c>
      <c r="C285" s="211">
        <v>10.82619</v>
      </c>
      <c r="D285" s="209"/>
      <c r="E285" s="209"/>
      <c r="F285" s="209"/>
      <c r="G285" s="209"/>
    </row>
    <row r="286" spans="2:7" x14ac:dyDescent="0.25">
      <c r="B286" s="210">
        <v>45209</v>
      </c>
      <c r="C286" s="211">
        <v>10.8171</v>
      </c>
      <c r="D286" s="209"/>
      <c r="E286" s="209"/>
      <c r="F286" s="209"/>
      <c r="G286" s="209"/>
    </row>
    <row r="287" spans="2:7" x14ac:dyDescent="0.25">
      <c r="B287" s="210">
        <v>45210</v>
      </c>
      <c r="C287" s="211">
        <v>10.8531</v>
      </c>
      <c r="D287" s="209"/>
      <c r="E287" s="209"/>
      <c r="F287" s="209"/>
      <c r="G287" s="209"/>
    </row>
    <row r="288" spans="2:7" x14ac:dyDescent="0.25">
      <c r="B288" s="210">
        <v>45211</v>
      </c>
      <c r="C288" s="211">
        <v>10.95453</v>
      </c>
      <c r="D288" s="209"/>
      <c r="E288" s="209"/>
      <c r="F288" s="209"/>
      <c r="G288" s="209"/>
    </row>
    <row r="289" spans="2:7" x14ac:dyDescent="0.25">
      <c r="B289" s="210">
        <v>45212</v>
      </c>
      <c r="C289" s="211">
        <v>10.96308</v>
      </c>
      <c r="D289" s="209"/>
      <c r="E289" s="209"/>
      <c r="F289" s="209"/>
      <c r="G289" s="209"/>
    </row>
    <row r="290" spans="2:7" x14ac:dyDescent="0.25">
      <c r="B290" s="210">
        <v>45213</v>
      </c>
      <c r="C290" s="211">
        <v>10.96308</v>
      </c>
      <c r="D290" s="209"/>
      <c r="E290" s="209"/>
      <c r="F290" s="209"/>
      <c r="G290" s="209"/>
    </row>
    <row r="291" spans="2:7" x14ac:dyDescent="0.25">
      <c r="B291" s="210">
        <v>45214</v>
      </c>
      <c r="C291" s="211">
        <v>10.96308</v>
      </c>
      <c r="D291" s="209"/>
      <c r="E291" s="209"/>
      <c r="F291" s="209"/>
      <c r="G291" s="209"/>
    </row>
    <row r="292" spans="2:7" x14ac:dyDescent="0.25">
      <c r="B292" s="210">
        <v>45215</v>
      </c>
      <c r="C292" s="211">
        <v>10.946440000000001</v>
      </c>
      <c r="D292" s="209"/>
      <c r="E292" s="209"/>
      <c r="F292" s="209"/>
      <c r="G292" s="209"/>
    </row>
    <row r="293" spans="2:7" x14ac:dyDescent="0.25">
      <c r="B293" s="210">
        <v>45216</v>
      </c>
      <c r="C293" s="211">
        <v>10.96388</v>
      </c>
      <c r="D293" s="209"/>
      <c r="E293" s="209"/>
      <c r="F293" s="209"/>
      <c r="G293" s="209"/>
    </row>
    <row r="294" spans="2:7" x14ac:dyDescent="0.25">
      <c r="B294" s="210">
        <v>45217</v>
      </c>
      <c r="C294" s="211">
        <v>11.068619999999999</v>
      </c>
      <c r="D294" s="209"/>
      <c r="E294" s="209"/>
      <c r="F294" s="209"/>
      <c r="G294" s="209"/>
    </row>
    <row r="295" spans="2:7" x14ac:dyDescent="0.25">
      <c r="B295" s="210">
        <v>45218</v>
      </c>
      <c r="C295" s="211">
        <v>11.028930000000001</v>
      </c>
      <c r="D295" s="209"/>
      <c r="E295" s="209"/>
      <c r="F295" s="209"/>
      <c r="G295" s="209"/>
    </row>
    <row r="296" spans="2:7" x14ac:dyDescent="0.25">
      <c r="B296" s="210">
        <v>45219</v>
      </c>
      <c r="C296" s="211">
        <v>11.03797</v>
      </c>
      <c r="D296" s="209"/>
      <c r="E296" s="209"/>
      <c r="F296" s="209"/>
      <c r="G296" s="209"/>
    </row>
    <row r="297" spans="2:7" x14ac:dyDescent="0.25">
      <c r="B297" s="210">
        <v>45220</v>
      </c>
      <c r="C297" s="211">
        <v>11.03797</v>
      </c>
      <c r="D297" s="209"/>
      <c r="E297" s="209"/>
      <c r="F297" s="209"/>
      <c r="G297" s="209"/>
    </row>
    <row r="298" spans="2:7" x14ac:dyDescent="0.25">
      <c r="B298" s="210">
        <v>45221</v>
      </c>
      <c r="C298" s="211">
        <v>11.03797</v>
      </c>
      <c r="D298" s="209"/>
      <c r="E298" s="209"/>
      <c r="F298" s="209"/>
      <c r="G298" s="209"/>
    </row>
    <row r="299" spans="2:7" x14ac:dyDescent="0.25">
      <c r="B299" s="210">
        <v>45222</v>
      </c>
      <c r="C299" s="211">
        <v>11.087009999999999</v>
      </c>
      <c r="D299" s="209"/>
      <c r="E299" s="209"/>
      <c r="F299" s="209"/>
      <c r="G299" s="209"/>
    </row>
    <row r="300" spans="2:7" x14ac:dyDescent="0.25">
      <c r="B300" s="210">
        <v>45223</v>
      </c>
      <c r="C300" s="211">
        <v>11.185029999999999</v>
      </c>
      <c r="D300" s="209"/>
      <c r="E300" s="209"/>
      <c r="F300" s="209"/>
      <c r="G300" s="209"/>
    </row>
    <row r="301" spans="2:7" x14ac:dyDescent="0.25">
      <c r="B301" s="210">
        <v>45224</v>
      </c>
      <c r="C301" s="211">
        <v>11.16757</v>
      </c>
      <c r="D301" s="209"/>
      <c r="E301" s="209"/>
      <c r="F301" s="209"/>
      <c r="G301" s="209"/>
    </row>
    <row r="302" spans="2:7" x14ac:dyDescent="0.25">
      <c r="B302" s="210">
        <v>45225</v>
      </c>
      <c r="C302" s="211">
        <v>11.24583</v>
      </c>
      <c r="D302" s="209"/>
      <c r="E302" s="209"/>
      <c r="F302" s="209"/>
      <c r="G302" s="209"/>
    </row>
    <row r="303" spans="2:7" x14ac:dyDescent="0.25">
      <c r="B303" s="210">
        <v>45226</v>
      </c>
      <c r="C303" s="211">
        <v>11.16827</v>
      </c>
      <c r="D303" s="209"/>
      <c r="E303" s="209"/>
      <c r="F303" s="209"/>
      <c r="G303" s="209"/>
    </row>
    <row r="304" spans="2:7" x14ac:dyDescent="0.25">
      <c r="B304" s="210">
        <v>45227</v>
      </c>
      <c r="C304" s="211">
        <v>11.16827</v>
      </c>
      <c r="D304" s="209"/>
      <c r="E304" s="209"/>
      <c r="F304" s="209"/>
      <c r="G304" s="209"/>
    </row>
    <row r="305" spans="2:7" x14ac:dyDescent="0.25">
      <c r="B305" s="210">
        <v>45228</v>
      </c>
      <c r="C305" s="211">
        <v>11.16827</v>
      </c>
      <c r="D305" s="209"/>
      <c r="E305" s="209"/>
      <c r="F305" s="209"/>
      <c r="G305" s="209"/>
    </row>
    <row r="306" spans="2:7" x14ac:dyDescent="0.25">
      <c r="B306" s="210">
        <v>45229</v>
      </c>
      <c r="C306" s="211">
        <v>11.163209999999999</v>
      </c>
      <c r="D306" s="209"/>
      <c r="E306" s="209"/>
      <c r="F306" s="209"/>
      <c r="G306" s="209"/>
    </row>
    <row r="307" spans="2:7" x14ac:dyDescent="0.25">
      <c r="B307" s="210">
        <v>45230</v>
      </c>
      <c r="C307" s="211">
        <v>11.180160000000001</v>
      </c>
      <c r="D307" s="209"/>
      <c r="E307" s="209"/>
      <c r="F307" s="209"/>
      <c r="G307" s="209"/>
    </row>
    <row r="308" spans="2:7" x14ac:dyDescent="0.25">
      <c r="B308" s="210">
        <v>45231</v>
      </c>
      <c r="C308" s="211">
        <v>11.225</v>
      </c>
      <c r="D308" s="209"/>
      <c r="E308" s="209"/>
      <c r="F308" s="209"/>
      <c r="G308" s="209"/>
    </row>
    <row r="309" spans="2:7" x14ac:dyDescent="0.25">
      <c r="B309" s="210">
        <v>45232</v>
      </c>
      <c r="C309" s="211">
        <v>11.18374</v>
      </c>
      <c r="D309" s="209"/>
      <c r="E309" s="209"/>
      <c r="F309" s="209"/>
      <c r="G309" s="209"/>
    </row>
    <row r="310" spans="2:7" x14ac:dyDescent="0.25">
      <c r="B310" s="210">
        <v>45233</v>
      </c>
      <c r="C310" s="211">
        <v>11.040480000000001</v>
      </c>
      <c r="D310" s="209"/>
      <c r="E310" s="209"/>
      <c r="F310" s="209"/>
      <c r="G310" s="209"/>
    </row>
    <row r="311" spans="2:7" x14ac:dyDescent="0.25">
      <c r="B311" s="210">
        <v>45234</v>
      </c>
      <c r="C311" s="211">
        <v>11.040480000000001</v>
      </c>
      <c r="D311" s="209"/>
      <c r="E311" s="209"/>
      <c r="F311" s="209"/>
      <c r="G311" s="209"/>
    </row>
    <row r="312" spans="2:7" x14ac:dyDescent="0.25">
      <c r="B312" s="210">
        <v>45235</v>
      </c>
      <c r="C312" s="211">
        <v>11.040480000000001</v>
      </c>
      <c r="D312" s="209"/>
      <c r="E312" s="209"/>
      <c r="F312" s="209"/>
      <c r="G312" s="209"/>
    </row>
    <row r="313" spans="2:7" x14ac:dyDescent="0.25">
      <c r="B313" s="210">
        <v>45236</v>
      </c>
      <c r="C313" s="211">
        <v>11.02572</v>
      </c>
      <c r="D313" s="209"/>
      <c r="E313" s="209"/>
      <c r="F313" s="209"/>
      <c r="G313" s="209"/>
    </row>
    <row r="314" spans="2:7" x14ac:dyDescent="0.25">
      <c r="B314" s="210">
        <v>45237</v>
      </c>
      <c r="C314" s="211">
        <v>11.2041</v>
      </c>
      <c r="D314" s="209"/>
      <c r="E314" s="209"/>
      <c r="F314" s="209"/>
      <c r="G314" s="209"/>
    </row>
    <row r="315" spans="2:7" x14ac:dyDescent="0.25">
      <c r="B315" s="210">
        <v>45238</v>
      </c>
      <c r="C315" s="211">
        <v>11.179819999999999</v>
      </c>
      <c r="D315" s="209"/>
      <c r="E315" s="209"/>
      <c r="F315" s="209"/>
      <c r="G315" s="209"/>
    </row>
    <row r="316" spans="2:7" x14ac:dyDescent="0.25">
      <c r="B316" s="210">
        <v>45239</v>
      </c>
      <c r="C316" s="211">
        <v>11.12641</v>
      </c>
      <c r="D316" s="209"/>
      <c r="E316" s="209"/>
      <c r="F316" s="209"/>
      <c r="G316" s="209"/>
    </row>
    <row r="317" spans="2:7" x14ac:dyDescent="0.25">
      <c r="B317" s="210">
        <v>45240</v>
      </c>
      <c r="C317" s="211">
        <v>11.150829999999999</v>
      </c>
      <c r="D317" s="209"/>
      <c r="E317" s="209"/>
      <c r="F317" s="209"/>
      <c r="G317" s="209"/>
    </row>
    <row r="318" spans="2:7" x14ac:dyDescent="0.25">
      <c r="B318" s="210">
        <v>45241</v>
      </c>
      <c r="C318" s="211">
        <v>11.150829999999999</v>
      </c>
      <c r="D318" s="209"/>
      <c r="E318" s="209"/>
      <c r="F318" s="209"/>
      <c r="G318" s="209"/>
    </row>
    <row r="319" spans="2:7" x14ac:dyDescent="0.25">
      <c r="B319" s="210">
        <v>45242</v>
      </c>
      <c r="C319" s="211">
        <v>11.150829999999999</v>
      </c>
      <c r="D319" s="209"/>
      <c r="E319" s="209"/>
      <c r="F319" s="209"/>
      <c r="G319" s="209"/>
    </row>
    <row r="320" spans="2:7" x14ac:dyDescent="0.25">
      <c r="B320" s="210">
        <v>45243</v>
      </c>
      <c r="C320" s="211">
        <v>11.08661</v>
      </c>
      <c r="D320" s="209"/>
      <c r="E320" s="209"/>
      <c r="F320" s="209"/>
      <c r="G320" s="209"/>
    </row>
    <row r="321" spans="2:7" x14ac:dyDescent="0.25">
      <c r="B321" s="210">
        <v>45244</v>
      </c>
      <c r="C321" s="211">
        <v>10.919129999999999</v>
      </c>
      <c r="D321" s="209"/>
      <c r="E321" s="209"/>
      <c r="F321" s="209"/>
      <c r="G321" s="209"/>
    </row>
    <row r="322" spans="2:7" x14ac:dyDescent="0.25">
      <c r="B322" s="210">
        <v>45245</v>
      </c>
      <c r="C322" s="211">
        <v>10.783709999999999</v>
      </c>
      <c r="D322" s="209"/>
      <c r="E322" s="209"/>
      <c r="F322" s="209"/>
      <c r="G322" s="209"/>
    </row>
    <row r="323" spans="2:7" x14ac:dyDescent="0.25">
      <c r="B323" s="210">
        <v>45246</v>
      </c>
      <c r="C323" s="211">
        <v>10.93207</v>
      </c>
      <c r="D323" s="209"/>
      <c r="E323" s="209"/>
      <c r="F323" s="209"/>
      <c r="G323" s="209"/>
    </row>
    <row r="324" spans="2:7" x14ac:dyDescent="0.25">
      <c r="B324" s="210">
        <v>45247</v>
      </c>
      <c r="C324" s="211">
        <v>10.85608</v>
      </c>
      <c r="D324" s="209"/>
      <c r="E324" s="209"/>
      <c r="F324" s="209"/>
      <c r="G324" s="209"/>
    </row>
    <row r="325" spans="2:7" x14ac:dyDescent="0.25">
      <c r="B325" s="210">
        <v>45248</v>
      </c>
      <c r="C325" s="211">
        <v>10.85608</v>
      </c>
      <c r="D325" s="209"/>
      <c r="E325" s="209"/>
      <c r="F325" s="209"/>
      <c r="G325" s="209"/>
    </row>
    <row r="326" spans="2:7" x14ac:dyDescent="0.25">
      <c r="B326" s="210">
        <v>45249</v>
      </c>
      <c r="C326" s="211">
        <v>10.85608</v>
      </c>
      <c r="D326" s="209"/>
      <c r="E326" s="209"/>
      <c r="F326" s="209"/>
      <c r="G326" s="209"/>
    </row>
    <row r="327" spans="2:7" x14ac:dyDescent="0.25">
      <c r="B327" s="210">
        <v>45250</v>
      </c>
      <c r="C327" s="211">
        <v>10.709569999999999</v>
      </c>
      <c r="D327" s="209"/>
      <c r="E327" s="209"/>
      <c r="F327" s="209"/>
      <c r="G327" s="209"/>
    </row>
    <row r="328" spans="2:7" x14ac:dyDescent="0.25">
      <c r="B328" s="210">
        <v>45251</v>
      </c>
      <c r="C328" s="211">
        <v>10.65742</v>
      </c>
      <c r="D328" s="209"/>
      <c r="E328" s="209"/>
      <c r="F328" s="209"/>
      <c r="G328" s="209"/>
    </row>
    <row r="329" spans="2:7" x14ac:dyDescent="0.25">
      <c r="B329" s="210">
        <v>45252</v>
      </c>
      <c r="C329" s="211">
        <v>10.796810000000001</v>
      </c>
      <c r="D329" s="209"/>
      <c r="E329" s="209"/>
      <c r="F329" s="209"/>
      <c r="G329" s="209"/>
    </row>
    <row r="330" spans="2:7" x14ac:dyDescent="0.25">
      <c r="B330" s="210">
        <v>45253</v>
      </c>
      <c r="C330" s="211">
        <v>10.765610000000001</v>
      </c>
      <c r="D330" s="209"/>
      <c r="E330" s="209"/>
      <c r="F330" s="209"/>
      <c r="G330" s="209"/>
    </row>
    <row r="331" spans="2:7" x14ac:dyDescent="0.25">
      <c r="B331" s="210">
        <v>45254</v>
      </c>
      <c r="C331" s="211">
        <v>10.694929999999999</v>
      </c>
      <c r="D331" s="209"/>
      <c r="E331" s="209"/>
      <c r="F331" s="209"/>
      <c r="G331" s="209"/>
    </row>
    <row r="332" spans="2:7" x14ac:dyDescent="0.25">
      <c r="B332" s="210">
        <v>45255</v>
      </c>
      <c r="C332" s="211">
        <v>10.694929999999999</v>
      </c>
      <c r="D332" s="209"/>
      <c r="E332" s="209"/>
      <c r="F332" s="209"/>
      <c r="G332" s="209"/>
    </row>
    <row r="333" spans="2:7" x14ac:dyDescent="0.25">
      <c r="B333" s="210">
        <v>45256</v>
      </c>
      <c r="C333" s="211">
        <v>10.694929999999999</v>
      </c>
      <c r="D333" s="209"/>
      <c r="E333" s="209"/>
      <c r="F333" s="209"/>
      <c r="G333" s="209"/>
    </row>
    <row r="334" spans="2:7" x14ac:dyDescent="0.25">
      <c r="B334" s="210">
        <v>45257</v>
      </c>
      <c r="C334" s="211">
        <v>10.68615</v>
      </c>
      <c r="D334" s="209"/>
      <c r="E334" s="209"/>
      <c r="F334" s="209"/>
      <c r="G334" s="209"/>
    </row>
    <row r="335" spans="2:7" x14ac:dyDescent="0.25">
      <c r="B335" s="210">
        <v>45258</v>
      </c>
      <c r="C335" s="211">
        <v>10.62885</v>
      </c>
      <c r="D335" s="209"/>
      <c r="E335" s="209"/>
      <c r="F335" s="209"/>
      <c r="G335" s="209"/>
    </row>
    <row r="336" spans="2:7" x14ac:dyDescent="0.25">
      <c r="B336" s="210">
        <v>45259</v>
      </c>
      <c r="C336" s="211">
        <v>10.66507</v>
      </c>
      <c r="D336" s="209"/>
      <c r="E336" s="209"/>
      <c r="F336" s="209"/>
      <c r="G336" s="209"/>
    </row>
    <row r="337" spans="2:7" x14ac:dyDescent="0.25">
      <c r="B337" s="210">
        <v>45260</v>
      </c>
      <c r="C337" s="211">
        <v>10.776809999999999</v>
      </c>
      <c r="D337" s="209"/>
      <c r="E337" s="209"/>
      <c r="F337" s="209"/>
      <c r="G337" s="209"/>
    </row>
    <row r="338" spans="2:7" x14ac:dyDescent="0.25">
      <c r="B338" s="210">
        <v>45261</v>
      </c>
      <c r="C338" s="211">
        <v>10.6676</v>
      </c>
      <c r="D338" s="209"/>
      <c r="E338" s="209"/>
      <c r="F338" s="209"/>
      <c r="G338" s="209"/>
    </row>
    <row r="339" spans="2:7" x14ac:dyDescent="0.25">
      <c r="B339" s="210">
        <v>45262</v>
      </c>
      <c r="C339" s="211">
        <v>10.6676</v>
      </c>
      <c r="D339" s="209"/>
      <c r="E339" s="209"/>
      <c r="F339" s="209"/>
      <c r="G339" s="209"/>
    </row>
    <row r="340" spans="2:7" x14ac:dyDescent="0.25">
      <c r="B340" s="210">
        <v>45263</v>
      </c>
      <c r="C340" s="211">
        <v>10.6676</v>
      </c>
      <c r="D340" s="209"/>
      <c r="E340" s="209"/>
      <c r="F340" s="209"/>
      <c r="G340" s="209"/>
    </row>
    <row r="341" spans="2:7" x14ac:dyDescent="0.25">
      <c r="B341" s="210">
        <v>45264</v>
      </c>
      <c r="C341" s="211">
        <v>10.84384</v>
      </c>
      <c r="D341" s="209"/>
      <c r="E341" s="209"/>
      <c r="F341" s="209"/>
      <c r="G341" s="209"/>
    </row>
    <row r="342" spans="2:7" x14ac:dyDescent="0.25">
      <c r="B342" s="210">
        <v>45265</v>
      </c>
      <c r="C342" s="211">
        <v>10.918480000000001</v>
      </c>
      <c r="D342" s="209"/>
      <c r="E342" s="209"/>
      <c r="F342" s="209"/>
      <c r="G342" s="209"/>
    </row>
    <row r="343" spans="2:7" x14ac:dyDescent="0.25">
      <c r="B343" s="210">
        <v>45266</v>
      </c>
      <c r="C343" s="211">
        <v>10.94829</v>
      </c>
      <c r="D343" s="209"/>
      <c r="E343" s="209"/>
      <c r="F343" s="209"/>
      <c r="G343" s="209"/>
    </row>
    <row r="344" spans="2:7" x14ac:dyDescent="0.25">
      <c r="B344" s="210">
        <v>45267</v>
      </c>
      <c r="C344" s="211">
        <v>10.8788</v>
      </c>
      <c r="D344" s="209"/>
      <c r="E344" s="209"/>
      <c r="F344" s="209"/>
      <c r="G344" s="209"/>
    </row>
    <row r="345" spans="2:7" x14ac:dyDescent="0.25">
      <c r="B345" s="210">
        <v>45268</v>
      </c>
      <c r="C345" s="211">
        <v>10.90686</v>
      </c>
      <c r="D345" s="209"/>
      <c r="E345" s="209"/>
      <c r="F345" s="209"/>
      <c r="G345" s="209"/>
    </row>
    <row r="346" spans="2:7" x14ac:dyDescent="0.25">
      <c r="B346" s="210">
        <v>45269</v>
      </c>
      <c r="C346" s="211">
        <v>10.90686</v>
      </c>
      <c r="D346" s="209"/>
      <c r="E346" s="209"/>
      <c r="F346" s="209"/>
      <c r="G346" s="209"/>
    </row>
    <row r="347" spans="2:7" x14ac:dyDescent="0.25">
      <c r="B347" s="210">
        <v>45270</v>
      </c>
      <c r="C347" s="211">
        <v>10.90686</v>
      </c>
      <c r="D347" s="209"/>
      <c r="E347" s="209"/>
      <c r="F347" s="209"/>
      <c r="G347" s="209"/>
    </row>
    <row r="348" spans="2:7" x14ac:dyDescent="0.25">
      <c r="B348" s="210">
        <v>45271</v>
      </c>
      <c r="C348" s="211">
        <v>10.977600000000001</v>
      </c>
      <c r="D348" s="209"/>
      <c r="E348" s="209"/>
      <c r="F348" s="209"/>
      <c r="G348" s="209"/>
    </row>
    <row r="349" spans="2:7" x14ac:dyDescent="0.25">
      <c r="B349" s="210">
        <v>45272</v>
      </c>
      <c r="C349" s="211">
        <v>10.98118</v>
      </c>
      <c r="D349" s="209"/>
      <c r="E349" s="209"/>
      <c r="F349" s="209"/>
      <c r="G349" s="209"/>
    </row>
    <row r="350" spans="2:7" x14ac:dyDescent="0.25">
      <c r="B350" s="210">
        <v>45273</v>
      </c>
      <c r="C350" s="211">
        <v>10.930260000000001</v>
      </c>
      <c r="D350" s="209"/>
      <c r="E350" s="209"/>
      <c r="F350" s="209"/>
      <c r="G350" s="209"/>
    </row>
    <row r="351" spans="2:7" x14ac:dyDescent="0.25">
      <c r="B351" s="210">
        <v>45274</v>
      </c>
      <c r="C351" s="211">
        <v>10.45411</v>
      </c>
      <c r="D351" s="209"/>
      <c r="E351" s="209"/>
      <c r="F351" s="209"/>
      <c r="G351" s="209"/>
    </row>
    <row r="352" spans="2:7" x14ac:dyDescent="0.25">
      <c r="B352" s="210">
        <v>45275</v>
      </c>
      <c r="C352" s="211">
        <v>10.43318</v>
      </c>
      <c r="D352" s="209"/>
      <c r="E352" s="209"/>
      <c r="F352" s="209"/>
      <c r="G352" s="209"/>
    </row>
    <row r="353" spans="2:7" x14ac:dyDescent="0.25">
      <c r="B353" s="210">
        <v>45276</v>
      </c>
      <c r="C353" s="211">
        <v>10.43318</v>
      </c>
      <c r="D353" s="209"/>
      <c r="E353" s="209"/>
      <c r="F353" s="209"/>
      <c r="G353" s="209"/>
    </row>
    <row r="354" spans="2:7" x14ac:dyDescent="0.25">
      <c r="B354" s="210">
        <v>45277</v>
      </c>
      <c r="C354" s="211">
        <v>10.43318</v>
      </c>
      <c r="D354" s="209"/>
      <c r="E354" s="209"/>
      <c r="F354" s="209"/>
      <c r="G354" s="209"/>
    </row>
    <row r="355" spans="2:7" x14ac:dyDescent="0.25">
      <c r="B355" s="210">
        <v>45278</v>
      </c>
      <c r="C355" s="211">
        <v>10.400399999999999</v>
      </c>
      <c r="D355" s="209"/>
      <c r="E355" s="209"/>
      <c r="F355" s="209"/>
      <c r="G355" s="209"/>
    </row>
    <row r="356" spans="2:7" x14ac:dyDescent="0.25">
      <c r="B356" s="210">
        <v>45279</v>
      </c>
      <c r="C356" s="211">
        <v>10.263730000000001</v>
      </c>
      <c r="D356" s="209"/>
      <c r="E356" s="209"/>
      <c r="F356" s="209"/>
      <c r="G356" s="209"/>
    </row>
    <row r="357" spans="2:7" x14ac:dyDescent="0.25">
      <c r="B357" s="210">
        <v>45280</v>
      </c>
      <c r="C357" s="211">
        <v>10.29697</v>
      </c>
      <c r="D357" s="209"/>
      <c r="E357" s="209"/>
      <c r="F357" s="209"/>
      <c r="G357" s="209"/>
    </row>
    <row r="358" spans="2:7" x14ac:dyDescent="0.25">
      <c r="B358" s="210">
        <v>45281</v>
      </c>
      <c r="C358" s="211">
        <v>10.266640000000001</v>
      </c>
      <c r="D358" s="209"/>
      <c r="E358" s="209"/>
      <c r="F358" s="209"/>
      <c r="G358" s="209"/>
    </row>
    <row r="359" spans="2:7" x14ac:dyDescent="0.25">
      <c r="B359" s="210">
        <v>45282</v>
      </c>
      <c r="C359" s="211">
        <v>10.215260000000001</v>
      </c>
      <c r="D359" s="209"/>
      <c r="E359" s="209"/>
      <c r="F359" s="209"/>
      <c r="G359" s="209"/>
    </row>
    <row r="360" spans="2:7" x14ac:dyDescent="0.25">
      <c r="B360" s="210">
        <v>45283</v>
      </c>
      <c r="C360" s="211">
        <v>10.215260000000001</v>
      </c>
      <c r="D360" s="209"/>
      <c r="E360" s="209"/>
      <c r="F360" s="209"/>
      <c r="G360" s="209"/>
    </row>
    <row r="361" spans="2:7" x14ac:dyDescent="0.25">
      <c r="B361" s="210">
        <v>45284</v>
      </c>
      <c r="C361" s="211">
        <v>10.215260000000001</v>
      </c>
      <c r="D361" s="209"/>
      <c r="E361" s="209"/>
      <c r="F361" s="209"/>
      <c r="G361" s="209"/>
    </row>
    <row r="362" spans="2:7" x14ac:dyDescent="0.25">
      <c r="B362" s="210">
        <v>45285</v>
      </c>
      <c r="C362" s="211">
        <v>10.20673</v>
      </c>
      <c r="D362" s="209"/>
      <c r="E362" s="209"/>
      <c r="F362" s="209"/>
      <c r="G362" s="209"/>
    </row>
    <row r="363" spans="2:7" x14ac:dyDescent="0.25">
      <c r="B363" s="210">
        <v>45286</v>
      </c>
      <c r="C363" s="211">
        <v>10.1928</v>
      </c>
      <c r="D363" s="209"/>
      <c r="E363" s="209"/>
      <c r="F363" s="209"/>
      <c r="G363" s="209"/>
    </row>
    <row r="364" spans="2:7" x14ac:dyDescent="0.25">
      <c r="B364" s="210">
        <v>45287</v>
      </c>
      <c r="C364" s="211">
        <v>10.06931</v>
      </c>
      <c r="D364" s="209"/>
      <c r="E364" s="209"/>
      <c r="F364" s="209"/>
      <c r="G364" s="209"/>
    </row>
    <row r="365" spans="2:7" x14ac:dyDescent="0.25">
      <c r="B365" s="210">
        <v>45288</v>
      </c>
      <c r="C365" s="211">
        <v>10.16337</v>
      </c>
      <c r="D365" s="209"/>
      <c r="E365" s="209"/>
      <c r="F365" s="209"/>
      <c r="G365" s="209"/>
    </row>
    <row r="366" spans="2:7" x14ac:dyDescent="0.25">
      <c r="B366" s="210">
        <v>45289</v>
      </c>
      <c r="C366" s="211">
        <v>10.140309999999999</v>
      </c>
      <c r="D366" s="209"/>
      <c r="E366" s="209"/>
      <c r="F366" s="209"/>
      <c r="G366" s="209"/>
    </row>
    <row r="367" spans="2:7" x14ac:dyDescent="0.25">
      <c r="B367" s="210">
        <v>45290</v>
      </c>
      <c r="C367" s="211">
        <v>10.140309999999999</v>
      </c>
      <c r="D367" s="209"/>
      <c r="E367" s="209"/>
      <c r="F367" s="209"/>
      <c r="G367" s="209"/>
    </row>
    <row r="368" spans="2:7" x14ac:dyDescent="0.25">
      <c r="B368" s="210">
        <v>45291</v>
      </c>
      <c r="C368" s="211">
        <v>10.140309999999999</v>
      </c>
      <c r="D368" s="209"/>
      <c r="E368" s="209" t="s">
        <v>280</v>
      </c>
      <c r="F368" s="209" t="s">
        <v>286</v>
      </c>
      <c r="G368" s="209" t="s">
        <v>287</v>
      </c>
    </row>
    <row r="369" spans="2:7" x14ac:dyDescent="0.25">
      <c r="B369" s="210">
        <v>45292</v>
      </c>
      <c r="C369" s="211">
        <v>10.175050000000001</v>
      </c>
      <c r="D369" s="209"/>
      <c r="E369" s="209"/>
      <c r="F369" s="211">
        <f>AVERAGE(C369:C459)</f>
        <v>10.521594780219777</v>
      </c>
      <c r="G369" s="209">
        <f>1/F369</f>
        <v>9.5042626226203311E-2</v>
      </c>
    </row>
    <row r="370" spans="2:7" x14ac:dyDescent="0.25">
      <c r="B370" s="210">
        <v>45293</v>
      </c>
      <c r="C370" s="211">
        <v>10.31992</v>
      </c>
      <c r="D370" s="209"/>
      <c r="E370" s="209"/>
      <c r="F370" s="209"/>
      <c r="G370" s="209"/>
    </row>
    <row r="371" spans="2:7" x14ac:dyDescent="0.25">
      <c r="B371" s="210">
        <v>45294</v>
      </c>
      <c r="C371" s="211">
        <v>10.35374</v>
      </c>
      <c r="D371" s="209"/>
      <c r="E371" s="209"/>
      <c r="F371" s="209"/>
      <c r="G371" s="209"/>
    </row>
    <row r="372" spans="2:7" x14ac:dyDescent="0.25">
      <c r="B372" s="210">
        <v>45295</v>
      </c>
      <c r="C372" s="211">
        <v>10.305339999999999</v>
      </c>
      <c r="D372" s="209"/>
      <c r="E372" s="209"/>
      <c r="F372" s="209"/>
      <c r="G372" s="209"/>
    </row>
    <row r="373" spans="2:7" x14ac:dyDescent="0.25">
      <c r="B373" s="210">
        <v>45296</v>
      </c>
      <c r="C373" s="211">
        <v>10.27516</v>
      </c>
      <c r="D373" s="209"/>
      <c r="E373" s="209"/>
      <c r="F373" s="209"/>
      <c r="G373" s="209"/>
    </row>
    <row r="374" spans="2:7" x14ac:dyDescent="0.25">
      <c r="B374" s="210">
        <v>45297</v>
      </c>
      <c r="C374" s="211">
        <v>10.27516</v>
      </c>
      <c r="D374" s="209"/>
      <c r="E374" s="209"/>
      <c r="F374" s="209"/>
      <c r="G374" s="209"/>
    </row>
    <row r="375" spans="2:7" x14ac:dyDescent="0.25">
      <c r="B375" s="210">
        <v>45298</v>
      </c>
      <c r="C375" s="211">
        <v>10.27516</v>
      </c>
      <c r="D375" s="209"/>
      <c r="E375" s="209"/>
      <c r="F375" s="209"/>
      <c r="G375" s="209"/>
    </row>
    <row r="376" spans="2:7" x14ac:dyDescent="0.25">
      <c r="B376" s="210">
        <v>45299</v>
      </c>
      <c r="C376" s="211">
        <v>10.36299</v>
      </c>
      <c r="D376" s="209"/>
      <c r="E376" s="209"/>
      <c r="F376" s="209"/>
      <c r="G376" s="209"/>
    </row>
    <row r="377" spans="2:7" x14ac:dyDescent="0.25">
      <c r="B377" s="210">
        <v>45300</v>
      </c>
      <c r="C377" s="211">
        <v>10.3584</v>
      </c>
      <c r="D377" s="209"/>
      <c r="E377" s="209"/>
      <c r="F377" s="209"/>
      <c r="G377" s="209"/>
    </row>
    <row r="378" spans="2:7" x14ac:dyDescent="0.25">
      <c r="B378" s="210">
        <v>45301</v>
      </c>
      <c r="C378" s="211">
        <v>10.35683</v>
      </c>
      <c r="D378" s="209"/>
      <c r="E378" s="209"/>
      <c r="F378" s="209"/>
      <c r="G378" s="209"/>
    </row>
    <row r="379" spans="2:7" x14ac:dyDescent="0.25">
      <c r="B379" s="210">
        <v>45302</v>
      </c>
      <c r="C379" s="211">
        <v>10.352919999999999</v>
      </c>
      <c r="D379" s="209"/>
      <c r="E379" s="209"/>
      <c r="F379" s="209"/>
      <c r="G379" s="209"/>
    </row>
    <row r="380" spans="2:7" x14ac:dyDescent="0.25">
      <c r="B380" s="210">
        <v>45303</v>
      </c>
      <c r="C380" s="211">
        <v>10.264620000000001</v>
      </c>
      <c r="D380" s="209"/>
      <c r="E380" s="209"/>
      <c r="F380" s="209"/>
      <c r="G380" s="209"/>
    </row>
    <row r="381" spans="2:7" x14ac:dyDescent="0.25">
      <c r="B381" s="210">
        <v>45304</v>
      </c>
      <c r="C381" s="211">
        <v>10.264620000000001</v>
      </c>
      <c r="D381" s="209"/>
      <c r="E381" s="209"/>
      <c r="F381" s="209"/>
      <c r="G381" s="209"/>
    </row>
    <row r="382" spans="2:7" x14ac:dyDescent="0.25">
      <c r="B382" s="210">
        <v>45305</v>
      </c>
      <c r="C382" s="211">
        <v>10.264620000000001</v>
      </c>
      <c r="D382" s="209"/>
      <c r="E382" s="209"/>
      <c r="F382" s="209"/>
      <c r="G382" s="209"/>
    </row>
    <row r="383" spans="2:7" x14ac:dyDescent="0.25">
      <c r="B383" s="210">
        <v>45306</v>
      </c>
      <c r="C383" s="211">
        <v>10.351100000000001</v>
      </c>
      <c r="D383" s="209"/>
      <c r="E383" s="209"/>
      <c r="F383" s="209"/>
      <c r="G383" s="209"/>
    </row>
    <row r="384" spans="2:7" x14ac:dyDescent="0.25">
      <c r="B384" s="210">
        <v>45307</v>
      </c>
      <c r="C384" s="211">
        <v>10.45021</v>
      </c>
      <c r="D384" s="209"/>
      <c r="E384" s="209"/>
      <c r="F384" s="209"/>
      <c r="G384" s="209"/>
    </row>
    <row r="385" spans="2:7" x14ac:dyDescent="0.25">
      <c r="B385" s="210">
        <v>45308</v>
      </c>
      <c r="C385" s="211">
        <v>10.53473</v>
      </c>
      <c r="D385" s="209"/>
      <c r="E385" s="209"/>
      <c r="F385" s="209"/>
      <c r="G385" s="209"/>
    </row>
    <row r="386" spans="2:7" x14ac:dyDescent="0.25">
      <c r="B386" s="210">
        <v>45309</v>
      </c>
      <c r="C386" s="211">
        <v>10.52469</v>
      </c>
      <c r="D386" s="209"/>
      <c r="E386" s="209"/>
      <c r="F386" s="209"/>
      <c r="G386" s="209"/>
    </row>
    <row r="387" spans="2:7" x14ac:dyDescent="0.25">
      <c r="B387" s="210">
        <v>45310</v>
      </c>
      <c r="C387" s="211">
        <v>10.517749999999999</v>
      </c>
      <c r="D387" s="209"/>
      <c r="E387" s="209"/>
      <c r="F387" s="209"/>
      <c r="G387" s="209"/>
    </row>
    <row r="388" spans="2:7" x14ac:dyDescent="0.25">
      <c r="B388" s="210">
        <v>45311</v>
      </c>
      <c r="C388" s="211">
        <v>10.517749999999999</v>
      </c>
      <c r="D388" s="209"/>
      <c r="E388" s="209"/>
      <c r="F388" s="209"/>
      <c r="G388" s="209"/>
    </row>
    <row r="389" spans="2:7" x14ac:dyDescent="0.25">
      <c r="B389" s="210">
        <v>45312</v>
      </c>
      <c r="C389" s="211">
        <v>10.517749999999999</v>
      </c>
      <c r="D389" s="209"/>
      <c r="E389" s="209"/>
      <c r="F389" s="209"/>
      <c r="G389" s="209"/>
    </row>
    <row r="390" spans="2:7" x14ac:dyDescent="0.25">
      <c r="B390" s="210">
        <v>45313</v>
      </c>
      <c r="C390" s="211">
        <v>10.495150000000001</v>
      </c>
      <c r="D390" s="209"/>
      <c r="E390" s="209"/>
      <c r="F390" s="209"/>
      <c r="G390" s="209"/>
    </row>
    <row r="391" spans="2:7" x14ac:dyDescent="0.25">
      <c r="B391" s="210">
        <v>45314</v>
      </c>
      <c r="C391" s="211">
        <v>10.533239999999999</v>
      </c>
      <c r="D391" s="209"/>
      <c r="E391" s="209"/>
      <c r="F391" s="209"/>
      <c r="G391" s="209"/>
    </row>
    <row r="392" spans="2:7" x14ac:dyDescent="0.25">
      <c r="B392" s="210">
        <v>45315</v>
      </c>
      <c r="C392" s="211">
        <v>10.44713</v>
      </c>
      <c r="D392" s="209"/>
      <c r="E392" s="209"/>
      <c r="F392" s="209"/>
      <c r="G392" s="209"/>
    </row>
    <row r="393" spans="2:7" x14ac:dyDescent="0.25">
      <c r="B393" s="210">
        <v>45316</v>
      </c>
      <c r="C393" s="211">
        <v>10.47186</v>
      </c>
      <c r="D393" s="209"/>
      <c r="E393" s="209"/>
      <c r="F393" s="209"/>
      <c r="G393" s="209"/>
    </row>
    <row r="394" spans="2:7" x14ac:dyDescent="0.25">
      <c r="B394" s="210">
        <v>45317</v>
      </c>
      <c r="C394" s="211">
        <v>10.408160000000001</v>
      </c>
      <c r="D394" s="209"/>
      <c r="E394" s="209"/>
      <c r="F394" s="209"/>
      <c r="G394" s="209"/>
    </row>
    <row r="395" spans="2:7" x14ac:dyDescent="0.25">
      <c r="B395" s="210">
        <v>45318</v>
      </c>
      <c r="C395" s="211">
        <v>10.408160000000001</v>
      </c>
      <c r="D395" s="209"/>
      <c r="E395" s="209"/>
      <c r="F395" s="209"/>
      <c r="G395" s="209"/>
    </row>
    <row r="396" spans="2:7" x14ac:dyDescent="0.25">
      <c r="B396" s="210">
        <v>45319</v>
      </c>
      <c r="C396" s="211">
        <v>10.408160000000001</v>
      </c>
      <c r="D396" s="209"/>
      <c r="E396" s="209"/>
      <c r="F396" s="209"/>
      <c r="G396" s="209"/>
    </row>
    <row r="397" spans="2:7" x14ac:dyDescent="0.25">
      <c r="B397" s="210">
        <v>45320</v>
      </c>
      <c r="C397" s="211">
        <v>10.453519999999999</v>
      </c>
      <c r="D397" s="209"/>
      <c r="E397" s="209"/>
      <c r="F397" s="209"/>
      <c r="G397" s="209"/>
    </row>
    <row r="398" spans="2:7" x14ac:dyDescent="0.25">
      <c r="B398" s="210">
        <v>45321</v>
      </c>
      <c r="C398" s="211">
        <v>10.46087</v>
      </c>
      <c r="D398" s="209"/>
      <c r="E398" s="209"/>
      <c r="F398" s="209"/>
      <c r="G398" s="209"/>
    </row>
    <row r="399" spans="2:7" x14ac:dyDescent="0.25">
      <c r="B399" s="210">
        <v>45322</v>
      </c>
      <c r="C399" s="211">
        <v>10.45196</v>
      </c>
      <c r="D399" s="209"/>
      <c r="E399" s="209"/>
      <c r="F399" s="209"/>
      <c r="G399" s="209"/>
    </row>
    <row r="400" spans="2:7" x14ac:dyDescent="0.25">
      <c r="B400" s="210">
        <v>45323</v>
      </c>
      <c r="C400" s="211">
        <v>10.42675</v>
      </c>
      <c r="D400" s="209"/>
      <c r="E400" s="209"/>
      <c r="F400" s="209"/>
      <c r="G400" s="209"/>
    </row>
    <row r="401" spans="2:7" x14ac:dyDescent="0.25">
      <c r="B401" s="210">
        <v>45324</v>
      </c>
      <c r="C401" s="211">
        <v>10.62384</v>
      </c>
      <c r="D401" s="209"/>
      <c r="E401" s="209"/>
      <c r="F401" s="209"/>
      <c r="G401" s="209"/>
    </row>
    <row r="402" spans="2:7" x14ac:dyDescent="0.25">
      <c r="B402" s="210">
        <v>45325</v>
      </c>
      <c r="C402" s="211">
        <v>10.62384</v>
      </c>
      <c r="D402" s="209"/>
      <c r="E402" s="209"/>
      <c r="F402" s="209"/>
      <c r="G402" s="209"/>
    </row>
    <row r="403" spans="2:7" x14ac:dyDescent="0.25">
      <c r="B403" s="210">
        <v>45326</v>
      </c>
      <c r="C403" s="211">
        <v>10.62384</v>
      </c>
      <c r="D403" s="209"/>
      <c r="E403" s="209"/>
      <c r="F403" s="209"/>
      <c r="G403" s="209"/>
    </row>
    <row r="404" spans="2:7" x14ac:dyDescent="0.25">
      <c r="B404" s="210">
        <v>45327</v>
      </c>
      <c r="C404" s="211">
        <v>10.71926</v>
      </c>
      <c r="D404" s="209"/>
      <c r="E404" s="209"/>
      <c r="F404" s="209"/>
      <c r="G404" s="209"/>
    </row>
    <row r="405" spans="2:7" x14ac:dyDescent="0.25">
      <c r="B405" s="210">
        <v>45328</v>
      </c>
      <c r="C405" s="211">
        <v>10.62425</v>
      </c>
      <c r="D405" s="209"/>
      <c r="E405" s="209"/>
      <c r="F405" s="209"/>
      <c r="G405" s="209"/>
    </row>
    <row r="406" spans="2:7" x14ac:dyDescent="0.25">
      <c r="B406" s="210">
        <v>45329</v>
      </c>
      <c r="C406" s="211">
        <v>10.571809999999999</v>
      </c>
      <c r="D406" s="209"/>
      <c r="E406" s="209"/>
      <c r="F406" s="209"/>
      <c r="G406" s="209"/>
    </row>
    <row r="407" spans="2:7" x14ac:dyDescent="0.25">
      <c r="B407" s="210">
        <v>45330</v>
      </c>
      <c r="C407" s="211">
        <v>10.6183</v>
      </c>
      <c r="D407" s="209"/>
      <c r="E407" s="209"/>
      <c r="F407" s="209"/>
      <c r="G407" s="209"/>
    </row>
    <row r="408" spans="2:7" x14ac:dyDescent="0.25">
      <c r="B408" s="210">
        <v>45331</v>
      </c>
      <c r="C408" s="211">
        <v>10.560040000000001</v>
      </c>
      <c r="D408" s="209"/>
      <c r="E408" s="209"/>
      <c r="F408" s="209"/>
      <c r="G408" s="209"/>
    </row>
    <row r="409" spans="2:7" x14ac:dyDescent="0.25">
      <c r="B409" s="210">
        <v>45332</v>
      </c>
      <c r="C409" s="211">
        <v>10.560040000000001</v>
      </c>
      <c r="D409" s="209"/>
      <c r="E409" s="209"/>
      <c r="F409" s="209"/>
      <c r="G409" s="209"/>
    </row>
    <row r="410" spans="2:7" x14ac:dyDescent="0.25">
      <c r="B410" s="210">
        <v>45333</v>
      </c>
      <c r="C410" s="211">
        <v>10.560040000000001</v>
      </c>
      <c r="D410" s="209"/>
      <c r="E410" s="209"/>
      <c r="F410" s="209"/>
      <c r="G410" s="209"/>
    </row>
    <row r="411" spans="2:7" x14ac:dyDescent="0.25">
      <c r="B411" s="210">
        <v>45334</v>
      </c>
      <c r="C411" s="211">
        <v>10.50587</v>
      </c>
      <c r="D411" s="209"/>
      <c r="E411" s="209"/>
      <c r="F411" s="209"/>
      <c r="G411" s="209"/>
    </row>
    <row r="412" spans="2:7" x14ac:dyDescent="0.25">
      <c r="B412" s="210">
        <v>45335</v>
      </c>
      <c r="C412" s="211">
        <v>10.665705000000001</v>
      </c>
      <c r="D412" s="209"/>
      <c r="E412" s="209"/>
      <c r="F412" s="209"/>
      <c r="G412" s="209"/>
    </row>
    <row r="413" spans="2:7" x14ac:dyDescent="0.25">
      <c r="B413" s="210">
        <v>45336</v>
      </c>
      <c r="C413" s="211">
        <v>10.59273</v>
      </c>
      <c r="D413" s="209"/>
      <c r="E413" s="209"/>
      <c r="F413" s="209"/>
      <c r="G413" s="209"/>
    </row>
    <row r="414" spans="2:7" x14ac:dyDescent="0.25">
      <c r="B414" s="210">
        <v>45337</v>
      </c>
      <c r="C414" s="211">
        <v>10.55484</v>
      </c>
      <c r="D414" s="209"/>
      <c r="E414" s="209"/>
      <c r="F414" s="209"/>
      <c r="G414" s="209"/>
    </row>
    <row r="415" spans="2:7" x14ac:dyDescent="0.25">
      <c r="B415" s="210">
        <v>45338</v>
      </c>
      <c r="C415" s="211">
        <v>10.50747</v>
      </c>
      <c r="D415" s="209"/>
      <c r="E415" s="209"/>
      <c r="F415" s="209"/>
      <c r="G415" s="209"/>
    </row>
    <row r="416" spans="2:7" x14ac:dyDescent="0.25">
      <c r="B416" s="210">
        <v>45339</v>
      </c>
      <c r="C416" s="211">
        <v>10.50747</v>
      </c>
      <c r="D416" s="209"/>
      <c r="E416" s="209"/>
      <c r="F416" s="209"/>
      <c r="G416" s="209"/>
    </row>
    <row r="417" spans="2:7" x14ac:dyDescent="0.25">
      <c r="B417" s="210">
        <v>45340</v>
      </c>
      <c r="C417" s="211">
        <v>10.50747</v>
      </c>
      <c r="D417" s="209"/>
      <c r="E417" s="209"/>
      <c r="F417" s="209"/>
      <c r="G417" s="209"/>
    </row>
    <row r="418" spans="2:7" x14ac:dyDescent="0.25">
      <c r="B418" s="210">
        <v>45341</v>
      </c>
      <c r="C418" s="211">
        <v>10.50081</v>
      </c>
      <c r="D418" s="209"/>
      <c r="E418" s="209"/>
      <c r="F418" s="209"/>
      <c r="G418" s="209"/>
    </row>
    <row r="419" spans="2:7" x14ac:dyDescent="0.25">
      <c r="B419" s="210">
        <v>45342</v>
      </c>
      <c r="C419" s="211">
        <v>10.476610000000001</v>
      </c>
      <c r="D419" s="209"/>
      <c r="E419" s="209"/>
      <c r="F419" s="209"/>
      <c r="G419" s="209"/>
    </row>
    <row r="420" spans="2:7" x14ac:dyDescent="0.25">
      <c r="B420" s="210">
        <v>45343</v>
      </c>
      <c r="C420" s="211">
        <v>10.484400000000001</v>
      </c>
      <c r="D420" s="209"/>
      <c r="E420" s="209"/>
      <c r="F420" s="209"/>
      <c r="G420" s="209"/>
    </row>
    <row r="421" spans="2:7" x14ac:dyDescent="0.25">
      <c r="B421" s="210">
        <v>45344</v>
      </c>
      <c r="C421" s="211">
        <v>10.51407</v>
      </c>
      <c r="D421" s="209"/>
      <c r="E421" s="209"/>
      <c r="F421" s="209"/>
      <c r="G421" s="209"/>
    </row>
    <row r="422" spans="2:7" x14ac:dyDescent="0.25">
      <c r="B422" s="210">
        <v>45345</v>
      </c>
      <c r="C422" s="211">
        <v>10.5364</v>
      </c>
      <c r="D422" s="209"/>
      <c r="E422" s="209"/>
      <c r="F422" s="209"/>
      <c r="G422" s="209"/>
    </row>
    <row r="423" spans="2:7" x14ac:dyDescent="0.25">
      <c r="B423" s="210">
        <v>45346</v>
      </c>
      <c r="C423" s="211">
        <v>10.5364</v>
      </c>
      <c r="D423" s="209"/>
      <c r="E423" s="209"/>
      <c r="F423" s="209"/>
      <c r="G423" s="209"/>
    </row>
    <row r="424" spans="2:7" x14ac:dyDescent="0.25">
      <c r="B424" s="210">
        <v>45347</v>
      </c>
      <c r="C424" s="211">
        <v>10.5364</v>
      </c>
      <c r="D424" s="209"/>
      <c r="E424" s="209"/>
      <c r="F424" s="209"/>
      <c r="G424" s="209"/>
    </row>
    <row r="425" spans="2:7" x14ac:dyDescent="0.25">
      <c r="B425" s="210">
        <v>45348</v>
      </c>
      <c r="C425" s="211">
        <v>10.515639999999999</v>
      </c>
      <c r="D425" s="209"/>
      <c r="E425" s="209"/>
      <c r="F425" s="209"/>
      <c r="G425" s="209"/>
    </row>
    <row r="426" spans="2:7" x14ac:dyDescent="0.25">
      <c r="B426" s="210">
        <v>45349</v>
      </c>
      <c r="C426" s="211">
        <v>10.52445</v>
      </c>
      <c r="D426" s="209"/>
      <c r="E426" s="209"/>
      <c r="F426" s="209"/>
      <c r="G426" s="209"/>
    </row>
    <row r="427" spans="2:7" x14ac:dyDescent="0.25">
      <c r="B427" s="210">
        <v>45350</v>
      </c>
      <c r="C427" s="211">
        <v>10.58967</v>
      </c>
      <c r="D427" s="209"/>
      <c r="E427" s="209"/>
      <c r="F427" s="209"/>
      <c r="G427" s="209"/>
    </row>
    <row r="428" spans="2:7" x14ac:dyDescent="0.25">
      <c r="B428" s="210">
        <v>45351</v>
      </c>
      <c r="C428" s="211">
        <v>10.61689</v>
      </c>
      <c r="D428" s="209"/>
      <c r="E428" s="209"/>
      <c r="F428" s="209"/>
      <c r="G428" s="209"/>
    </row>
    <row r="429" spans="2:7" x14ac:dyDescent="0.25">
      <c r="B429" s="210">
        <v>45352</v>
      </c>
      <c r="C429" s="211">
        <v>10.53032</v>
      </c>
      <c r="D429" s="209"/>
      <c r="E429" s="209"/>
      <c r="F429" s="209"/>
      <c r="G429" s="209"/>
    </row>
    <row r="430" spans="2:7" x14ac:dyDescent="0.25">
      <c r="B430" s="210">
        <v>45353</v>
      </c>
      <c r="C430" s="211">
        <v>10.53032</v>
      </c>
      <c r="D430" s="209"/>
      <c r="E430" s="209"/>
      <c r="F430" s="209"/>
      <c r="G430" s="209"/>
    </row>
    <row r="431" spans="2:7" x14ac:dyDescent="0.25">
      <c r="B431" s="210">
        <v>45354</v>
      </c>
      <c r="C431" s="211">
        <v>10.53032</v>
      </c>
      <c r="D431" s="209"/>
      <c r="E431" s="209"/>
      <c r="F431" s="209"/>
      <c r="G431" s="209"/>
    </row>
    <row r="432" spans="2:7" x14ac:dyDescent="0.25">
      <c r="B432" s="210">
        <v>45355</v>
      </c>
      <c r="C432" s="211">
        <v>10.55198</v>
      </c>
      <c r="D432" s="209"/>
      <c r="E432" s="209"/>
      <c r="F432" s="209"/>
      <c r="G432" s="209"/>
    </row>
    <row r="433" spans="2:7" x14ac:dyDescent="0.25">
      <c r="B433" s="210">
        <v>45356</v>
      </c>
      <c r="C433" s="211">
        <v>10.546150000000001</v>
      </c>
      <c r="D433" s="209"/>
      <c r="E433" s="209"/>
      <c r="F433" s="209"/>
      <c r="G433" s="209"/>
    </row>
    <row r="434" spans="2:7" x14ac:dyDescent="0.25">
      <c r="B434" s="210">
        <v>45357</v>
      </c>
      <c r="C434" s="211">
        <v>10.48738</v>
      </c>
      <c r="D434" s="209"/>
      <c r="E434" s="209"/>
      <c r="F434" s="209"/>
      <c r="G434" s="209"/>
    </row>
    <row r="435" spans="2:7" x14ac:dyDescent="0.25">
      <c r="B435" s="210">
        <v>45358</v>
      </c>
      <c r="C435" s="211">
        <v>10.41858</v>
      </c>
      <c r="D435" s="209"/>
      <c r="E435" s="209"/>
      <c r="F435" s="209"/>
      <c r="G435" s="209"/>
    </row>
    <row r="436" spans="2:7" x14ac:dyDescent="0.25">
      <c r="B436" s="210">
        <v>45359</v>
      </c>
      <c r="C436" s="211">
        <v>10.41174</v>
      </c>
      <c r="D436" s="209"/>
      <c r="E436" s="209"/>
      <c r="F436" s="209"/>
      <c r="G436" s="209"/>
    </row>
    <row r="437" spans="2:7" x14ac:dyDescent="0.25">
      <c r="B437" s="210">
        <v>45360</v>
      </c>
      <c r="C437" s="211">
        <v>10.41174</v>
      </c>
      <c r="D437" s="209"/>
      <c r="E437" s="209"/>
      <c r="F437" s="209"/>
      <c r="G437" s="209"/>
    </row>
    <row r="438" spans="2:7" x14ac:dyDescent="0.25">
      <c r="B438" s="210">
        <v>45361</v>
      </c>
      <c r="C438" s="211">
        <v>10.41174</v>
      </c>
      <c r="D438" s="209"/>
      <c r="E438" s="209"/>
      <c r="F438" s="209"/>
      <c r="G438" s="209"/>
    </row>
    <row r="439" spans="2:7" x14ac:dyDescent="0.25">
      <c r="B439" s="210">
        <v>45362</v>
      </c>
      <c r="C439" s="211">
        <v>10.45725</v>
      </c>
      <c r="D439" s="209"/>
      <c r="E439" s="209"/>
      <c r="F439" s="209"/>
      <c r="G439" s="209"/>
    </row>
    <row r="440" spans="2:7" x14ac:dyDescent="0.25">
      <c r="B440" s="210">
        <v>45363</v>
      </c>
      <c r="C440" s="211">
        <v>10.5436</v>
      </c>
      <c r="D440" s="209"/>
      <c r="E440" s="209"/>
      <c r="F440" s="209"/>
      <c r="G440" s="209"/>
    </row>
    <row r="441" spans="2:7" x14ac:dyDescent="0.25">
      <c r="B441" s="210">
        <v>45364</v>
      </c>
      <c r="C441" s="211">
        <v>10.475059999999999</v>
      </c>
      <c r="D441" s="209"/>
      <c r="E441" s="209"/>
      <c r="F441" s="209"/>
      <c r="G441" s="209"/>
    </row>
    <row r="442" spans="2:7" x14ac:dyDescent="0.25">
      <c r="B442" s="210">
        <v>45365</v>
      </c>
      <c r="C442" s="211">
        <v>10.551539999999999</v>
      </c>
      <c r="D442" s="209"/>
      <c r="E442" s="209"/>
      <c r="F442" s="209"/>
      <c r="G442" s="209"/>
    </row>
    <row r="443" spans="2:7" x14ac:dyDescent="0.25">
      <c r="B443" s="210">
        <v>45366</v>
      </c>
      <c r="C443" s="211">
        <v>10.604570000000001</v>
      </c>
      <c r="D443" s="209"/>
      <c r="E443" s="209"/>
      <c r="F443" s="209"/>
      <c r="G443" s="209"/>
    </row>
    <row r="444" spans="2:7" x14ac:dyDescent="0.25">
      <c r="B444" s="210">
        <v>45367</v>
      </c>
      <c r="C444" s="211">
        <v>10.604570000000001</v>
      </c>
      <c r="D444" s="209"/>
      <c r="E444" s="209"/>
      <c r="F444" s="209"/>
      <c r="G444" s="209"/>
    </row>
    <row r="445" spans="2:7" x14ac:dyDescent="0.25">
      <c r="B445" s="210">
        <v>45368</v>
      </c>
      <c r="C445" s="211">
        <v>10.604570000000001</v>
      </c>
      <c r="D445" s="209"/>
      <c r="E445" s="209"/>
      <c r="F445" s="209"/>
      <c r="G445" s="209"/>
    </row>
    <row r="446" spans="2:7" x14ac:dyDescent="0.25">
      <c r="B446" s="210">
        <v>45369</v>
      </c>
      <c r="C446" s="211">
        <v>10.65807</v>
      </c>
      <c r="D446" s="209"/>
      <c r="E446" s="209"/>
      <c r="F446" s="209"/>
      <c r="G446" s="209"/>
    </row>
    <row r="447" spans="2:7" x14ac:dyDescent="0.25">
      <c r="B447" s="210">
        <v>45370</v>
      </c>
      <c r="C447" s="211">
        <v>10.64625</v>
      </c>
      <c r="D447" s="209"/>
      <c r="E447" s="209"/>
      <c r="F447" s="209"/>
      <c r="G447" s="209"/>
    </row>
    <row r="448" spans="2:7" x14ac:dyDescent="0.25">
      <c r="B448" s="210">
        <v>45371</v>
      </c>
      <c r="C448" s="211">
        <v>10.654489999999999</v>
      </c>
      <c r="D448" s="209"/>
      <c r="E448" s="209"/>
      <c r="F448" s="209"/>
      <c r="G448" s="209"/>
    </row>
    <row r="449" spans="2:7" x14ac:dyDescent="0.25">
      <c r="B449" s="210">
        <v>45372</v>
      </c>
      <c r="C449" s="211">
        <v>10.6645</v>
      </c>
      <c r="D449" s="209"/>
      <c r="E449" s="209"/>
      <c r="F449" s="209"/>
      <c r="G449" s="209"/>
    </row>
    <row r="450" spans="2:7" x14ac:dyDescent="0.25">
      <c r="B450" s="210">
        <v>45373</v>
      </c>
      <c r="C450" s="211">
        <v>10.75112</v>
      </c>
      <c r="D450" s="209"/>
      <c r="E450" s="209"/>
      <c r="F450" s="209"/>
      <c r="G450" s="209"/>
    </row>
    <row r="451" spans="2:7" x14ac:dyDescent="0.25">
      <c r="B451" s="210">
        <v>45374</v>
      </c>
      <c r="C451" s="211">
        <v>10.75112</v>
      </c>
      <c r="D451" s="209"/>
      <c r="E451" s="209"/>
      <c r="F451" s="209"/>
      <c r="G451" s="209"/>
    </row>
    <row r="452" spans="2:7" x14ac:dyDescent="0.25">
      <c r="B452" s="210">
        <v>45375</v>
      </c>
      <c r="C452" s="211">
        <v>10.75112</v>
      </c>
      <c r="D452" s="209"/>
      <c r="E452" s="209"/>
      <c r="F452" s="209"/>
      <c r="G452" s="209"/>
    </row>
    <row r="453" spans="2:7" x14ac:dyDescent="0.25">
      <c r="B453" s="210">
        <v>45376</v>
      </c>
      <c r="C453" s="211">
        <v>10.70768</v>
      </c>
      <c r="D453" s="209"/>
      <c r="E453" s="209"/>
      <c r="F453" s="209"/>
      <c r="G453" s="209"/>
    </row>
    <row r="454" spans="2:7" x14ac:dyDescent="0.25">
      <c r="B454" s="210">
        <v>45377</v>
      </c>
      <c r="C454" s="211">
        <v>10.741809999999999</v>
      </c>
      <c r="D454" s="209"/>
      <c r="E454" s="209"/>
      <c r="F454" s="209"/>
      <c r="G454" s="209"/>
    </row>
    <row r="455" spans="2:7" x14ac:dyDescent="0.25">
      <c r="B455" s="210">
        <v>45378</v>
      </c>
      <c r="C455" s="211">
        <v>10.794739999999999</v>
      </c>
      <c r="D455" s="209"/>
      <c r="E455" s="209"/>
      <c r="F455" s="209"/>
      <c r="G455" s="209"/>
    </row>
    <row r="456" spans="2:7" x14ac:dyDescent="0.25">
      <c r="B456" s="210">
        <v>45379</v>
      </c>
      <c r="C456" s="211">
        <v>10.83972</v>
      </c>
      <c r="D456" s="209"/>
      <c r="E456" s="209"/>
      <c r="F456" s="209"/>
      <c r="G456" s="209"/>
    </row>
    <row r="457" spans="2:7" x14ac:dyDescent="0.25">
      <c r="B457" s="210">
        <v>45380</v>
      </c>
      <c r="C457" s="211">
        <v>10.830349999999999</v>
      </c>
      <c r="D457" s="209"/>
      <c r="E457" s="209"/>
      <c r="F457" s="209"/>
      <c r="G457" s="209"/>
    </row>
    <row r="458" spans="2:7" x14ac:dyDescent="0.25">
      <c r="B458" s="210">
        <v>45381</v>
      </c>
      <c r="C458" s="211">
        <v>10.830349999999999</v>
      </c>
      <c r="D458" s="209"/>
      <c r="E458" s="209"/>
      <c r="F458" s="209"/>
      <c r="G458" s="209"/>
    </row>
    <row r="459" spans="2:7" x14ac:dyDescent="0.25">
      <c r="B459" s="210">
        <v>45382</v>
      </c>
      <c r="C459" s="211">
        <v>10.830349999999999</v>
      </c>
      <c r="D459" s="209"/>
      <c r="E459" s="209"/>
      <c r="F459" s="209"/>
      <c r="G459" s="209"/>
    </row>
    <row r="460" spans="2:7" x14ac:dyDescent="0.25">
      <c r="B460" s="210">
        <v>45383</v>
      </c>
      <c r="C460" s="211">
        <v>10.966010000000001</v>
      </c>
      <c r="D460" s="209"/>
      <c r="E460" s="209"/>
      <c r="F460" s="209"/>
      <c r="G460" s="209"/>
    </row>
    <row r="461" spans="2:7" x14ac:dyDescent="0.25">
      <c r="B461" s="210">
        <v>45384</v>
      </c>
      <c r="C461" s="211">
        <v>10.83742</v>
      </c>
      <c r="D461" s="209"/>
      <c r="E461" s="209"/>
      <c r="F461" s="209"/>
      <c r="G461" s="209"/>
    </row>
    <row r="462" spans="2:7" x14ac:dyDescent="0.25">
      <c r="B462" s="210">
        <v>45385</v>
      </c>
      <c r="C462" s="211">
        <v>10.729749999999999</v>
      </c>
      <c r="D462" s="209"/>
      <c r="E462" s="209"/>
      <c r="F462" s="209"/>
      <c r="G462" s="209"/>
    </row>
    <row r="463" spans="2:7" x14ac:dyDescent="0.25">
      <c r="B463" s="210">
        <v>45386</v>
      </c>
      <c r="C463" s="211">
        <v>10.691990000000001</v>
      </c>
      <c r="D463" s="209"/>
      <c r="E463" s="209"/>
      <c r="F463" s="209"/>
      <c r="G463" s="209"/>
    </row>
    <row r="464" spans="2:7" x14ac:dyDescent="0.25">
      <c r="B464" s="210">
        <v>45387</v>
      </c>
      <c r="C464" s="211">
        <v>10.72871</v>
      </c>
      <c r="D464" s="209"/>
      <c r="E464" s="209"/>
      <c r="F464" s="209"/>
      <c r="G464" s="209"/>
    </row>
    <row r="465" spans="2:7" x14ac:dyDescent="0.25">
      <c r="B465" s="210">
        <v>45388</v>
      </c>
      <c r="C465" s="211">
        <v>10.72871</v>
      </c>
      <c r="D465" s="209"/>
      <c r="E465" s="209"/>
      <c r="F465" s="209"/>
      <c r="G465" s="209"/>
    </row>
    <row r="466" spans="2:7" x14ac:dyDescent="0.25">
      <c r="B466" s="210">
        <v>45389</v>
      </c>
      <c r="C466" s="211">
        <v>10.72871</v>
      </c>
      <c r="D466" s="209"/>
      <c r="E466" s="209"/>
      <c r="F466" s="209"/>
      <c r="G466" s="209"/>
    </row>
    <row r="467" spans="2:7" x14ac:dyDescent="0.25">
      <c r="B467" s="210">
        <v>45390</v>
      </c>
      <c r="C467" s="211">
        <v>10.694100000000001</v>
      </c>
      <c r="D467" s="209"/>
      <c r="E467" s="209"/>
      <c r="F467" s="209"/>
      <c r="G467" s="209"/>
    </row>
    <row r="468" spans="2:7" x14ac:dyDescent="0.25">
      <c r="B468" s="210">
        <v>45391</v>
      </c>
      <c r="C468" s="211">
        <v>10.679119999999999</v>
      </c>
      <c r="D468" s="209"/>
      <c r="E468" s="209"/>
      <c r="F468" s="209"/>
      <c r="G468" s="209"/>
    </row>
    <row r="469" spans="2:7" x14ac:dyDescent="0.25">
      <c r="B469" s="210">
        <v>45392</v>
      </c>
      <c r="C469" s="211">
        <v>10.824529999999999</v>
      </c>
      <c r="D469" s="209"/>
      <c r="E469" s="209"/>
      <c r="F469" s="209"/>
      <c r="G469" s="209"/>
    </row>
    <row r="470" spans="2:7" x14ac:dyDescent="0.25">
      <c r="B470" s="210">
        <v>45393</v>
      </c>
      <c r="C470" s="211">
        <v>10.883380000000001</v>
      </c>
      <c r="D470" s="209"/>
      <c r="E470" s="209"/>
      <c r="F470" s="209"/>
      <c r="G470" s="209"/>
    </row>
    <row r="471" spans="2:7" x14ac:dyDescent="0.25">
      <c r="B471" s="210">
        <v>45394</v>
      </c>
      <c r="C471" s="211">
        <v>10.90512</v>
      </c>
      <c r="D471" s="209"/>
      <c r="E471" s="209"/>
      <c r="F471" s="209"/>
      <c r="G471" s="209"/>
    </row>
    <row r="472" spans="2:7" x14ac:dyDescent="0.25">
      <c r="B472" s="210">
        <v>45395</v>
      </c>
      <c r="C472" s="211">
        <v>10.90512</v>
      </c>
      <c r="D472" s="209"/>
      <c r="E472" s="209"/>
      <c r="F472" s="209"/>
      <c r="G472" s="209"/>
    </row>
    <row r="473" spans="2:7" x14ac:dyDescent="0.25">
      <c r="B473" s="210">
        <v>45396</v>
      </c>
      <c r="C473" s="211">
        <v>10.90512</v>
      </c>
      <c r="D473" s="209"/>
      <c r="E473" s="209"/>
      <c r="F473" s="209"/>
      <c r="G473" s="209"/>
    </row>
    <row r="474" spans="2:7" x14ac:dyDescent="0.25">
      <c r="B474" s="210">
        <v>45397</v>
      </c>
      <c r="C474" s="211">
        <v>10.943379999999999</v>
      </c>
      <c r="D474" s="209"/>
      <c r="E474" s="209"/>
      <c r="F474" s="209"/>
      <c r="G474" s="209"/>
    </row>
    <row r="475" spans="2:7" x14ac:dyDescent="0.25">
      <c r="B475" s="210">
        <v>45398</v>
      </c>
      <c r="C475" s="211">
        <v>10.97939</v>
      </c>
      <c r="D475" s="209"/>
      <c r="E475" s="209"/>
      <c r="F475" s="209"/>
      <c r="G475" s="209"/>
    </row>
    <row r="476" spans="2:7" x14ac:dyDescent="0.25">
      <c r="B476" s="210">
        <v>45399</v>
      </c>
      <c r="C476" s="211">
        <v>11.03533</v>
      </c>
      <c r="D476" s="209"/>
      <c r="E476" s="209"/>
      <c r="F476" s="209"/>
      <c r="G476" s="209"/>
    </row>
    <row r="477" spans="2:7" x14ac:dyDescent="0.25">
      <c r="B477" s="210">
        <v>45400</v>
      </c>
      <c r="C477" s="211">
        <v>11.02065</v>
      </c>
      <c r="D477" s="209"/>
      <c r="E477" s="209"/>
      <c r="F477" s="209"/>
      <c r="G477" s="209"/>
    </row>
    <row r="478" spans="2:7" x14ac:dyDescent="0.25">
      <c r="B478" s="210">
        <v>45401</v>
      </c>
      <c r="C478" s="211">
        <v>11.009980000000001</v>
      </c>
      <c r="D478" s="209"/>
      <c r="E478" s="209"/>
      <c r="F478" s="209"/>
      <c r="G478" s="209"/>
    </row>
    <row r="479" spans="2:7" x14ac:dyDescent="0.25">
      <c r="B479" s="210">
        <v>45402</v>
      </c>
      <c r="C479" s="211">
        <v>11.009980000000001</v>
      </c>
      <c r="D479" s="209"/>
      <c r="E479" s="209"/>
      <c r="F479" s="209"/>
      <c r="G479" s="209"/>
    </row>
    <row r="480" spans="2:7" x14ac:dyDescent="0.25">
      <c r="B480" s="210">
        <v>45403</v>
      </c>
      <c r="C480" s="211">
        <v>11.009980000000001</v>
      </c>
      <c r="D480" s="209"/>
      <c r="E480" s="209"/>
      <c r="F480" s="209"/>
      <c r="G480" s="209"/>
    </row>
    <row r="481" spans="2:7" x14ac:dyDescent="0.25">
      <c r="B481" s="210">
        <v>45404</v>
      </c>
      <c r="C481" s="211">
        <v>11.03256</v>
      </c>
      <c r="D481" s="209"/>
      <c r="E481" s="209"/>
      <c r="F481" s="209"/>
      <c r="G481" s="209"/>
    </row>
    <row r="482" spans="2:7" x14ac:dyDescent="0.25">
      <c r="B482" s="210">
        <v>45405</v>
      </c>
      <c r="C482" s="211">
        <v>10.93079</v>
      </c>
      <c r="D482" s="209"/>
      <c r="E482" s="209"/>
      <c r="F482" s="209"/>
      <c r="G482" s="209"/>
    </row>
    <row r="483" spans="2:7" x14ac:dyDescent="0.25">
      <c r="B483" s="210">
        <v>45406</v>
      </c>
      <c r="C483" s="211">
        <v>10.99832</v>
      </c>
      <c r="D483" s="209"/>
      <c r="E483" s="209"/>
      <c r="F483" s="209"/>
      <c r="G483" s="209"/>
    </row>
    <row r="484" spans="2:7" x14ac:dyDescent="0.25">
      <c r="B484" s="210">
        <v>45407</v>
      </c>
      <c r="C484" s="211">
        <v>10.98757</v>
      </c>
      <c r="D484" s="209"/>
      <c r="E484" s="209"/>
      <c r="F484" s="209"/>
      <c r="G484" s="209"/>
    </row>
    <row r="485" spans="2:7" x14ac:dyDescent="0.25">
      <c r="B485" s="210">
        <v>45408</v>
      </c>
      <c r="C485" s="211">
        <v>11.043839999999999</v>
      </c>
      <c r="D485" s="209"/>
      <c r="E485" s="209"/>
      <c r="F485" s="209"/>
      <c r="G485" s="209"/>
    </row>
    <row r="486" spans="2:7" x14ac:dyDescent="0.25">
      <c r="B486" s="210">
        <v>45409</v>
      </c>
      <c r="C486" s="211">
        <v>11.043839999999999</v>
      </c>
      <c r="D486" s="209"/>
      <c r="E486" s="209"/>
      <c r="F486" s="209"/>
      <c r="G486" s="209"/>
    </row>
    <row r="487" spans="2:7" x14ac:dyDescent="0.25">
      <c r="B487" s="210">
        <v>45410</v>
      </c>
      <c r="C487" s="211">
        <v>11.043839999999999</v>
      </c>
      <c r="D487" s="209"/>
      <c r="E487" s="209"/>
      <c r="F487" s="209"/>
      <c r="G487" s="209"/>
    </row>
    <row r="488" spans="2:7" x14ac:dyDescent="0.25">
      <c r="B488" s="210">
        <v>45411</v>
      </c>
      <c r="C488" s="211">
        <v>10.99403</v>
      </c>
      <c r="D488" s="209"/>
      <c r="E488" s="209"/>
      <c r="F488" s="209"/>
      <c r="G488" s="209"/>
    </row>
    <row r="489" spans="2:7" x14ac:dyDescent="0.25">
      <c r="B489" s="210">
        <v>45412</v>
      </c>
      <c r="C489" s="211">
        <v>11.071400000000001</v>
      </c>
      <c r="D489" s="209"/>
      <c r="E489" s="209"/>
      <c r="F489" s="209"/>
      <c r="G489" s="209"/>
    </row>
    <row r="490" spans="2:7" x14ac:dyDescent="0.25">
      <c r="B490" s="210">
        <v>45413</v>
      </c>
      <c r="C490" s="211">
        <v>11.068720000000001</v>
      </c>
      <c r="D490" s="209"/>
      <c r="E490" s="209"/>
      <c r="F490" s="209"/>
      <c r="G490" s="209"/>
    </row>
    <row r="491" spans="2:7" x14ac:dyDescent="0.25">
      <c r="B491" s="210">
        <v>45414</v>
      </c>
      <c r="C491" s="211">
        <v>11.047610000000001</v>
      </c>
      <c r="D491" s="209"/>
      <c r="E491" s="209"/>
      <c r="F491" s="209"/>
      <c r="G491" s="209"/>
    </row>
    <row r="492" spans="2:7" x14ac:dyDescent="0.25">
      <c r="B492" s="210">
        <v>45415</v>
      </c>
      <c r="C492" s="211">
        <v>10.8415</v>
      </c>
      <c r="D492" s="209"/>
      <c r="E492" s="209"/>
      <c r="F492" s="209"/>
      <c r="G492" s="209"/>
    </row>
    <row r="493" spans="2:7" x14ac:dyDescent="0.25">
      <c r="B493" s="210">
        <v>45416</v>
      </c>
      <c r="C493" s="211">
        <v>10.8415</v>
      </c>
      <c r="D493" s="209"/>
      <c r="E493" s="209"/>
      <c r="F493" s="209"/>
      <c r="G493" s="209"/>
    </row>
    <row r="494" spans="2:7" x14ac:dyDescent="0.25">
      <c r="B494" s="210">
        <v>45417</v>
      </c>
      <c r="C494" s="211">
        <v>10.8415</v>
      </c>
      <c r="D494" s="209"/>
      <c r="E494" s="209"/>
      <c r="F494" s="209"/>
      <c r="G494" s="209"/>
    </row>
    <row r="495" spans="2:7" x14ac:dyDescent="0.25">
      <c r="B495" s="210">
        <v>45418</v>
      </c>
      <c r="C495" s="211">
        <v>10.83323</v>
      </c>
      <c r="D495" s="209"/>
      <c r="E495" s="209"/>
      <c r="F495" s="209"/>
      <c r="G495" s="209"/>
    </row>
    <row r="496" spans="2:7" x14ac:dyDescent="0.25">
      <c r="B496" s="210">
        <v>45419</v>
      </c>
      <c r="C496" s="211">
        <v>10.86994</v>
      </c>
      <c r="D496" s="209"/>
      <c r="E496" s="209"/>
      <c r="F496" s="209"/>
      <c r="G496" s="209"/>
    </row>
    <row r="497" spans="2:7" x14ac:dyDescent="0.25">
      <c r="B497" s="210">
        <v>45420</v>
      </c>
      <c r="C497" s="211">
        <v>10.902710000000001</v>
      </c>
      <c r="D497" s="209"/>
      <c r="E497" s="209"/>
      <c r="F497" s="209"/>
      <c r="G497" s="209"/>
    </row>
    <row r="498" spans="2:7" x14ac:dyDescent="0.25">
      <c r="B498" s="210">
        <v>45421</v>
      </c>
      <c r="C498" s="211">
        <v>10.87937</v>
      </c>
      <c r="D498" s="209"/>
      <c r="E498" s="209"/>
      <c r="F498" s="209"/>
      <c r="G498" s="209"/>
    </row>
    <row r="499" spans="2:7" x14ac:dyDescent="0.25">
      <c r="B499" s="210">
        <v>45422</v>
      </c>
      <c r="C499" s="211">
        <v>10.846080000000001</v>
      </c>
      <c r="D499" s="209"/>
      <c r="E499" s="209"/>
      <c r="F499" s="209"/>
      <c r="G499" s="209"/>
    </row>
    <row r="500" spans="2:7" x14ac:dyDescent="0.25">
      <c r="B500" s="210">
        <v>45423</v>
      </c>
      <c r="C500" s="211">
        <v>10.846080000000001</v>
      </c>
      <c r="D500" s="209"/>
      <c r="E500" s="209"/>
      <c r="F500" s="209"/>
      <c r="G500" s="209"/>
    </row>
    <row r="501" spans="2:7" x14ac:dyDescent="0.25">
      <c r="B501" s="210">
        <v>45424</v>
      </c>
      <c r="C501" s="211">
        <v>10.846080000000001</v>
      </c>
      <c r="D501" s="209"/>
      <c r="E501" s="209"/>
      <c r="F501" s="209"/>
      <c r="G501" s="209"/>
    </row>
    <row r="502" spans="2:7" x14ac:dyDescent="0.25">
      <c r="B502" s="210">
        <v>45425</v>
      </c>
      <c r="C502" s="211">
        <v>10.82596</v>
      </c>
      <c r="D502" s="209"/>
      <c r="E502" s="209"/>
      <c r="F502" s="209"/>
      <c r="G502" s="209"/>
    </row>
    <row r="503" spans="2:7" x14ac:dyDescent="0.25">
      <c r="B503" s="210">
        <v>45426</v>
      </c>
      <c r="C503" s="211">
        <v>10.81934</v>
      </c>
      <c r="D503" s="209"/>
      <c r="E503" s="209"/>
      <c r="F503" s="209"/>
      <c r="G503" s="209"/>
    </row>
    <row r="504" spans="2:7" x14ac:dyDescent="0.25">
      <c r="B504" s="210">
        <v>45427</v>
      </c>
      <c r="C504" s="211">
        <v>10.701029999999999</v>
      </c>
      <c r="D504" s="209"/>
      <c r="E504" s="209"/>
      <c r="F504" s="209"/>
      <c r="G504" s="209"/>
    </row>
    <row r="505" spans="2:7" x14ac:dyDescent="0.25">
      <c r="B505" s="210">
        <v>45428</v>
      </c>
      <c r="C505" s="211">
        <v>10.70218</v>
      </c>
      <c r="D505" s="209"/>
      <c r="E505" s="209"/>
      <c r="F505" s="209"/>
      <c r="G505" s="209"/>
    </row>
    <row r="506" spans="2:7" x14ac:dyDescent="0.25">
      <c r="B506" s="210">
        <v>45429</v>
      </c>
      <c r="C506" s="211">
        <v>10.6783</v>
      </c>
      <c r="D506" s="209"/>
      <c r="E506" s="209"/>
      <c r="F506" s="209"/>
      <c r="G506" s="209"/>
    </row>
    <row r="507" spans="2:7" x14ac:dyDescent="0.25">
      <c r="B507" s="210">
        <v>45430</v>
      </c>
      <c r="C507" s="211">
        <v>10.6783</v>
      </c>
      <c r="D507" s="209"/>
      <c r="E507" s="209"/>
      <c r="F507" s="209"/>
      <c r="G507" s="209"/>
    </row>
    <row r="508" spans="2:7" x14ac:dyDescent="0.25">
      <c r="B508" s="210">
        <v>45431</v>
      </c>
      <c r="C508" s="211">
        <v>10.6783</v>
      </c>
      <c r="D508" s="209"/>
      <c r="E508" s="209"/>
      <c r="F508" s="209"/>
      <c r="G508" s="209"/>
    </row>
    <row r="509" spans="2:7" x14ac:dyDescent="0.25">
      <c r="B509" s="210">
        <v>45432</v>
      </c>
      <c r="C509" s="211">
        <v>10.68629</v>
      </c>
      <c r="D509" s="209"/>
      <c r="E509" s="209"/>
      <c r="F509" s="209"/>
      <c r="G509" s="209"/>
    </row>
    <row r="510" spans="2:7" x14ac:dyDescent="0.25">
      <c r="B510" s="210">
        <v>45433</v>
      </c>
      <c r="C510" s="211">
        <v>10.66953</v>
      </c>
      <c r="D510" s="209"/>
      <c r="E510" s="209"/>
      <c r="F510" s="209"/>
      <c r="G510" s="209"/>
    </row>
    <row r="511" spans="2:7" x14ac:dyDescent="0.25">
      <c r="B511" s="210">
        <v>45434</v>
      </c>
      <c r="C511" s="211">
        <v>10.686809999999999</v>
      </c>
      <c r="D511" s="209"/>
      <c r="E511" s="209"/>
      <c r="F511" s="209"/>
      <c r="G511" s="209"/>
    </row>
    <row r="512" spans="2:7" x14ac:dyDescent="0.25">
      <c r="B512" s="210">
        <v>45435</v>
      </c>
      <c r="C512" s="211">
        <v>10.66484</v>
      </c>
      <c r="D512" s="209"/>
      <c r="E512" s="209"/>
      <c r="F512" s="209"/>
      <c r="G512" s="209"/>
    </row>
    <row r="513" spans="2:7" x14ac:dyDescent="0.25">
      <c r="B513" s="210">
        <v>45436</v>
      </c>
      <c r="C513" s="211">
        <v>10.570589999999999</v>
      </c>
      <c r="D513" s="209"/>
      <c r="E513" s="209"/>
      <c r="F513" s="209"/>
      <c r="G513" s="209"/>
    </row>
    <row r="514" spans="2:7" x14ac:dyDescent="0.25">
      <c r="B514" s="210">
        <v>45437</v>
      </c>
      <c r="C514" s="211">
        <v>10.570589999999999</v>
      </c>
      <c r="D514" s="209"/>
      <c r="E514" s="209"/>
      <c r="F514" s="209"/>
      <c r="G514" s="209"/>
    </row>
    <row r="515" spans="2:7" x14ac:dyDescent="0.25">
      <c r="B515" s="210">
        <v>45438</v>
      </c>
      <c r="C515" s="211">
        <v>10.570589999999999</v>
      </c>
      <c r="D515" s="209"/>
      <c r="E515" s="209"/>
      <c r="F515" s="209"/>
      <c r="G515" s="209"/>
    </row>
    <row r="516" spans="2:7" x14ac:dyDescent="0.25">
      <c r="B516" s="210">
        <v>45439</v>
      </c>
      <c r="C516" s="211">
        <v>10.49506</v>
      </c>
      <c r="D516" s="209"/>
      <c r="E516" s="209"/>
      <c r="F516" s="209"/>
      <c r="G516" s="209"/>
    </row>
    <row r="517" spans="2:7" x14ac:dyDescent="0.25">
      <c r="B517" s="210">
        <v>45440</v>
      </c>
      <c r="C517" s="211">
        <v>10.48001</v>
      </c>
      <c r="D517" s="209"/>
      <c r="E517" s="209"/>
      <c r="F517" s="209"/>
      <c r="G517" s="209"/>
    </row>
    <row r="518" spans="2:7" x14ac:dyDescent="0.25">
      <c r="B518" s="210">
        <v>45441</v>
      </c>
      <c r="C518" s="211">
        <v>10.57166</v>
      </c>
      <c r="D518" s="209"/>
      <c r="E518" s="209"/>
      <c r="F518" s="209"/>
      <c r="G518" s="209"/>
    </row>
    <row r="519" spans="2:7" x14ac:dyDescent="0.25">
      <c r="B519" s="210">
        <v>45442</v>
      </c>
      <c r="C519" s="211">
        <v>10.519080000000001</v>
      </c>
      <c r="D519" s="209"/>
      <c r="E519" s="209"/>
      <c r="F519" s="209"/>
      <c r="G519" s="209"/>
    </row>
    <row r="520" spans="2:7" x14ac:dyDescent="0.25">
      <c r="B520" s="210">
        <v>45443</v>
      </c>
      <c r="C520" s="211">
        <v>10.51357</v>
      </c>
      <c r="D520" s="209"/>
      <c r="E520" s="209"/>
      <c r="F520" s="209"/>
      <c r="G520" s="209"/>
    </row>
    <row r="521" spans="2:7" x14ac:dyDescent="0.25">
      <c r="B521" s="210">
        <v>45444</v>
      </c>
      <c r="C521" s="211">
        <v>10.51357</v>
      </c>
      <c r="D521" s="209"/>
      <c r="E521" s="209"/>
      <c r="F521" s="209"/>
      <c r="G521" s="209"/>
    </row>
    <row r="522" spans="2:7" x14ac:dyDescent="0.25">
      <c r="B522" s="210">
        <v>45445</v>
      </c>
      <c r="C522" s="211">
        <v>10.51357</v>
      </c>
      <c r="D522" s="209"/>
      <c r="E522" s="209"/>
      <c r="F522" s="209"/>
      <c r="G522" s="209"/>
    </row>
    <row r="523" spans="2:7" x14ac:dyDescent="0.25">
      <c r="B523" s="210">
        <v>45446</v>
      </c>
      <c r="C523" s="211">
        <v>10.46696</v>
      </c>
      <c r="D523" s="209"/>
      <c r="E523" s="209"/>
      <c r="F523" s="209"/>
      <c r="G523" s="209"/>
    </row>
    <row r="524" spans="2:7" x14ac:dyDescent="0.25">
      <c r="B524" s="210">
        <v>45447</v>
      </c>
      <c r="C524" s="211">
        <v>10.57619</v>
      </c>
      <c r="D524" s="209"/>
      <c r="E524" s="209"/>
      <c r="F524" s="209"/>
      <c r="G524" s="209"/>
    </row>
    <row r="525" spans="2:7" x14ac:dyDescent="0.25">
      <c r="B525" s="210">
        <v>45448</v>
      </c>
      <c r="C525" s="211">
        <v>10.57619</v>
      </c>
      <c r="D525" s="209"/>
      <c r="E525" s="209"/>
      <c r="F525" s="209"/>
      <c r="G525" s="20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DC19-F8B7-42F1-ACD2-EC125306CC69}">
  <dimension ref="B2:Z60"/>
  <sheetViews>
    <sheetView showGridLines="0" view="pageBreakPreview" zoomScale="90" zoomScaleNormal="100" zoomScaleSheetLayoutView="90" workbookViewId="0"/>
  </sheetViews>
  <sheetFormatPr defaultColWidth="8.85546875" defaultRowHeight="12.75" x14ac:dyDescent="0.2"/>
  <cols>
    <col min="1" max="16384" width="8.85546875" style="245"/>
  </cols>
  <sheetData>
    <row r="2" spans="2:26" ht="15" thickBot="1" x14ac:dyDescent="0.25">
      <c r="B2" s="243" t="s">
        <v>300</v>
      </c>
      <c r="C2" s="244"/>
      <c r="D2" s="244"/>
      <c r="E2" s="244"/>
      <c r="F2" s="244"/>
      <c r="G2" s="244"/>
      <c r="H2" s="244"/>
      <c r="I2" s="244"/>
      <c r="J2" s="244"/>
      <c r="K2" s="244"/>
      <c r="L2" s="244"/>
      <c r="M2" s="244"/>
      <c r="N2" s="244"/>
    </row>
    <row r="4" spans="2:26" x14ac:dyDescent="0.2">
      <c r="B4" s="251" t="s">
        <v>301</v>
      </c>
      <c r="C4" s="251"/>
      <c r="D4" s="251"/>
      <c r="E4" s="251"/>
      <c r="F4" s="251"/>
      <c r="G4" s="251"/>
      <c r="H4" s="251"/>
      <c r="I4" s="251"/>
      <c r="J4" s="251"/>
      <c r="K4" s="251"/>
      <c r="L4" s="251"/>
      <c r="M4" s="251"/>
      <c r="N4" s="251"/>
      <c r="O4" s="251"/>
      <c r="P4" s="251"/>
      <c r="Q4" s="251"/>
      <c r="R4" s="251"/>
      <c r="S4" s="251"/>
      <c r="T4" s="251"/>
      <c r="U4" s="251"/>
      <c r="V4" s="251"/>
      <c r="W4" s="251"/>
      <c r="X4" s="251"/>
      <c r="Y4" s="251"/>
      <c r="Z4" s="251"/>
    </row>
    <row r="5" spans="2:26" x14ac:dyDescent="0.2">
      <c r="B5" s="251"/>
      <c r="C5" s="251"/>
      <c r="D5" s="251"/>
      <c r="E5" s="251"/>
      <c r="F5" s="251"/>
      <c r="G5" s="251"/>
      <c r="H5" s="251"/>
      <c r="I5" s="251"/>
      <c r="J5" s="251"/>
      <c r="K5" s="251"/>
      <c r="L5" s="251"/>
      <c r="M5" s="251"/>
      <c r="N5" s="251"/>
      <c r="O5" s="251"/>
      <c r="P5" s="251"/>
      <c r="Q5" s="251"/>
      <c r="R5" s="251"/>
      <c r="S5" s="251"/>
      <c r="T5" s="251"/>
      <c r="U5" s="251"/>
      <c r="V5" s="251"/>
      <c r="W5" s="251"/>
      <c r="X5" s="251"/>
      <c r="Y5" s="251"/>
      <c r="Z5" s="251"/>
    </row>
    <row r="6" spans="2:26" x14ac:dyDescent="0.2">
      <c r="B6" s="251"/>
      <c r="C6" s="251"/>
      <c r="D6" s="251"/>
      <c r="E6" s="251"/>
      <c r="F6" s="251"/>
      <c r="G6" s="251"/>
      <c r="H6" s="251"/>
      <c r="I6" s="251"/>
      <c r="J6" s="251"/>
      <c r="K6" s="251"/>
      <c r="L6" s="251"/>
      <c r="M6" s="251"/>
      <c r="N6" s="251"/>
      <c r="O6" s="251"/>
      <c r="P6" s="251"/>
      <c r="Q6" s="251"/>
      <c r="R6" s="251"/>
      <c r="S6" s="251"/>
      <c r="T6" s="251"/>
      <c r="U6" s="251"/>
      <c r="V6" s="251"/>
      <c r="W6" s="251"/>
      <c r="X6" s="251"/>
      <c r="Y6" s="251"/>
      <c r="Z6" s="251"/>
    </row>
    <row r="7" spans="2:26" x14ac:dyDescent="0.2">
      <c r="B7" s="251"/>
      <c r="C7" s="251"/>
      <c r="D7" s="251"/>
      <c r="E7" s="251"/>
      <c r="F7" s="251"/>
      <c r="G7" s="251"/>
      <c r="H7" s="251"/>
      <c r="I7" s="251"/>
      <c r="J7" s="251"/>
      <c r="K7" s="251"/>
      <c r="L7" s="251"/>
      <c r="M7" s="251"/>
      <c r="N7" s="251"/>
      <c r="O7" s="251"/>
      <c r="P7" s="251"/>
      <c r="Q7" s="251"/>
      <c r="R7" s="251"/>
      <c r="S7" s="251"/>
      <c r="T7" s="251"/>
      <c r="U7" s="251"/>
      <c r="V7" s="251"/>
      <c r="W7" s="251"/>
      <c r="X7" s="251"/>
      <c r="Y7" s="251"/>
      <c r="Z7" s="251"/>
    </row>
    <row r="8" spans="2:26" x14ac:dyDescent="0.2">
      <c r="B8" s="251"/>
      <c r="C8" s="251"/>
      <c r="D8" s="251"/>
      <c r="E8" s="251"/>
      <c r="F8" s="251"/>
      <c r="G8" s="251"/>
      <c r="H8" s="251"/>
      <c r="I8" s="251"/>
      <c r="J8" s="251"/>
      <c r="K8" s="251"/>
      <c r="L8" s="251"/>
      <c r="M8" s="251"/>
      <c r="N8" s="251"/>
      <c r="O8" s="251"/>
      <c r="P8" s="251"/>
      <c r="Q8" s="251"/>
      <c r="R8" s="251"/>
      <c r="S8" s="251"/>
      <c r="T8" s="251"/>
      <c r="U8" s="251"/>
      <c r="V8" s="251"/>
      <c r="W8" s="251"/>
      <c r="X8" s="251"/>
      <c r="Y8" s="251"/>
      <c r="Z8" s="251"/>
    </row>
    <row r="9" spans="2:26" x14ac:dyDescent="0.2">
      <c r="B9" s="251"/>
      <c r="C9" s="251"/>
      <c r="D9" s="251"/>
      <c r="E9" s="251"/>
      <c r="F9" s="251"/>
      <c r="G9" s="251"/>
      <c r="H9" s="251"/>
      <c r="I9" s="251"/>
      <c r="J9" s="251"/>
      <c r="K9" s="251"/>
      <c r="L9" s="251"/>
      <c r="M9" s="251"/>
      <c r="N9" s="251"/>
      <c r="O9" s="251"/>
      <c r="P9" s="251"/>
      <c r="Q9" s="251"/>
      <c r="R9" s="251"/>
      <c r="S9" s="251"/>
      <c r="T9" s="251"/>
      <c r="U9" s="251"/>
      <c r="V9" s="251"/>
      <c r="W9" s="251"/>
      <c r="X9" s="251"/>
      <c r="Y9" s="251"/>
      <c r="Z9" s="251"/>
    </row>
    <row r="10" spans="2:26" x14ac:dyDescent="0.2">
      <c r="B10" s="251"/>
      <c r="C10" s="251"/>
      <c r="D10" s="251"/>
      <c r="E10" s="251"/>
      <c r="F10" s="251"/>
      <c r="G10" s="251"/>
      <c r="H10" s="251"/>
      <c r="I10" s="251"/>
      <c r="J10" s="251"/>
      <c r="K10" s="251"/>
      <c r="L10" s="251"/>
      <c r="M10" s="251"/>
      <c r="N10" s="251"/>
      <c r="O10" s="251"/>
      <c r="P10" s="251"/>
      <c r="Q10" s="251"/>
      <c r="R10" s="251"/>
      <c r="S10" s="251"/>
      <c r="T10" s="251"/>
      <c r="U10" s="251"/>
      <c r="V10" s="251"/>
      <c r="W10" s="251"/>
      <c r="X10" s="251"/>
      <c r="Y10" s="251"/>
      <c r="Z10" s="251"/>
    </row>
    <row r="11" spans="2:26" x14ac:dyDescent="0.2">
      <c r="B11" s="251"/>
      <c r="C11" s="251"/>
      <c r="D11" s="251"/>
      <c r="E11" s="251"/>
      <c r="F11" s="251"/>
      <c r="G11" s="251"/>
      <c r="H11" s="251"/>
      <c r="I11" s="251"/>
      <c r="J11" s="251"/>
      <c r="K11" s="251"/>
      <c r="L11" s="251"/>
      <c r="M11" s="251"/>
      <c r="N11" s="251"/>
      <c r="O11" s="251"/>
      <c r="P11" s="251"/>
      <c r="Q11" s="251"/>
      <c r="R11" s="251"/>
      <c r="S11" s="251"/>
      <c r="T11" s="251"/>
      <c r="U11" s="251"/>
      <c r="V11" s="251"/>
      <c r="W11" s="251"/>
      <c r="X11" s="251"/>
      <c r="Y11" s="251"/>
      <c r="Z11" s="251"/>
    </row>
    <row r="12" spans="2:26" x14ac:dyDescent="0.2">
      <c r="B12" s="251"/>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row>
    <row r="13" spans="2:26" x14ac:dyDescent="0.2">
      <c r="B13" s="251"/>
      <c r="C13" s="251"/>
      <c r="D13" s="251"/>
      <c r="E13" s="251"/>
      <c r="F13" s="251"/>
      <c r="G13" s="251"/>
      <c r="H13" s="251"/>
      <c r="I13" s="251"/>
      <c r="J13" s="251"/>
      <c r="K13" s="251"/>
      <c r="L13" s="251"/>
      <c r="M13" s="251"/>
      <c r="N13" s="251"/>
      <c r="O13" s="251"/>
      <c r="P13" s="251"/>
      <c r="Q13" s="251"/>
      <c r="R13" s="251"/>
      <c r="S13" s="251"/>
      <c r="T13" s="251"/>
      <c r="U13" s="251"/>
      <c r="V13" s="251"/>
      <c r="W13" s="251"/>
      <c r="X13" s="251"/>
      <c r="Y13" s="251"/>
      <c r="Z13" s="251"/>
    </row>
    <row r="14" spans="2:26" x14ac:dyDescent="0.2">
      <c r="B14" s="251"/>
      <c r="C14" s="251"/>
      <c r="D14" s="251"/>
      <c r="E14" s="251"/>
      <c r="F14" s="251"/>
      <c r="G14" s="251"/>
      <c r="H14" s="251"/>
      <c r="I14" s="251"/>
      <c r="J14" s="251"/>
      <c r="K14" s="251"/>
      <c r="L14" s="251"/>
      <c r="M14" s="251"/>
      <c r="N14" s="251"/>
      <c r="O14" s="251"/>
      <c r="P14" s="251"/>
      <c r="Q14" s="251"/>
      <c r="R14" s="251"/>
      <c r="S14" s="251"/>
      <c r="T14" s="251"/>
      <c r="U14" s="251"/>
      <c r="V14" s="251"/>
      <c r="W14" s="251"/>
      <c r="X14" s="251"/>
      <c r="Y14" s="251"/>
      <c r="Z14" s="251"/>
    </row>
    <row r="15" spans="2:26" x14ac:dyDescent="0.2">
      <c r="B15" s="251"/>
      <c r="C15" s="251"/>
      <c r="D15" s="251"/>
      <c r="E15" s="251"/>
      <c r="F15" s="251"/>
      <c r="G15" s="251"/>
      <c r="H15" s="251"/>
      <c r="I15" s="251"/>
      <c r="J15" s="251"/>
      <c r="K15" s="251"/>
      <c r="L15" s="251"/>
      <c r="M15" s="251"/>
      <c r="N15" s="251"/>
      <c r="O15" s="251"/>
      <c r="P15" s="251"/>
      <c r="Q15" s="251"/>
      <c r="R15" s="251"/>
      <c r="S15" s="251"/>
      <c r="T15" s="251"/>
      <c r="U15" s="251"/>
      <c r="V15" s="251"/>
      <c r="W15" s="251"/>
      <c r="X15" s="251"/>
      <c r="Y15" s="251"/>
      <c r="Z15" s="251"/>
    </row>
    <row r="16" spans="2:26" x14ac:dyDescent="0.2">
      <c r="B16" s="251"/>
      <c r="C16" s="251"/>
      <c r="D16" s="251"/>
      <c r="E16" s="251"/>
      <c r="F16" s="251"/>
      <c r="G16" s="251"/>
      <c r="H16" s="251"/>
      <c r="I16" s="251"/>
      <c r="J16" s="251"/>
      <c r="K16" s="251"/>
      <c r="L16" s="251"/>
      <c r="M16" s="251"/>
      <c r="N16" s="251"/>
      <c r="O16" s="251"/>
      <c r="P16" s="251"/>
      <c r="Q16" s="251"/>
      <c r="R16" s="251"/>
      <c r="S16" s="251"/>
      <c r="T16" s="251"/>
      <c r="U16" s="251"/>
      <c r="V16" s="251"/>
      <c r="W16" s="251"/>
      <c r="X16" s="251"/>
      <c r="Y16" s="251"/>
      <c r="Z16" s="251"/>
    </row>
    <row r="17" spans="2:26" x14ac:dyDescent="0.2">
      <c r="B17" s="251"/>
      <c r="C17" s="251"/>
      <c r="D17" s="251"/>
      <c r="E17" s="251"/>
      <c r="F17" s="251"/>
      <c r="G17" s="251"/>
      <c r="H17" s="251"/>
      <c r="I17" s="251"/>
      <c r="J17" s="251"/>
      <c r="K17" s="251"/>
      <c r="L17" s="251"/>
      <c r="M17" s="251"/>
      <c r="N17" s="251"/>
      <c r="O17" s="251"/>
      <c r="P17" s="251"/>
      <c r="Q17" s="251"/>
      <c r="R17" s="251"/>
      <c r="S17" s="251"/>
      <c r="T17" s="251"/>
      <c r="U17" s="251"/>
      <c r="V17" s="251"/>
      <c r="W17" s="251"/>
      <c r="X17" s="251"/>
      <c r="Y17" s="251"/>
      <c r="Z17" s="251"/>
    </row>
    <row r="18" spans="2:26" x14ac:dyDescent="0.2">
      <c r="B18" s="251"/>
      <c r="C18" s="251"/>
      <c r="D18" s="251"/>
      <c r="E18" s="251"/>
      <c r="F18" s="251"/>
      <c r="G18" s="251"/>
      <c r="H18" s="251"/>
      <c r="I18" s="251"/>
      <c r="J18" s="251"/>
      <c r="K18" s="251"/>
      <c r="L18" s="251"/>
      <c r="M18" s="251"/>
      <c r="N18" s="251"/>
      <c r="O18" s="251"/>
      <c r="P18" s="251"/>
      <c r="Q18" s="251"/>
      <c r="R18" s="251"/>
      <c r="S18" s="251"/>
      <c r="T18" s="251"/>
      <c r="U18" s="251"/>
      <c r="V18" s="251"/>
      <c r="W18" s="251"/>
      <c r="X18" s="251"/>
      <c r="Y18" s="251"/>
      <c r="Z18" s="251"/>
    </row>
    <row r="19" spans="2:26" x14ac:dyDescent="0.2">
      <c r="B19" s="251"/>
      <c r="C19" s="251"/>
      <c r="D19" s="251"/>
      <c r="E19" s="251"/>
      <c r="F19" s="251"/>
      <c r="G19" s="251"/>
      <c r="H19" s="251"/>
      <c r="I19" s="251"/>
      <c r="J19" s="251"/>
      <c r="K19" s="251"/>
      <c r="L19" s="251"/>
      <c r="M19" s="251"/>
      <c r="N19" s="251"/>
      <c r="O19" s="251"/>
      <c r="P19" s="251"/>
      <c r="Q19" s="251"/>
      <c r="R19" s="251"/>
      <c r="S19" s="251"/>
      <c r="T19" s="251"/>
      <c r="U19" s="251"/>
      <c r="V19" s="251"/>
      <c r="W19" s="251"/>
      <c r="X19" s="251"/>
      <c r="Y19" s="251"/>
      <c r="Z19" s="251"/>
    </row>
    <row r="20" spans="2:26" x14ac:dyDescent="0.2">
      <c r="B20" s="251"/>
      <c r="C20" s="251"/>
      <c r="D20" s="251"/>
      <c r="E20" s="251"/>
      <c r="F20" s="251"/>
      <c r="G20" s="251"/>
      <c r="H20" s="251"/>
      <c r="I20" s="251"/>
      <c r="J20" s="251"/>
      <c r="K20" s="251"/>
      <c r="L20" s="251"/>
      <c r="M20" s="251"/>
      <c r="N20" s="251"/>
      <c r="O20" s="251"/>
      <c r="P20" s="251"/>
      <c r="Q20" s="251"/>
      <c r="R20" s="251"/>
      <c r="S20" s="251"/>
      <c r="T20" s="251"/>
      <c r="U20" s="251"/>
      <c r="V20" s="251"/>
      <c r="W20" s="251"/>
      <c r="X20" s="251"/>
      <c r="Y20" s="251"/>
      <c r="Z20" s="251"/>
    </row>
    <row r="21" spans="2:26" x14ac:dyDescent="0.2">
      <c r="B21" s="251"/>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row>
    <row r="22" spans="2:26" x14ac:dyDescent="0.2">
      <c r="B22" s="251"/>
      <c r="C22" s="251"/>
      <c r="D22" s="251"/>
      <c r="E22" s="251"/>
      <c r="F22" s="251"/>
      <c r="G22" s="251"/>
      <c r="H22" s="251"/>
      <c r="I22" s="251"/>
      <c r="J22" s="251"/>
      <c r="K22" s="251"/>
      <c r="L22" s="251"/>
      <c r="M22" s="251"/>
      <c r="N22" s="251"/>
      <c r="O22" s="251"/>
      <c r="P22" s="251"/>
      <c r="Q22" s="251"/>
      <c r="R22" s="251"/>
      <c r="S22" s="251"/>
      <c r="T22" s="251"/>
      <c r="U22" s="251"/>
      <c r="V22" s="251"/>
      <c r="W22" s="251"/>
      <c r="X22" s="251"/>
      <c r="Y22" s="251"/>
      <c r="Z22" s="251"/>
    </row>
    <row r="23" spans="2:26" x14ac:dyDescent="0.2">
      <c r="B23" s="251"/>
      <c r="C23" s="251"/>
      <c r="D23" s="251"/>
      <c r="E23" s="251"/>
      <c r="F23" s="251"/>
      <c r="G23" s="251"/>
      <c r="H23" s="251"/>
      <c r="I23" s="251"/>
      <c r="J23" s="251"/>
      <c r="K23" s="251"/>
      <c r="L23" s="251"/>
      <c r="M23" s="251"/>
      <c r="N23" s="251"/>
      <c r="O23" s="251"/>
      <c r="P23" s="251"/>
      <c r="Q23" s="251"/>
      <c r="R23" s="251"/>
      <c r="S23" s="251"/>
      <c r="T23" s="251"/>
      <c r="U23" s="251"/>
      <c r="V23" s="251"/>
      <c r="W23" s="251"/>
      <c r="X23" s="251"/>
      <c r="Y23" s="251"/>
      <c r="Z23" s="251"/>
    </row>
    <row r="24" spans="2:26" x14ac:dyDescent="0.2">
      <c r="B24" s="251"/>
      <c r="C24" s="251"/>
      <c r="D24" s="251"/>
      <c r="E24" s="251"/>
      <c r="F24" s="251"/>
      <c r="G24" s="251"/>
      <c r="H24" s="251"/>
      <c r="I24" s="251"/>
      <c r="J24" s="251"/>
      <c r="K24" s="251"/>
      <c r="L24" s="251"/>
      <c r="M24" s="251"/>
      <c r="N24" s="251"/>
      <c r="O24" s="251"/>
      <c r="P24" s="251"/>
      <c r="Q24" s="251"/>
      <c r="R24" s="251"/>
      <c r="S24" s="251"/>
      <c r="T24" s="251"/>
      <c r="U24" s="251"/>
      <c r="V24" s="251"/>
      <c r="W24" s="251"/>
      <c r="X24" s="251"/>
      <c r="Y24" s="251"/>
      <c r="Z24" s="251"/>
    </row>
    <row r="25" spans="2:26" x14ac:dyDescent="0.2">
      <c r="B25" s="251"/>
      <c r="C25" s="251"/>
      <c r="D25" s="251"/>
      <c r="E25" s="251"/>
      <c r="F25" s="251"/>
      <c r="G25" s="251"/>
      <c r="H25" s="251"/>
      <c r="I25" s="251"/>
      <c r="J25" s="251"/>
      <c r="K25" s="251"/>
      <c r="L25" s="251"/>
      <c r="M25" s="251"/>
      <c r="N25" s="251"/>
      <c r="O25" s="251"/>
      <c r="P25" s="251"/>
      <c r="Q25" s="251"/>
      <c r="R25" s="251"/>
      <c r="S25" s="251"/>
      <c r="T25" s="251"/>
      <c r="U25" s="251"/>
      <c r="V25" s="251"/>
      <c r="W25" s="251"/>
      <c r="X25" s="251"/>
      <c r="Y25" s="251"/>
      <c r="Z25" s="251"/>
    </row>
    <row r="26" spans="2:26" x14ac:dyDescent="0.2">
      <c r="B26" s="251"/>
      <c r="C26" s="251"/>
      <c r="D26" s="251"/>
      <c r="E26" s="251"/>
      <c r="F26" s="251"/>
      <c r="G26" s="251"/>
      <c r="H26" s="251"/>
      <c r="I26" s="251"/>
      <c r="J26" s="251"/>
      <c r="K26" s="251"/>
      <c r="L26" s="251"/>
      <c r="M26" s="251"/>
      <c r="N26" s="251"/>
      <c r="O26" s="251"/>
      <c r="P26" s="251"/>
      <c r="Q26" s="251"/>
      <c r="R26" s="251"/>
      <c r="S26" s="251"/>
      <c r="T26" s="251"/>
      <c r="U26" s="251"/>
      <c r="V26" s="251"/>
      <c r="W26" s="251"/>
      <c r="X26" s="251"/>
      <c r="Y26" s="251"/>
      <c r="Z26" s="251"/>
    </row>
    <row r="27" spans="2:26" x14ac:dyDescent="0.2">
      <c r="B27" s="251"/>
      <c r="C27" s="251"/>
      <c r="D27" s="251"/>
      <c r="E27" s="251"/>
      <c r="F27" s="251"/>
      <c r="G27" s="251"/>
      <c r="H27" s="251"/>
      <c r="I27" s="251"/>
      <c r="J27" s="251"/>
      <c r="K27" s="251"/>
      <c r="L27" s="251"/>
      <c r="M27" s="251"/>
      <c r="N27" s="251"/>
      <c r="O27" s="251"/>
      <c r="P27" s="251"/>
      <c r="Q27" s="251"/>
      <c r="R27" s="251"/>
      <c r="S27" s="251"/>
      <c r="T27" s="251"/>
      <c r="U27" s="251"/>
      <c r="V27" s="251"/>
      <c r="W27" s="251"/>
      <c r="X27" s="251"/>
      <c r="Y27" s="251"/>
      <c r="Z27" s="251"/>
    </row>
    <row r="28" spans="2:26" x14ac:dyDescent="0.2">
      <c r="B28" s="251"/>
      <c r="C28" s="251"/>
      <c r="D28" s="251"/>
      <c r="E28" s="251"/>
      <c r="F28" s="251"/>
      <c r="G28" s="251"/>
      <c r="H28" s="251"/>
      <c r="I28" s="251"/>
      <c r="J28" s="251"/>
      <c r="K28" s="251"/>
      <c r="L28" s="251"/>
      <c r="M28" s="251"/>
      <c r="N28" s="251"/>
      <c r="O28" s="251"/>
      <c r="P28" s="251"/>
      <c r="Q28" s="251"/>
      <c r="R28" s="251"/>
      <c r="S28" s="251"/>
      <c r="T28" s="251"/>
      <c r="U28" s="251"/>
      <c r="V28" s="251"/>
      <c r="W28" s="251"/>
      <c r="X28" s="251"/>
      <c r="Y28" s="251"/>
      <c r="Z28" s="251"/>
    </row>
    <row r="29" spans="2:26" x14ac:dyDescent="0.2">
      <c r="B29" s="251"/>
      <c r="C29" s="251"/>
      <c r="D29" s="251"/>
      <c r="E29" s="251"/>
      <c r="F29" s="251"/>
      <c r="G29" s="251"/>
      <c r="H29" s="251"/>
      <c r="I29" s="251"/>
      <c r="J29" s="251"/>
      <c r="K29" s="251"/>
      <c r="L29" s="251"/>
      <c r="M29" s="251"/>
      <c r="N29" s="251"/>
      <c r="O29" s="251"/>
      <c r="P29" s="251"/>
      <c r="Q29" s="251"/>
      <c r="R29" s="251"/>
      <c r="S29" s="251"/>
      <c r="T29" s="251"/>
      <c r="U29" s="251"/>
      <c r="V29" s="251"/>
      <c r="W29" s="251"/>
      <c r="X29" s="251"/>
      <c r="Y29" s="251"/>
      <c r="Z29" s="251"/>
    </row>
    <row r="30" spans="2:26" x14ac:dyDescent="0.2">
      <c r="B30" s="251"/>
      <c r="C30" s="251"/>
      <c r="D30" s="251"/>
      <c r="E30" s="251"/>
      <c r="F30" s="251"/>
      <c r="G30" s="251"/>
      <c r="H30" s="251"/>
      <c r="I30" s="251"/>
      <c r="J30" s="251"/>
      <c r="K30" s="251"/>
      <c r="L30" s="251"/>
      <c r="M30" s="251"/>
      <c r="N30" s="251"/>
      <c r="O30" s="251"/>
      <c r="P30" s="251"/>
      <c r="Q30" s="251"/>
      <c r="R30" s="251"/>
      <c r="S30" s="251"/>
      <c r="T30" s="251"/>
      <c r="U30" s="251"/>
      <c r="V30" s="251"/>
      <c r="W30" s="251"/>
      <c r="X30" s="251"/>
      <c r="Y30" s="251"/>
      <c r="Z30" s="251"/>
    </row>
    <row r="31" spans="2:26" x14ac:dyDescent="0.2">
      <c r="B31" s="251"/>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row>
    <row r="32" spans="2:26" x14ac:dyDescent="0.2">
      <c r="B32" s="251"/>
      <c r="C32" s="251"/>
      <c r="D32" s="251"/>
      <c r="E32" s="251"/>
      <c r="F32" s="251"/>
      <c r="G32" s="251"/>
      <c r="H32" s="251"/>
      <c r="I32" s="251"/>
      <c r="J32" s="251"/>
      <c r="K32" s="251"/>
      <c r="L32" s="251"/>
      <c r="M32" s="251"/>
      <c r="N32" s="251"/>
      <c r="O32" s="251"/>
      <c r="P32" s="251"/>
      <c r="Q32" s="251"/>
      <c r="R32" s="251"/>
      <c r="S32" s="251"/>
      <c r="T32" s="251"/>
      <c r="U32" s="251"/>
      <c r="V32" s="251"/>
      <c r="W32" s="251"/>
      <c r="X32" s="251"/>
      <c r="Y32" s="251"/>
      <c r="Z32" s="251"/>
    </row>
    <row r="33" spans="2:26" x14ac:dyDescent="0.2">
      <c r="B33" s="251"/>
      <c r="C33" s="251"/>
      <c r="D33" s="251"/>
      <c r="E33" s="251"/>
      <c r="F33" s="251"/>
      <c r="G33" s="251"/>
      <c r="H33" s="251"/>
      <c r="I33" s="251"/>
      <c r="J33" s="251"/>
      <c r="K33" s="251"/>
      <c r="L33" s="251"/>
      <c r="M33" s="251"/>
      <c r="N33" s="251"/>
      <c r="O33" s="251"/>
      <c r="P33" s="251"/>
      <c r="Q33" s="251"/>
      <c r="R33" s="251"/>
      <c r="S33" s="251"/>
      <c r="T33" s="251"/>
      <c r="U33" s="251"/>
      <c r="V33" s="251"/>
      <c r="W33" s="251"/>
      <c r="X33" s="251"/>
      <c r="Y33" s="251"/>
      <c r="Z33" s="251"/>
    </row>
    <row r="34" spans="2:26" x14ac:dyDescent="0.2">
      <c r="B34" s="251"/>
      <c r="C34" s="251"/>
      <c r="D34" s="251"/>
      <c r="E34" s="251"/>
      <c r="F34" s="251"/>
      <c r="G34" s="251"/>
      <c r="H34" s="251"/>
      <c r="I34" s="251"/>
      <c r="J34" s="251"/>
      <c r="K34" s="251"/>
      <c r="L34" s="251"/>
      <c r="M34" s="251"/>
      <c r="N34" s="251"/>
      <c r="O34" s="251"/>
      <c r="P34" s="251"/>
      <c r="Q34" s="251"/>
      <c r="R34" s="251"/>
      <c r="S34" s="251"/>
      <c r="T34" s="251"/>
      <c r="U34" s="251"/>
      <c r="V34" s="251"/>
      <c r="W34" s="251"/>
      <c r="X34" s="251"/>
      <c r="Y34" s="251"/>
      <c r="Z34" s="251"/>
    </row>
    <row r="35" spans="2:26" x14ac:dyDescent="0.2">
      <c r="B35" s="251"/>
      <c r="C35" s="251"/>
      <c r="D35" s="251"/>
      <c r="E35" s="251"/>
      <c r="F35" s="251"/>
      <c r="G35" s="251"/>
      <c r="H35" s="251"/>
      <c r="I35" s="251"/>
      <c r="J35" s="251"/>
      <c r="K35" s="251"/>
      <c r="L35" s="251"/>
      <c r="M35" s="251"/>
      <c r="N35" s="251"/>
      <c r="O35" s="251"/>
      <c r="P35" s="251"/>
      <c r="Q35" s="251"/>
      <c r="R35" s="251"/>
      <c r="S35" s="251"/>
      <c r="T35" s="251"/>
      <c r="U35" s="251"/>
      <c r="V35" s="251"/>
      <c r="W35" s="251"/>
      <c r="X35" s="251"/>
      <c r="Y35" s="251"/>
      <c r="Z35" s="251"/>
    </row>
    <row r="36" spans="2:26" x14ac:dyDescent="0.2">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spans="2:26" x14ac:dyDescent="0.2">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spans="2:26" x14ac:dyDescent="0.2">
      <c r="B38" s="251"/>
      <c r="C38" s="251"/>
      <c r="D38" s="251"/>
      <c r="E38" s="251"/>
      <c r="F38" s="251"/>
      <c r="G38" s="251"/>
      <c r="H38" s="251"/>
      <c r="I38" s="251"/>
      <c r="J38" s="251"/>
      <c r="K38" s="251"/>
      <c r="L38" s="251"/>
      <c r="M38" s="251"/>
      <c r="N38" s="251"/>
      <c r="O38" s="251"/>
      <c r="P38" s="251"/>
      <c r="Q38" s="251"/>
      <c r="R38" s="251"/>
      <c r="S38" s="251"/>
      <c r="T38" s="251"/>
      <c r="U38" s="251"/>
      <c r="V38" s="251"/>
      <c r="W38" s="251"/>
      <c r="X38" s="251"/>
      <c r="Y38" s="251"/>
      <c r="Z38" s="251"/>
    </row>
    <row r="39" spans="2:26" x14ac:dyDescent="0.2">
      <c r="B39" s="251"/>
      <c r="C39" s="251"/>
      <c r="D39" s="251"/>
      <c r="E39" s="251"/>
      <c r="F39" s="251"/>
      <c r="G39" s="251"/>
      <c r="H39" s="251"/>
      <c r="I39" s="251"/>
      <c r="J39" s="251"/>
      <c r="K39" s="251"/>
      <c r="L39" s="251"/>
      <c r="M39" s="251"/>
      <c r="N39" s="251"/>
      <c r="O39" s="251"/>
      <c r="P39" s="251"/>
      <c r="Q39" s="251"/>
      <c r="R39" s="251"/>
      <c r="S39" s="251"/>
      <c r="T39" s="251"/>
      <c r="U39" s="251"/>
      <c r="V39" s="251"/>
      <c r="W39" s="251"/>
      <c r="X39" s="251"/>
      <c r="Y39" s="251"/>
      <c r="Z39" s="251"/>
    </row>
    <row r="40" spans="2:26" x14ac:dyDescent="0.2">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row>
    <row r="41" spans="2:26" x14ac:dyDescent="0.2">
      <c r="B41" s="251"/>
      <c r="C41" s="251"/>
      <c r="D41" s="251"/>
      <c r="E41" s="251"/>
      <c r="F41" s="251"/>
      <c r="G41" s="251"/>
      <c r="H41" s="251"/>
      <c r="I41" s="251"/>
      <c r="J41" s="251"/>
      <c r="K41" s="251"/>
      <c r="L41" s="251"/>
      <c r="M41" s="251"/>
      <c r="N41" s="251"/>
      <c r="O41" s="251"/>
      <c r="P41" s="251"/>
      <c r="Q41" s="251"/>
      <c r="R41" s="251"/>
      <c r="S41" s="251"/>
      <c r="T41" s="251"/>
      <c r="U41" s="251"/>
      <c r="V41" s="251"/>
      <c r="W41" s="251"/>
      <c r="X41" s="251"/>
      <c r="Y41" s="251"/>
      <c r="Z41" s="251"/>
    </row>
    <row r="42" spans="2:26" x14ac:dyDescent="0.2">
      <c r="B42" s="251"/>
      <c r="C42" s="251"/>
      <c r="D42" s="251"/>
      <c r="E42" s="251"/>
      <c r="F42" s="251"/>
      <c r="G42" s="251"/>
      <c r="H42" s="251"/>
      <c r="I42" s="251"/>
      <c r="J42" s="251"/>
      <c r="K42" s="251"/>
      <c r="L42" s="251"/>
      <c r="M42" s="251"/>
      <c r="N42" s="251"/>
      <c r="O42" s="251"/>
      <c r="P42" s="251"/>
      <c r="Q42" s="251"/>
      <c r="R42" s="251"/>
      <c r="S42" s="251"/>
      <c r="T42" s="251"/>
      <c r="U42" s="251"/>
      <c r="V42" s="251"/>
      <c r="W42" s="251"/>
      <c r="X42" s="251"/>
      <c r="Y42" s="251"/>
      <c r="Z42" s="251"/>
    </row>
    <row r="43" spans="2:26" x14ac:dyDescent="0.2">
      <c r="B43" s="251"/>
      <c r="C43" s="251"/>
      <c r="D43" s="251"/>
      <c r="E43" s="251"/>
      <c r="F43" s="251"/>
      <c r="G43" s="251"/>
      <c r="H43" s="251"/>
      <c r="I43" s="251"/>
      <c r="J43" s="251"/>
      <c r="K43" s="251"/>
      <c r="L43" s="251"/>
      <c r="M43" s="251"/>
      <c r="N43" s="251"/>
      <c r="O43" s="251"/>
      <c r="P43" s="251"/>
      <c r="Q43" s="251"/>
      <c r="R43" s="251"/>
      <c r="S43" s="251"/>
      <c r="T43" s="251"/>
      <c r="U43" s="251"/>
      <c r="V43" s="251"/>
      <c r="W43" s="251"/>
      <c r="X43" s="251"/>
      <c r="Y43" s="251"/>
      <c r="Z43" s="251"/>
    </row>
    <row r="44" spans="2:26" x14ac:dyDescent="0.2">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spans="2:26" x14ac:dyDescent="0.2">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spans="2:26" x14ac:dyDescent="0.2">
      <c r="B46" s="251"/>
      <c r="C46" s="251"/>
      <c r="D46" s="251"/>
      <c r="E46" s="251"/>
      <c r="F46" s="251"/>
      <c r="G46" s="251"/>
      <c r="H46" s="251"/>
      <c r="I46" s="251"/>
      <c r="J46" s="251"/>
      <c r="K46" s="251"/>
      <c r="L46" s="251"/>
      <c r="M46" s="251"/>
      <c r="N46" s="251"/>
      <c r="O46" s="251"/>
      <c r="P46" s="251"/>
      <c r="Q46" s="251"/>
      <c r="R46" s="251"/>
      <c r="S46" s="251"/>
      <c r="T46" s="251"/>
      <c r="U46" s="251"/>
      <c r="V46" s="251"/>
      <c r="W46" s="251"/>
      <c r="X46" s="251"/>
      <c r="Y46" s="251"/>
      <c r="Z46" s="251"/>
    </row>
    <row r="47" spans="2:26" x14ac:dyDescent="0.2">
      <c r="B47" s="251"/>
      <c r="C47" s="251"/>
      <c r="D47" s="251"/>
      <c r="E47" s="251"/>
      <c r="F47" s="251"/>
      <c r="G47" s="251"/>
      <c r="H47" s="251"/>
      <c r="I47" s="251"/>
      <c r="J47" s="251"/>
      <c r="K47" s="251"/>
      <c r="L47" s="251"/>
      <c r="M47" s="251"/>
      <c r="N47" s="251"/>
      <c r="O47" s="251"/>
      <c r="P47" s="251"/>
      <c r="Q47" s="251"/>
      <c r="R47" s="251"/>
      <c r="S47" s="251"/>
      <c r="T47" s="251"/>
      <c r="U47" s="251"/>
      <c r="V47" s="251"/>
      <c r="W47" s="251"/>
      <c r="X47" s="251"/>
      <c r="Y47" s="251"/>
      <c r="Z47" s="251"/>
    </row>
    <row r="48" spans="2:26" x14ac:dyDescent="0.2">
      <c r="B48" s="251"/>
      <c r="C48" s="251"/>
      <c r="D48" s="251"/>
      <c r="E48" s="251"/>
      <c r="F48" s="251"/>
      <c r="G48" s="251"/>
      <c r="H48" s="251"/>
      <c r="I48" s="251"/>
      <c r="J48" s="251"/>
      <c r="K48" s="251"/>
      <c r="L48" s="251"/>
      <c r="M48" s="251"/>
      <c r="N48" s="251"/>
      <c r="O48" s="251"/>
      <c r="P48" s="251"/>
      <c r="Q48" s="251"/>
      <c r="R48" s="251"/>
      <c r="S48" s="251"/>
      <c r="T48" s="251"/>
      <c r="U48" s="251"/>
      <c r="V48" s="251"/>
      <c r="W48" s="251"/>
      <c r="X48" s="251"/>
      <c r="Y48" s="251"/>
      <c r="Z48" s="251"/>
    </row>
    <row r="49" spans="2:26" x14ac:dyDescent="0.2">
      <c r="B49" s="251"/>
      <c r="C49" s="251"/>
      <c r="D49" s="251"/>
      <c r="E49" s="251"/>
      <c r="F49" s="251"/>
      <c r="G49" s="251"/>
      <c r="H49" s="251"/>
      <c r="I49" s="251"/>
      <c r="J49" s="251"/>
      <c r="K49" s="251"/>
      <c r="L49" s="251"/>
      <c r="M49" s="251"/>
      <c r="N49" s="251"/>
      <c r="O49" s="251"/>
      <c r="P49" s="251"/>
      <c r="Q49" s="251"/>
      <c r="R49" s="251"/>
      <c r="S49" s="251"/>
      <c r="T49" s="251"/>
      <c r="U49" s="251"/>
      <c r="V49" s="251"/>
      <c r="W49" s="251"/>
      <c r="X49" s="251"/>
      <c r="Y49" s="251"/>
      <c r="Z49" s="251"/>
    </row>
    <row r="50" spans="2:26" x14ac:dyDescent="0.2">
      <c r="B50" s="251"/>
      <c r="C50" s="251"/>
      <c r="D50" s="251"/>
      <c r="E50" s="251"/>
      <c r="F50" s="251"/>
      <c r="G50" s="251"/>
      <c r="H50" s="251"/>
      <c r="I50" s="251"/>
      <c r="J50" s="251"/>
      <c r="K50" s="251"/>
      <c r="L50" s="251"/>
      <c r="M50" s="251"/>
      <c r="N50" s="251"/>
      <c r="O50" s="251"/>
      <c r="P50" s="251"/>
      <c r="Q50" s="251"/>
      <c r="R50" s="251"/>
      <c r="S50" s="251"/>
      <c r="T50" s="251"/>
      <c r="U50" s="251"/>
      <c r="V50" s="251"/>
      <c r="W50" s="251"/>
      <c r="X50" s="251"/>
      <c r="Y50" s="251"/>
      <c r="Z50" s="251"/>
    </row>
    <row r="51" spans="2:26" x14ac:dyDescent="0.2">
      <c r="B51" s="251"/>
      <c r="C51" s="251"/>
      <c r="D51" s="251"/>
      <c r="E51" s="251"/>
      <c r="F51" s="251"/>
      <c r="G51" s="251"/>
      <c r="H51" s="251"/>
      <c r="I51" s="251"/>
      <c r="J51" s="251"/>
      <c r="K51" s="251"/>
      <c r="L51" s="251"/>
      <c r="M51" s="251"/>
      <c r="N51" s="251"/>
      <c r="O51" s="251"/>
      <c r="P51" s="251"/>
      <c r="Q51" s="251"/>
      <c r="R51" s="251"/>
      <c r="S51" s="251"/>
      <c r="T51" s="251"/>
      <c r="U51" s="251"/>
      <c r="V51" s="251"/>
      <c r="W51" s="251"/>
      <c r="X51" s="251"/>
      <c r="Y51" s="251"/>
      <c r="Z51" s="251"/>
    </row>
    <row r="52" spans="2:26" x14ac:dyDescent="0.2">
      <c r="B52" s="251"/>
      <c r="C52" s="251"/>
      <c r="D52" s="251"/>
      <c r="E52" s="251"/>
      <c r="F52" s="251"/>
      <c r="G52" s="251"/>
      <c r="H52" s="251"/>
      <c r="I52" s="251"/>
      <c r="J52" s="251"/>
      <c r="K52" s="251"/>
      <c r="L52" s="251"/>
      <c r="M52" s="251"/>
      <c r="N52" s="251"/>
      <c r="O52" s="251"/>
      <c r="P52" s="251"/>
      <c r="Q52" s="251"/>
      <c r="R52" s="251"/>
      <c r="S52" s="251"/>
      <c r="T52" s="251"/>
      <c r="U52" s="251"/>
      <c r="V52" s="251"/>
      <c r="W52" s="251"/>
      <c r="X52" s="251"/>
      <c r="Y52" s="251"/>
      <c r="Z52" s="251"/>
    </row>
    <row r="53" spans="2:26" x14ac:dyDescent="0.2">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row>
    <row r="54" spans="2:26" x14ac:dyDescent="0.2">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row>
    <row r="55" spans="2:26" x14ac:dyDescent="0.2">
      <c r="B55" s="251"/>
      <c r="C55" s="251"/>
      <c r="D55" s="251"/>
      <c r="E55" s="251"/>
      <c r="F55" s="251"/>
      <c r="G55" s="251"/>
      <c r="H55" s="251"/>
      <c r="I55" s="251"/>
      <c r="J55" s="251"/>
      <c r="K55" s="251"/>
      <c r="L55" s="251"/>
      <c r="M55" s="251"/>
      <c r="N55" s="251"/>
      <c r="O55" s="251"/>
      <c r="P55" s="251"/>
      <c r="Q55" s="251"/>
      <c r="R55" s="251"/>
      <c r="S55" s="251"/>
      <c r="T55" s="251"/>
      <c r="U55" s="251"/>
      <c r="V55" s="251"/>
      <c r="W55" s="251"/>
      <c r="X55" s="251"/>
      <c r="Y55" s="251"/>
      <c r="Z55" s="251"/>
    </row>
    <row r="56" spans="2:26" x14ac:dyDescent="0.2">
      <c r="B56" s="251"/>
      <c r="C56" s="251"/>
      <c r="D56" s="251"/>
      <c r="E56" s="251"/>
      <c r="F56" s="251"/>
      <c r="G56" s="251"/>
      <c r="H56" s="251"/>
      <c r="I56" s="251"/>
      <c r="J56" s="251"/>
      <c r="K56" s="251"/>
      <c r="L56" s="251"/>
      <c r="M56" s="251"/>
      <c r="N56" s="251"/>
      <c r="O56" s="251"/>
      <c r="P56" s="251"/>
      <c r="Q56" s="251"/>
      <c r="R56" s="251"/>
      <c r="S56" s="251"/>
      <c r="T56" s="251"/>
      <c r="U56" s="251"/>
      <c r="V56" s="251"/>
      <c r="W56" s="251"/>
      <c r="X56" s="251"/>
      <c r="Y56" s="251"/>
      <c r="Z56" s="251"/>
    </row>
    <row r="57" spans="2:26" x14ac:dyDescent="0.2">
      <c r="B57" s="251"/>
      <c r="C57" s="251"/>
      <c r="D57" s="251"/>
      <c r="E57" s="251"/>
      <c r="F57" s="251"/>
      <c r="G57" s="251"/>
      <c r="H57" s="251"/>
      <c r="I57" s="251"/>
      <c r="J57" s="251"/>
      <c r="K57" s="251"/>
      <c r="L57" s="251"/>
      <c r="M57" s="251"/>
      <c r="N57" s="251"/>
      <c r="O57" s="251"/>
      <c r="P57" s="251"/>
      <c r="Q57" s="251"/>
      <c r="R57" s="251"/>
      <c r="S57" s="251"/>
      <c r="T57" s="251"/>
      <c r="U57" s="251"/>
      <c r="V57" s="251"/>
      <c r="W57" s="251"/>
      <c r="X57" s="251"/>
      <c r="Y57" s="251"/>
      <c r="Z57" s="251"/>
    </row>
    <row r="58" spans="2:26" x14ac:dyDescent="0.2">
      <c r="B58" s="251"/>
      <c r="C58" s="251"/>
      <c r="D58" s="251"/>
      <c r="E58" s="251"/>
      <c r="F58" s="251"/>
      <c r="G58" s="251"/>
      <c r="H58" s="251"/>
      <c r="I58" s="251"/>
      <c r="J58" s="251"/>
      <c r="K58" s="251"/>
      <c r="L58" s="251"/>
      <c r="M58" s="251"/>
      <c r="N58" s="251"/>
      <c r="O58" s="251"/>
      <c r="P58" s="251"/>
      <c r="Q58" s="251"/>
      <c r="R58" s="251"/>
      <c r="S58" s="251"/>
      <c r="T58" s="251"/>
      <c r="U58" s="251"/>
      <c r="V58" s="251"/>
      <c r="W58" s="251"/>
      <c r="X58" s="251"/>
      <c r="Y58" s="251"/>
      <c r="Z58" s="251"/>
    </row>
    <row r="59" spans="2:26" x14ac:dyDescent="0.2">
      <c r="B59" s="251"/>
      <c r="C59" s="251"/>
      <c r="D59" s="251"/>
      <c r="E59" s="251"/>
      <c r="F59" s="251"/>
      <c r="G59" s="251"/>
      <c r="H59" s="251"/>
      <c r="I59" s="251"/>
      <c r="J59" s="251"/>
      <c r="K59" s="251"/>
      <c r="L59" s="251"/>
      <c r="M59" s="251"/>
      <c r="N59" s="251"/>
      <c r="O59" s="251"/>
      <c r="P59" s="251"/>
      <c r="Q59" s="251"/>
      <c r="R59" s="251"/>
      <c r="S59" s="251"/>
      <c r="T59" s="251"/>
      <c r="U59" s="251"/>
      <c r="V59" s="251"/>
      <c r="W59" s="251"/>
      <c r="X59" s="251"/>
      <c r="Y59" s="251"/>
      <c r="Z59" s="251"/>
    </row>
    <row r="60" spans="2:26" x14ac:dyDescent="0.2">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row>
  </sheetData>
  <mergeCells count="1">
    <mergeCell ref="B4:Z60"/>
  </mergeCells>
  <pageMargins left="0.7" right="0.7" top="0.75" bottom="0.75" header="0.3" footer="0.3"/>
  <pageSetup paperSize="9" scale="5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C4:K24"/>
  <sheetViews>
    <sheetView showGridLines="0" zoomScale="85" zoomScaleNormal="85" workbookViewId="0">
      <selection activeCell="G22" sqref="G22"/>
    </sheetView>
  </sheetViews>
  <sheetFormatPr defaultColWidth="8.85546875" defaultRowHeight="12.75" x14ac:dyDescent="0.2"/>
  <cols>
    <col min="1" max="2" width="8.85546875" style="1"/>
    <col min="3" max="3" width="26.28515625" style="1" bestFit="1" customWidth="1"/>
    <col min="4" max="5" width="8.85546875" style="1"/>
    <col min="6" max="6" width="5.42578125" style="1" bestFit="1" customWidth="1"/>
    <col min="7" max="7" width="42.85546875" style="1" bestFit="1" customWidth="1"/>
    <col min="8" max="8" width="5.42578125" style="1" bestFit="1" customWidth="1"/>
    <col min="9" max="9" width="12.7109375" style="1" bestFit="1" customWidth="1"/>
    <col min="10" max="16384" width="8.85546875" style="1"/>
  </cols>
  <sheetData>
    <row r="4" spans="3:10" x14ac:dyDescent="0.2">
      <c r="C4" s="1" t="s">
        <v>17</v>
      </c>
      <c r="D4" s="1" t="e">
        <f>+#REF!</f>
        <v>#REF!</v>
      </c>
    </row>
    <row r="6" spans="3:10" x14ac:dyDescent="0.2">
      <c r="C6" s="4" t="s">
        <v>16</v>
      </c>
      <c r="D6" s="3" t="e">
        <f>+G6*J6</f>
        <v>#REF!</v>
      </c>
      <c r="E6" s="3" t="e">
        <f>+F6-D6</f>
        <v>#REF!</v>
      </c>
      <c r="F6" s="3" t="e">
        <f>+H6*J6</f>
        <v>#REF!</v>
      </c>
      <c r="G6" s="2">
        <v>10</v>
      </c>
      <c r="H6" s="2">
        <v>12</v>
      </c>
      <c r="I6" s="1" t="s">
        <v>10</v>
      </c>
      <c r="J6" s="1" t="e">
        <f>+#REF!</f>
        <v>#REF!</v>
      </c>
    </row>
    <row r="7" spans="3:10" x14ac:dyDescent="0.2">
      <c r="C7" s="1" t="s">
        <v>11</v>
      </c>
      <c r="D7" s="3">
        <v>550</v>
      </c>
      <c r="E7" s="3">
        <f>+F7-D7</f>
        <v>200</v>
      </c>
      <c r="F7" s="3">
        <v>750</v>
      </c>
      <c r="G7" s="1" t="s">
        <v>13</v>
      </c>
    </row>
    <row r="8" spans="3:10" x14ac:dyDescent="0.2">
      <c r="C8" s="1" t="s">
        <v>9</v>
      </c>
      <c r="D8" s="3">
        <v>510</v>
      </c>
      <c r="E8" s="3">
        <f>+F8-D8</f>
        <v>70</v>
      </c>
      <c r="F8" s="3">
        <v>580</v>
      </c>
      <c r="G8" s="1" t="s">
        <v>14</v>
      </c>
    </row>
    <row r="9" spans="3:10" x14ac:dyDescent="0.2">
      <c r="C9" s="1" t="s">
        <v>12</v>
      </c>
      <c r="D9" s="3">
        <v>440</v>
      </c>
      <c r="E9" s="3">
        <f>+F9-D9</f>
        <v>50</v>
      </c>
      <c r="F9" s="3">
        <v>490</v>
      </c>
      <c r="G9" s="1" t="s">
        <v>15</v>
      </c>
    </row>
    <row r="14" spans="3:10" x14ac:dyDescent="0.2">
      <c r="C14" s="1" t="str">
        <f>+C9</f>
        <v>LBO (5 year exit)</v>
      </c>
      <c r="D14" s="1">
        <f>+D9</f>
        <v>440</v>
      </c>
      <c r="E14" s="1">
        <f>+E9</f>
        <v>50</v>
      </c>
    </row>
    <row r="15" spans="3:10" x14ac:dyDescent="0.2">
      <c r="C15" s="1" t="str">
        <f>+C8</f>
        <v>FCFE</v>
      </c>
      <c r="D15" s="1">
        <f>+D8</f>
        <v>510</v>
      </c>
      <c r="E15" s="1">
        <f>+E8</f>
        <v>70</v>
      </c>
    </row>
    <row r="16" spans="3:10" x14ac:dyDescent="0.2">
      <c r="C16" s="1" t="str">
        <f>+C7</f>
        <v>DCF</v>
      </c>
      <c r="D16" s="1">
        <f>+D7</f>
        <v>550</v>
      </c>
      <c r="E16" s="1">
        <f>+E7</f>
        <v>200</v>
      </c>
    </row>
    <row r="17" spans="3:11" x14ac:dyDescent="0.2">
      <c r="C17" s="1" t="str">
        <f>+C6</f>
        <v>Trading Comps FY+1 EBITDA</v>
      </c>
      <c r="D17" s="1" t="e">
        <f>+D6</f>
        <v>#REF!</v>
      </c>
      <c r="E17" s="1" t="e">
        <f>+E6</f>
        <v>#REF!</v>
      </c>
    </row>
    <row r="21" spans="3:11" x14ac:dyDescent="0.2">
      <c r="C21" s="4" t="s">
        <v>16</v>
      </c>
      <c r="D21" s="2" t="e">
        <f>D6/$D$4</f>
        <v>#REF!</v>
      </c>
      <c r="F21" s="2" t="e">
        <f>F6/$D$4</f>
        <v>#REF!</v>
      </c>
      <c r="J21" s="1">
        <v>400</v>
      </c>
      <c r="K21" s="1">
        <v>750</v>
      </c>
    </row>
    <row r="22" spans="3:11" x14ac:dyDescent="0.2">
      <c r="C22" s="1" t="s">
        <v>11</v>
      </c>
      <c r="D22" s="2" t="e">
        <f>D7/$D$4</f>
        <v>#REF!</v>
      </c>
      <c r="F22" s="2" t="e">
        <f>F7/$D$4</f>
        <v>#REF!</v>
      </c>
      <c r="J22" s="1" t="e">
        <f>+J21/#REF!</f>
        <v>#REF!</v>
      </c>
      <c r="K22" s="1" t="e">
        <f>+K21/#REF!</f>
        <v>#REF!</v>
      </c>
    </row>
    <row r="23" spans="3:11" x14ac:dyDescent="0.2">
      <c r="C23" s="1" t="s">
        <v>9</v>
      </c>
      <c r="D23" s="2" t="e">
        <f>D8/$D$4</f>
        <v>#REF!</v>
      </c>
      <c r="F23" s="2" t="e">
        <f>F8/$D$4</f>
        <v>#REF!</v>
      </c>
    </row>
    <row r="24" spans="3:11" x14ac:dyDescent="0.2">
      <c r="C24" s="1" t="s">
        <v>12</v>
      </c>
      <c r="D24" s="2" t="e">
        <f>D9/$D$4</f>
        <v>#REF!</v>
      </c>
      <c r="F24" s="2" t="e">
        <f>F9/$D$4</f>
        <v>#REF!</v>
      </c>
    </row>
  </sheetData>
  <pageMargins left="0.75" right="0.75" top="1" bottom="1" header="0.3" footer="0.3"/>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2:H4"/>
  <sheetViews>
    <sheetView workbookViewId="0">
      <selection activeCell="G22" sqref="G22"/>
    </sheetView>
  </sheetViews>
  <sheetFormatPr defaultColWidth="8.85546875" defaultRowHeight="15" x14ac:dyDescent="0.25"/>
  <sheetData>
    <row r="2" spans="1:8" x14ac:dyDescent="0.25">
      <c r="C2">
        <v>300</v>
      </c>
      <c r="D2">
        <f>+C2+100</f>
        <v>400</v>
      </c>
      <c r="E2">
        <f>+D2+100</f>
        <v>500</v>
      </c>
      <c r="F2">
        <f>+E2+100</f>
        <v>600</v>
      </c>
      <c r="G2">
        <f>+F2+100</f>
        <v>700</v>
      </c>
      <c r="H2">
        <f>+G2+100</f>
        <v>800</v>
      </c>
    </row>
    <row r="3" spans="1:8" x14ac:dyDescent="0.25">
      <c r="A3" t="s">
        <v>17</v>
      </c>
      <c r="B3" t="e">
        <f>+#REF!</f>
        <v>#REF!</v>
      </c>
      <c r="C3" s="2" t="e">
        <f t="shared" ref="C3:H3" si="0">C2/$B$3</f>
        <v>#REF!</v>
      </c>
      <c r="D3" s="2" t="e">
        <f t="shared" si="0"/>
        <v>#REF!</v>
      </c>
      <c r="E3" s="2" t="e">
        <f t="shared" si="0"/>
        <v>#REF!</v>
      </c>
      <c r="F3" s="2" t="e">
        <f t="shared" si="0"/>
        <v>#REF!</v>
      </c>
      <c r="G3" s="2" t="e">
        <f t="shared" si="0"/>
        <v>#REF!</v>
      </c>
      <c r="H3" s="2" t="e">
        <f t="shared" si="0"/>
        <v>#REF!</v>
      </c>
    </row>
    <row r="4" spans="1:8" x14ac:dyDescent="0.25">
      <c r="A4" t="s">
        <v>18</v>
      </c>
      <c r="B4" t="e">
        <f>+#REF!</f>
        <v>#REF!</v>
      </c>
      <c r="C4" s="2" t="e">
        <f t="shared" ref="C4:H4" si="1">C2/$B$4</f>
        <v>#REF!</v>
      </c>
      <c r="D4" s="2" t="e">
        <f t="shared" si="1"/>
        <v>#REF!</v>
      </c>
      <c r="E4" s="2" t="e">
        <f t="shared" si="1"/>
        <v>#REF!</v>
      </c>
      <c r="F4" s="2" t="e">
        <f t="shared" si="1"/>
        <v>#REF!</v>
      </c>
      <c r="G4" s="2" t="e">
        <f t="shared" si="1"/>
        <v>#REF!</v>
      </c>
      <c r="H4" s="2" t="e">
        <f t="shared" si="1"/>
        <v>#REF!</v>
      </c>
    </row>
  </sheetData>
  <pageMargins left="0.75" right="0.75" top="1" bottom="1"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93DD1C7867C7498719A2D9E78CD243" ma:contentTypeVersion="15" ma:contentTypeDescription="Create a new document." ma:contentTypeScope="" ma:versionID="9f21c2aab95ea9919d20e2eb7e427b27">
  <xsd:schema xmlns:xsd="http://www.w3.org/2001/XMLSchema" xmlns:xs="http://www.w3.org/2001/XMLSchema" xmlns:p="http://schemas.microsoft.com/office/2006/metadata/properties" xmlns:ns2="74e49fc6-ba7e-4e05-bd43-433ebfbd5e2f" xmlns:ns3="dfc8e12e-5e8d-415d-a3c4-13d1de65ab30" targetNamespace="http://schemas.microsoft.com/office/2006/metadata/properties" ma:root="true" ma:fieldsID="4e709b03447216518d3cea462c83c962" ns2:_="" ns3:_="">
    <xsd:import namespace="74e49fc6-ba7e-4e05-bd43-433ebfbd5e2f"/>
    <xsd:import namespace="dfc8e12e-5e8d-415d-a3c4-13d1de65ab3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e49fc6-ba7e-4e05-bd43-433ebfbd5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316d21b-d2d7-4812-b7f6-3cef58088dc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c8e12e-5e8d-415d-a3c4-13d1de65ab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852b0c3-511e-4f09-a022-3606d9239379}" ma:internalName="TaxCatchAll" ma:showField="CatchAllData" ma:web="dfc8e12e-5e8d-415d-a3c4-13d1de65ab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dfc8e12e-5e8d-415d-a3c4-13d1de65ab30">
      <UserInfo>
        <DisplayName>Pablo Calo</DisplayName>
        <AccountId>9</AccountId>
        <AccountType/>
      </UserInfo>
    </SharedWithUsers>
    <TaxCatchAll xmlns="dfc8e12e-5e8d-415d-a3c4-13d1de65ab30" xsi:nil="true"/>
    <lcf76f155ced4ddcb4097134ff3c332f xmlns="74e49fc6-ba7e-4e05-bd43-433ebfbd5e2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2A2C0-AF47-4CAD-A04F-93B42C16EFA0}"/>
</file>

<file path=customXml/itemProps2.xml><?xml version="1.0" encoding="utf-8"?>
<ds:datastoreItem xmlns:ds="http://schemas.openxmlformats.org/officeDocument/2006/customXml" ds:itemID="{2570FB39-11E7-4397-A7BE-AA1BE1852C39}">
  <ds:schemaRefs>
    <ds:schemaRef ds:uri="http://schemas.microsoft.com/office/2006/metadata/properties"/>
    <ds:schemaRef ds:uri="http://schemas.microsoft.com/office/infopath/2007/PartnerControls"/>
    <ds:schemaRef ds:uri="d73578b6-8fdb-4da3-ae17-6f98f0a30540"/>
    <ds:schemaRef ds:uri="e2ae9bea-992f-4018-928f-aab7eee941e5"/>
    <ds:schemaRef ds:uri="dfc8e12e-5e8d-415d-a3c4-13d1de65ab30"/>
    <ds:schemaRef ds:uri="74e49fc6-ba7e-4e05-bd43-433ebfbd5e2f"/>
  </ds:schemaRefs>
</ds:datastoreItem>
</file>

<file path=customXml/itemProps3.xml><?xml version="1.0" encoding="utf-8"?>
<ds:datastoreItem xmlns:ds="http://schemas.openxmlformats.org/officeDocument/2006/customXml" ds:itemID="{682A9AA9-83EB-44CA-B7AA-9524D71B0E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Summary</vt:lpstr>
      <vt:lpstr>Inputs &gt;&gt;&gt;</vt:lpstr>
      <vt:lpstr>Annual reports rM 2017-2023</vt:lpstr>
      <vt:lpstr>Assumptions</vt:lpstr>
      <vt:lpstr>NOKUSD FX 2023-2024</vt:lpstr>
      <vt:lpstr>Disclaimer</vt:lpstr>
      <vt:lpstr>Football Field</vt:lpstr>
      <vt:lpstr>Charts</vt:lpstr>
      <vt:lpstr>Assumptions!Print_Area</vt:lpstr>
      <vt:lpstr>Disclaimer!Print_Area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Chad Eric Zidow</cp:lastModifiedBy>
  <cp:lastPrinted>2024-06-03T14:57:06Z</cp:lastPrinted>
  <dcterms:created xsi:type="dcterms:W3CDTF">2016-03-20T09:22:44Z</dcterms:created>
  <dcterms:modified xsi:type="dcterms:W3CDTF">2024-11-22T15:19:35Z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{40E9D913-81B1-4912-BB70-07F96A20C21A}</vt:lpwstr>
  </property>
  <property fmtid="{D5CDD505-2E9C-101B-9397-08002B2CF9AE}" pid="3" name="ContentTypeId">
    <vt:lpwstr>0x0101006C93DD1C7867C7498719A2D9E78CD243</vt:lpwstr>
  </property>
  <property fmtid="{D5CDD505-2E9C-101B-9397-08002B2CF9AE}" pid="4" name="MediaServiceImageTags">
    <vt:lpwstr/>
  </property>
</Properties>
</file>