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u67151/Dropbox/Alphagen/Data from Seine/Examples/5.0 Hamilton Lane Strategic Opportunities 2017 Offshore/"/>
    </mc:Choice>
  </mc:AlternateContent>
  <xr:revisionPtr revIDLastSave="0" documentId="13_ncr:1_{5B65FB6A-9435-494B-9496-D71E7FA91255}" xr6:coauthVersionLast="47" xr6:coauthVersionMax="47" xr10:uidLastSave="{00000000-0000-0000-0000-000000000000}"/>
  <bookViews>
    <workbookView xWindow="1100" yWindow="500" windowWidth="27700" windowHeight="17500" activeTab="9" xr2:uid="{CD51D638-F527-4A79-903E-EAB4B9EFD982}"/>
  </bookViews>
  <sheets>
    <sheet name="__snloffice" sheetId="12" state="veryHidden" r:id="rId1"/>
    <sheet name="Summary" sheetId="28" r:id="rId2"/>
    <sheet name="Pricing Table" sheetId="4" r:id="rId3"/>
    <sheet name="Pricing Table Adjusted" sheetId="26" r:id="rId4"/>
    <sheet name="Fx Table" sheetId="5" r:id="rId5"/>
    <sheet name="Portfolio" sheetId="3" r:id="rId6"/>
    <sheet name="Interim CFs" sheetId="6" r:id="rId7"/>
    <sheet name="Blended IRR_Calc" sheetId="19" r:id="rId8"/>
    <sheet name="Blended IRR_Calc Adjusted" sheetId="27" r:id="rId9"/>
    <sheet name="Fund" sheetId="2" r:id="rId10"/>
    <sheet name="Company" sheetId="20" r:id="rId11"/>
    <sheet name="Sensitivities" sheetId="25" r:id="rId12"/>
  </sheets>
  <externalReferences>
    <externalReference r:id="rId13"/>
    <externalReference r:id="rId14"/>
    <externalReference r:id="rId15"/>
  </externalReferences>
  <definedNames>
    <definedName name="_xlnm._FilterDatabase" localSheetId="9" hidden="1">Fund!$F$16:$AA$16</definedName>
    <definedName name="CCY" localSheetId="1">[1]Portfolio!$D$8</definedName>
    <definedName name="CCY">Portfolio!$D$8</definedName>
    <definedName name="closingdate" localSheetId="1">[1]Portfolio!$D$6</definedName>
    <definedName name="closingdate">Portfolio!$D$6</definedName>
    <definedName name="Currency">[2]Instructions!$U$37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1000000</definedName>
    <definedName name="Mag">[2]Instructions!$F$31</definedName>
    <definedName name="Period">[2]Instructions!$F$27</definedName>
    <definedName name="refdate" localSheetId="1">[1]Portfolio!$D$5</definedName>
    <definedName name="refdate">Portfolio!$D$5</definedName>
    <definedName name="snl__450400B5_3309_4EF3_960D_C4448D32B56D_" localSheetId="10" hidden="1">Company!$D$89,Company!$E$92:$X$92</definedName>
    <definedName name="snl__B49F1319_59A7_4386_B9CE_489E1A8DFE23_" localSheetId="10" hidden="1">Company!$D$71,Company!$E$73:$AI$73</definedName>
    <definedName name="snl__B93C355A_4915_4653_812A_9C3AB1759255_" localSheetId="10" hidden="1">Company!$D$71,Company!$E$73:$AI$73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9" i="20" l="1"/>
  <c r="N23" i="20"/>
  <c r="N22" i="20"/>
  <c r="N21" i="20"/>
  <c r="E13" i="20"/>
  <c r="F52" i="20"/>
  <c r="F51" i="20"/>
  <c r="F50" i="20"/>
  <c r="E50" i="20"/>
  <c r="E45" i="20"/>
  <c r="C9" i="26"/>
  <c r="BE9" i="2"/>
  <c r="AE8" i="2" a="1"/>
  <c r="AE8" i="2" s="1"/>
  <c r="I18" i="2"/>
  <c r="I19" i="2"/>
  <c r="I20" i="2"/>
  <c r="I21" i="2"/>
  <c r="I22" i="2"/>
  <c r="I23" i="2"/>
  <c r="I24" i="2"/>
  <c r="C7" i="2"/>
  <c r="I17" i="2"/>
  <c r="M10" i="5" a="1"/>
  <c r="N9" i="5" a="1"/>
  <c r="J10" i="5" a="1"/>
  <c r="L10" i="5" a="1"/>
  <c r="J8" i="5" a="1"/>
  <c r="N7" i="5" a="1"/>
  <c r="L8" i="5" a="1"/>
  <c r="M8" i="5" a="1"/>
  <c r="K10" i="5" a="1"/>
  <c r="J7" i="5" a="1"/>
  <c r="N6" i="5" a="1"/>
  <c r="N10" i="5" a="1"/>
  <c r="N8" i="5" a="1"/>
  <c r="J9" i="5" a="1"/>
  <c r="K7" i="5" a="1"/>
  <c r="L7" i="5" a="1"/>
  <c r="J6" i="5" a="1"/>
  <c r="K8" i="5" a="1"/>
  <c r="M7" i="5" a="1"/>
  <c r="M9" i="5" a="1"/>
  <c r="K9" i="5" a="1"/>
  <c r="M6" i="5" a="1"/>
  <c r="L9" i="5" a="1"/>
  <c r="L6" i="5" a="1"/>
  <c r="K6" i="5" a="1"/>
  <c r="C27" i="26" a="1"/>
  <c r="C13" i="26" a="1"/>
  <c r="C23" i="26" a="1"/>
  <c r="C21" i="4" a="1"/>
  <c r="C18" i="4" a="1"/>
  <c r="C13" i="4" a="1"/>
  <c r="C15" i="26" a="1"/>
  <c r="C15" i="4" a="1"/>
  <c r="C17" i="4" a="1"/>
  <c r="C28" i="26" a="1"/>
  <c r="C16" i="26" a="1"/>
  <c r="C16" i="4" a="1"/>
  <c r="C21" i="4" l="1"/>
  <c r="C18" i="4"/>
  <c r="C17" i="4"/>
  <c r="C16" i="4"/>
  <c r="C15" i="4"/>
  <c r="C13" i="4"/>
  <c r="C23" i="26"/>
  <c r="C28" i="26"/>
  <c r="C27" i="26"/>
  <c r="C16" i="26"/>
  <c r="C15" i="26"/>
  <c r="C13" i="26"/>
  <c r="L8" i="5"/>
  <c r="J6" i="5"/>
  <c r="J7" i="5"/>
  <c r="N6" i="5"/>
  <c r="K10" i="5"/>
  <c r="N7" i="5"/>
  <c r="L6" i="5"/>
  <c r="M9" i="5"/>
  <c r="N8" i="5"/>
  <c r="K6" i="5"/>
  <c r="N10" i="5"/>
  <c r="K7" i="5"/>
  <c r="M10" i="5"/>
  <c r="L9" i="5"/>
  <c r="K8" i="5"/>
  <c r="L10" i="5"/>
  <c r="K9" i="5"/>
  <c r="J8" i="5"/>
  <c r="J9" i="5"/>
  <c r="M6" i="5"/>
  <c r="J10" i="5"/>
  <c r="M7" i="5"/>
  <c r="N9" i="5"/>
  <c r="M8" i="5"/>
  <c r="L7" i="5"/>
  <c r="D89" i="20"/>
  <c r="Y9" i="28" l="1"/>
  <c r="Y7" i="28"/>
  <c r="X9" i="28"/>
  <c r="X7" i="28"/>
  <c r="O11" i="28"/>
  <c r="N9" i="28"/>
  <c r="N7" i="28"/>
  <c r="M9" i="28"/>
  <c r="M7" i="28"/>
  <c r="K9" i="28"/>
  <c r="K7" i="28"/>
  <c r="I9" i="28"/>
  <c r="I7" i="28"/>
  <c r="F9" i="28"/>
  <c r="F7" i="28"/>
  <c r="E9" i="28"/>
  <c r="D9" i="28"/>
  <c r="D7" i="28"/>
  <c r="C9" i="28"/>
  <c r="C7" i="28"/>
  <c r="B9" i="28"/>
  <c r="B7" i="28"/>
  <c r="AR7" i="28"/>
  <c r="AR4" i="28"/>
  <c r="AT7" i="28" l="1"/>
  <c r="AS7" i="28" s="1"/>
  <c r="M11" i="28"/>
  <c r="J11" i="28"/>
  <c r="K11" i="28" l="1"/>
  <c r="Y11" i="28"/>
  <c r="X11" i="28"/>
  <c r="Z11" i="28"/>
  <c r="L11" i="28"/>
  <c r="AA11" i="28"/>
  <c r="N11" i="28"/>
  <c r="O7" i="28" s="1"/>
  <c r="T11" i="28" l="1"/>
  <c r="AB11" i="28" s="1"/>
  <c r="O9" i="28"/>
  <c r="H19" i="27"/>
  <c r="I19" i="27" s="1"/>
  <c r="J19" i="27" s="1"/>
  <c r="K19" i="27" s="1"/>
  <c r="L19" i="27" s="1"/>
  <c r="M19" i="27" s="1"/>
  <c r="N19" i="27" s="1"/>
  <c r="O19" i="27" s="1"/>
  <c r="P19" i="27" s="1"/>
  <c r="Q19" i="27" s="1"/>
  <c r="R19" i="27" s="1"/>
  <c r="S19" i="27" s="1"/>
  <c r="T19" i="27" s="1"/>
  <c r="U19" i="27" s="1"/>
  <c r="V19" i="27" s="1"/>
  <c r="W19" i="27" s="1"/>
  <c r="X19" i="27" s="1"/>
  <c r="Y19" i="27" s="1"/>
  <c r="Z19" i="27" s="1"/>
  <c r="AA19" i="27" s="1"/>
  <c r="AB19" i="27" s="1"/>
  <c r="AC19" i="27" s="1"/>
  <c r="AD19" i="27" s="1"/>
  <c r="AE19" i="27" s="1"/>
  <c r="AF19" i="27" s="1"/>
  <c r="AG19" i="27" s="1"/>
  <c r="AH19" i="27" s="1"/>
  <c r="AI19" i="27" s="1"/>
  <c r="AJ19" i="27" s="1"/>
  <c r="AK19" i="27" s="1"/>
  <c r="AL19" i="27" s="1"/>
  <c r="AM19" i="27" s="1"/>
  <c r="AN19" i="27" s="1"/>
  <c r="AO19" i="27" s="1"/>
  <c r="AP19" i="27" s="1"/>
  <c r="AQ19" i="27" s="1"/>
  <c r="AR19" i="27" s="1"/>
  <c r="AS19" i="27" s="1"/>
  <c r="AT19" i="27" s="1"/>
  <c r="AU19" i="27" s="1"/>
  <c r="AV19" i="27" s="1"/>
  <c r="AW19" i="27" s="1"/>
  <c r="AX19" i="27" s="1"/>
  <c r="AY19" i="27" s="1"/>
  <c r="AZ19" i="27" s="1"/>
  <c r="BA19" i="27" s="1"/>
  <c r="BB19" i="27" s="1"/>
  <c r="BC19" i="27" s="1"/>
  <c r="BD19" i="27" s="1"/>
  <c r="BE19" i="27" s="1"/>
  <c r="BF19" i="27" s="1"/>
  <c r="BG19" i="27" s="1"/>
  <c r="BH19" i="27" s="1"/>
  <c r="BI19" i="27" s="1"/>
  <c r="BJ19" i="27" s="1"/>
  <c r="BK19" i="27" s="1"/>
  <c r="BL19" i="27" s="1"/>
  <c r="BM19" i="27" s="1"/>
  <c r="BN19" i="27" s="1"/>
  <c r="BN25" i="27" s="1"/>
  <c r="B21" i="27"/>
  <c r="C21" i="27" s="1"/>
  <c r="B20" i="27"/>
  <c r="C20" i="27" s="1"/>
  <c r="B14" i="27"/>
  <c r="C14" i="27" s="1"/>
  <c r="B13" i="27"/>
  <c r="C13" i="27" s="1"/>
  <c r="H12" i="27"/>
  <c r="I12" i="27" s="1"/>
  <c r="J12" i="27" s="1"/>
  <c r="K12" i="27" s="1"/>
  <c r="L12" i="27" s="1"/>
  <c r="M12" i="27" s="1"/>
  <c r="N12" i="27" s="1"/>
  <c r="O12" i="27" s="1"/>
  <c r="P12" i="27" s="1"/>
  <c r="Q12" i="27" s="1"/>
  <c r="R12" i="27" s="1"/>
  <c r="S12" i="27" s="1"/>
  <c r="T12" i="27" s="1"/>
  <c r="U12" i="27" s="1"/>
  <c r="V12" i="27" s="1"/>
  <c r="W12" i="27" s="1"/>
  <c r="X12" i="27" s="1"/>
  <c r="Y12" i="27" s="1"/>
  <c r="Z12" i="27" s="1"/>
  <c r="AA12" i="27" s="1"/>
  <c r="AB12" i="27" s="1"/>
  <c r="AC12" i="27" s="1"/>
  <c r="AD12" i="27" s="1"/>
  <c r="AE12" i="27" s="1"/>
  <c r="AF12" i="27" s="1"/>
  <c r="AG12" i="27" s="1"/>
  <c r="AH12" i="27" s="1"/>
  <c r="AI12" i="27" s="1"/>
  <c r="AJ12" i="27" s="1"/>
  <c r="AK12" i="27" s="1"/>
  <c r="AL12" i="27" s="1"/>
  <c r="AM12" i="27" s="1"/>
  <c r="AN12" i="27" s="1"/>
  <c r="AO12" i="27" s="1"/>
  <c r="AP12" i="27" s="1"/>
  <c r="AQ12" i="27" s="1"/>
  <c r="AR12" i="27" s="1"/>
  <c r="AS12" i="27" s="1"/>
  <c r="AT12" i="27" s="1"/>
  <c r="AU12" i="27" s="1"/>
  <c r="AV12" i="27" s="1"/>
  <c r="AW12" i="27" s="1"/>
  <c r="AX12" i="27" s="1"/>
  <c r="AY12" i="27" s="1"/>
  <c r="AZ12" i="27" s="1"/>
  <c r="BA12" i="27" s="1"/>
  <c r="BB12" i="27" s="1"/>
  <c r="BC12" i="27" s="1"/>
  <c r="BD12" i="27" s="1"/>
  <c r="BE12" i="27" s="1"/>
  <c r="BF12" i="27" s="1"/>
  <c r="BG12" i="27" s="1"/>
  <c r="BH12" i="27" s="1"/>
  <c r="BI12" i="27" s="1"/>
  <c r="BJ12" i="27" s="1"/>
  <c r="BK12" i="27" s="1"/>
  <c r="BL12" i="27" s="1"/>
  <c r="BM12" i="27" s="1"/>
  <c r="BN12" i="27" s="1"/>
  <c r="AC25" i="27" l="1"/>
  <c r="O25" i="27"/>
  <c r="AR25" i="27"/>
  <c r="AB25" i="27"/>
  <c r="AE25" i="27"/>
  <c r="AD25" i="27"/>
  <c r="S25" i="27"/>
  <c r="AZ25" i="27"/>
  <c r="AN25" i="27"/>
  <c r="BD25" i="27"/>
  <c r="BC25" i="27"/>
  <c r="Q25" i="27"/>
  <c r="H25" i="27"/>
  <c r="AY25" i="27"/>
  <c r="AM25" i="27"/>
  <c r="AA25" i="27"/>
  <c r="AF25" i="27"/>
  <c r="P25" i="27"/>
  <c r="R25" i="27"/>
  <c r="BK25" i="27"/>
  <c r="I25" i="27"/>
  <c r="U25" i="27"/>
  <c r="BJ25" i="27"/>
  <c r="AX25" i="27"/>
  <c r="AL25" i="27"/>
  <c r="BA25" i="27"/>
  <c r="T25" i="27"/>
  <c r="J25" i="27"/>
  <c r="V25" i="27"/>
  <c r="BI25" i="27"/>
  <c r="AW25" i="27"/>
  <c r="AK25" i="27"/>
  <c r="K25" i="27"/>
  <c r="W25" i="27"/>
  <c r="BH25" i="27"/>
  <c r="AV25" i="27"/>
  <c r="AJ25" i="27"/>
  <c r="AQ25" i="27"/>
  <c r="BB25" i="27"/>
  <c r="BM25" i="27"/>
  <c r="BL25" i="27"/>
  <c r="L25" i="27"/>
  <c r="X25" i="27"/>
  <c r="BG25" i="27"/>
  <c r="AU25" i="27"/>
  <c r="AI25" i="27"/>
  <c r="AP25" i="27"/>
  <c r="AO25" i="27"/>
  <c r="M25" i="27"/>
  <c r="Y25" i="27"/>
  <c r="BF25" i="27"/>
  <c r="AT25" i="27"/>
  <c r="AH25" i="27"/>
  <c r="N25" i="27"/>
  <c r="Z25" i="27"/>
  <c r="BE25" i="27"/>
  <c r="AS25" i="27"/>
  <c r="AG25" i="27"/>
  <c r="C5" i="26" l="1"/>
  <c r="C10" i="26" s="1"/>
  <c r="J24" i="20"/>
  <c r="X16" i="3"/>
  <c r="W16" i="3"/>
  <c r="C6" i="26" l="1"/>
  <c r="C8" i="26"/>
  <c r="C7" i="26"/>
  <c r="E23" i="26" l="1"/>
  <c r="E12" i="20" l="1"/>
  <c r="E10" i="20"/>
  <c r="E9" i="20"/>
  <c r="E8" i="20"/>
  <c r="D22" i="20" s="1"/>
  <c r="D15" i="2"/>
  <c r="B7" i="19"/>
  <c r="C7" i="19"/>
  <c r="B7" i="27"/>
  <c r="C7" i="27" s="1"/>
  <c r="B6" i="27"/>
  <c r="C33" i="26"/>
  <c r="H5" i="27"/>
  <c r="I5" i="27" s="1"/>
  <c r="I4" i="27"/>
  <c r="J4" i="27" s="1"/>
  <c r="K4" i="27" s="1"/>
  <c r="L4" i="27" s="1"/>
  <c r="M4" i="27" s="1"/>
  <c r="N4" i="27" s="1"/>
  <c r="O4" i="27" s="1"/>
  <c r="P4" i="27" s="1"/>
  <c r="Q4" i="27" s="1"/>
  <c r="R4" i="27" s="1"/>
  <c r="S4" i="27" s="1"/>
  <c r="T4" i="27" s="1"/>
  <c r="U4" i="27" s="1"/>
  <c r="V4" i="27" s="1"/>
  <c r="W4" i="27" s="1"/>
  <c r="X4" i="27" s="1"/>
  <c r="Y4" i="27" s="1"/>
  <c r="Z4" i="27" s="1"/>
  <c r="AA4" i="27" s="1"/>
  <c r="AB4" i="27" s="1"/>
  <c r="AC4" i="27" s="1"/>
  <c r="AD4" i="27" s="1"/>
  <c r="AE4" i="27" s="1"/>
  <c r="AF4" i="27" s="1"/>
  <c r="AG4" i="27" s="1"/>
  <c r="AH4" i="27" s="1"/>
  <c r="AI4" i="27" s="1"/>
  <c r="AJ4" i="27" s="1"/>
  <c r="AK4" i="27" s="1"/>
  <c r="AL4" i="27" s="1"/>
  <c r="AM4" i="27" s="1"/>
  <c r="AN4" i="27" s="1"/>
  <c r="AO4" i="27" s="1"/>
  <c r="AP4" i="27" s="1"/>
  <c r="AQ4" i="27" s="1"/>
  <c r="AR4" i="27" s="1"/>
  <c r="AS4" i="27" s="1"/>
  <c r="AT4" i="27" s="1"/>
  <c r="AU4" i="27" s="1"/>
  <c r="AV4" i="27" s="1"/>
  <c r="AW4" i="27" s="1"/>
  <c r="AX4" i="27" s="1"/>
  <c r="AY4" i="27" s="1"/>
  <c r="AZ4" i="27" s="1"/>
  <c r="BA4" i="27" s="1"/>
  <c r="BB4" i="27" s="1"/>
  <c r="BC4" i="27" s="1"/>
  <c r="BD4" i="27" s="1"/>
  <c r="BE4" i="27" s="1"/>
  <c r="BF4" i="27" s="1"/>
  <c r="BG4" i="27" s="1"/>
  <c r="BH4" i="27" s="1"/>
  <c r="BI4" i="27" s="1"/>
  <c r="BJ4" i="27" s="1"/>
  <c r="BK4" i="27" s="1"/>
  <c r="BL4" i="27" s="1"/>
  <c r="BM4" i="27" s="1"/>
  <c r="BN4" i="27" s="1"/>
  <c r="B2" i="27"/>
  <c r="C19" i="26"/>
  <c r="B2" i="26"/>
  <c r="E8" i="26"/>
  <c r="E7" i="26"/>
  <c r="E6" i="26"/>
  <c r="E10" i="26"/>
  <c r="E11" i="26" s="1"/>
  <c r="K36" i="20"/>
  <c r="J36" i="20"/>
  <c r="J37" i="20" s="1"/>
  <c r="J102" i="20"/>
  <c r="I102" i="20"/>
  <c r="J101" i="20"/>
  <c r="I101" i="20"/>
  <c r="J100" i="20"/>
  <c r="I100" i="20"/>
  <c r="J99" i="20"/>
  <c r="I99" i="20"/>
  <c r="J98" i="20"/>
  <c r="I98" i="20"/>
  <c r="J97" i="20"/>
  <c r="I97" i="20"/>
  <c r="AI84" i="20"/>
  <c r="AH84" i="20"/>
  <c r="AG84" i="20"/>
  <c r="AF84" i="20"/>
  <c r="AE84" i="20"/>
  <c r="AD84" i="20"/>
  <c r="AC84" i="20"/>
  <c r="AB84" i="20"/>
  <c r="AA84" i="20"/>
  <c r="Z84" i="20"/>
  <c r="AI83" i="20"/>
  <c r="AH83" i="20"/>
  <c r="AG83" i="20"/>
  <c r="AF83" i="20"/>
  <c r="AE83" i="20"/>
  <c r="AD83" i="20"/>
  <c r="AC83" i="20"/>
  <c r="AB83" i="20"/>
  <c r="AA83" i="20"/>
  <c r="Z83" i="20"/>
  <c r="AI82" i="20"/>
  <c r="AH82" i="20"/>
  <c r="AG82" i="20"/>
  <c r="AF82" i="20"/>
  <c r="AE82" i="20"/>
  <c r="AD82" i="20"/>
  <c r="AC82" i="20"/>
  <c r="AB82" i="20"/>
  <c r="AA82" i="20"/>
  <c r="Z82" i="20"/>
  <c r="AI81" i="20"/>
  <c r="AH81" i="20"/>
  <c r="AG81" i="20"/>
  <c r="AF81" i="20"/>
  <c r="AE81" i="20"/>
  <c r="AD81" i="20"/>
  <c r="AC81" i="20"/>
  <c r="AB81" i="20"/>
  <c r="AA81" i="20"/>
  <c r="Z81" i="20"/>
  <c r="AI80" i="20"/>
  <c r="AH80" i="20"/>
  <c r="AG80" i="20"/>
  <c r="AF80" i="20"/>
  <c r="AE80" i="20"/>
  <c r="AD80" i="20"/>
  <c r="AC80" i="20"/>
  <c r="AB80" i="20"/>
  <c r="AA80" i="20"/>
  <c r="Z80" i="20"/>
  <c r="AI79" i="20"/>
  <c r="AH79" i="20"/>
  <c r="AG79" i="20"/>
  <c r="AF79" i="20"/>
  <c r="AE79" i="20"/>
  <c r="AD79" i="20"/>
  <c r="AC79" i="20"/>
  <c r="AB79" i="20"/>
  <c r="AA79" i="20"/>
  <c r="Z79" i="20"/>
  <c r="Y76" i="20"/>
  <c r="X76" i="20"/>
  <c r="W76" i="20"/>
  <c r="V76" i="20"/>
  <c r="Y75" i="20"/>
  <c r="X75" i="20"/>
  <c r="W75" i="20"/>
  <c r="V75" i="20"/>
  <c r="Y74" i="20"/>
  <c r="X74" i="20"/>
  <c r="W74" i="20"/>
  <c r="V74" i="20"/>
  <c r="Y73" i="20"/>
  <c r="X73" i="20"/>
  <c r="W73" i="20"/>
  <c r="V73" i="20"/>
  <c r="R72" i="20"/>
  <c r="R70" i="20" s="1"/>
  <c r="M72" i="20"/>
  <c r="M70" i="20" s="1"/>
  <c r="AG70" i="20"/>
  <c r="AD70" i="20"/>
  <c r="AC70" i="20"/>
  <c r="AB70" i="20"/>
  <c r="AA70" i="20"/>
  <c r="Z70" i="20"/>
  <c r="U70" i="20"/>
  <c r="T70" i="20"/>
  <c r="S70" i="20"/>
  <c r="Q70" i="20"/>
  <c r="P70" i="20"/>
  <c r="O70" i="20"/>
  <c r="N70" i="20"/>
  <c r="L70" i="20"/>
  <c r="Y69" i="20"/>
  <c r="X69" i="20"/>
  <c r="R69" i="20"/>
  <c r="M69" i="20"/>
  <c r="I36" i="20"/>
  <c r="I37" i="20" s="1"/>
  <c r="H36" i="20"/>
  <c r="H37" i="20" s="1"/>
  <c r="G36" i="20"/>
  <c r="G37" i="20" s="1"/>
  <c r="F37" i="20"/>
  <c r="N32" i="20"/>
  <c r="M32" i="20"/>
  <c r="L32" i="20"/>
  <c r="K32" i="20"/>
  <c r="N29" i="20"/>
  <c r="M29" i="20"/>
  <c r="L29" i="20"/>
  <c r="K29" i="20"/>
  <c r="K23" i="20"/>
  <c r="K33" i="20" s="1"/>
  <c r="G55" i="20"/>
  <c r="F45" i="20"/>
  <c r="F56" i="20" s="1"/>
  <c r="D44" i="20"/>
  <c r="E37" i="20"/>
  <c r="C6" i="2"/>
  <c r="Q14" i="2"/>
  <c r="AE12" i="2"/>
  <c r="BN11" i="2"/>
  <c r="T14" i="2"/>
  <c r="S14" i="2"/>
  <c r="U24" i="2"/>
  <c r="U23" i="2"/>
  <c r="G19" i="25"/>
  <c r="G20" i="25"/>
  <c r="G18" i="25"/>
  <c r="G14" i="25"/>
  <c r="G15" i="25"/>
  <c r="G16" i="25"/>
  <c r="I13" i="25"/>
  <c r="J13" i="25"/>
  <c r="K13" i="25"/>
  <c r="L13" i="25"/>
  <c r="M13" i="25"/>
  <c r="G5" i="25"/>
  <c r="G6" i="25"/>
  <c r="G7" i="25"/>
  <c r="G8" i="25"/>
  <c r="G9" i="25"/>
  <c r="G10" i="25"/>
  <c r="I3" i="25"/>
  <c r="J3" i="25"/>
  <c r="K3" i="25"/>
  <c r="L3" i="25"/>
  <c r="M3" i="25"/>
  <c r="AA12" i="2"/>
  <c r="E22" i="20"/>
  <c r="J33" i="20"/>
  <c r="I33" i="20"/>
  <c r="H33" i="20"/>
  <c r="G33" i="20"/>
  <c r="F33" i="20"/>
  <c r="E33" i="20"/>
  <c r="J32" i="20"/>
  <c r="I32" i="20"/>
  <c r="H32" i="20"/>
  <c r="G32" i="20"/>
  <c r="F32" i="20"/>
  <c r="E32" i="20"/>
  <c r="J30" i="20"/>
  <c r="I30" i="20"/>
  <c r="H30" i="20"/>
  <c r="G30" i="20"/>
  <c r="F30" i="20"/>
  <c r="E30" i="20"/>
  <c r="J29" i="20"/>
  <c r="I29" i="20"/>
  <c r="H29" i="20"/>
  <c r="G29" i="20"/>
  <c r="F29" i="20"/>
  <c r="E29" i="20"/>
  <c r="J27" i="20"/>
  <c r="I27" i="20"/>
  <c r="H27" i="20"/>
  <c r="G27" i="20"/>
  <c r="F27" i="20"/>
  <c r="E27" i="20"/>
  <c r="J26" i="20"/>
  <c r="I26" i="20"/>
  <c r="H26" i="20"/>
  <c r="G26" i="20"/>
  <c r="F26" i="20"/>
  <c r="E26" i="20"/>
  <c r="I24" i="20"/>
  <c r="H24" i="20"/>
  <c r="G24" i="20"/>
  <c r="F24" i="20"/>
  <c r="E24" i="20"/>
  <c r="F21" i="20"/>
  <c r="F22" i="20" s="1"/>
  <c r="E7" i="20"/>
  <c r="U22" i="2"/>
  <c r="U21" i="2"/>
  <c r="U20" i="2"/>
  <c r="U19" i="2"/>
  <c r="U18" i="2"/>
  <c r="B4" i="5"/>
  <c r="L36" i="20"/>
  <c r="R14" i="2"/>
  <c r="U17" i="2"/>
  <c r="AE6" i="2" s="1"/>
  <c r="I4" i="5"/>
  <c r="M36" i="20"/>
  <c r="U5" i="5"/>
  <c r="T5" i="5"/>
  <c r="S5" i="5"/>
  <c r="R5" i="5"/>
  <c r="Q5" i="5"/>
  <c r="N5" i="5"/>
  <c r="M5" i="5"/>
  <c r="L5" i="5"/>
  <c r="K5" i="5"/>
  <c r="J5" i="5"/>
  <c r="N36" i="20"/>
  <c r="G5" i="5"/>
  <c r="F5" i="5"/>
  <c r="D5" i="5"/>
  <c r="C5" i="5"/>
  <c r="C5" i="2"/>
  <c r="O17" i="2" s="1"/>
  <c r="J12" i="3"/>
  <c r="E7" i="4"/>
  <c r="G12" i="3"/>
  <c r="G4" i="19"/>
  <c r="H4" i="19"/>
  <c r="I4" i="19"/>
  <c r="J4" i="19"/>
  <c r="K4" i="19"/>
  <c r="L4" i="19"/>
  <c r="M4" i="19"/>
  <c r="N4" i="19"/>
  <c r="O4" i="19"/>
  <c r="P4" i="19"/>
  <c r="Q4" i="19"/>
  <c r="R4" i="19"/>
  <c r="S4" i="19"/>
  <c r="T4" i="19"/>
  <c r="U4" i="19"/>
  <c r="V4" i="19"/>
  <c r="W4" i="19"/>
  <c r="X4" i="19"/>
  <c r="Y4" i="19"/>
  <c r="Z4" i="19"/>
  <c r="AA4" i="19"/>
  <c r="AB4" i="19"/>
  <c r="AC4" i="19"/>
  <c r="AD4" i="19"/>
  <c r="AE4" i="19"/>
  <c r="AF4" i="19"/>
  <c r="AG4" i="19"/>
  <c r="AH4" i="19"/>
  <c r="AI4" i="19"/>
  <c r="AJ4" i="19"/>
  <c r="AK4" i="19"/>
  <c r="AL4" i="19"/>
  <c r="AM4" i="19"/>
  <c r="AN4" i="19"/>
  <c r="AO4" i="19"/>
  <c r="AP4" i="19"/>
  <c r="AQ4" i="19"/>
  <c r="AR4" i="19"/>
  <c r="AS4" i="19"/>
  <c r="AT4" i="19"/>
  <c r="AU4" i="19"/>
  <c r="AV4" i="19"/>
  <c r="AW4" i="19"/>
  <c r="AX4" i="19"/>
  <c r="AY4" i="19"/>
  <c r="AZ4" i="19"/>
  <c r="BA4" i="19"/>
  <c r="BB4" i="19"/>
  <c r="BC4" i="19"/>
  <c r="BD4" i="19"/>
  <c r="BE4" i="19"/>
  <c r="BF4" i="19"/>
  <c r="BG4" i="19"/>
  <c r="BH4" i="19"/>
  <c r="BI4" i="19"/>
  <c r="BJ4" i="19"/>
  <c r="BK4" i="19"/>
  <c r="BL4" i="19"/>
  <c r="F5" i="19"/>
  <c r="G5" i="19" s="1"/>
  <c r="H5" i="19" s="1"/>
  <c r="I5" i="19" s="1"/>
  <c r="J5" i="19" s="1"/>
  <c r="K5" i="19" s="1"/>
  <c r="L5" i="19" s="1"/>
  <c r="M5" i="19" s="1"/>
  <c r="N5" i="19" s="1"/>
  <c r="O5" i="19" s="1"/>
  <c r="P5" i="19" s="1"/>
  <c r="Q5" i="19" s="1"/>
  <c r="R5" i="19" s="1"/>
  <c r="S5" i="19" s="1"/>
  <c r="T5" i="19" s="1"/>
  <c r="U5" i="19" s="1"/>
  <c r="V5" i="19" s="1"/>
  <c r="W5" i="19" s="1"/>
  <c r="X5" i="19" s="1"/>
  <c r="Y5" i="19" s="1"/>
  <c r="Z5" i="19" s="1"/>
  <c r="AA5" i="19" s="1"/>
  <c r="AB5" i="19" s="1"/>
  <c r="AC5" i="19" s="1"/>
  <c r="AD5" i="19" s="1"/>
  <c r="AE5" i="19" s="1"/>
  <c r="AF5" i="19" s="1"/>
  <c r="AG5" i="19" s="1"/>
  <c r="AH5" i="19" s="1"/>
  <c r="AI5" i="19" s="1"/>
  <c r="AJ5" i="19" s="1"/>
  <c r="AK5" i="19" s="1"/>
  <c r="AL5" i="19" s="1"/>
  <c r="AM5" i="19" s="1"/>
  <c r="AN5" i="19" s="1"/>
  <c r="AO5" i="19" s="1"/>
  <c r="AP5" i="19" s="1"/>
  <c r="AQ5" i="19" s="1"/>
  <c r="AR5" i="19" s="1"/>
  <c r="AS5" i="19" s="1"/>
  <c r="AT5" i="19" s="1"/>
  <c r="AU5" i="19" s="1"/>
  <c r="AV5" i="19" s="1"/>
  <c r="AW5" i="19" s="1"/>
  <c r="AX5" i="19" s="1"/>
  <c r="AY5" i="19" s="1"/>
  <c r="AZ5" i="19" s="1"/>
  <c r="BA5" i="19" s="1"/>
  <c r="BB5" i="19" s="1"/>
  <c r="BC5" i="19" s="1"/>
  <c r="BD5" i="19" s="1"/>
  <c r="BE5" i="19" s="1"/>
  <c r="BF5" i="19" s="1"/>
  <c r="BG5" i="19" s="1"/>
  <c r="BH5" i="19" s="1"/>
  <c r="BI5" i="19" s="1"/>
  <c r="BJ5" i="19" s="1"/>
  <c r="BK5" i="19" s="1"/>
  <c r="BL5" i="19" s="1"/>
  <c r="B6" i="19"/>
  <c r="B2" i="19"/>
  <c r="H16" i="3"/>
  <c r="C6" i="19"/>
  <c r="C34" i="2"/>
  <c r="W24" i="2"/>
  <c r="W23" i="2"/>
  <c r="W22" i="2"/>
  <c r="W21" i="2"/>
  <c r="W20" i="2"/>
  <c r="W19" i="2"/>
  <c r="W18" i="2"/>
  <c r="W17" i="2"/>
  <c r="V24" i="2"/>
  <c r="V23" i="2"/>
  <c r="V22" i="2"/>
  <c r="V21" i="2"/>
  <c r="V20" i="2"/>
  <c r="V19" i="2"/>
  <c r="V18" i="2"/>
  <c r="V17" i="2"/>
  <c r="AJ69" i="2"/>
  <c r="AJ70" i="2"/>
  <c r="AJ71" i="2"/>
  <c r="AJ72" i="2"/>
  <c r="AJ73" i="2"/>
  <c r="AJ74" i="2"/>
  <c r="AJ75" i="2"/>
  <c r="AJ76" i="2"/>
  <c r="E6" i="4"/>
  <c r="AN12" i="2"/>
  <c r="BN12" i="2" s="1"/>
  <c r="C15" i="2"/>
  <c r="D11" i="2"/>
  <c r="C8" i="2" s="1"/>
  <c r="AT11" i="2" s="1"/>
  <c r="B17" i="3"/>
  <c r="B2" i="2"/>
  <c r="B2" i="6"/>
  <c r="B2" i="3"/>
  <c r="B2" i="4"/>
  <c r="B2" i="5"/>
  <c r="B18" i="3"/>
  <c r="B19" i="3"/>
  <c r="B20" i="3"/>
  <c r="B21" i="3"/>
  <c r="B22" i="3"/>
  <c r="B23" i="3"/>
  <c r="B24" i="3"/>
  <c r="B25" i="3"/>
  <c r="B26" i="3"/>
  <c r="B27" i="3"/>
  <c r="B28" i="3"/>
  <c r="B29" i="3"/>
  <c r="B30" i="3"/>
  <c r="B31" i="3"/>
  <c r="B32" i="3"/>
  <c r="C5" i="4"/>
  <c r="C7" i="4" s="1"/>
  <c r="AM12" i="2"/>
  <c r="AM13" i="2" s="1"/>
  <c r="AM14" i="2" s="1"/>
  <c r="AM15" i="2" s="1"/>
  <c r="AM16" i="2" s="1"/>
  <c r="AM17" i="2" s="1"/>
  <c r="AM18" i="2" s="1"/>
  <c r="AM19" i="2" s="1"/>
  <c r="AM20" i="2" s="1"/>
  <c r="AM21" i="2" s="1"/>
  <c r="AM22" i="2" s="1"/>
  <c r="AM23" i="2" s="1"/>
  <c r="AM24" i="2" s="1"/>
  <c r="AM25" i="2" s="1"/>
  <c r="AM26" i="2" s="1"/>
  <c r="AM27" i="2" s="1"/>
  <c r="AM28" i="2" s="1"/>
  <c r="AM29" i="2" s="1"/>
  <c r="AM30" i="2" s="1"/>
  <c r="AM31" i="2" s="1"/>
  <c r="AM32" i="2" s="1"/>
  <c r="AM33" i="2" s="1"/>
  <c r="AM34" i="2" s="1"/>
  <c r="AM35" i="2" s="1"/>
  <c r="AM36" i="2" s="1"/>
  <c r="AM37" i="2" s="1"/>
  <c r="AM38" i="2" s="1"/>
  <c r="AM39" i="2" s="1"/>
  <c r="AM40" i="2" s="1"/>
  <c r="AM41" i="2" s="1"/>
  <c r="AM42" i="2" s="1"/>
  <c r="AM43" i="2" s="1"/>
  <c r="AM44" i="2" s="1"/>
  <c r="AM45" i="2" s="1"/>
  <c r="AM46" i="2" s="1"/>
  <c r="AM47" i="2" s="1"/>
  <c r="AM48" i="2" s="1"/>
  <c r="AM49" i="2" s="1"/>
  <c r="AM50" i="2" s="1"/>
  <c r="AM51" i="2" s="1"/>
  <c r="AM52" i="2" s="1"/>
  <c r="AM53" i="2" s="1"/>
  <c r="AM54" i="2" s="1"/>
  <c r="AM55" i="2" s="1"/>
  <c r="AM56" i="2" s="1"/>
  <c r="AM57" i="2" s="1"/>
  <c r="AM58" i="2" s="1"/>
  <c r="AM59" i="2" s="1"/>
  <c r="AM60" i="2" s="1"/>
  <c r="AM61" i="2" s="1"/>
  <c r="AM62" i="2" s="1"/>
  <c r="AM63" i="2" s="1"/>
  <c r="AM64" i="2" s="1"/>
  <c r="AM65" i="2" s="1"/>
  <c r="AM66" i="2" s="1"/>
  <c r="AM67" i="2" s="1"/>
  <c r="AM68" i="2" s="1"/>
  <c r="AM69" i="2" s="1"/>
  <c r="AM70" i="2" s="1"/>
  <c r="AM71" i="2" s="1"/>
  <c r="AM72" i="2" s="1"/>
  <c r="AM73" i="2" s="1"/>
  <c r="AM74" i="2" s="1"/>
  <c r="AM75" i="2" s="1"/>
  <c r="D14" i="2"/>
  <c r="D13" i="2"/>
  <c r="U11" i="2"/>
  <c r="R16" i="3"/>
  <c r="Q16" i="3"/>
  <c r="S16" i="3"/>
  <c r="F17" i="25"/>
  <c r="F18" i="25"/>
  <c r="F16" i="25"/>
  <c r="F15" i="25"/>
  <c r="F14" i="25"/>
  <c r="F19" i="25"/>
  <c r="F20" i="25"/>
  <c r="C33" i="2"/>
  <c r="D12" i="2"/>
  <c r="C19" i="2"/>
  <c r="D10" i="5" a="1"/>
  <c r="C6" i="5" a="1"/>
  <c r="E6" i="5" a="1"/>
  <c r="G7" i="5" a="1"/>
  <c r="G10" i="5" a="1"/>
  <c r="E8" i="5" a="1"/>
  <c r="C8" i="5" a="1"/>
  <c r="F7" i="5" a="1"/>
  <c r="E10" i="5" a="1"/>
  <c r="E7" i="5" a="1"/>
  <c r="G8" i="5" a="1"/>
  <c r="D6" i="5" a="1"/>
  <c r="C9" i="5" a="1"/>
  <c r="G6" i="5" a="1"/>
  <c r="D8" i="5" a="1"/>
  <c r="F6" i="5" a="1"/>
  <c r="C10" i="5" a="1"/>
  <c r="F8" i="5" a="1"/>
  <c r="F10" i="5" a="1"/>
  <c r="D7" i="5" a="1"/>
  <c r="D9" i="5" a="1"/>
  <c r="F9" i="5" a="1"/>
  <c r="C7" i="5" a="1"/>
  <c r="E9" i="5" a="1"/>
  <c r="G9" i="5" a="1"/>
  <c r="H7" i="19"/>
  <c r="I6" i="27"/>
  <c r="H6" i="19"/>
  <c r="Z16" i="3" a="1"/>
  <c r="I7" i="27"/>
  <c r="G6" i="19"/>
  <c r="I14" i="27" a="1"/>
  <c r="AB16" i="3" a="1"/>
  <c r="G7" i="19"/>
  <c r="AA16" i="3" a="1"/>
  <c r="I13" i="27" a="1"/>
  <c r="C6" i="5" l="1"/>
  <c r="Q6" i="5" s="1"/>
  <c r="D6" i="5"/>
  <c r="E6" i="5"/>
  <c r="F6" i="5"/>
  <c r="G6" i="5"/>
  <c r="U6" i="5" s="1"/>
  <c r="C7" i="5"/>
  <c r="D7" i="5"/>
  <c r="E7" i="5"/>
  <c r="F7" i="5"/>
  <c r="T7" i="5" s="1"/>
  <c r="G7" i="5"/>
  <c r="U7" i="5" s="1"/>
  <c r="C8" i="5"/>
  <c r="Q8" i="5" s="1"/>
  <c r="D8" i="5"/>
  <c r="E8" i="5"/>
  <c r="F8" i="5"/>
  <c r="T8" i="5" s="1"/>
  <c r="G8" i="5"/>
  <c r="C9" i="5"/>
  <c r="Q9" i="5" s="1"/>
  <c r="D9" i="5"/>
  <c r="E9" i="5"/>
  <c r="S9" i="5" s="1"/>
  <c r="F9" i="5"/>
  <c r="G9" i="5"/>
  <c r="U9" i="5" s="1"/>
  <c r="C10" i="5"/>
  <c r="Q10" i="5" s="1"/>
  <c r="D10" i="5"/>
  <c r="E10" i="5"/>
  <c r="S10" i="5" s="1"/>
  <c r="F10" i="5"/>
  <c r="T10" i="5" s="1"/>
  <c r="G10" i="5"/>
  <c r="K12" i="3"/>
  <c r="E7" i="28"/>
  <c r="AE23" i="2"/>
  <c r="AE22" i="2"/>
  <c r="AI22" i="2" s="1"/>
  <c r="AE21" i="2"/>
  <c r="AI21" i="2" s="1"/>
  <c r="AE20" i="2"/>
  <c r="AI20" i="2" s="1"/>
  <c r="AE19" i="2"/>
  <c r="AI19" i="2" s="1"/>
  <c r="AE17" i="2"/>
  <c r="AI17" i="2" s="1"/>
  <c r="AE24" i="2"/>
  <c r="AI24" i="2" s="1"/>
  <c r="AE18" i="2"/>
  <c r="AI18" i="2" s="1"/>
  <c r="U14" i="2"/>
  <c r="AN13" i="2"/>
  <c r="V14" i="2"/>
  <c r="AA22" i="2"/>
  <c r="AA20" i="2"/>
  <c r="AA23" i="2"/>
  <c r="AA21" i="2"/>
  <c r="AA19" i="2"/>
  <c r="AA18" i="2"/>
  <c r="AA24" i="2"/>
  <c r="AA17" i="2"/>
  <c r="AQ12" i="2" s="1"/>
  <c r="AS12" i="2" s="1" a="1"/>
  <c r="AS12" i="2" s="1"/>
  <c r="O20" i="2"/>
  <c r="AH20" i="2" s="1"/>
  <c r="O24" i="2"/>
  <c r="AH24" i="2" s="1"/>
  <c r="C6" i="4"/>
  <c r="C9" i="4"/>
  <c r="C10" i="4"/>
  <c r="E10" i="4" s="1"/>
  <c r="E11" i="4" s="1"/>
  <c r="C8" i="4"/>
  <c r="E8" i="4" s="1"/>
  <c r="C30" i="4"/>
  <c r="E21" i="4"/>
  <c r="I9" i="27"/>
  <c r="I8" i="27"/>
  <c r="I29" i="27" s="1"/>
  <c r="I14" i="27"/>
  <c r="E14" i="27" s="1"/>
  <c r="I13" i="27"/>
  <c r="J5" i="27"/>
  <c r="K5" i="27" s="1"/>
  <c r="C6" i="27"/>
  <c r="L23" i="20"/>
  <c r="M23" i="20" s="1"/>
  <c r="K25" i="20"/>
  <c r="K37" i="20" s="1"/>
  <c r="K30" i="20"/>
  <c r="V16" i="3"/>
  <c r="V12" i="3" s="1"/>
  <c r="C20" i="26"/>
  <c r="C21" i="26" s="1"/>
  <c r="E20" i="26"/>
  <c r="E21" i="26" s="1"/>
  <c r="X12" i="3"/>
  <c r="AH17" i="2"/>
  <c r="AG17" i="2"/>
  <c r="AN14" i="2"/>
  <c r="O19" i="2"/>
  <c r="AH19" i="2" s="1"/>
  <c r="O23" i="2"/>
  <c r="AG23" i="2" s="1"/>
  <c r="W14" i="2"/>
  <c r="AT12" i="2"/>
  <c r="O22" i="2"/>
  <c r="O21" i="2"/>
  <c r="AH21" i="2" s="1"/>
  <c r="O18" i="2"/>
  <c r="AH18" i="2" s="1"/>
  <c r="AI23" i="2"/>
  <c r="AG24" i="2"/>
  <c r="G21" i="20"/>
  <c r="L33" i="20"/>
  <c r="M25" i="20"/>
  <c r="M30" i="20"/>
  <c r="M33" i="20"/>
  <c r="L25" i="20"/>
  <c r="W82" i="20"/>
  <c r="V81" i="20"/>
  <c r="W83" i="20"/>
  <c r="X80" i="20"/>
  <c r="Y79" i="20"/>
  <c r="V80" i="20"/>
  <c r="W80" i="20"/>
  <c r="W79" i="20"/>
  <c r="W81" i="20"/>
  <c r="X84" i="20"/>
  <c r="X82" i="20"/>
  <c r="V84" i="20"/>
  <c r="W84" i="20"/>
  <c r="X81" i="20"/>
  <c r="X79" i="20"/>
  <c r="Y82" i="20"/>
  <c r="Y84" i="20"/>
  <c r="V83" i="20"/>
  <c r="X83" i="20"/>
  <c r="V79" i="20"/>
  <c r="Y83" i="20"/>
  <c r="Y81" i="20"/>
  <c r="Y80" i="20"/>
  <c r="V82" i="20"/>
  <c r="G50" i="20"/>
  <c r="D18" i="2"/>
  <c r="D17" i="2"/>
  <c r="D34" i="2"/>
  <c r="D16" i="2"/>
  <c r="D33" i="2"/>
  <c r="L12" i="3"/>
  <c r="M12" i="3"/>
  <c r="D19" i="2"/>
  <c r="W12" i="3"/>
  <c r="N12" i="3"/>
  <c r="O12" i="3"/>
  <c r="D12" i="3" s="1"/>
  <c r="G58" i="20"/>
  <c r="E18" i="4"/>
  <c r="E16" i="4"/>
  <c r="E16" i="26"/>
  <c r="AA16" i="3"/>
  <c r="E13" i="4"/>
  <c r="E28" i="26"/>
  <c r="G8" i="19"/>
  <c r="H8" i="19"/>
  <c r="Z16" i="3"/>
  <c r="AB16" i="3"/>
  <c r="E15" i="26"/>
  <c r="E17" i="4"/>
  <c r="E15" i="4"/>
  <c r="E27" i="26"/>
  <c r="E13" i="26"/>
  <c r="J72" i="20"/>
  <c r="I72" i="20"/>
  <c r="I70" i="20" s="1"/>
  <c r="D71" i="20"/>
  <c r="I6" i="19"/>
  <c r="J6" i="19"/>
  <c r="I7" i="19"/>
  <c r="K6" i="27"/>
  <c r="J6" i="27"/>
  <c r="K7" i="27"/>
  <c r="J7" i="19"/>
  <c r="J7" i="27"/>
  <c r="K13" i="27" a="1"/>
  <c r="J13" i="27" a="1"/>
  <c r="K14" i="27" a="1"/>
  <c r="J14" i="27" a="1"/>
  <c r="E52" i="20" l="1"/>
  <c r="E51" i="20"/>
  <c r="R10" i="5"/>
  <c r="R9" i="5"/>
  <c r="R6" i="5"/>
  <c r="S8" i="5"/>
  <c r="R7" i="5"/>
  <c r="T6" i="5"/>
  <c r="T9" i="5"/>
  <c r="S7" i="5"/>
  <c r="U10" i="5"/>
  <c r="U8" i="5"/>
  <c r="R8" i="5"/>
  <c r="S6" i="5"/>
  <c r="Q7" i="5"/>
  <c r="AQ11" i="2"/>
  <c r="AW11" i="2" s="1"/>
  <c r="AG20" i="2"/>
  <c r="AG21" i="2"/>
  <c r="AT13" i="2"/>
  <c r="AQ14" i="2"/>
  <c r="AS14" i="2" s="1" a="1"/>
  <c r="AS14" i="2" s="1"/>
  <c r="AQ13" i="2"/>
  <c r="AS13" i="2" s="1" a="1"/>
  <c r="AS13" i="2" s="1"/>
  <c r="BN13" i="2"/>
  <c r="AT14" i="2"/>
  <c r="I16" i="27"/>
  <c r="E13" i="27"/>
  <c r="K9" i="27"/>
  <c r="J9" i="27"/>
  <c r="I15" i="27"/>
  <c r="I21" i="27"/>
  <c r="I20" i="27"/>
  <c r="K8" i="27"/>
  <c r="K29" i="27" s="1"/>
  <c r="J8" i="27"/>
  <c r="J29" i="27" s="1"/>
  <c r="K14" i="27"/>
  <c r="K13" i="27"/>
  <c r="K16" i="27" s="1"/>
  <c r="J14" i="27"/>
  <c r="J13" i="27"/>
  <c r="J16" i="27" s="1"/>
  <c r="I8" i="19"/>
  <c r="J8" i="19"/>
  <c r="L5" i="27"/>
  <c r="AI14" i="2"/>
  <c r="C31" i="2" s="1"/>
  <c r="K26" i="20"/>
  <c r="L30" i="20"/>
  <c r="C11" i="4"/>
  <c r="C11" i="26"/>
  <c r="P16" i="3"/>
  <c r="P12" i="3" s="1"/>
  <c r="R12" i="3"/>
  <c r="AG19" i="2"/>
  <c r="Q12" i="3"/>
  <c r="AG18" i="2"/>
  <c r="AH23" i="2"/>
  <c r="BN14" i="2"/>
  <c r="AN15" i="2"/>
  <c r="AG22" i="2"/>
  <c r="AH22" i="2"/>
  <c r="H21" i="20"/>
  <c r="G22" i="20"/>
  <c r="L37" i="20"/>
  <c r="L26" i="20"/>
  <c r="M26" i="20"/>
  <c r="M37" i="20"/>
  <c r="G52" i="20"/>
  <c r="G51" i="20"/>
  <c r="G53" i="20" s="1"/>
  <c r="G56" i="20" s="1"/>
  <c r="G59" i="20" s="1"/>
  <c r="AW12" i="2"/>
  <c r="C17" i="26"/>
  <c r="C19" i="4"/>
  <c r="E19" i="4" s="1"/>
  <c r="J70" i="20"/>
  <c r="C25" i="26"/>
  <c r="C30" i="26" s="1"/>
  <c r="E56" i="20"/>
  <c r="L6" i="27"/>
  <c r="K7" i="19"/>
  <c r="L13" i="27" a="1"/>
  <c r="L14" i="27" a="1"/>
  <c r="L7" i="27"/>
  <c r="K6" i="19"/>
  <c r="AY11" i="2" l="1"/>
  <c r="BB11" i="2"/>
  <c r="AW13" i="2"/>
  <c r="AW14" i="2"/>
  <c r="AY14" i="2" s="1"/>
  <c r="I23" i="27"/>
  <c r="L9" i="27"/>
  <c r="J15" i="27"/>
  <c r="K15" i="27"/>
  <c r="J21" i="27"/>
  <c r="K21" i="27"/>
  <c r="I22" i="27"/>
  <c r="I27" i="27" s="1"/>
  <c r="J20" i="27"/>
  <c r="J23" i="27" s="1"/>
  <c r="K20" i="27"/>
  <c r="K23" i="27" s="1"/>
  <c r="L8" i="27"/>
  <c r="L29" i="27" s="1"/>
  <c r="L14" i="27"/>
  <c r="L13" i="27"/>
  <c r="L16" i="27" s="1"/>
  <c r="K8" i="19"/>
  <c r="M5" i="27"/>
  <c r="E25" i="26"/>
  <c r="E30" i="26" s="1"/>
  <c r="AE14" i="2"/>
  <c r="BA11" i="2"/>
  <c r="C32" i="26"/>
  <c r="E17" i="26"/>
  <c r="C24" i="4"/>
  <c r="H7" i="27"/>
  <c r="S12" i="3"/>
  <c r="AH14" i="2"/>
  <c r="AD14" i="2" s="1"/>
  <c r="BC11" i="2"/>
  <c r="AG14" i="2"/>
  <c r="AC14" i="2" s="1"/>
  <c r="BB12" i="2"/>
  <c r="BN15" i="2"/>
  <c r="AN16" i="2"/>
  <c r="AQ15" i="2"/>
  <c r="AS15" i="2" s="1" a="1"/>
  <c r="AS15" i="2" s="1"/>
  <c r="AT15" i="2"/>
  <c r="BC12" i="2"/>
  <c r="H6" i="27"/>
  <c r="F47" i="20"/>
  <c r="H22" i="20"/>
  <c r="I21" i="20"/>
  <c r="G61" i="20"/>
  <c r="AY12" i="2"/>
  <c r="BA12" i="2" s="1"/>
  <c r="M13" i="27" a="1"/>
  <c r="M6" i="27"/>
  <c r="L6" i="19"/>
  <c r="L7" i="19"/>
  <c r="M14" i="27" a="1"/>
  <c r="M7" i="27"/>
  <c r="BC14" i="2" l="1"/>
  <c r="BK14" i="2" s="1"/>
  <c r="BA14" i="2"/>
  <c r="BD14" i="2" s="1"/>
  <c r="BE14" i="2" s="1"/>
  <c r="BF14" i="2" s="1"/>
  <c r="AY13" i="2"/>
  <c r="BA13" i="2" s="1"/>
  <c r="BC13" i="2"/>
  <c r="AT16" i="2"/>
  <c r="BB13" i="2"/>
  <c r="BB14" i="2" s="1"/>
  <c r="M9" i="27"/>
  <c r="H9" i="27"/>
  <c r="H29" i="27" s="1"/>
  <c r="L15" i="27"/>
  <c r="K22" i="27"/>
  <c r="K27" i="27" s="1"/>
  <c r="J22" i="27"/>
  <c r="J27" i="27" s="1"/>
  <c r="L21" i="27"/>
  <c r="L20" i="27"/>
  <c r="L23" i="27" s="1"/>
  <c r="M8" i="27"/>
  <c r="M29" i="27" s="1"/>
  <c r="M14" i="27"/>
  <c r="M13" i="27"/>
  <c r="M16" i="27" s="1"/>
  <c r="H8" i="27"/>
  <c r="H14" i="27"/>
  <c r="H13" i="27"/>
  <c r="F7" i="27"/>
  <c r="L8" i="19"/>
  <c r="N5" i="27"/>
  <c r="E32" i="26"/>
  <c r="AM11" i="28" s="1"/>
  <c r="AZ11" i="2"/>
  <c r="E24" i="4"/>
  <c r="E26" i="4" s="1"/>
  <c r="E27" i="4" s="1"/>
  <c r="C26" i="4"/>
  <c r="C27" i="4" s="1"/>
  <c r="C29" i="4"/>
  <c r="BK11" i="2"/>
  <c r="E7" i="27"/>
  <c r="BD11" i="2"/>
  <c r="BE11" i="2" s="1"/>
  <c r="AZ12" i="2"/>
  <c r="BK12" i="2"/>
  <c r="AW15" i="2"/>
  <c r="BN16" i="2"/>
  <c r="AN17" i="2"/>
  <c r="AQ16" i="2"/>
  <c r="AS16" i="2" s="1" a="1"/>
  <c r="AS16" i="2" s="1"/>
  <c r="BD12" i="2"/>
  <c r="BE12" i="2" s="1"/>
  <c r="BF12" i="2" s="1"/>
  <c r="F6" i="27"/>
  <c r="E6" i="27"/>
  <c r="J21" i="20"/>
  <c r="I22" i="20"/>
  <c r="F7" i="19"/>
  <c r="D7" i="19" s="1"/>
  <c r="F6" i="19"/>
  <c r="M7" i="19"/>
  <c r="N6" i="27"/>
  <c r="N7" i="27"/>
  <c r="N14" i="27" a="1"/>
  <c r="M6" i="19"/>
  <c r="N13" i="27" a="1"/>
  <c r="BD13" i="2" l="1"/>
  <c r="BE13" i="2" s="1"/>
  <c r="AZ14" i="2"/>
  <c r="AZ13" i="2"/>
  <c r="BK13" i="2"/>
  <c r="C26" i="27"/>
  <c r="E33" i="26" s="1"/>
  <c r="AN11" i="28" s="1"/>
  <c r="H15" i="27"/>
  <c r="H16" i="27"/>
  <c r="N9" i="27"/>
  <c r="E8" i="27"/>
  <c r="E9" i="27"/>
  <c r="M15" i="27"/>
  <c r="L22" i="27"/>
  <c r="L27" i="27" s="1"/>
  <c r="M21" i="27"/>
  <c r="H21" i="27"/>
  <c r="M20" i="27"/>
  <c r="M23" i="27" s="1"/>
  <c r="N8" i="27"/>
  <c r="N29" i="27" s="1"/>
  <c r="H20" i="27"/>
  <c r="N14" i="27"/>
  <c r="N13" i="27"/>
  <c r="N16" i="27" s="1"/>
  <c r="M8" i="19"/>
  <c r="O5" i="27"/>
  <c r="AW16" i="2"/>
  <c r="BC16" i="2" s="1"/>
  <c r="E29" i="4"/>
  <c r="C7" i="25"/>
  <c r="BF11" i="2"/>
  <c r="BN17" i="2"/>
  <c r="AN18" i="2"/>
  <c r="AT18" i="2" s="1"/>
  <c r="AQ17" i="2"/>
  <c r="AS17" i="2" s="1" a="1"/>
  <c r="AS17" i="2" s="1"/>
  <c r="AT17" i="2"/>
  <c r="AY15" i="2"/>
  <c r="BC15" i="2"/>
  <c r="BB15" i="2"/>
  <c r="J22" i="20"/>
  <c r="K21" i="20"/>
  <c r="D6" i="19"/>
  <c r="D8" i="19" s="1"/>
  <c r="C9" i="25"/>
  <c r="F8" i="19"/>
  <c r="O14" i="27" a="1"/>
  <c r="O6" i="27"/>
  <c r="O7" i="27"/>
  <c r="N7" i="19"/>
  <c r="F13" i="27" a="1"/>
  <c r="O13" i="27" a="1"/>
  <c r="N6" i="19"/>
  <c r="F14" i="27" a="1"/>
  <c r="BF13" i="2" l="1"/>
  <c r="O9" i="27"/>
  <c r="E15" i="27"/>
  <c r="E17" i="27" s="1"/>
  <c r="F17" i="27" s="1"/>
  <c r="E16" i="27"/>
  <c r="H23" i="27"/>
  <c r="N15" i="27"/>
  <c r="M22" i="27"/>
  <c r="M27" i="27" s="1"/>
  <c r="H22" i="27"/>
  <c r="C27" i="27" s="1"/>
  <c r="E21" i="27"/>
  <c r="N21" i="27"/>
  <c r="F14" i="27"/>
  <c r="N20" i="27"/>
  <c r="N23" i="27" s="1"/>
  <c r="E20" i="27"/>
  <c r="O8" i="27"/>
  <c r="O29" i="27" s="1"/>
  <c r="O14" i="27"/>
  <c r="O13" i="27"/>
  <c r="O16" i="27" s="1"/>
  <c r="F13" i="27"/>
  <c r="N8" i="19"/>
  <c r="P5" i="27"/>
  <c r="BB16" i="2"/>
  <c r="AY16" i="2"/>
  <c r="BA16" i="2" s="1"/>
  <c r="BD16" i="2" s="1"/>
  <c r="BE16" i="2" s="1"/>
  <c r="BF16" i="2" s="1"/>
  <c r="AZ15" i="2"/>
  <c r="BA15" i="2"/>
  <c r="BD15" i="2" s="1"/>
  <c r="BE15" i="2" s="1"/>
  <c r="AW17" i="2"/>
  <c r="BK15" i="2"/>
  <c r="BN18" i="2"/>
  <c r="AN19" i="2"/>
  <c r="AQ18" i="2"/>
  <c r="AS18" i="2" s="1" a="1"/>
  <c r="AS18" i="2" s="1"/>
  <c r="K22" i="20"/>
  <c r="L21" i="20"/>
  <c r="D10" i="19"/>
  <c r="P6" i="27"/>
  <c r="P14" i="27" a="1"/>
  <c r="F20" i="27" a="1"/>
  <c r="P13" i="27" a="1"/>
  <c r="P7" i="27"/>
  <c r="O7" i="19"/>
  <c r="O6" i="19"/>
  <c r="F21" i="27" a="1"/>
  <c r="H26" i="27" l="1"/>
  <c r="H27" i="27"/>
  <c r="I26" i="27"/>
  <c r="O26" i="27"/>
  <c r="P26" i="27"/>
  <c r="AB26" i="27"/>
  <c r="AN26" i="27"/>
  <c r="AZ26" i="27"/>
  <c r="BL26" i="27"/>
  <c r="AE26" i="27"/>
  <c r="BC26" i="27"/>
  <c r="AR26" i="27"/>
  <c r="U26" i="27"/>
  <c r="J26" i="27"/>
  <c r="AT26" i="27"/>
  <c r="AI26" i="27"/>
  <c r="BG26" i="27"/>
  <c r="X26" i="27"/>
  <c r="AV26" i="27"/>
  <c r="AK26" i="27"/>
  <c r="N26" i="27"/>
  <c r="AX26" i="27"/>
  <c r="AM26" i="27"/>
  <c r="Q26" i="27"/>
  <c r="AC26" i="27"/>
  <c r="AO26" i="27"/>
  <c r="BA26" i="27"/>
  <c r="BM26" i="27"/>
  <c r="AQ26" i="27"/>
  <c r="AF26" i="27"/>
  <c r="BD26" i="27"/>
  <c r="AG26" i="27"/>
  <c r="BE26" i="27"/>
  <c r="AH26" i="27"/>
  <c r="K26" i="27"/>
  <c r="L26" i="27"/>
  <c r="M26" i="27"/>
  <c r="AW26" i="27"/>
  <c r="AL26" i="27"/>
  <c r="AA26" i="27"/>
  <c r="AY26" i="27"/>
  <c r="R26" i="27"/>
  <c r="AD26" i="27"/>
  <c r="AP26" i="27"/>
  <c r="BB26" i="27"/>
  <c r="BN26" i="27"/>
  <c r="S26" i="27"/>
  <c r="T26" i="27"/>
  <c r="AS26" i="27"/>
  <c r="V26" i="27"/>
  <c r="BF26" i="27"/>
  <c r="W26" i="27"/>
  <c r="AU26" i="27"/>
  <c r="AJ26" i="27"/>
  <c r="BH26" i="27"/>
  <c r="Y26" i="27"/>
  <c r="BI26" i="27"/>
  <c r="Z26" i="27"/>
  <c r="BJ26" i="27"/>
  <c r="BK26" i="27"/>
  <c r="AZ16" i="2"/>
  <c r="BK16" i="2"/>
  <c r="P9" i="27"/>
  <c r="E22" i="27"/>
  <c r="E23" i="27"/>
  <c r="O15" i="27"/>
  <c r="N22" i="27"/>
  <c r="N27" i="27" s="1"/>
  <c r="F21" i="27"/>
  <c r="O21" i="27"/>
  <c r="O20" i="27"/>
  <c r="O23" i="27" s="1"/>
  <c r="F20" i="27"/>
  <c r="P8" i="27"/>
  <c r="P29" i="27" s="1"/>
  <c r="P14" i="27"/>
  <c r="P13" i="27"/>
  <c r="P16" i="27" s="1"/>
  <c r="O8" i="19"/>
  <c r="Q5" i="27"/>
  <c r="BB17" i="2"/>
  <c r="AN20" i="2"/>
  <c r="BN19" i="2"/>
  <c r="AQ19" i="2"/>
  <c r="AS19" i="2" s="1" a="1"/>
  <c r="AS19" i="2" s="1"/>
  <c r="AT19" i="2"/>
  <c r="BF15" i="2"/>
  <c r="AY17" i="2"/>
  <c r="BC17" i="2"/>
  <c r="AW18" i="2"/>
  <c r="M21" i="20"/>
  <c r="L22" i="20"/>
  <c r="E55" i="20"/>
  <c r="E53" i="20" s="1"/>
  <c r="AB12" i="3"/>
  <c r="E30" i="4" s="1"/>
  <c r="C8" i="25"/>
  <c r="C6" i="25" s="1"/>
  <c r="P6" i="19"/>
  <c r="Q14" i="27" a="1"/>
  <c r="Q13" i="27" a="1"/>
  <c r="P7" i="19"/>
  <c r="Q6" i="27"/>
  <c r="Q7" i="27"/>
  <c r="E47" i="20" l="1"/>
  <c r="E46" i="20"/>
  <c r="AT20" i="2"/>
  <c r="Q9" i="27"/>
  <c r="P15" i="27"/>
  <c r="O22" i="27"/>
  <c r="O27" i="27" s="1"/>
  <c r="P21" i="27"/>
  <c r="P20" i="27"/>
  <c r="P23" i="27" s="1"/>
  <c r="Q8" i="27"/>
  <c r="Q29" i="27" s="1"/>
  <c r="Q14" i="27"/>
  <c r="Q13" i="27"/>
  <c r="Q16" i="27" s="1"/>
  <c r="P8" i="19"/>
  <c r="R5" i="27"/>
  <c r="BK17" i="2"/>
  <c r="AZ17" i="2"/>
  <c r="BA17" i="2"/>
  <c r="BD17" i="2" s="1"/>
  <c r="BE17" i="2" s="1"/>
  <c r="BC18" i="2"/>
  <c r="AY18" i="2"/>
  <c r="BA18" i="2" s="1"/>
  <c r="BB18" i="2"/>
  <c r="AW19" i="2"/>
  <c r="BN20" i="2"/>
  <c r="AN21" i="2"/>
  <c r="AQ20" i="2"/>
  <c r="AS20" i="2" s="1" a="1"/>
  <c r="AS20" i="2" s="1"/>
  <c r="M22" i="20"/>
  <c r="G3" i="25"/>
  <c r="G13" i="25"/>
  <c r="R6" i="27"/>
  <c r="R7" i="27"/>
  <c r="R14" i="27" a="1"/>
  <c r="Q7" i="19"/>
  <c r="Q6" i="19"/>
  <c r="R13" i="27" a="1"/>
  <c r="AT21" i="2" l="1"/>
  <c r="AW20" i="2"/>
  <c r="R9" i="27"/>
  <c r="Q15" i="27"/>
  <c r="P22" i="27"/>
  <c r="P27" i="27" s="1"/>
  <c r="Q21" i="27"/>
  <c r="Q20" i="27"/>
  <c r="Q23" i="27" s="1"/>
  <c r="R8" i="27"/>
  <c r="R29" i="27" s="1"/>
  <c r="R14" i="27"/>
  <c r="R13" i="27"/>
  <c r="R16" i="27" s="1"/>
  <c r="Q8" i="19"/>
  <c r="S5" i="27"/>
  <c r="BK18" i="2"/>
  <c r="AZ18" i="2"/>
  <c r="BB19" i="2"/>
  <c r="BD18" i="2"/>
  <c r="BE18" i="2" s="1"/>
  <c r="AN22" i="2"/>
  <c r="BN21" i="2"/>
  <c r="AQ21" i="2"/>
  <c r="AS21" i="2" s="1" a="1"/>
  <c r="AS21" i="2" s="1"/>
  <c r="BF17" i="2"/>
  <c r="BC19" i="2"/>
  <c r="AY19" i="2"/>
  <c r="N30" i="20"/>
  <c r="N25" i="20"/>
  <c r="N33" i="20"/>
  <c r="S13" i="27" a="1"/>
  <c r="R7" i="19"/>
  <c r="S7" i="27"/>
  <c r="S6" i="27"/>
  <c r="R6" i="19"/>
  <c r="S14" i="27" a="1"/>
  <c r="AY20" i="2" l="1"/>
  <c r="BA20" i="2" s="1"/>
  <c r="BC20" i="2"/>
  <c r="BB20" i="2"/>
  <c r="S9" i="27"/>
  <c r="R15" i="27"/>
  <c r="Q22" i="27"/>
  <c r="Q27" i="27" s="1"/>
  <c r="R21" i="27"/>
  <c r="R20" i="27"/>
  <c r="R23" i="27" s="1"/>
  <c r="S8" i="27"/>
  <c r="S29" i="27" s="1"/>
  <c r="S14" i="27"/>
  <c r="S13" i="27"/>
  <c r="S16" i="27" s="1"/>
  <c r="R8" i="19"/>
  <c r="T5" i="27"/>
  <c r="AW21" i="2"/>
  <c r="AY21" i="2" s="1"/>
  <c r="BA19" i="2"/>
  <c r="BD19" i="2" s="1"/>
  <c r="BE19" i="2" s="1"/>
  <c r="AZ19" i="2"/>
  <c r="BF18" i="2"/>
  <c r="BN22" i="2"/>
  <c r="AN23" i="2"/>
  <c r="AQ22" i="2"/>
  <c r="AS22" i="2" s="1" a="1"/>
  <c r="AS22" i="2" s="1"/>
  <c r="BK19" i="2"/>
  <c r="AT22" i="2"/>
  <c r="N26" i="20"/>
  <c r="N37" i="20"/>
  <c r="T6" i="27"/>
  <c r="S7" i="19"/>
  <c r="T13" i="27" a="1"/>
  <c r="T14" i="27" a="1"/>
  <c r="T7" i="27"/>
  <c r="S6" i="19"/>
  <c r="AZ20" i="2" l="1"/>
  <c r="BD20" i="2"/>
  <c r="BE20" i="2" s="1"/>
  <c r="BF20" i="2" s="1"/>
  <c r="AT23" i="2"/>
  <c r="BK20" i="2"/>
  <c r="BB21" i="2"/>
  <c r="BC21" i="2"/>
  <c r="BK21" i="2" s="1"/>
  <c r="T9" i="27"/>
  <c r="S15" i="27"/>
  <c r="R22" i="27"/>
  <c r="R27" i="27" s="1"/>
  <c r="S21" i="27"/>
  <c r="S20" i="27"/>
  <c r="S23" i="27" s="1"/>
  <c r="T8" i="27"/>
  <c r="T29" i="27" s="1"/>
  <c r="T14" i="27"/>
  <c r="T13" i="27"/>
  <c r="T16" i="27" s="1"/>
  <c r="S8" i="19"/>
  <c r="U5" i="27"/>
  <c r="BA21" i="2"/>
  <c r="AZ21" i="2"/>
  <c r="BF19" i="2"/>
  <c r="AW22" i="2"/>
  <c r="AN24" i="2"/>
  <c r="BN23" i="2"/>
  <c r="AQ23" i="2"/>
  <c r="AS23" i="2" s="1" a="1"/>
  <c r="AS23" i="2" s="1"/>
  <c r="U6" i="27"/>
  <c r="U14" i="27" a="1"/>
  <c r="U7" i="27"/>
  <c r="U13" i="27" a="1"/>
  <c r="T7" i="19"/>
  <c r="T6" i="19"/>
  <c r="AW23" i="2" l="1"/>
  <c r="AY23" i="2" s="1"/>
  <c r="BD21" i="2"/>
  <c r="U9" i="27"/>
  <c r="T15" i="27"/>
  <c r="S22" i="27"/>
  <c r="S27" i="27" s="1"/>
  <c r="T21" i="27"/>
  <c r="T20" i="27"/>
  <c r="T23" i="27" s="1"/>
  <c r="U8" i="27"/>
  <c r="U29" i="27" s="1"/>
  <c r="U14" i="27"/>
  <c r="U13" i="27"/>
  <c r="U16" i="27" s="1"/>
  <c r="T8" i="19"/>
  <c r="V5" i="27"/>
  <c r="BN24" i="2"/>
  <c r="AN25" i="2"/>
  <c r="AQ24" i="2"/>
  <c r="AS24" i="2" s="1" a="1"/>
  <c r="AS24" i="2" s="1"/>
  <c r="AY22" i="2"/>
  <c r="BC22" i="2"/>
  <c r="BB22" i="2"/>
  <c r="BE21" i="2"/>
  <c r="BF21" i="2" s="1"/>
  <c r="AT24" i="2"/>
  <c r="U7" i="19"/>
  <c r="V14" i="27" a="1"/>
  <c r="U6" i="19"/>
  <c r="V6" i="27"/>
  <c r="V13" i="27" a="1"/>
  <c r="V7" i="27"/>
  <c r="BB23" i="2" l="1"/>
  <c r="BC23" i="2"/>
  <c r="AT25" i="2"/>
  <c r="V9" i="27"/>
  <c r="U15" i="27"/>
  <c r="T22" i="27"/>
  <c r="T27" i="27" s="1"/>
  <c r="U21" i="27"/>
  <c r="U20" i="27"/>
  <c r="U23" i="27" s="1"/>
  <c r="V8" i="27"/>
  <c r="V29" i="27" s="1"/>
  <c r="V14" i="27"/>
  <c r="V13" i="27"/>
  <c r="V16" i="27" s="1"/>
  <c r="U8" i="19"/>
  <c r="W5" i="27"/>
  <c r="BK22" i="2"/>
  <c r="BA22" i="2"/>
  <c r="BD22" i="2" s="1"/>
  <c r="BE22" i="2" s="1"/>
  <c r="AZ22" i="2"/>
  <c r="AW24" i="2"/>
  <c r="AY24" i="2" s="1"/>
  <c r="BA23" i="2"/>
  <c r="BD23" i="2" s="1"/>
  <c r="BE23" i="2" s="1"/>
  <c r="AZ23" i="2"/>
  <c r="BK23" i="2"/>
  <c r="BN25" i="2"/>
  <c r="AN26" i="2"/>
  <c r="AQ25" i="2"/>
  <c r="AS25" i="2" s="1" a="1"/>
  <c r="AS25" i="2" s="1"/>
  <c r="V6" i="19"/>
  <c r="W7" i="27"/>
  <c r="W6" i="27"/>
  <c r="W14" i="27" a="1"/>
  <c r="W13" i="27" a="1"/>
  <c r="V7" i="19"/>
  <c r="AT26" i="2" l="1"/>
  <c r="W9" i="27"/>
  <c r="V15" i="27"/>
  <c r="U22" i="27"/>
  <c r="U27" i="27" s="1"/>
  <c r="V21" i="27"/>
  <c r="V20" i="27"/>
  <c r="V23" i="27" s="1"/>
  <c r="W8" i="27"/>
  <c r="W29" i="27" s="1"/>
  <c r="W14" i="27"/>
  <c r="W13" i="27"/>
  <c r="W16" i="27" s="1"/>
  <c r="V8" i="19"/>
  <c r="X5" i="27"/>
  <c r="AW25" i="2"/>
  <c r="AY25" i="2" s="1"/>
  <c r="BB24" i="2"/>
  <c r="BC24" i="2"/>
  <c r="BK24" i="2" s="1"/>
  <c r="BF22" i="2"/>
  <c r="BA24" i="2"/>
  <c r="AZ24" i="2"/>
  <c r="BN26" i="2"/>
  <c r="AN27" i="2"/>
  <c r="AQ26" i="2"/>
  <c r="AS26" i="2" s="1" a="1"/>
  <c r="AS26" i="2" s="1"/>
  <c r="BF23" i="2"/>
  <c r="W7" i="19"/>
  <c r="X7" i="27"/>
  <c r="W6" i="19"/>
  <c r="X13" i="27" a="1"/>
  <c r="X14" i="27" a="1"/>
  <c r="X6" i="27"/>
  <c r="X9" i="27" l="1"/>
  <c r="W15" i="27"/>
  <c r="V22" i="27"/>
  <c r="V27" i="27" s="1"/>
  <c r="W21" i="27"/>
  <c r="W20" i="27"/>
  <c r="W23" i="27" s="1"/>
  <c r="X8" i="27"/>
  <c r="X29" i="27" s="1"/>
  <c r="X14" i="27"/>
  <c r="X13" i="27"/>
  <c r="X16" i="27" s="1"/>
  <c r="W8" i="19"/>
  <c r="Y5" i="27"/>
  <c r="AW26" i="2"/>
  <c r="AY26" i="2" s="1"/>
  <c r="BC25" i="2"/>
  <c r="BK25" i="2" s="1"/>
  <c r="BB25" i="2"/>
  <c r="BD24" i="2"/>
  <c r="BE24" i="2" s="1"/>
  <c r="BF24" i="2" s="1"/>
  <c r="BA25" i="2"/>
  <c r="AZ25" i="2"/>
  <c r="BN27" i="2"/>
  <c r="AN28" i="2"/>
  <c r="AQ27" i="2"/>
  <c r="AS27" i="2" s="1" a="1"/>
  <c r="AS27" i="2" s="1"/>
  <c r="AT27" i="2"/>
  <c r="X7" i="19"/>
  <c r="Y14" i="27" a="1"/>
  <c r="Y13" i="27" a="1"/>
  <c r="Y6" i="27"/>
  <c r="X6" i="19"/>
  <c r="Y7" i="27"/>
  <c r="Y9" i="27" l="1"/>
  <c r="X15" i="27"/>
  <c r="W22" i="27"/>
  <c r="W27" i="27" s="1"/>
  <c r="X21" i="27"/>
  <c r="X20" i="27"/>
  <c r="X23" i="27" s="1"/>
  <c r="Y8" i="27"/>
  <c r="Y29" i="27" s="1"/>
  <c r="Y14" i="27"/>
  <c r="Y13" i="27"/>
  <c r="Y16" i="27" s="1"/>
  <c r="X8" i="19"/>
  <c r="Z5" i="27"/>
  <c r="BB26" i="2"/>
  <c r="BC26" i="2"/>
  <c r="BK26" i="2" s="1"/>
  <c r="BD25" i="2"/>
  <c r="BE25" i="2" s="1"/>
  <c r="BF25" i="2" s="1"/>
  <c r="AW27" i="2"/>
  <c r="BC27" i="2" s="1"/>
  <c r="AZ26" i="2"/>
  <c r="BN28" i="2"/>
  <c r="AN29" i="2"/>
  <c r="AQ28" i="2"/>
  <c r="AS28" i="2" s="1" a="1"/>
  <c r="AS28" i="2" s="1"/>
  <c r="AT28" i="2"/>
  <c r="BA26" i="2"/>
  <c r="Y7" i="19"/>
  <c r="Z7" i="27"/>
  <c r="Z14" i="27" a="1"/>
  <c r="Z6" i="27"/>
  <c r="Z13" i="27" a="1"/>
  <c r="Y6" i="19"/>
  <c r="Z9" i="27" l="1"/>
  <c r="Y15" i="27"/>
  <c r="X22" i="27"/>
  <c r="X27" i="27" s="1"/>
  <c r="Y21" i="27"/>
  <c r="Y20" i="27"/>
  <c r="Y23" i="27" s="1"/>
  <c r="Z8" i="27"/>
  <c r="Z29" i="27" s="1"/>
  <c r="Z14" i="27"/>
  <c r="Z13" i="27"/>
  <c r="Z16" i="27" s="1"/>
  <c r="Y8" i="19"/>
  <c r="AA5" i="27"/>
  <c r="BD26" i="2"/>
  <c r="BE26" i="2" s="1"/>
  <c r="BF26" i="2" s="1"/>
  <c r="BB27" i="2"/>
  <c r="AY27" i="2"/>
  <c r="AZ27" i="2" s="1"/>
  <c r="AW28" i="2"/>
  <c r="BC28" i="2" s="1"/>
  <c r="BN29" i="2"/>
  <c r="AN30" i="2"/>
  <c r="AQ29" i="2"/>
  <c r="AS29" i="2" s="1" a="1"/>
  <c r="AS29" i="2" s="1"/>
  <c r="AT29" i="2"/>
  <c r="AA6" i="27"/>
  <c r="Z6" i="19"/>
  <c r="Z7" i="19"/>
  <c r="AA14" i="27" a="1"/>
  <c r="AA13" i="27" a="1"/>
  <c r="AA7" i="27"/>
  <c r="AT30" i="2" l="1"/>
  <c r="AA9" i="27"/>
  <c r="Z15" i="27"/>
  <c r="Y22" i="27"/>
  <c r="Y27" i="27" s="1"/>
  <c r="Z21" i="27"/>
  <c r="Z20" i="27"/>
  <c r="Z23" i="27" s="1"/>
  <c r="AA8" i="27"/>
  <c r="AA29" i="27" s="1"/>
  <c r="AA14" i="27"/>
  <c r="AA13" i="27"/>
  <c r="AA16" i="27" s="1"/>
  <c r="Z8" i="19"/>
  <c r="AB5" i="27"/>
  <c r="BA27" i="2"/>
  <c r="BD27" i="2" s="1"/>
  <c r="BE27" i="2" s="1"/>
  <c r="BK27" i="2"/>
  <c r="BB28" i="2"/>
  <c r="AY28" i="2"/>
  <c r="BA28" i="2" s="1"/>
  <c r="BD28" i="2" s="1"/>
  <c r="BE28" i="2" s="1"/>
  <c r="BN30" i="2"/>
  <c r="AN31" i="2"/>
  <c r="AQ30" i="2"/>
  <c r="AS30" i="2" s="1" a="1"/>
  <c r="AS30" i="2" s="1"/>
  <c r="AW29" i="2"/>
  <c r="AA7" i="19"/>
  <c r="AB14" i="27" a="1"/>
  <c r="AA6" i="19"/>
  <c r="AB13" i="27" a="1"/>
  <c r="AB6" i="27"/>
  <c r="AB7" i="27"/>
  <c r="AT31" i="2" l="1"/>
  <c r="AW30" i="2"/>
  <c r="AY30" i="2" s="1"/>
  <c r="AB9" i="27"/>
  <c r="AA15" i="27"/>
  <c r="Z22" i="27"/>
  <c r="Z27" i="27" s="1"/>
  <c r="AA21" i="27"/>
  <c r="AA20" i="27"/>
  <c r="AA23" i="27" s="1"/>
  <c r="AB8" i="27"/>
  <c r="AB29" i="27" s="1"/>
  <c r="AB14" i="27"/>
  <c r="AB13" i="27"/>
  <c r="AB16" i="27" s="1"/>
  <c r="AA8" i="19"/>
  <c r="AC5" i="27"/>
  <c r="BF27" i="2"/>
  <c r="BB29" i="2"/>
  <c r="BK28" i="2"/>
  <c r="AZ28" i="2"/>
  <c r="BC29" i="2"/>
  <c r="AY29" i="2"/>
  <c r="BA29" i="2" s="1"/>
  <c r="BN31" i="2"/>
  <c r="AN32" i="2"/>
  <c r="AQ31" i="2"/>
  <c r="AS31" i="2" s="1" a="1"/>
  <c r="AS31" i="2" s="1"/>
  <c r="BF28" i="2"/>
  <c r="AC6" i="27"/>
  <c r="AB7" i="19"/>
  <c r="AC13" i="27" a="1"/>
  <c r="AC7" i="27"/>
  <c r="AC14" i="27" a="1"/>
  <c r="AB6" i="19"/>
  <c r="BB30" i="2" l="1"/>
  <c r="BC30" i="2"/>
  <c r="AC9" i="27"/>
  <c r="AB15" i="27"/>
  <c r="AA22" i="27"/>
  <c r="AA27" i="27" s="1"/>
  <c r="AB21" i="27"/>
  <c r="AB20" i="27"/>
  <c r="AB23" i="27" s="1"/>
  <c r="AC8" i="27"/>
  <c r="AC29" i="27" s="1"/>
  <c r="AC14" i="27"/>
  <c r="AC13" i="27"/>
  <c r="AC16" i="27" s="1"/>
  <c r="AB8" i="19"/>
  <c r="AD5" i="27"/>
  <c r="BD29" i="2"/>
  <c r="BE29" i="2" s="1"/>
  <c r="BF29" i="2" s="1"/>
  <c r="BK30" i="2"/>
  <c r="BK29" i="2"/>
  <c r="AZ29" i="2"/>
  <c r="BA30" i="2"/>
  <c r="BD30" i="2" s="1"/>
  <c r="BE30" i="2" s="1"/>
  <c r="AZ30" i="2"/>
  <c r="BN32" i="2"/>
  <c r="AN33" i="2"/>
  <c r="AQ32" i="2"/>
  <c r="AS32" i="2" s="1" a="1"/>
  <c r="AS32" i="2" s="1"/>
  <c r="AT32" i="2"/>
  <c r="AW31" i="2"/>
  <c r="AD7" i="27"/>
  <c r="AC6" i="19"/>
  <c r="AD6" i="27"/>
  <c r="AD14" i="27" a="1"/>
  <c r="AC7" i="19"/>
  <c r="AD13" i="27" a="1"/>
  <c r="AD9" i="27" l="1"/>
  <c r="AC15" i="27"/>
  <c r="AB22" i="27"/>
  <c r="AB27" i="27" s="1"/>
  <c r="AC21" i="27"/>
  <c r="AC20" i="27"/>
  <c r="AC23" i="27" s="1"/>
  <c r="AD8" i="27"/>
  <c r="AD29" i="27" s="1"/>
  <c r="AD14" i="27"/>
  <c r="AD13" i="27"/>
  <c r="AD16" i="27" s="1"/>
  <c r="AC8" i="19"/>
  <c r="AE5" i="27"/>
  <c r="BF30" i="2"/>
  <c r="AN34" i="2"/>
  <c r="BN33" i="2"/>
  <c r="AQ33" i="2"/>
  <c r="AS33" i="2" s="1" a="1"/>
  <c r="AS33" i="2" s="1"/>
  <c r="AT33" i="2"/>
  <c r="AY31" i="2"/>
  <c r="BC31" i="2"/>
  <c r="BB31" i="2"/>
  <c r="AW32" i="2"/>
  <c r="AE14" i="27" a="1"/>
  <c r="AE13" i="27" a="1"/>
  <c r="AD7" i="19"/>
  <c r="AE7" i="27"/>
  <c r="AE6" i="27"/>
  <c r="AD6" i="19"/>
  <c r="AT34" i="2" l="1"/>
  <c r="AE9" i="27"/>
  <c r="AD15" i="27"/>
  <c r="AC22" i="27"/>
  <c r="AC27" i="27" s="1"/>
  <c r="AD21" i="27"/>
  <c r="AD20" i="27"/>
  <c r="AD23" i="27" s="1"/>
  <c r="AE8" i="27"/>
  <c r="AE29" i="27" s="1"/>
  <c r="AE14" i="27"/>
  <c r="AE13" i="27"/>
  <c r="AE16" i="27" s="1"/>
  <c r="AD8" i="19"/>
  <c r="AF5" i="27"/>
  <c r="BB32" i="2"/>
  <c r="BK31" i="2"/>
  <c r="AZ31" i="2"/>
  <c r="AW33" i="2"/>
  <c r="AY33" i="2" s="1"/>
  <c r="BN34" i="2"/>
  <c r="AN35" i="2"/>
  <c r="AQ34" i="2"/>
  <c r="AS34" i="2" s="1" a="1"/>
  <c r="AS34" i="2" s="1"/>
  <c r="AY32" i="2"/>
  <c r="BC32" i="2"/>
  <c r="BA31" i="2"/>
  <c r="BD31" i="2" s="1"/>
  <c r="AF7" i="27"/>
  <c r="AE6" i="19"/>
  <c r="AF13" i="27" a="1"/>
  <c r="AE7" i="19"/>
  <c r="AF6" i="27"/>
  <c r="AF14" i="27" a="1"/>
  <c r="AT35" i="2" l="1"/>
  <c r="AF9" i="27"/>
  <c r="AE15" i="27"/>
  <c r="AD22" i="27"/>
  <c r="AD27" i="27" s="1"/>
  <c r="AE21" i="27"/>
  <c r="AE20" i="27"/>
  <c r="AE23" i="27" s="1"/>
  <c r="AF8" i="27"/>
  <c r="AF29" i="27" s="1"/>
  <c r="AF14" i="27"/>
  <c r="AF13" i="27"/>
  <c r="AF16" i="27" s="1"/>
  <c r="AE8" i="19"/>
  <c r="AG5" i="27"/>
  <c r="AW34" i="2"/>
  <c r="BC34" i="2" s="1"/>
  <c r="BC33" i="2"/>
  <c r="BK33" i="2" s="1"/>
  <c r="BA33" i="2"/>
  <c r="AZ33" i="2"/>
  <c r="BA32" i="2"/>
  <c r="BD32" i="2" s="1"/>
  <c r="BE32" i="2" s="1"/>
  <c r="AZ32" i="2"/>
  <c r="BB33" i="2"/>
  <c r="BK32" i="2"/>
  <c r="BN35" i="2"/>
  <c r="AN36" i="2"/>
  <c r="AT36" i="2" s="1"/>
  <c r="AQ35" i="2"/>
  <c r="AS35" i="2" s="1" a="1"/>
  <c r="AS35" i="2" s="1"/>
  <c r="BE31" i="2"/>
  <c r="BF31" i="2" s="1"/>
  <c r="AF6" i="19"/>
  <c r="AG6" i="27"/>
  <c r="AG7" i="27"/>
  <c r="AF7" i="19"/>
  <c r="AG13" i="27" a="1"/>
  <c r="AG14" i="27" a="1"/>
  <c r="AG9" i="27" l="1"/>
  <c r="AF15" i="27"/>
  <c r="AE22" i="27"/>
  <c r="AE27" i="27" s="1"/>
  <c r="AF21" i="27"/>
  <c r="AF20" i="27"/>
  <c r="AF23" i="27" s="1"/>
  <c r="AG8" i="27"/>
  <c r="AG29" i="27" s="1"/>
  <c r="AG14" i="27"/>
  <c r="AG13" i="27"/>
  <c r="AG16" i="27" s="1"/>
  <c r="AF8" i="19"/>
  <c r="AH5" i="27"/>
  <c r="AY34" i="2"/>
  <c r="BA34" i="2" s="1"/>
  <c r="BD34" i="2" s="1"/>
  <c r="BB34" i="2"/>
  <c r="AW35" i="2"/>
  <c r="BD33" i="2"/>
  <c r="BE33" i="2" s="1"/>
  <c r="BF33" i="2" s="1"/>
  <c r="BN36" i="2"/>
  <c r="AN37" i="2"/>
  <c r="AT37" i="2"/>
  <c r="AQ36" i="2"/>
  <c r="AS36" i="2" s="1" a="1"/>
  <c r="AS36" i="2" s="1"/>
  <c r="BF32" i="2"/>
  <c r="AH14" i="27" a="1"/>
  <c r="AG7" i="19"/>
  <c r="AH13" i="27" a="1"/>
  <c r="AH7" i="27"/>
  <c r="AH6" i="27"/>
  <c r="AG6" i="19"/>
  <c r="AH9" i="27" l="1"/>
  <c r="AG15" i="27"/>
  <c r="AF22" i="27"/>
  <c r="AF27" i="27" s="1"/>
  <c r="AG21" i="27"/>
  <c r="AG20" i="27"/>
  <c r="AG23" i="27" s="1"/>
  <c r="AH8" i="27"/>
  <c r="AH29" i="27" s="1"/>
  <c r="AH14" i="27"/>
  <c r="AH13" i="27"/>
  <c r="AH16" i="27" s="1"/>
  <c r="AG8" i="19"/>
  <c r="AI5" i="27"/>
  <c r="AW36" i="2"/>
  <c r="AY36" i="2" s="1"/>
  <c r="BB35" i="2"/>
  <c r="BK34" i="2"/>
  <c r="AZ34" i="2"/>
  <c r="BC35" i="2"/>
  <c r="AY35" i="2"/>
  <c r="BE34" i="2"/>
  <c r="BF34" i="2" s="1"/>
  <c r="BN37" i="2"/>
  <c r="AN38" i="2"/>
  <c r="AQ37" i="2"/>
  <c r="AS37" i="2" s="1" a="1"/>
  <c r="AS37" i="2" s="1"/>
  <c r="AI13" i="27" a="1"/>
  <c r="AH7" i="19"/>
  <c r="AI14" i="27" a="1"/>
  <c r="AH6" i="19"/>
  <c r="AI7" i="27"/>
  <c r="AI6" i="27"/>
  <c r="BB36" i="2" l="1"/>
  <c r="AW37" i="2"/>
  <c r="BC37" i="2" s="1"/>
  <c r="BC36" i="2"/>
  <c r="AI9" i="27"/>
  <c r="AH15" i="27"/>
  <c r="AG22" i="27"/>
  <c r="AG27" i="27" s="1"/>
  <c r="AH21" i="27"/>
  <c r="AH20" i="27"/>
  <c r="AH23" i="27" s="1"/>
  <c r="AI8" i="27"/>
  <c r="AI29" i="27" s="1"/>
  <c r="AI14" i="27"/>
  <c r="AI13" i="27"/>
  <c r="AI16" i="27" s="1"/>
  <c r="AH8" i="19"/>
  <c r="AJ5" i="27"/>
  <c r="BK35" i="2"/>
  <c r="AZ35" i="2"/>
  <c r="BA35" i="2"/>
  <c r="BD35" i="2" s="1"/>
  <c r="BE35" i="2" s="1"/>
  <c r="BA36" i="2"/>
  <c r="BD36" i="2" s="1"/>
  <c r="BE36" i="2" s="1"/>
  <c r="BF36" i="2" s="1"/>
  <c r="AZ36" i="2"/>
  <c r="BK36" i="2"/>
  <c r="BN38" i="2"/>
  <c r="AN39" i="2"/>
  <c r="AQ38" i="2"/>
  <c r="AS38" i="2" s="1" a="1"/>
  <c r="AS38" i="2" s="1"/>
  <c r="AT38" i="2"/>
  <c r="AI7" i="19"/>
  <c r="AJ14" i="27" a="1"/>
  <c r="AJ13" i="27" a="1"/>
  <c r="AJ7" i="27"/>
  <c r="AJ6" i="27"/>
  <c r="AI6" i="19"/>
  <c r="AY37" i="2" l="1"/>
  <c r="BK37" i="2" s="1"/>
  <c r="BB37" i="2"/>
  <c r="AJ9" i="27"/>
  <c r="AI15" i="27"/>
  <c r="AH22" i="27"/>
  <c r="AH27" i="27" s="1"/>
  <c r="AI21" i="27"/>
  <c r="AI20" i="27"/>
  <c r="AI23" i="27" s="1"/>
  <c r="AJ8" i="27"/>
  <c r="AJ29" i="27" s="1"/>
  <c r="AJ14" i="27"/>
  <c r="AJ13" i="27"/>
  <c r="AJ16" i="27" s="1"/>
  <c r="AI8" i="19"/>
  <c r="AK5" i="27"/>
  <c r="BF35" i="2"/>
  <c r="AZ37" i="2"/>
  <c r="AW38" i="2"/>
  <c r="AN40" i="2"/>
  <c r="BN39" i="2"/>
  <c r="AQ39" i="2"/>
  <c r="AS39" i="2" s="1" a="1"/>
  <c r="AS39" i="2" s="1"/>
  <c r="AT39" i="2"/>
  <c r="AK14" i="27" a="1"/>
  <c r="AJ6" i="19"/>
  <c r="AK7" i="27"/>
  <c r="AJ7" i="19"/>
  <c r="AK6" i="27"/>
  <c r="AK13" i="27" a="1"/>
  <c r="BB38" i="2" l="1"/>
  <c r="BA37" i="2"/>
  <c r="BD37" i="2" s="1"/>
  <c r="BE37" i="2" s="1"/>
  <c r="AK9" i="27"/>
  <c r="AJ15" i="27"/>
  <c r="AI22" i="27"/>
  <c r="AI27" i="27" s="1"/>
  <c r="AJ21" i="27"/>
  <c r="AJ20" i="27"/>
  <c r="AJ23" i="27" s="1"/>
  <c r="AK8" i="27"/>
  <c r="AK29" i="27" s="1"/>
  <c r="AK14" i="27"/>
  <c r="AK13" i="27"/>
  <c r="AK16" i="27" s="1"/>
  <c r="AJ8" i="19"/>
  <c r="AL5" i="27"/>
  <c r="AW39" i="2"/>
  <c r="BN40" i="2"/>
  <c r="AN41" i="2"/>
  <c r="AQ40" i="2"/>
  <c r="AS40" i="2" s="1" a="1"/>
  <c r="AS40" i="2" s="1"/>
  <c r="AT40" i="2"/>
  <c r="AY38" i="2"/>
  <c r="BC38" i="2"/>
  <c r="AK7" i="19"/>
  <c r="AL14" i="27" a="1"/>
  <c r="AL13" i="27" a="1"/>
  <c r="AK6" i="19"/>
  <c r="AL7" i="27"/>
  <c r="AL6" i="27"/>
  <c r="BF37" i="2" l="1"/>
  <c r="BK38" i="2"/>
  <c r="AL9" i="27"/>
  <c r="AK15" i="27"/>
  <c r="AJ22" i="27"/>
  <c r="AJ27" i="27" s="1"/>
  <c r="AK21" i="27"/>
  <c r="AK20" i="27"/>
  <c r="AK23" i="27" s="1"/>
  <c r="AL8" i="27"/>
  <c r="AL29" i="27" s="1"/>
  <c r="AL14" i="27"/>
  <c r="AL13" i="27"/>
  <c r="AL16" i="27" s="1"/>
  <c r="AK8" i="19"/>
  <c r="AM5" i="27"/>
  <c r="BA38" i="2"/>
  <c r="BD38" i="2" s="1"/>
  <c r="BE38" i="2" s="1"/>
  <c r="AZ38" i="2"/>
  <c r="AW40" i="2"/>
  <c r="BN41" i="2"/>
  <c r="AN42" i="2"/>
  <c r="AT42" i="2" s="1"/>
  <c r="AQ41" i="2"/>
  <c r="AS41" i="2" s="1" a="1"/>
  <c r="AS41" i="2" s="1"/>
  <c r="AT41" i="2"/>
  <c r="BC39" i="2"/>
  <c r="AY39" i="2"/>
  <c r="BB39" i="2"/>
  <c r="AL6" i="19"/>
  <c r="AM14" i="27" a="1"/>
  <c r="AL7" i="19"/>
  <c r="AM13" i="27" a="1"/>
  <c r="AM6" i="27"/>
  <c r="AM7" i="27"/>
  <c r="AM9" i="27" l="1"/>
  <c r="AL15" i="27"/>
  <c r="AK22" i="27"/>
  <c r="AK27" i="27" s="1"/>
  <c r="AL21" i="27"/>
  <c r="AL20" i="27"/>
  <c r="AL23" i="27" s="1"/>
  <c r="AM8" i="27"/>
  <c r="AM29" i="27" s="1"/>
  <c r="AM14" i="27"/>
  <c r="AM13" i="27"/>
  <c r="AM16" i="27" s="1"/>
  <c r="AL8" i="19"/>
  <c r="AN5" i="27"/>
  <c r="BK39" i="2"/>
  <c r="BF38" i="2"/>
  <c r="BA39" i="2"/>
  <c r="BD39" i="2" s="1"/>
  <c r="BE39" i="2" s="1"/>
  <c r="BF39" i="2" s="1"/>
  <c r="AZ39" i="2"/>
  <c r="AW41" i="2"/>
  <c r="BC41" i="2" s="1"/>
  <c r="BB40" i="2"/>
  <c r="BN42" i="2"/>
  <c r="AN43" i="2"/>
  <c r="AQ42" i="2"/>
  <c r="AS42" i="2" s="1" a="1"/>
  <c r="AS42" i="2" s="1"/>
  <c r="AY40" i="2"/>
  <c r="BC40" i="2"/>
  <c r="AN13" i="27" a="1"/>
  <c r="AN7" i="27"/>
  <c r="AM6" i="19"/>
  <c r="AM7" i="19"/>
  <c r="AN14" i="27" a="1"/>
  <c r="AN6" i="27"/>
  <c r="AN9" i="27" l="1"/>
  <c r="AM15" i="27"/>
  <c r="AL22" i="27"/>
  <c r="AL27" i="27" s="1"/>
  <c r="AM21" i="27"/>
  <c r="AM20" i="27"/>
  <c r="AM23" i="27" s="1"/>
  <c r="AN8" i="27"/>
  <c r="AN29" i="27" s="1"/>
  <c r="AN14" i="27"/>
  <c r="AN13" i="27"/>
  <c r="AN16" i="27" s="1"/>
  <c r="AM8" i="19"/>
  <c r="AO5" i="27"/>
  <c r="AY41" i="2"/>
  <c r="BA41" i="2" s="1"/>
  <c r="BD41" i="2" s="1"/>
  <c r="BE41" i="2" s="1"/>
  <c r="BF41" i="2" s="1"/>
  <c r="BB41" i="2"/>
  <c r="BK40" i="2"/>
  <c r="BA40" i="2"/>
  <c r="BD40" i="2" s="1"/>
  <c r="BE40" i="2" s="1"/>
  <c r="AZ40" i="2"/>
  <c r="BN43" i="2"/>
  <c r="AN44" i="2"/>
  <c r="AQ43" i="2"/>
  <c r="AS43" i="2" s="1" a="1"/>
  <c r="AS43" i="2" s="1"/>
  <c r="AW42" i="2"/>
  <c r="AT43" i="2"/>
  <c r="AO13" i="27" a="1"/>
  <c r="AO7" i="27"/>
  <c r="AN6" i="19"/>
  <c r="AO14" i="27" a="1"/>
  <c r="AO6" i="27"/>
  <c r="AN7" i="19"/>
  <c r="AT44" i="2" l="1"/>
  <c r="AO9" i="27"/>
  <c r="AN15" i="27"/>
  <c r="AM22" i="27"/>
  <c r="AM27" i="27" s="1"/>
  <c r="AN21" i="27"/>
  <c r="AN20" i="27"/>
  <c r="AN23" i="27" s="1"/>
  <c r="AO8" i="27"/>
  <c r="AO29" i="27" s="1"/>
  <c r="AO14" i="27"/>
  <c r="AO13" i="27"/>
  <c r="AO16" i="27" s="1"/>
  <c r="AN8" i="19"/>
  <c r="AP5" i="27"/>
  <c r="AZ41" i="2"/>
  <c r="BK41" i="2"/>
  <c r="BB42" i="2"/>
  <c r="AW43" i="2"/>
  <c r="BF40" i="2"/>
  <c r="AY42" i="2"/>
  <c r="AZ42" i="2" s="1"/>
  <c r="BC42" i="2"/>
  <c r="BN44" i="2"/>
  <c r="AN45" i="2"/>
  <c r="AT45" i="2"/>
  <c r="AQ44" i="2"/>
  <c r="AS44" i="2" s="1" a="1"/>
  <c r="AS44" i="2" s="1"/>
  <c r="AO7" i="19"/>
  <c r="AO6" i="19"/>
  <c r="AP6" i="27"/>
  <c r="AP7" i="27"/>
  <c r="AP13" i="27" a="1"/>
  <c r="AP14" i="27" a="1"/>
  <c r="AP9" i="27" l="1"/>
  <c r="AO15" i="27"/>
  <c r="AN22" i="27"/>
  <c r="AN27" i="27" s="1"/>
  <c r="AO21" i="27"/>
  <c r="AO20" i="27"/>
  <c r="AO23" i="27" s="1"/>
  <c r="AP8" i="27"/>
  <c r="AP29" i="27" s="1"/>
  <c r="AP14" i="27"/>
  <c r="AP13" i="27"/>
  <c r="AP16" i="27" s="1"/>
  <c r="AO8" i="19"/>
  <c r="AQ5" i="27"/>
  <c r="BB43" i="2"/>
  <c r="AW44" i="2"/>
  <c r="BC44" i="2" s="1"/>
  <c r="BK42" i="2"/>
  <c r="BA42" i="2"/>
  <c r="BD42" i="2" s="1"/>
  <c r="BE42" i="2" s="1"/>
  <c r="BF42" i="2" s="1"/>
  <c r="AY43" i="2"/>
  <c r="BA43" i="2" s="1"/>
  <c r="BC43" i="2"/>
  <c r="AN46" i="2"/>
  <c r="BN45" i="2"/>
  <c r="AQ45" i="2"/>
  <c r="AS45" i="2" s="1" a="1"/>
  <c r="AS45" i="2" s="1"/>
  <c r="AQ7" i="27"/>
  <c r="AQ13" i="27" a="1"/>
  <c r="AQ6" i="27"/>
  <c r="AP6" i="19"/>
  <c r="AQ14" i="27" a="1"/>
  <c r="AP7" i="19"/>
  <c r="AQ9" i="27" l="1"/>
  <c r="AP15" i="27"/>
  <c r="AO22" i="27"/>
  <c r="AO27" i="27" s="1"/>
  <c r="AP21" i="27"/>
  <c r="AP20" i="27"/>
  <c r="AP23" i="27" s="1"/>
  <c r="AQ8" i="27"/>
  <c r="AQ29" i="27" s="1"/>
  <c r="AQ14" i="27"/>
  <c r="AQ13" i="27"/>
  <c r="AQ16" i="27" s="1"/>
  <c r="AP8" i="19"/>
  <c r="AR5" i="27"/>
  <c r="AW45" i="2"/>
  <c r="BC45" i="2" s="1"/>
  <c r="BB44" i="2"/>
  <c r="AY44" i="2"/>
  <c r="AZ44" i="2" s="1"/>
  <c r="AZ43" i="2"/>
  <c r="BK43" i="2"/>
  <c r="BD43" i="2"/>
  <c r="BE43" i="2" s="1"/>
  <c r="BF43" i="2" s="1"/>
  <c r="BN46" i="2"/>
  <c r="AN47" i="2"/>
  <c r="AQ46" i="2"/>
  <c r="AS46" i="2" s="1" a="1"/>
  <c r="AS46" i="2" s="1"/>
  <c r="AT46" i="2"/>
  <c r="AR14" i="27" a="1"/>
  <c r="AR13" i="27" a="1"/>
  <c r="AQ7" i="19"/>
  <c r="AQ6" i="19"/>
  <c r="AR6" i="27"/>
  <c r="AR7" i="27"/>
  <c r="AR9" i="27" l="1"/>
  <c r="AQ15" i="27"/>
  <c r="AP22" i="27"/>
  <c r="AP27" i="27" s="1"/>
  <c r="AQ21" i="27"/>
  <c r="AQ20" i="27"/>
  <c r="AQ23" i="27" s="1"/>
  <c r="AR8" i="27"/>
  <c r="AR29" i="27" s="1"/>
  <c r="AR14" i="27"/>
  <c r="AR13" i="27"/>
  <c r="AR16" i="27" s="1"/>
  <c r="AQ8" i="19"/>
  <c r="AS5" i="27"/>
  <c r="AY45" i="2"/>
  <c r="AZ45" i="2" s="1"/>
  <c r="BB45" i="2"/>
  <c r="BK44" i="2"/>
  <c r="BA44" i="2"/>
  <c r="BD44" i="2" s="1"/>
  <c r="BE44" i="2" s="1"/>
  <c r="BF44" i="2" s="1"/>
  <c r="AW46" i="2"/>
  <c r="BC46" i="2" s="1"/>
  <c r="BN47" i="2"/>
  <c r="AN48" i="2"/>
  <c r="AT48" i="2" s="1"/>
  <c r="AQ47" i="2"/>
  <c r="AS47" i="2" s="1" a="1"/>
  <c r="AS47" i="2" s="1"/>
  <c r="AT47" i="2"/>
  <c r="AR7" i="19"/>
  <c r="AS7" i="27"/>
  <c r="AR6" i="19"/>
  <c r="AS13" i="27" a="1"/>
  <c r="AS14" i="27" a="1"/>
  <c r="AS6" i="27"/>
  <c r="AS9" i="27" l="1"/>
  <c r="AR15" i="27"/>
  <c r="AQ22" i="27"/>
  <c r="AQ27" i="27" s="1"/>
  <c r="AR21" i="27"/>
  <c r="AR20" i="27"/>
  <c r="AR23" i="27" s="1"/>
  <c r="AS8" i="27"/>
  <c r="AS29" i="27" s="1"/>
  <c r="AS14" i="27"/>
  <c r="AS13" i="27"/>
  <c r="AS16" i="27" s="1"/>
  <c r="AR8" i="19"/>
  <c r="AT5" i="27"/>
  <c r="BK45" i="2"/>
  <c r="BA45" i="2"/>
  <c r="BD45" i="2" s="1"/>
  <c r="BE45" i="2" s="1"/>
  <c r="BF45" i="2" s="1"/>
  <c r="BB46" i="2"/>
  <c r="AY46" i="2"/>
  <c r="BK46" i="2" s="1"/>
  <c r="AW47" i="2"/>
  <c r="BN48" i="2"/>
  <c r="AN49" i="2"/>
  <c r="AT49" i="2"/>
  <c r="AQ48" i="2"/>
  <c r="AS48" i="2" s="1" a="1"/>
  <c r="AS48" i="2" s="1"/>
  <c r="AT7" i="27"/>
  <c r="AT6" i="27"/>
  <c r="AS6" i="19"/>
  <c r="AT14" i="27" a="1"/>
  <c r="AT13" i="27" a="1"/>
  <c r="AS7" i="19"/>
  <c r="AT9" i="27" l="1"/>
  <c r="AS15" i="27"/>
  <c r="AR22" i="27"/>
  <c r="AR27" i="27" s="1"/>
  <c r="AS21" i="27"/>
  <c r="AS20" i="27"/>
  <c r="AS23" i="27" s="1"/>
  <c r="AT8" i="27"/>
  <c r="AT29" i="27" s="1"/>
  <c r="AT14" i="27"/>
  <c r="AT13" i="27"/>
  <c r="AT16" i="27" s="1"/>
  <c r="AS8" i="19"/>
  <c r="AU5" i="27"/>
  <c r="AW48" i="2"/>
  <c r="BC48" i="2" s="1"/>
  <c r="BB47" i="2"/>
  <c r="BA46" i="2"/>
  <c r="BD46" i="2" s="1"/>
  <c r="BE46" i="2" s="1"/>
  <c r="AZ46" i="2"/>
  <c r="BN49" i="2"/>
  <c r="AN50" i="2"/>
  <c r="AQ49" i="2"/>
  <c r="AS49" i="2" s="1" a="1"/>
  <c r="AS49" i="2" s="1"/>
  <c r="BC47" i="2"/>
  <c r="AY47" i="2"/>
  <c r="AU6" i="27"/>
  <c r="AT7" i="19"/>
  <c r="AU13" i="27" a="1"/>
  <c r="AT6" i="19"/>
  <c r="AU7" i="27"/>
  <c r="AU14" i="27" a="1"/>
  <c r="AU9" i="27" l="1"/>
  <c r="AT15" i="27"/>
  <c r="AS22" i="27"/>
  <c r="AS27" i="27" s="1"/>
  <c r="AT21" i="27"/>
  <c r="AT20" i="27"/>
  <c r="AT23" i="27" s="1"/>
  <c r="AU8" i="27"/>
  <c r="AU29" i="27" s="1"/>
  <c r="AU14" i="27"/>
  <c r="AU13" i="27"/>
  <c r="AU16" i="27" s="1"/>
  <c r="AT8" i="19"/>
  <c r="AV5" i="27"/>
  <c r="BK47" i="2"/>
  <c r="AW49" i="2"/>
  <c r="BC49" i="2" s="1"/>
  <c r="AY48" i="2"/>
  <c r="BK48" i="2" s="1"/>
  <c r="BB48" i="2"/>
  <c r="BA47" i="2"/>
  <c r="BD47" i="2" s="1"/>
  <c r="BE47" i="2" s="1"/>
  <c r="AZ47" i="2"/>
  <c r="BF46" i="2"/>
  <c r="BN50" i="2"/>
  <c r="AN51" i="2"/>
  <c r="AQ50" i="2"/>
  <c r="AS50" i="2" s="1" a="1"/>
  <c r="AS50" i="2" s="1"/>
  <c r="AT50" i="2"/>
  <c r="AU7" i="19"/>
  <c r="AV6" i="27"/>
  <c r="AU6" i="19"/>
  <c r="AV14" i="27" a="1"/>
  <c r="AV13" i="27" a="1"/>
  <c r="AV7" i="27"/>
  <c r="AV9" i="27" l="1"/>
  <c r="AU15" i="27"/>
  <c r="AT22" i="27"/>
  <c r="AT27" i="27" s="1"/>
  <c r="AU21" i="27"/>
  <c r="AU20" i="27"/>
  <c r="AU23" i="27" s="1"/>
  <c r="AV8" i="27"/>
  <c r="AV29" i="27" s="1"/>
  <c r="AV14" i="27"/>
  <c r="AV13" i="27"/>
  <c r="AV16" i="27" s="1"/>
  <c r="AU8" i="19"/>
  <c r="AW5" i="27"/>
  <c r="AY49" i="2"/>
  <c r="BA49" i="2" s="1"/>
  <c r="BD49" i="2" s="1"/>
  <c r="BE49" i="2" s="1"/>
  <c r="BB49" i="2"/>
  <c r="BA48" i="2"/>
  <c r="BD48" i="2" s="1"/>
  <c r="BE48" i="2" s="1"/>
  <c r="AZ48" i="2"/>
  <c r="BF47" i="2"/>
  <c r="AW50" i="2"/>
  <c r="BN51" i="2"/>
  <c r="AN52" i="2"/>
  <c r="AQ51" i="2"/>
  <c r="AS51" i="2" s="1" a="1"/>
  <c r="AS51" i="2" s="1"/>
  <c r="AT51" i="2"/>
  <c r="AV6" i="19"/>
  <c r="AW7" i="27"/>
  <c r="AW14" i="27" a="1"/>
  <c r="AW6" i="27"/>
  <c r="AW13" i="27" a="1"/>
  <c r="AV7" i="19"/>
  <c r="AW9" i="27" l="1"/>
  <c r="AV15" i="27"/>
  <c r="AU22" i="27"/>
  <c r="AU27" i="27" s="1"/>
  <c r="AV21" i="27"/>
  <c r="AV20" i="27"/>
  <c r="AV23" i="27" s="1"/>
  <c r="AW8" i="27"/>
  <c r="AW29" i="27" s="1"/>
  <c r="AW14" i="27"/>
  <c r="AW13" i="27"/>
  <c r="AW16" i="27" s="1"/>
  <c r="AV8" i="19"/>
  <c r="AX5" i="27"/>
  <c r="BK49" i="2"/>
  <c r="AZ49" i="2"/>
  <c r="BF48" i="2"/>
  <c r="BF49" i="2"/>
  <c r="AW51" i="2"/>
  <c r="BC51" i="2" s="1"/>
  <c r="BN52" i="2"/>
  <c r="AN53" i="2"/>
  <c r="AQ52" i="2"/>
  <c r="AS52" i="2" s="1" a="1"/>
  <c r="AS52" i="2" s="1"/>
  <c r="AT52" i="2"/>
  <c r="BC50" i="2"/>
  <c r="AY50" i="2"/>
  <c r="AZ50" i="2" s="1"/>
  <c r="BB50" i="2"/>
  <c r="AW6" i="19"/>
  <c r="AX6" i="27"/>
  <c r="AX13" i="27" a="1"/>
  <c r="AW7" i="19"/>
  <c r="AX7" i="27"/>
  <c r="AX14" i="27" a="1"/>
  <c r="AX9" i="27" l="1"/>
  <c r="AW15" i="27"/>
  <c r="AV22" i="27"/>
  <c r="AV27" i="27" s="1"/>
  <c r="AW21" i="27"/>
  <c r="AW20" i="27"/>
  <c r="AW23" i="27" s="1"/>
  <c r="AX8" i="27"/>
  <c r="AX29" i="27" s="1"/>
  <c r="AX14" i="27"/>
  <c r="AX13" i="27"/>
  <c r="AX16" i="27" s="1"/>
  <c r="AW8" i="19"/>
  <c r="AY5" i="27"/>
  <c r="BA50" i="2"/>
  <c r="BD50" i="2" s="1"/>
  <c r="BE50" i="2" s="1"/>
  <c r="AY51" i="2"/>
  <c r="BK50" i="2"/>
  <c r="BB51" i="2"/>
  <c r="AW52" i="2"/>
  <c r="BN53" i="2"/>
  <c r="AN54" i="2"/>
  <c r="AQ53" i="2"/>
  <c r="AS53" i="2" s="1" a="1"/>
  <c r="AS53" i="2" s="1"/>
  <c r="AT53" i="2"/>
  <c r="AX6" i="19"/>
  <c r="AY6" i="27"/>
  <c r="AY14" i="27" a="1"/>
  <c r="AY7" i="27"/>
  <c r="AY13" i="27" a="1"/>
  <c r="AX7" i="19"/>
  <c r="AY9" i="27" l="1"/>
  <c r="AX15" i="27"/>
  <c r="AW22" i="27"/>
  <c r="AW27" i="27" s="1"/>
  <c r="AX21" i="27"/>
  <c r="AX20" i="27"/>
  <c r="AX23" i="27" s="1"/>
  <c r="AY8" i="27"/>
  <c r="AY29" i="27" s="1"/>
  <c r="AY14" i="27"/>
  <c r="AY13" i="27"/>
  <c r="AY16" i="27" s="1"/>
  <c r="AX8" i="19"/>
  <c r="AZ5" i="27"/>
  <c r="BA51" i="2"/>
  <c r="BD51" i="2" s="1"/>
  <c r="BE51" i="2" s="1"/>
  <c r="AZ51" i="2"/>
  <c r="BK51" i="2"/>
  <c r="BF50" i="2"/>
  <c r="AW53" i="2"/>
  <c r="BN54" i="2"/>
  <c r="AN55" i="2"/>
  <c r="AQ54" i="2"/>
  <c r="AS54" i="2" s="1" a="1"/>
  <c r="AS54" i="2" s="1"/>
  <c r="AT54" i="2"/>
  <c r="AY52" i="2"/>
  <c r="BC52" i="2"/>
  <c r="BB52" i="2"/>
  <c r="AZ7" i="27"/>
  <c r="AZ6" i="27"/>
  <c r="AZ13" i="27" a="1"/>
  <c r="AY6" i="19"/>
  <c r="AZ14" i="27" a="1"/>
  <c r="AY7" i="19"/>
  <c r="AZ9" i="27" l="1"/>
  <c r="AY15" i="27"/>
  <c r="AX22" i="27"/>
  <c r="AX27" i="27" s="1"/>
  <c r="AY21" i="27"/>
  <c r="AY20" i="27"/>
  <c r="AY23" i="27" s="1"/>
  <c r="AZ8" i="27"/>
  <c r="AZ29" i="27" s="1"/>
  <c r="AZ14" i="27"/>
  <c r="AZ13" i="27"/>
  <c r="AZ16" i="27" s="1"/>
  <c r="AY8" i="19"/>
  <c r="BA5" i="27"/>
  <c r="BA52" i="2"/>
  <c r="BD52" i="2" s="1"/>
  <c r="BE52" i="2" s="1"/>
  <c r="AZ52" i="2"/>
  <c r="AW54" i="2"/>
  <c r="AY54" i="2" s="1"/>
  <c r="BF51" i="2"/>
  <c r="BN55" i="2"/>
  <c r="AN56" i="2"/>
  <c r="AQ55" i="2"/>
  <c r="AS55" i="2" s="1" a="1"/>
  <c r="AS55" i="2" s="1"/>
  <c r="AT55" i="2"/>
  <c r="BC53" i="2"/>
  <c r="AY53" i="2"/>
  <c r="AZ53" i="2" s="1"/>
  <c r="BB53" i="2"/>
  <c r="BK52" i="2"/>
  <c r="BA13" i="27" a="1"/>
  <c r="AZ7" i="19"/>
  <c r="BA14" i="27" a="1"/>
  <c r="BA6" i="27"/>
  <c r="BA7" i="27"/>
  <c r="AZ6" i="19"/>
  <c r="BA9" i="27" l="1"/>
  <c r="AZ15" i="27"/>
  <c r="AY22" i="27"/>
  <c r="AY27" i="27" s="1"/>
  <c r="AZ21" i="27"/>
  <c r="AZ20" i="27"/>
  <c r="AZ23" i="27" s="1"/>
  <c r="BA8" i="27"/>
  <c r="BA29" i="27" s="1"/>
  <c r="BA14" i="27"/>
  <c r="BA13" i="27"/>
  <c r="BA16" i="27" s="1"/>
  <c r="AZ8" i="19"/>
  <c r="BB5" i="27"/>
  <c r="BF52" i="2"/>
  <c r="BC54" i="2"/>
  <c r="BK54" i="2" s="1"/>
  <c r="BB54" i="2"/>
  <c r="BK53" i="2"/>
  <c r="BA53" i="2"/>
  <c r="BD53" i="2" s="1"/>
  <c r="BE53" i="2" s="1"/>
  <c r="BF53" i="2" s="1"/>
  <c r="BA54" i="2"/>
  <c r="AZ54" i="2"/>
  <c r="BN56" i="2"/>
  <c r="AN57" i="2"/>
  <c r="AQ56" i="2"/>
  <c r="AS56" i="2" s="1" a="1"/>
  <c r="AS56" i="2" s="1"/>
  <c r="AW55" i="2"/>
  <c r="AT56" i="2"/>
  <c r="BB13" i="27" a="1"/>
  <c r="BB14" i="27" a="1"/>
  <c r="BA7" i="19"/>
  <c r="BB7" i="27"/>
  <c r="BB6" i="27"/>
  <c r="BA6" i="19"/>
  <c r="AT57" i="2" l="1"/>
  <c r="BB9" i="27"/>
  <c r="BA15" i="27"/>
  <c r="AZ22" i="27"/>
  <c r="AZ27" i="27" s="1"/>
  <c r="BA21" i="27"/>
  <c r="BA20" i="27"/>
  <c r="BA23" i="27" s="1"/>
  <c r="BB8" i="27"/>
  <c r="BB29" i="27" s="1"/>
  <c r="BB14" i="27"/>
  <c r="BB13" i="27"/>
  <c r="BB16" i="27" s="1"/>
  <c r="BA8" i="19"/>
  <c r="BC5" i="27"/>
  <c r="BD54" i="2"/>
  <c r="BE54" i="2" s="1"/>
  <c r="BB55" i="2"/>
  <c r="AY55" i="2"/>
  <c r="BC55" i="2"/>
  <c r="AW56" i="2"/>
  <c r="AN58" i="2"/>
  <c r="AT58" i="2" s="1"/>
  <c r="BN57" i="2"/>
  <c r="AQ57" i="2"/>
  <c r="AS57" i="2" s="1" a="1"/>
  <c r="AS57" i="2" s="1"/>
  <c r="BC6" i="27"/>
  <c r="BC13" i="27" a="1"/>
  <c r="BB6" i="19"/>
  <c r="BC14" i="27" a="1"/>
  <c r="BB7" i="19"/>
  <c r="BC7" i="27"/>
  <c r="BC9" i="27" l="1"/>
  <c r="BB15" i="27"/>
  <c r="BA22" i="27"/>
  <c r="BA27" i="27" s="1"/>
  <c r="BB21" i="27"/>
  <c r="BB20" i="27"/>
  <c r="BB23" i="27" s="1"/>
  <c r="BC8" i="27"/>
  <c r="BC29" i="27" s="1"/>
  <c r="BC14" i="27"/>
  <c r="BC13" i="27"/>
  <c r="BC16" i="27" s="1"/>
  <c r="BB8" i="19"/>
  <c r="BD5" i="27"/>
  <c r="BF54" i="2"/>
  <c r="BB56" i="2"/>
  <c r="AW57" i="2"/>
  <c r="AY57" i="2" s="1"/>
  <c r="BK55" i="2"/>
  <c r="BA55" i="2"/>
  <c r="BD55" i="2" s="1"/>
  <c r="AZ55" i="2"/>
  <c r="BN58" i="2"/>
  <c r="AN59" i="2"/>
  <c r="AQ58" i="2"/>
  <c r="AS58" i="2" s="1" a="1"/>
  <c r="AS58" i="2" s="1"/>
  <c r="BC56" i="2"/>
  <c r="AY56" i="2"/>
  <c r="BD14" i="27" a="1"/>
  <c r="BD6" i="27"/>
  <c r="BC7" i="19"/>
  <c r="BC6" i="19"/>
  <c r="BD7" i="27"/>
  <c r="BD13" i="27" a="1"/>
  <c r="BD9" i="27" l="1"/>
  <c r="BC15" i="27"/>
  <c r="BB22" i="27"/>
  <c r="BB27" i="27" s="1"/>
  <c r="BC21" i="27"/>
  <c r="BC20" i="27"/>
  <c r="BC23" i="27" s="1"/>
  <c r="BD8" i="27"/>
  <c r="BD29" i="27" s="1"/>
  <c r="BD14" i="27"/>
  <c r="BD13" i="27"/>
  <c r="BD16" i="27" s="1"/>
  <c r="BC8" i="19"/>
  <c r="BE5" i="27"/>
  <c r="BC57" i="2"/>
  <c r="BK57" i="2" s="1"/>
  <c r="BB57" i="2"/>
  <c r="AW58" i="2"/>
  <c r="BK56" i="2"/>
  <c r="BA56" i="2"/>
  <c r="BD56" i="2" s="1"/>
  <c r="BE56" i="2" s="1"/>
  <c r="BF56" i="2" s="1"/>
  <c r="AZ56" i="2"/>
  <c r="BA57" i="2"/>
  <c r="AZ57" i="2"/>
  <c r="BN59" i="2"/>
  <c r="AN60" i="2"/>
  <c r="AT60" i="2" s="1"/>
  <c r="AQ59" i="2"/>
  <c r="AS59" i="2" s="1" a="1"/>
  <c r="AS59" i="2" s="1"/>
  <c r="AT59" i="2"/>
  <c r="BE55" i="2"/>
  <c r="BF55" i="2" s="1"/>
  <c r="BE14" i="27" a="1"/>
  <c r="BD6" i="19"/>
  <c r="BE7" i="27"/>
  <c r="BE13" i="27" a="1"/>
  <c r="BE6" i="27"/>
  <c r="BD7" i="19"/>
  <c r="BE9" i="27" l="1"/>
  <c r="BD15" i="27"/>
  <c r="BC22" i="27"/>
  <c r="BC27" i="27" s="1"/>
  <c r="BD21" i="27"/>
  <c r="BD20" i="27"/>
  <c r="BD23" i="27" s="1"/>
  <c r="BE8" i="27"/>
  <c r="BE29" i="27" s="1"/>
  <c r="BE14" i="27"/>
  <c r="BE13" i="27"/>
  <c r="BE16" i="27" s="1"/>
  <c r="BD8" i="19"/>
  <c r="BF5" i="27"/>
  <c r="BD57" i="2"/>
  <c r="BE57" i="2" s="1"/>
  <c r="BB58" i="2"/>
  <c r="BC58" i="2"/>
  <c r="AY58" i="2"/>
  <c r="AW59" i="2"/>
  <c r="BN60" i="2"/>
  <c r="AN61" i="2"/>
  <c r="AQ60" i="2"/>
  <c r="AS60" i="2" s="1" a="1"/>
  <c r="AS60" i="2" s="1"/>
  <c r="BF13" i="27" a="1"/>
  <c r="BF7" i="27"/>
  <c r="BF14" i="27" a="1"/>
  <c r="BE7" i="19"/>
  <c r="BF6" i="27"/>
  <c r="BE6" i="19"/>
  <c r="AT61" i="2" l="1"/>
  <c r="BF9" i="27"/>
  <c r="BE15" i="27"/>
  <c r="BD22" i="27"/>
  <c r="BD27" i="27" s="1"/>
  <c r="BE21" i="27"/>
  <c r="BE20" i="27"/>
  <c r="BE23" i="27" s="1"/>
  <c r="BF8" i="27"/>
  <c r="BF29" i="27" s="1"/>
  <c r="BF14" i="27"/>
  <c r="BF13" i="27"/>
  <c r="BF16" i="27" s="1"/>
  <c r="BE8" i="19"/>
  <c r="BG5" i="27"/>
  <c r="BK58" i="2"/>
  <c r="BF57" i="2"/>
  <c r="AZ58" i="2"/>
  <c r="BB59" i="2"/>
  <c r="BA58" i="2"/>
  <c r="BD58" i="2" s="1"/>
  <c r="BE58" i="2" s="1"/>
  <c r="AY59" i="2"/>
  <c r="BA59" i="2" s="1"/>
  <c r="BC59" i="2"/>
  <c r="BN61" i="2"/>
  <c r="AN62" i="2"/>
  <c r="AQ61" i="2"/>
  <c r="AS61" i="2" s="1" a="1"/>
  <c r="AS61" i="2" s="1"/>
  <c r="AW60" i="2"/>
  <c r="BG7" i="27"/>
  <c r="BF7" i="19"/>
  <c r="BF6" i="19"/>
  <c r="BG13" i="27" a="1"/>
  <c r="BG6" i="27"/>
  <c r="BG14" i="27" a="1"/>
  <c r="BG9" i="27" l="1"/>
  <c r="BF15" i="27"/>
  <c r="BE22" i="27"/>
  <c r="BE27" i="27" s="1"/>
  <c r="BF21" i="27"/>
  <c r="BF20" i="27"/>
  <c r="BF23" i="27" s="1"/>
  <c r="BG8" i="27"/>
  <c r="BG29" i="27" s="1"/>
  <c r="BG14" i="27"/>
  <c r="BG13" i="27"/>
  <c r="BG16" i="27" s="1"/>
  <c r="BF8" i="19"/>
  <c r="BH5" i="27"/>
  <c r="BF58" i="2"/>
  <c r="BD59" i="2"/>
  <c r="BE59" i="2" s="1"/>
  <c r="BF59" i="2" s="1"/>
  <c r="AZ59" i="2"/>
  <c r="BK59" i="2"/>
  <c r="AW61" i="2"/>
  <c r="AY61" i="2" s="1"/>
  <c r="AY60" i="2"/>
  <c r="BC60" i="2"/>
  <c r="BN62" i="2"/>
  <c r="AN63" i="2"/>
  <c r="AQ62" i="2"/>
  <c r="AS62" i="2" s="1" a="1"/>
  <c r="AS62" i="2" s="1"/>
  <c r="AT62" i="2"/>
  <c r="BB60" i="2"/>
  <c r="BH7" i="27"/>
  <c r="BH6" i="27"/>
  <c r="BG7" i="19"/>
  <c r="BH13" i="27" a="1"/>
  <c r="BG6" i="19"/>
  <c r="BH14" i="27" a="1"/>
  <c r="BH9" i="27" l="1"/>
  <c r="BG15" i="27"/>
  <c r="BF22" i="27"/>
  <c r="BF27" i="27" s="1"/>
  <c r="BG21" i="27"/>
  <c r="BG20" i="27"/>
  <c r="BG23" i="27" s="1"/>
  <c r="BH8" i="27"/>
  <c r="BH29" i="27" s="1"/>
  <c r="BH14" i="27"/>
  <c r="BH13" i="27"/>
  <c r="BH16" i="27" s="1"/>
  <c r="BG8" i="19"/>
  <c r="BI5" i="27"/>
  <c r="BC61" i="2"/>
  <c r="BK61" i="2" s="1"/>
  <c r="BB61" i="2"/>
  <c r="BK60" i="2"/>
  <c r="BA61" i="2"/>
  <c r="AZ61" i="2"/>
  <c r="BA60" i="2"/>
  <c r="BD60" i="2" s="1"/>
  <c r="BE60" i="2" s="1"/>
  <c r="AZ60" i="2"/>
  <c r="AN64" i="2"/>
  <c r="BN63" i="2"/>
  <c r="AQ63" i="2"/>
  <c r="AS63" i="2" s="1" a="1"/>
  <c r="AS63" i="2" s="1"/>
  <c r="AW62" i="2"/>
  <c r="AT63" i="2"/>
  <c r="BI13" i="27" a="1"/>
  <c r="BH7" i="19"/>
  <c r="BI7" i="27"/>
  <c r="BI14" i="27" a="1"/>
  <c r="BI6" i="27"/>
  <c r="BH6" i="19"/>
  <c r="BI9" i="27" l="1"/>
  <c r="BH15" i="27"/>
  <c r="BG22" i="27"/>
  <c r="BG27" i="27" s="1"/>
  <c r="BH21" i="27"/>
  <c r="BH20" i="27"/>
  <c r="BH23" i="27" s="1"/>
  <c r="BI8" i="27"/>
  <c r="BI29" i="27" s="1"/>
  <c r="BI14" i="27"/>
  <c r="BI13" i="27"/>
  <c r="BI16" i="27" s="1"/>
  <c r="BH8" i="19"/>
  <c r="BJ5" i="27"/>
  <c r="BD61" i="2"/>
  <c r="BE61" i="2" s="1"/>
  <c r="BF61" i="2" s="1"/>
  <c r="AW63" i="2"/>
  <c r="BC63" i="2" s="1"/>
  <c r="BF60" i="2"/>
  <c r="BN64" i="2"/>
  <c r="AN65" i="2"/>
  <c r="AQ64" i="2"/>
  <c r="AS64" i="2" s="1" a="1"/>
  <c r="AS64" i="2" s="1"/>
  <c r="BC62" i="2"/>
  <c r="AY62" i="2"/>
  <c r="BB62" i="2"/>
  <c r="AT64" i="2"/>
  <c r="BI6" i="19"/>
  <c r="BJ13" i="27" a="1"/>
  <c r="BJ7" i="27"/>
  <c r="BJ14" i="27" a="1"/>
  <c r="BJ6" i="27"/>
  <c r="BI7" i="19"/>
  <c r="AT65" i="2" l="1"/>
  <c r="BJ9" i="27"/>
  <c r="BI15" i="27"/>
  <c r="BH22" i="27"/>
  <c r="BH27" i="27" s="1"/>
  <c r="BI21" i="27"/>
  <c r="BI20" i="27"/>
  <c r="BI23" i="27" s="1"/>
  <c r="BJ8" i="27"/>
  <c r="BJ29" i="27" s="1"/>
  <c r="BJ14" i="27"/>
  <c r="BJ13" i="27"/>
  <c r="BJ16" i="27" s="1"/>
  <c r="BI8" i="19"/>
  <c r="BK5" i="27"/>
  <c r="BK62" i="2"/>
  <c r="AY63" i="2"/>
  <c r="BA63" i="2" s="1"/>
  <c r="BD63" i="2" s="1"/>
  <c r="BE63" i="2" s="1"/>
  <c r="BF63" i="2" s="1"/>
  <c r="AW64" i="2"/>
  <c r="BC64" i="2" s="1"/>
  <c r="BB63" i="2"/>
  <c r="BA62" i="2"/>
  <c r="BD62" i="2" s="1"/>
  <c r="BE62" i="2" s="1"/>
  <c r="AZ62" i="2"/>
  <c r="BN65" i="2"/>
  <c r="AN66" i="2"/>
  <c r="AQ65" i="2"/>
  <c r="AS65" i="2" s="1" a="1"/>
  <c r="AS65" i="2" s="1"/>
  <c r="BK6" i="27"/>
  <c r="BK7" i="27"/>
  <c r="BK13" i="27" a="1"/>
  <c r="BJ6" i="19"/>
  <c r="BK14" i="27" a="1"/>
  <c r="BJ7" i="19"/>
  <c r="BK9" i="27" l="1"/>
  <c r="BJ15" i="27"/>
  <c r="BI22" i="27"/>
  <c r="BI27" i="27" s="1"/>
  <c r="BJ21" i="27"/>
  <c r="BJ20" i="27"/>
  <c r="BJ23" i="27" s="1"/>
  <c r="BK8" i="27"/>
  <c r="BK29" i="27" s="1"/>
  <c r="BK14" i="27"/>
  <c r="BK13" i="27"/>
  <c r="BK16" i="27" s="1"/>
  <c r="BJ8" i="19"/>
  <c r="BL5" i="27"/>
  <c r="BK63" i="2"/>
  <c r="AZ63" i="2"/>
  <c r="AW65" i="2"/>
  <c r="AY65" i="2" s="1"/>
  <c r="BB64" i="2"/>
  <c r="AY64" i="2"/>
  <c r="BK64" i="2" s="1"/>
  <c r="BF62" i="2"/>
  <c r="BN66" i="2"/>
  <c r="AN67" i="2"/>
  <c r="AQ66" i="2"/>
  <c r="AS66" i="2" s="1" a="1"/>
  <c r="AS66" i="2" s="1"/>
  <c r="AT66" i="2"/>
  <c r="BL7" i="27"/>
  <c r="BK6" i="19"/>
  <c r="BK7" i="19"/>
  <c r="BL6" i="27"/>
  <c r="BL13" i="27" a="1"/>
  <c r="BL14" i="27" a="1"/>
  <c r="AZ64" i="2" l="1"/>
  <c r="BL9" i="27"/>
  <c r="BK15" i="27"/>
  <c r="BJ22" i="27"/>
  <c r="BJ27" i="27" s="1"/>
  <c r="BK21" i="27"/>
  <c r="BK20" i="27"/>
  <c r="BK23" i="27" s="1"/>
  <c r="BL8" i="27"/>
  <c r="BL29" i="27" s="1"/>
  <c r="BL14" i="27"/>
  <c r="BL13" i="27"/>
  <c r="BL16" i="27" s="1"/>
  <c r="BK8" i="19"/>
  <c r="BM5" i="27"/>
  <c r="BC65" i="2"/>
  <c r="BK65" i="2" s="1"/>
  <c r="BB65" i="2"/>
  <c r="BA64" i="2"/>
  <c r="BD64" i="2" s="1"/>
  <c r="BE64" i="2" s="1"/>
  <c r="BF64" i="2" s="1"/>
  <c r="AZ65" i="2"/>
  <c r="BA65" i="2"/>
  <c r="AW66" i="2"/>
  <c r="BN67" i="2"/>
  <c r="AN68" i="2"/>
  <c r="AT68" i="2"/>
  <c r="AQ67" i="2"/>
  <c r="AS67" i="2" s="1" a="1"/>
  <c r="AS67" i="2" s="1"/>
  <c r="AT67" i="2"/>
  <c r="BM14" i="27" a="1"/>
  <c r="BL7" i="19"/>
  <c r="BL6" i="19"/>
  <c r="BM6" i="27"/>
  <c r="BM13" i="27" a="1"/>
  <c r="BM7" i="27"/>
  <c r="BM9" i="27" l="1"/>
  <c r="BL15" i="27"/>
  <c r="BK22" i="27"/>
  <c r="BK27" i="27" s="1"/>
  <c r="BL21" i="27"/>
  <c r="BL20" i="27"/>
  <c r="BL23" i="27" s="1"/>
  <c r="BM8" i="27"/>
  <c r="BM29" i="27" s="1"/>
  <c r="BM14" i="27"/>
  <c r="BM13" i="27"/>
  <c r="BM16" i="27" s="1"/>
  <c r="BL8" i="19"/>
  <c r="BN5" i="27"/>
  <c r="BB66" i="2"/>
  <c r="BD65" i="2"/>
  <c r="BE65" i="2" s="1"/>
  <c r="BF65" i="2" s="1"/>
  <c r="AW67" i="2"/>
  <c r="BN68" i="2"/>
  <c r="AN69" i="2"/>
  <c r="AT69" i="2" s="1"/>
  <c r="AQ68" i="2"/>
  <c r="AS68" i="2" s="1" a="1"/>
  <c r="AS68" i="2" s="1"/>
  <c r="AY66" i="2"/>
  <c r="BC66" i="2"/>
  <c r="BN14" i="27" a="1"/>
  <c r="BN13" i="27" a="1"/>
  <c r="BN6" i="27"/>
  <c r="BN7" i="27"/>
  <c r="AW68" i="2" l="1"/>
  <c r="AY68" i="2" s="1"/>
  <c r="BA68" i="2" s="1"/>
  <c r="BN9" i="27"/>
  <c r="BM15" i="27"/>
  <c r="BL22" i="27"/>
  <c r="BL27" i="27" s="1"/>
  <c r="BM21" i="27"/>
  <c r="BM20" i="27"/>
  <c r="BM23" i="27" s="1"/>
  <c r="BN8" i="27"/>
  <c r="BN29" i="27" s="1"/>
  <c r="C28" i="27" s="1" a="1"/>
  <c r="C28" i="27" s="1"/>
  <c r="BN14" i="27"/>
  <c r="BN13" i="27"/>
  <c r="BN16" i="27" s="1"/>
  <c r="D12" i="19" a="1"/>
  <c r="D12" i="19" s="1"/>
  <c r="Z12" i="3" s="1"/>
  <c r="D11" i="19"/>
  <c r="AA12" i="3" s="1"/>
  <c r="BB67" i="2"/>
  <c r="BK66" i="2"/>
  <c r="BA66" i="2"/>
  <c r="BD66" i="2" s="1"/>
  <c r="BE66" i="2" s="1"/>
  <c r="AZ66" i="2"/>
  <c r="AN70" i="2"/>
  <c r="BN69" i="2"/>
  <c r="AT70" i="2"/>
  <c r="AQ69" i="2"/>
  <c r="AS69" i="2" s="1" a="1"/>
  <c r="AS69" i="2" s="1"/>
  <c r="BC67" i="2"/>
  <c r="AY67" i="2"/>
  <c r="AZ67" i="2" s="1"/>
  <c r="BC68" i="2" l="1"/>
  <c r="BD68" i="2" s="1"/>
  <c r="BE68" i="2" s="1"/>
  <c r="BF68" i="2" s="1"/>
  <c r="BB68" i="2"/>
  <c r="BN15" i="27"/>
  <c r="BM22" i="27"/>
  <c r="BM27" i="27" s="1"/>
  <c r="BN21" i="27"/>
  <c r="BN20" i="27"/>
  <c r="BN23" i="27" s="1"/>
  <c r="BA67" i="2"/>
  <c r="BD67" i="2" s="1"/>
  <c r="BE67" i="2" s="1"/>
  <c r="BF67" i="2" s="1"/>
  <c r="BK67" i="2"/>
  <c r="AZ68" i="2"/>
  <c r="AN71" i="2"/>
  <c r="BN70" i="2"/>
  <c r="AQ70" i="2"/>
  <c r="AS70" i="2" s="1" a="1"/>
  <c r="AS70" i="2" s="1"/>
  <c r="BF66" i="2"/>
  <c r="AW69" i="2"/>
  <c r="BK68" i="2" l="1"/>
  <c r="BN22" i="27"/>
  <c r="BN27" i="27" s="1"/>
  <c r="AW70" i="2"/>
  <c r="AY70" i="2" s="1"/>
  <c r="BC69" i="2"/>
  <c r="AY69" i="2"/>
  <c r="BN71" i="2"/>
  <c r="AN72" i="2"/>
  <c r="AQ71" i="2"/>
  <c r="AS71" i="2" s="1" a="1"/>
  <c r="AS71" i="2" s="1"/>
  <c r="AT71" i="2"/>
  <c r="BB69" i="2"/>
  <c r="AT72" i="2" l="1"/>
  <c r="BB70" i="2"/>
  <c r="BC70" i="2"/>
  <c r="BK70" i="2" s="1"/>
  <c r="BA70" i="2"/>
  <c r="AZ70" i="2"/>
  <c r="AW71" i="2"/>
  <c r="AY71" i="2" s="1"/>
  <c r="BA69" i="2"/>
  <c r="BD69" i="2" s="1"/>
  <c r="BE69" i="2" s="1"/>
  <c r="AZ69" i="2"/>
  <c r="AN73" i="2"/>
  <c r="BN72" i="2"/>
  <c r="AQ72" i="2"/>
  <c r="AS72" i="2" s="1" a="1"/>
  <c r="AS72" i="2" s="1"/>
  <c r="BK69" i="2"/>
  <c r="BD70" i="2" l="1"/>
  <c r="BE70" i="2" s="1"/>
  <c r="AW72" i="2"/>
  <c r="AY72" i="2" s="1"/>
  <c r="BB71" i="2"/>
  <c r="BC71" i="2"/>
  <c r="BK71" i="2" s="1"/>
  <c r="AZ71" i="2"/>
  <c r="BA71" i="2"/>
  <c r="BF69" i="2"/>
  <c r="BN73" i="2"/>
  <c r="AN74" i="2"/>
  <c r="AT74" i="2" s="1"/>
  <c r="AQ73" i="2"/>
  <c r="AS73" i="2" s="1" a="1"/>
  <c r="AS73" i="2" s="1"/>
  <c r="AT73" i="2"/>
  <c r="BC72" i="2" l="1"/>
  <c r="BK72" i="2" s="1"/>
  <c r="BF70" i="2"/>
  <c r="BB72" i="2"/>
  <c r="BD71" i="2"/>
  <c r="BE71" i="2" s="1"/>
  <c r="BF71" i="2" s="1"/>
  <c r="BA72" i="2"/>
  <c r="AZ72" i="2"/>
  <c r="AW73" i="2"/>
  <c r="BN74" i="2"/>
  <c r="AN75" i="2"/>
  <c r="AQ74" i="2"/>
  <c r="AS74" i="2" s="1" a="1"/>
  <c r="AS74" i="2" s="1"/>
  <c r="AT75" i="2" l="1"/>
  <c r="C36" i="2" s="1"/>
  <c r="D36" i="2" s="1"/>
  <c r="BD72" i="2"/>
  <c r="BE72" i="2" s="1"/>
  <c r="BB73" i="2"/>
  <c r="AW74" i="2"/>
  <c r="AY74" i="2" s="1"/>
  <c r="D31" i="2"/>
  <c r="BN75" i="2"/>
  <c r="AQ75" i="2"/>
  <c r="AS75" i="2" s="1" a="1"/>
  <c r="AS75" i="2" s="1"/>
  <c r="AS1" i="2" s="1"/>
  <c r="C35" i="2"/>
  <c r="C32" i="2"/>
  <c r="D32" i="2" s="1"/>
  <c r="AQ1" i="2"/>
  <c r="AY73" i="2"/>
  <c r="BC73" i="2"/>
  <c r="D35" i="2" l="1"/>
  <c r="BF72" i="2"/>
  <c r="BB74" i="2"/>
  <c r="BK73" i="2"/>
  <c r="BC74" i="2"/>
  <c r="BK74" i="2" s="1"/>
  <c r="AW75" i="2"/>
  <c r="AY9" i="2" s="1"/>
  <c r="BA73" i="2"/>
  <c r="BD73" i="2" s="1"/>
  <c r="BE73" i="2" s="1"/>
  <c r="BF73" i="2" s="1"/>
  <c r="AZ73" i="2"/>
  <c r="BA74" i="2"/>
  <c r="AZ74" i="2"/>
  <c r="BG23" i="2" l="1"/>
  <c r="BI23" i="2" s="1"/>
  <c r="BO23" i="2" s="1"/>
  <c r="BD74" i="2"/>
  <c r="BE74" i="2" s="1"/>
  <c r="BF74" i="2" s="1"/>
  <c r="BC75" i="2"/>
  <c r="BB75" i="2"/>
  <c r="AY75" i="2"/>
  <c r="AZ75" i="2" s="1"/>
  <c r="BG51" i="2"/>
  <c r="BI51" i="2" s="1"/>
  <c r="BO51" i="2" s="1"/>
  <c r="BG27" i="2"/>
  <c r="BI27" i="2" s="1"/>
  <c r="BO27" i="2" s="1"/>
  <c r="BG50" i="2"/>
  <c r="BI50" i="2" s="1"/>
  <c r="BO50" i="2" s="1"/>
  <c r="BG60" i="2"/>
  <c r="BI60" i="2" s="1"/>
  <c r="BO60" i="2" s="1"/>
  <c r="BG46" i="2" l="1"/>
  <c r="BI46" i="2" s="1"/>
  <c r="BO46" i="2" s="1"/>
  <c r="BG40" i="2"/>
  <c r="BI40" i="2" s="1"/>
  <c r="BO40" i="2" s="1"/>
  <c r="BG17" i="2"/>
  <c r="BI17" i="2" s="1"/>
  <c r="BO17" i="2" s="1"/>
  <c r="BG68" i="2"/>
  <c r="BI68" i="2" s="1"/>
  <c r="BO68" i="2" s="1"/>
  <c r="BG73" i="2"/>
  <c r="BI73" i="2" s="1"/>
  <c r="BO73" i="2" s="1"/>
  <c r="BG70" i="2"/>
  <c r="BI70" i="2" s="1"/>
  <c r="BO70" i="2" s="1"/>
  <c r="BG53" i="2"/>
  <c r="BI53" i="2" s="1"/>
  <c r="BO53" i="2" s="1"/>
  <c r="BG14" i="2"/>
  <c r="BI14" i="2" s="1"/>
  <c r="BO14" i="2" s="1"/>
  <c r="BG44" i="2"/>
  <c r="BI44" i="2" s="1"/>
  <c r="BO44" i="2" s="1"/>
  <c r="BG34" i="2"/>
  <c r="BI34" i="2" s="1"/>
  <c r="BO34" i="2" s="1"/>
  <c r="BG57" i="2"/>
  <c r="BI57" i="2" s="1"/>
  <c r="BO57" i="2" s="1"/>
  <c r="BG67" i="2"/>
  <c r="BI67" i="2" s="1"/>
  <c r="BO67" i="2" s="1"/>
  <c r="BG74" i="2"/>
  <c r="BI74" i="2" s="1"/>
  <c r="BO74" i="2" s="1"/>
  <c r="BG38" i="2"/>
  <c r="BI38" i="2" s="1"/>
  <c r="BO38" i="2" s="1"/>
  <c r="BG43" i="2"/>
  <c r="BI43" i="2" s="1"/>
  <c r="BO43" i="2" s="1"/>
  <c r="BG16" i="2"/>
  <c r="BI16" i="2" s="1"/>
  <c r="BO16" i="2" s="1"/>
  <c r="BG35" i="2"/>
  <c r="BI35" i="2" s="1"/>
  <c r="BO35" i="2" s="1"/>
  <c r="BG39" i="2"/>
  <c r="BI39" i="2" s="1"/>
  <c r="BO39" i="2" s="1"/>
  <c r="BG13" i="2"/>
  <c r="BI13" i="2" s="1"/>
  <c r="BO13" i="2" s="1"/>
  <c r="BG59" i="2"/>
  <c r="BI59" i="2" s="1"/>
  <c r="BO59" i="2" s="1"/>
  <c r="BG72" i="2"/>
  <c r="BI72" i="2" s="1"/>
  <c r="BO72" i="2" s="1"/>
  <c r="BG49" i="2"/>
  <c r="BI49" i="2" s="1"/>
  <c r="BO49" i="2" s="1"/>
  <c r="BG31" i="2"/>
  <c r="BI31" i="2" s="1"/>
  <c r="BO31" i="2" s="1"/>
  <c r="BG26" i="2"/>
  <c r="BI26" i="2" s="1"/>
  <c r="BO26" i="2" s="1"/>
  <c r="BG48" i="2"/>
  <c r="BI48" i="2" s="1"/>
  <c r="BO48" i="2" s="1"/>
  <c r="BG55" i="2"/>
  <c r="BI55" i="2" s="1"/>
  <c r="BO55" i="2" s="1"/>
  <c r="BG58" i="2"/>
  <c r="BI58" i="2" s="1"/>
  <c r="BO58" i="2" s="1"/>
  <c r="BG12" i="2"/>
  <c r="BI12" i="2" s="1"/>
  <c r="BO12" i="2" s="1"/>
  <c r="BG33" i="2"/>
  <c r="BI33" i="2" s="1"/>
  <c r="BO33" i="2" s="1"/>
  <c r="BG69" i="2"/>
  <c r="BI69" i="2" s="1"/>
  <c r="BO69" i="2" s="1"/>
  <c r="BG22" i="2"/>
  <c r="BI22" i="2" s="1"/>
  <c r="BO22" i="2" s="1"/>
  <c r="BG36" i="2"/>
  <c r="BI36" i="2" s="1"/>
  <c r="BO36" i="2" s="1"/>
  <c r="BG65" i="2"/>
  <c r="BI65" i="2" s="1"/>
  <c r="BO65" i="2" s="1"/>
  <c r="BG24" i="2"/>
  <c r="BI24" i="2" s="1"/>
  <c r="BO24" i="2" s="1"/>
  <c r="BG41" i="2"/>
  <c r="BI41" i="2" s="1"/>
  <c r="BO41" i="2" s="1"/>
  <c r="BG47" i="2"/>
  <c r="BI47" i="2" s="1"/>
  <c r="BO47" i="2" s="1"/>
  <c r="BG18" i="2"/>
  <c r="BI18" i="2" s="1"/>
  <c r="BO18" i="2" s="1"/>
  <c r="BG15" i="2"/>
  <c r="BI15" i="2" s="1"/>
  <c r="BO15" i="2" s="1"/>
  <c r="BG61" i="2"/>
  <c r="BI61" i="2" s="1"/>
  <c r="BO61" i="2" s="1"/>
  <c r="BG52" i="2"/>
  <c r="BI52" i="2" s="1"/>
  <c r="BO52" i="2" s="1"/>
  <c r="BG30" i="2"/>
  <c r="BI30" i="2" s="1"/>
  <c r="BO30" i="2" s="1"/>
  <c r="BG20" i="2"/>
  <c r="BI20" i="2" s="1"/>
  <c r="BO20" i="2" s="1"/>
  <c r="BG64" i="2"/>
  <c r="BI64" i="2" s="1"/>
  <c r="BO64" i="2" s="1"/>
  <c r="BG29" i="2"/>
  <c r="BI29" i="2" s="1"/>
  <c r="BO29" i="2" s="1"/>
  <c r="BG42" i="2"/>
  <c r="BI42" i="2" s="1"/>
  <c r="BO42" i="2" s="1"/>
  <c r="BG71" i="2"/>
  <c r="BI71" i="2" s="1"/>
  <c r="BO71" i="2" s="1"/>
  <c r="BG66" i="2"/>
  <c r="BI66" i="2" s="1"/>
  <c r="BO66" i="2" s="1"/>
  <c r="BG32" i="2"/>
  <c r="BI32" i="2" s="1"/>
  <c r="BO32" i="2" s="1"/>
  <c r="BG62" i="2"/>
  <c r="BI62" i="2" s="1"/>
  <c r="BO62" i="2" s="1"/>
  <c r="BG11" i="2"/>
  <c r="BI11" i="2" s="1"/>
  <c r="BG21" i="2"/>
  <c r="BI21" i="2" s="1"/>
  <c r="BO21" i="2" s="1"/>
  <c r="AY1" i="2"/>
  <c r="BG56" i="2"/>
  <c r="BI56" i="2" s="1"/>
  <c r="BO56" i="2" s="1"/>
  <c r="BG45" i="2"/>
  <c r="BI45" i="2" s="1"/>
  <c r="BO45" i="2" s="1"/>
  <c r="BG25" i="2"/>
  <c r="BI25" i="2" s="1"/>
  <c r="BO25" i="2" s="1"/>
  <c r="BG37" i="2"/>
  <c r="BI37" i="2" s="1"/>
  <c r="BO37" i="2" s="1"/>
  <c r="BG63" i="2"/>
  <c r="BI63" i="2" s="1"/>
  <c r="BO63" i="2" s="1"/>
  <c r="BG19" i="2"/>
  <c r="BI19" i="2" s="1"/>
  <c r="BO19" i="2" s="1"/>
  <c r="BG54" i="2"/>
  <c r="BI54" i="2" s="1"/>
  <c r="BO54" i="2" s="1"/>
  <c r="BG28" i="2"/>
  <c r="BI28" i="2" s="1"/>
  <c r="BO28" i="2" s="1"/>
  <c r="BA75" i="2"/>
  <c r="BK75" i="2"/>
  <c r="BO11" i="2" l="1"/>
  <c r="BO1" i="2" s="1"/>
  <c r="D37" i="2" s="1"/>
  <c r="BI1" i="2"/>
  <c r="BD75" i="2"/>
  <c r="BE75" i="2" s="1"/>
  <c r="BE1" i="2" s="1"/>
  <c r="D41" i="2"/>
  <c r="BK1" i="2"/>
  <c r="BC1" i="2" s="1"/>
  <c r="BG75" i="2"/>
  <c r="BF75" i="2" l="1"/>
  <c r="BI75" i="2"/>
  <c r="BO75" i="2" s="1"/>
  <c r="D38" i="2" l="1"/>
  <c r="D39" i="2" a="1"/>
  <c r="D3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tc={111C64EE-91B7-43DB-9FD8-268B82ACD2B4}</author>
    <author>tc={856CF87C-5EA2-4B12-8941-EF0C0AB12B08}</author>
  </authors>
  <commentList>
    <comment ref="D9" authorId="0" shapeId="0" xr:uid="{111C64EE-91B7-43DB-9FD8-268B82ACD2B4}">
      <text>
        <t>[Threaded comment]
Your version of Excel allows you to read this threaded comment; however, any edits to it will get removed if the file is opened in a newer version of Excel. Learn more: https://go.microsoft.com/fwlink/?linkid=870924
Comment:
    Seine or GP</t>
      </text>
    </comment>
    <comment ref="F15" authorId="1" shapeId="0" xr:uid="{856CF87C-5EA2-4B12-8941-EF0C0AB12B08}">
      <text>
        <t>[Threaded comment]
Your version of Excel allows you to read this threaded comment; however, any edits to it will get removed if the file is opened in a newer version of Excel. Learn more: https://go.microsoft.com/fwlink/?linkid=870924
Comment:
    US / Europe / RoW / Global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tc={2E131C56-2759-4C2C-9A2A-624E4853F36A}</author>
    <author>tc={87422EAF-CA9A-4454-A22D-634DCADA72ED}</author>
  </authors>
  <commentList>
    <comment ref="D5" authorId="0" shapeId="0" xr:uid="{2E131C56-2759-4C2C-9A2A-624E4853F36A}">
      <text>
        <t>[Threaded comment]
Your version of Excel allows you to read this threaded comment; however, any edits to it will get removed if the file is opened in a newer version of Excel. Learn more: https://go.microsoft.com/fwlink/?linkid=870924
Comment:
    Actuals or Forecast</t>
      </text>
    </comment>
    <comment ref="F5" authorId="1" shapeId="0" xr:uid="{87422EAF-CA9A-4454-A22D-634DCADA72ED}">
      <text>
        <t>[Threaded comment]
Your version of Excel allows you to read this threaded comment; however, any edits to it will get removed if the file is opened in a newer version of Excel. Learn more: https://go.microsoft.com/fwlink/?linkid=870924
Comment:
    Distribution or Call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tc={BEC008EF-DDF3-473A-BB34-13754BAC5D60}</author>
    <author>tc={2A565BCC-F156-4433-B9C9-C215C702A485}</author>
    <author>tc={02332026-D726-481D-9D4F-89A41C6EEE89}</author>
    <author>tc={620BB35F-40C9-4F09-B4BE-B59D17D01474}</author>
  </authors>
  <commentList>
    <comment ref="AA12" authorId="0" shapeId="0" xr:uid="{BEC008EF-DDF3-473A-BB34-13754BAC5D60}">
      <text>
        <t>[Threaded comment]
Your version of Excel allows you to read this threaded comment; however, any edits to it will get removed if the file is opened in a newer version of Excel. Learn more: https://go.microsoft.com/fwlink/?linkid=870924
Comment:
    Exit delay in months for sensi</t>
      </text>
    </comment>
    <comment ref="AE12" authorId="1" shapeId="0" xr:uid="{2A565BCC-F156-4433-B9C9-C215C702A485}">
      <text>
        <t>[Threaded comment]
Your version of Excel allows you to read this threaded comment; however, any edits to it will get removed if the file is opened in a newer version of Excel. Learn more: https://go.microsoft.com/fwlink/?linkid=870924
Comment:
    Uplift MM increase for sensi</t>
      </text>
    </comment>
    <comment ref="B41" authorId="2" shapeId="0" xr:uid="{02332026-D726-481D-9D4F-89A41C6EEE89}">
      <text>
        <t>[Threaded comment]
Your version of Excel allows you to read this threaded comment; however, any edits to it will get removed if the file is opened in a newer version of Excel. Learn more: https://go.microsoft.com/fwlink/?linkid=870924
Comment:
    Insert date</t>
      </text>
    </comment>
    <comment ref="C41" authorId="3" shapeId="0" xr:uid="{620BB35F-40C9-4F09-B4BE-B59D17D01474}">
      <text>
        <t>[Threaded comment]
Your version of Excel allows you to read this threaded comment; however, any edits to it will get removed if the file is opened in a newer version of Excel. Learn more: https://go.microsoft.com/fwlink/?linkid=870924
Comment:
    Insert distrib positive and cap calls negative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<sst xmlns="http://schemas.openxmlformats.org/spreadsheetml/2006/main" count="585" uniqueCount="379">
  <si>
    <t>Total</t>
  </si>
  <si>
    <t>Ref. date</t>
  </si>
  <si>
    <t>CCY</t>
  </si>
  <si>
    <t>Vintage</t>
  </si>
  <si>
    <t>Fx rate</t>
  </si>
  <si>
    <t>NAV</t>
  </si>
  <si>
    <t>% NAV</t>
  </si>
  <si>
    <t>Gross proceeds</t>
  </si>
  <si>
    <t>MM on NAV (x)</t>
  </si>
  <si>
    <t>Management fees &amp; expenses</t>
  </si>
  <si>
    <t>Future capital calls</t>
  </si>
  <si>
    <t>Proceeds from capital calls</t>
  </si>
  <si>
    <t>Carried interest</t>
  </si>
  <si>
    <t>Net proceeds</t>
  </si>
  <si>
    <t>Interim cash flows</t>
  </si>
  <si>
    <t>Net purchase price</t>
  </si>
  <si>
    <t>Gross purchase price</t>
  </si>
  <si>
    <t>Gross purchase price %</t>
  </si>
  <si>
    <t>Seine IRR (%)</t>
  </si>
  <si>
    <t>Fx impact over the period</t>
  </si>
  <si>
    <t>GBP</t>
  </si>
  <si>
    <t>EUR</t>
  </si>
  <si>
    <t>USD</t>
  </si>
  <si>
    <t>CAD</t>
  </si>
  <si>
    <t>AUD</t>
  </si>
  <si>
    <t>Deal name</t>
  </si>
  <si>
    <t>Closing date</t>
  </si>
  <si>
    <t>Seller's name</t>
  </si>
  <si>
    <t>Transaction CCY</t>
  </si>
  <si>
    <t>Scenario</t>
  </si>
  <si>
    <t>Seine</t>
  </si>
  <si>
    <t>n/a</t>
  </si>
  <si>
    <t>Fund Description</t>
  </si>
  <si>
    <t>CAS Seller @ Reference Date</t>
  </si>
  <si>
    <t>PRD CFs</t>
  </si>
  <si>
    <t>Transaction KPIs</t>
  </si>
  <si>
    <t>#</t>
  </si>
  <si>
    <t>Fund</t>
  </si>
  <si>
    <t>Strategy</t>
  </si>
  <si>
    <t>Region</t>
  </si>
  <si>
    <t>Fx</t>
  </si>
  <si>
    <t>Commitment</t>
  </si>
  <si>
    <t>Called</t>
  </si>
  <si>
    <t>Unfunded</t>
  </si>
  <si>
    <t>Distributed</t>
  </si>
  <si>
    <t>DPI</t>
  </si>
  <si>
    <t>RVPI</t>
  </si>
  <si>
    <t>TVPI</t>
  </si>
  <si>
    <t>Net IRR</t>
  </si>
  <si>
    <t>Call</t>
  </si>
  <si>
    <t>Distribution</t>
  </si>
  <si>
    <t>WAL (y)</t>
  </si>
  <si>
    <t>MM (x)</t>
  </si>
  <si>
    <t>IRR (%)</t>
  </si>
  <si>
    <t>Type</t>
  </si>
  <si>
    <t>Date</t>
  </si>
  <si>
    <t>Amount (LP level)</t>
  </si>
  <si>
    <t>Total CFs</t>
  </si>
  <si>
    <t>Deal IRR</t>
  </si>
  <si>
    <t>Deal MM (x)</t>
  </si>
  <si>
    <t>Deal WAL (y)</t>
  </si>
  <si>
    <t>optional</t>
  </si>
  <si>
    <t>Fund name</t>
  </si>
  <si>
    <t>Seller's Fund ownership</t>
  </si>
  <si>
    <t>Fund Financials</t>
  </si>
  <si>
    <t>Fund level</t>
  </si>
  <si>
    <t>Seller level</t>
  </si>
  <si>
    <t>Portfolio overview</t>
  </si>
  <si>
    <t>GP</t>
  </si>
  <si>
    <t>Assets CFs</t>
  </si>
  <si>
    <t>Fees &amp; Opex</t>
  </si>
  <si>
    <t>Net current assets</t>
  </si>
  <si>
    <t>Interim CFs</t>
  </si>
  <si>
    <t>CF from cap calls</t>
  </si>
  <si>
    <t>Fund CFs</t>
  </si>
  <si>
    <t>Cost back</t>
  </si>
  <si>
    <t>CF available</t>
  </si>
  <si>
    <t>Hurdle calc</t>
  </si>
  <si>
    <t>Hurdle repaid</t>
  </si>
  <si>
    <t>Catch-up</t>
  </si>
  <si>
    <t>Carried</t>
  </si>
  <si>
    <t>LP level</t>
  </si>
  <si>
    <t>CHECK Hurdle</t>
  </si>
  <si>
    <t>#period</t>
  </si>
  <si>
    <t>Seine level</t>
  </si>
  <si>
    <t>All data in CCY</t>
  </si>
  <si>
    <t>Exit scenarios ===&gt;</t>
  </si>
  <si>
    <t>Timing</t>
  </si>
  <si>
    <t>FMV</t>
  </si>
  <si>
    <t>Asset</t>
  </si>
  <si>
    <t>Co-investors</t>
  </si>
  <si>
    <t>Geography</t>
  </si>
  <si>
    <t>Sector</t>
  </si>
  <si>
    <t>Investment type</t>
  </si>
  <si>
    <t>fx impact</t>
  </si>
  <si>
    <t>GP ownership %</t>
  </si>
  <si>
    <t>Committed</t>
  </si>
  <si>
    <t>IRR</t>
  </si>
  <si>
    <t>Used</t>
  </si>
  <si>
    <t>Used (incl. fx impact)</t>
  </si>
  <si>
    <t>Comments</t>
  </si>
  <si>
    <t>% Called</t>
  </si>
  <si>
    <t>Fund terms</t>
  </si>
  <si>
    <t>Final closing</t>
  </si>
  <si>
    <t>Term</t>
  </si>
  <si>
    <t>Extensions</t>
  </si>
  <si>
    <t>Hurdle</t>
  </si>
  <si>
    <t>Exit KPIs</t>
  </si>
  <si>
    <t>Mgt fees &amp; expenses</t>
  </si>
  <si>
    <t>Proceeds from calls</t>
  </si>
  <si>
    <t>Carried paid</t>
  </si>
  <si>
    <t>Net IRR LPs</t>
  </si>
  <si>
    <t>Net MM SeineCap</t>
  </si>
  <si>
    <t>Deal WAL</t>
  </si>
  <si>
    <t>Fund historical CFs</t>
  </si>
  <si>
    <t>Amount Fund level</t>
  </si>
  <si>
    <t>COMPANY NAME</t>
  </si>
  <si>
    <t xml:space="preserve">Co-investors </t>
  </si>
  <si>
    <t xml:space="preserve">Currency </t>
  </si>
  <si>
    <t>GP FMV (CCY)</t>
  </si>
  <si>
    <t>Investment Date</t>
  </si>
  <si>
    <t>Exit Date</t>
  </si>
  <si>
    <t>Financials</t>
  </si>
  <si>
    <t>Key metrics - GP</t>
  </si>
  <si>
    <t>Source</t>
  </si>
  <si>
    <t>Revenue</t>
  </si>
  <si>
    <t>growth p.a.</t>
  </si>
  <si>
    <t>EBITDA</t>
  </si>
  <si>
    <t>margin (%)</t>
  </si>
  <si>
    <t>EBIT</t>
  </si>
  <si>
    <t>Net Income</t>
  </si>
  <si>
    <t>Net debt/(cash)</t>
  </si>
  <si>
    <t>Net debt/EBITDA</t>
  </si>
  <si>
    <t>Exit expectations</t>
  </si>
  <si>
    <t>GP's Current Valuation</t>
  </si>
  <si>
    <t>Seine Capital' Exit Valuation</t>
  </si>
  <si>
    <t>Equity Value (100%)</t>
  </si>
  <si>
    <t>EV/EBITDA</t>
  </si>
  <si>
    <t>EV/Revenue multiple</t>
  </si>
  <si>
    <t>Discount</t>
  </si>
  <si>
    <t>Year</t>
  </si>
  <si>
    <t>Total EV</t>
  </si>
  <si>
    <t>Net debt</t>
  </si>
  <si>
    <t>Total Equity Value</t>
  </si>
  <si>
    <t>FX Rate</t>
  </si>
  <si>
    <t>Total Equity Value in USD</t>
  </si>
  <si>
    <t>Comparable Companies and Past Transactions</t>
  </si>
  <si>
    <t>COMPANY NAME - Public Company Comparables</t>
  </si>
  <si>
    <t>Fiscal year-end Date</t>
  </si>
  <si>
    <t>Last published Quarter</t>
  </si>
  <si>
    <t>LTM</t>
  </si>
  <si>
    <t>FY2021</t>
  </si>
  <si>
    <t>FY2022</t>
  </si>
  <si>
    <t>FY2023</t>
  </si>
  <si>
    <t>Maximum</t>
  </si>
  <si>
    <t>75th Percentile</t>
  </si>
  <si>
    <t>Mean</t>
  </si>
  <si>
    <t>Median</t>
  </si>
  <si>
    <t>25th Percentile</t>
  </si>
  <si>
    <t>Minimum</t>
  </si>
  <si>
    <t>Precedent Transactions Comparables</t>
  </si>
  <si>
    <t>Target</t>
  </si>
  <si>
    <t xml:space="preserve">TEV/Rev. </t>
  </si>
  <si>
    <t>TEV/EBITDA</t>
  </si>
  <si>
    <t>CIQ ID</t>
  </si>
  <si>
    <t>Acquirer</t>
  </si>
  <si>
    <t xml:space="preserve">Business description of Target </t>
  </si>
  <si>
    <t>Target MM @ UW</t>
  </si>
  <si>
    <t>Seine Target MM (x)</t>
  </si>
  <si>
    <t>Exit timing delayed by</t>
  </si>
  <si>
    <t>Exit MM on NAV increased by</t>
  </si>
  <si>
    <t>CFs delayed by (m)</t>
  </si>
  <si>
    <t>56.7% / 2.3 / 42.9%</t>
  </si>
  <si>
    <t>51.6% / 2.0 / 51.2%</t>
  </si>
  <si>
    <t>47.3% / 1.9 / 59.6%</t>
  </si>
  <si>
    <t>43.6% / 1.7 / 68.0%</t>
  </si>
  <si>
    <t>40.5% / 1.6 / 76.7%</t>
  </si>
  <si>
    <t>37.8% / 1.5 / 85.5%</t>
  </si>
  <si>
    <t>56.7% / 2.3 / 32.1%</t>
  </si>
  <si>
    <t>51.6% / 2.0 / 37.7%</t>
  </si>
  <si>
    <t>47.3% / 1.9 / 43.1%</t>
  </si>
  <si>
    <t>43.6% / 1.7 / 48.4%</t>
  </si>
  <si>
    <t>40.5% / 1.6 / 53.6%</t>
  </si>
  <si>
    <t>37.8% / 1.5 / 58.7%</t>
  </si>
  <si>
    <t>Output 1</t>
  </si>
  <si>
    <t>56.7% / 2.3 / 25.8%</t>
  </si>
  <si>
    <t>51.6% / 2.0 / 30.1%</t>
  </si>
  <si>
    <t>47.3% / 1.9 / 34.1%</t>
  </si>
  <si>
    <t>43.6% / 1.7 / 38.0%</t>
  </si>
  <si>
    <t>40.5% / 1.6 / 41.8%</t>
  </si>
  <si>
    <t>37.8% / 1.5 / 45.5%</t>
  </si>
  <si>
    <t>Seine Gross PP %</t>
  </si>
  <si>
    <t>56.7% / 2.3 / 21.6%</t>
  </si>
  <si>
    <t>51.6% / 2.0 / 25.1%</t>
  </si>
  <si>
    <t>47.3% / 1.9 / 28.3%</t>
  </si>
  <si>
    <t>43.6% / 1.7 / 31.4%</t>
  </si>
  <si>
    <t>40.5% / 1.6 / 34.4%</t>
  </si>
  <si>
    <t>37.8% / 1.5 / 37.3%</t>
  </si>
  <si>
    <t>Seine IRR</t>
  </si>
  <si>
    <t>56.7% / 2.3 / 18.6%</t>
  </si>
  <si>
    <t>51.6% / 2.0 / 21.5%</t>
  </si>
  <si>
    <t>47.3% / 1.9 / 24.3%</t>
  </si>
  <si>
    <t>43.6% / 1.7 / 26.9%</t>
  </si>
  <si>
    <t>40.5% / 1.6 / 29.3%</t>
  </si>
  <si>
    <t>37.8% / 1.5 / 31.7%</t>
  </si>
  <si>
    <t>Net Equity @ closing (m)</t>
  </si>
  <si>
    <t>56.7% / 2.3 / 16.4%</t>
  </si>
  <si>
    <t>51.6% / 2.0 / 18.9%</t>
  </si>
  <si>
    <t>47.3% / 1.9 / 21.2%</t>
  </si>
  <si>
    <t>43.6% / 1.7 / 23.5%</t>
  </si>
  <si>
    <t>40.5% / 1.6 / 25.6%</t>
  </si>
  <si>
    <t>37.8% / 1.5 / 27.6%</t>
  </si>
  <si>
    <t>56.7% / 2.3 / 14.6%</t>
  </si>
  <si>
    <t>51.6% / 2.0 / 16.8%</t>
  </si>
  <si>
    <t>47.3% / 1.9 / 18.9%</t>
  </si>
  <si>
    <t>43.6% / 1.7 / 20.9%</t>
  </si>
  <si>
    <t>40.5% / 1.6 / 22.7%</t>
  </si>
  <si>
    <t>37.8% / 1.5 / 24.4%</t>
  </si>
  <si>
    <t>Ptf value creation (x)</t>
  </si>
  <si>
    <t>50.0% / 2.0 / 42.8%</t>
  </si>
  <si>
    <t>45.5% / 1.8 / 51.0%</t>
  </si>
  <si>
    <t>41.7% / 1.7 / 59.2%</t>
  </si>
  <si>
    <t>38.5% / 1.5 / 67.5%</t>
  </si>
  <si>
    <t>35.7% / 1.4 / 76.0%</t>
  </si>
  <si>
    <t>33.4% / 1.3 / 84.7%</t>
  </si>
  <si>
    <t>52.3% / 2.1 / 42.8%</t>
  </si>
  <si>
    <t>47.5% / 1.9 / 51.0%</t>
  </si>
  <si>
    <t>43.6% / 1.7 / 59.3%</t>
  </si>
  <si>
    <t>40.2% / 1.6 / 67.7%</t>
  </si>
  <si>
    <t>37.3% / 1.5 / 76.3%</t>
  </si>
  <si>
    <t>34.9% / 1.4 / 85.0%</t>
  </si>
  <si>
    <t>54.5% / 2.2 / 42.8%</t>
  </si>
  <si>
    <t>49.6% / 2.0 / 51.1%</t>
  </si>
  <si>
    <t>45.4% / 1.8 / 59.4%</t>
  </si>
  <si>
    <t>41.9% / 1.7 / 67.9%</t>
  </si>
  <si>
    <t>38.9% / 1.5 / 76.5%</t>
  </si>
  <si>
    <t>36.3% / 1.4 / 85.3%</t>
  </si>
  <si>
    <t>59.0% / 2.3 / 42.9%</t>
  </si>
  <si>
    <t>53.6% / 2.1 / 51.3%</t>
  </si>
  <si>
    <t>49.1% / 2.0 / 59.7%</t>
  </si>
  <si>
    <t>45.4% / 1.8 / 68.2%</t>
  </si>
  <si>
    <t>42.1% / 1.7 / 76.9%</t>
  </si>
  <si>
    <t>39.3% / 1.6 / 85.7%</t>
  </si>
  <si>
    <t>61.2% / 2.4 / 42.9%</t>
  </si>
  <si>
    <t>55.6% / 2.2 / 51.3%</t>
  </si>
  <si>
    <t>51.0% / 2.0 / 59.8%</t>
  </si>
  <si>
    <t>47.1% / 1.9 / 68.3%</t>
  </si>
  <si>
    <t>43.7% / 1.7 / 77.0%</t>
  </si>
  <si>
    <t>40.8% / 1.6 / 86.0%</t>
  </si>
  <si>
    <t>63.4% / 2.5 / 43.0%</t>
  </si>
  <si>
    <t>57.7% / 2.3 / 51.4%</t>
  </si>
  <si>
    <t>52.9% / 2.1 / 59.8%</t>
  </si>
  <si>
    <t>48.8% / 1.9 / 68.4%</t>
  </si>
  <si>
    <t>45.3% / 1.8 / 77.2%</t>
  </si>
  <si>
    <t>42.3% / 1.7 / 86.2%</t>
  </si>
  <si>
    <t>Default cash exit date</t>
  </si>
  <si>
    <t>GP's Entry Valuation</t>
  </si>
  <si>
    <t>Debt</t>
  </si>
  <si>
    <t>Cash</t>
  </si>
  <si>
    <t xml:space="preserve">Day Close Price </t>
  </si>
  <si>
    <t>Market Capitalization</t>
  </si>
  <si>
    <t>Total Enterprise Value</t>
  </si>
  <si>
    <t>Total Revenue</t>
  </si>
  <si>
    <t>TEV/ LTM Total Revenues</t>
  </si>
  <si>
    <t>TEV/ LTM EBITDA</t>
  </si>
  <si>
    <t>EBITDA Margin %</t>
  </si>
  <si>
    <t>Total Revenues, 1 Yr Growth %</t>
  </si>
  <si>
    <t>Total Revenues, 3 Yr Growth %</t>
  </si>
  <si>
    <t>Total Revenues, 5 Yr Growth %</t>
  </si>
  <si>
    <t>EBITDA, 1 Yr Growth %</t>
  </si>
  <si>
    <t>EBITDA, 3 Yr Growth %</t>
  </si>
  <si>
    <t>EBITDA, 5 Yr Growth %</t>
  </si>
  <si>
    <t>SP_COMPANY_NAME</t>
  </si>
  <si>
    <t>SP_COUNTRY_NAME</t>
  </si>
  <si>
    <t>SP_PERIOD_END</t>
  </si>
  <si>
    <t>SP_PRICE_CLOSE</t>
  </si>
  <si>
    <t>SP_MARKETCAP</t>
  </si>
  <si>
    <t>IQ_TEV</t>
  </si>
  <si>
    <t>IQ_TOTAL_REV</t>
  </si>
  <si>
    <t>SP_REV_EST</t>
  </si>
  <si>
    <t>IQ_EBITDA</t>
  </si>
  <si>
    <t>SP_EBITDA_EST</t>
  </si>
  <si>
    <t>IQ_EBITDA_MARGIN</t>
  </si>
  <si>
    <t>IQ_TOTAL_REV_1YR_ANN_GROWTH</t>
  </si>
  <si>
    <t>IQ_TOTAL_REV_3YR_ANN_GROWTH</t>
  </si>
  <si>
    <t>IQ_TOTAL_REV_5YR_ANN_GROWTH</t>
  </si>
  <si>
    <t>IQ_EBITDA_1YR_ANN_GROWTH</t>
  </si>
  <si>
    <t>IQ_EBITDA_3YR_ANN_GROWTH</t>
  </si>
  <si>
    <t>IQ_EBITDA_5YR_ANN_GROWTH</t>
  </si>
  <si>
    <t>FY0</t>
  </si>
  <si>
    <t>Japan Electronic Materials Corporation</t>
  </si>
  <si>
    <t>Japan</t>
  </si>
  <si>
    <t>NA</t>
  </si>
  <si>
    <t>Bruker Corporation</t>
  </si>
  <si>
    <t>USA</t>
  </si>
  <si>
    <t>Smiths Group plc</t>
  </si>
  <si>
    <t>United Kingdom</t>
  </si>
  <si>
    <t>Thermo Fisher Scientific Inc.</t>
  </si>
  <si>
    <t>SPTR_TARGET_NAME</t>
  </si>
  <si>
    <t>SPTR_TRANSACTION_TYPE</t>
  </si>
  <si>
    <t>SPTR_PCT_EQUITY_ACQUIRED</t>
  </si>
  <si>
    <t>SPTR_ANN_DATE</t>
  </si>
  <si>
    <t>IQ_TR_IMPLIED_EV_REV</t>
  </si>
  <si>
    <t>IQ_TR_IMPLIED_EV_EBITDA</t>
  </si>
  <si>
    <t>SPTR_IMPLIED_EV</t>
  </si>
  <si>
    <t>SPTR_TARGET_TOTAL_REV</t>
  </si>
  <si>
    <t>SPTR_TARGET_EBITDA</t>
  </si>
  <si>
    <t>SPTR_BUYER_NAME</t>
  </si>
  <si>
    <t>IQ_BUSINESS_DESCRIPTION</t>
  </si>
  <si>
    <t>Announcement</t>
  </si>
  <si>
    <t>Transaction Type</t>
  </si>
  <si>
    <t>Equity Ownership Acquired (%)</t>
  </si>
  <si>
    <t>TEV</t>
  </si>
  <si>
    <t>FEI Company</t>
  </si>
  <si>
    <t>M&amp;A - Whole</t>
  </si>
  <si>
    <t>AP Tech Corporation</t>
  </si>
  <si>
    <t>M&amp;A - Asset</t>
  </si>
  <si>
    <t>Edgile, LLC</t>
  </si>
  <si>
    <t>Wipro Limited</t>
  </si>
  <si>
    <t>Trustelem</t>
  </si>
  <si>
    <t>WALLIX GROUP SA</t>
  </si>
  <si>
    <t>Company</t>
  </si>
  <si>
    <t>Country</t>
  </si>
  <si>
    <t>Ticker</t>
  </si>
  <si>
    <t>%FMV</t>
  </si>
  <si>
    <t>Cum. cost back</t>
  </si>
  <si>
    <t>calls in negative and distributions in positive</t>
  </si>
  <si>
    <t>Currency</t>
  </si>
  <si>
    <t>Reference Date</t>
  </si>
  <si>
    <t>Expected total exposure</t>
  </si>
  <si>
    <t>Seine Multiple (x)</t>
  </si>
  <si>
    <t>check</t>
  </si>
  <si>
    <t>Total CFs (Today's Fx)</t>
  </si>
  <si>
    <t>Total CFs (Ref. Date Fx)</t>
  </si>
  <si>
    <t>Capital calls</t>
  </si>
  <si>
    <t>Distributions</t>
  </si>
  <si>
    <t>Deal Multiple (x)</t>
  </si>
  <si>
    <t>Fx today</t>
  </si>
  <si>
    <t>Fx Ref Date</t>
  </si>
  <si>
    <t>?</t>
  </si>
  <si>
    <t>IRR calculation</t>
  </si>
  <si>
    <t>Target Multiple (x)</t>
  </si>
  <si>
    <t>Other assets</t>
  </si>
  <si>
    <t>Liabilities</t>
  </si>
  <si>
    <t>Gross proceeds + Other ass. &amp; Liab.</t>
  </si>
  <si>
    <t>Fund Name</t>
  </si>
  <si>
    <t>Fx Rate</t>
  </si>
  <si>
    <t xml:space="preserve">Original commitment </t>
  </si>
  <si>
    <t>Capital Called</t>
  </si>
  <si>
    <t>Recallable distributions</t>
  </si>
  <si>
    <t>Distributions since inception</t>
  </si>
  <si>
    <t>Unfunded Commitment at Reference Date</t>
  </si>
  <si>
    <t>%</t>
  </si>
  <si>
    <t>Purchase price (% NAV)</t>
  </si>
  <si>
    <t>Base purchase price</t>
  </si>
  <si>
    <t>Unfunded Commitment to date</t>
  </si>
  <si>
    <t>Net Purchase price</t>
  </si>
  <si>
    <t>Expected Return</t>
  </si>
  <si>
    <t>Expected Multiple</t>
  </si>
  <si>
    <t>Expected IRR</t>
  </si>
  <si>
    <t>Post Reference Date</t>
  </si>
  <si>
    <t>carried check</t>
  </si>
  <si>
    <t>Day</t>
  </si>
  <si>
    <t>Listed portfolio</t>
  </si>
  <si>
    <t>Weighted listed company variation</t>
  </si>
  <si>
    <t>Vintage/investment Date</t>
  </si>
  <si>
    <t>Listed / Ticker</t>
  </si>
  <si>
    <t>Growth since listing</t>
  </si>
  <si>
    <t>Expected future capital calls</t>
  </si>
  <si>
    <t>Total cost</t>
  </si>
  <si>
    <t>允䅁䭁䡙䅁䍁䅁䅁䅁晁䅁䅁䅉䅁䅁䅫兓剂䙁䅑杕硁䑁䅣李硁䑁䅙兎㉁䑁䅫睍祁䅁䅁杣䅉䅁䄴䅁橁䕁䅕杕卂䕁䄸杕䅁䉁䉅䅁潁䅁䅁睉䩂䕁䄴杖䉂䕁䅷兓䕂䍁䅁睑偂䕁䄰䅕䉂䕁䄴兗杁䕁䅫䅒䅁䑁䅳䅁㑁䅁䅁睉䩂䕁䄴杖䉂䕁䅷兓䕂䍁䅁杒噂䕁䄴睑啂䕁䅫睔佂䍁䅁䅕䉂䙁䅉兑乂䕁䅕䅖䙂䙁䅉䅁楄允䅁䅄䅁䍁䅍䅕䙂䕁䄴䅒䅁䍁䉍䅁䥃䅁䅁睊扂䙁䅁杣療䝁䅯党橂䡁䅑䅉䍂䡁䅉兙潂䝁䄰兙睂䡁䅕䅤祂䝁䅅䅉瑁䍁䅁杤祁䑁䅫䅉瑁䍁䅁䅚求䝁䅉䅤畁䡁䅧䅢穂䡁䅧兘䑂䝁䄸兢睂䝁䅅杢灂䝁䅕督杁䙁䅙兙獂䡁䅕兙あ䝁䅫睢畂䍁䅣光歁䕁䅑䅊硁䑁䅍䅏䅁䩁䝳䅁坃䅁䅁睊扂䙁䅁杣療䝁䅯党橂䡁䅑䅉䍂䡁䅉兙潂䝁䄰兙睂䡁䅕䅤祂䝁䅅䅉瑁䍁䅁杤祁䑁䅫䅉瑁䍁䅁䅚求䝁䅉䅤畁䡁䅧䅢穂䡁䅧兘䑂䝁䄸兢睂䝁䅅杢灂䝁䅕督杁䙁䅙兙獂䡁䅕兙あ䝁䅫睢畂䍁䅣光歁䕁䅑䅊硁䑁䅑䅍㙁䍁䅑䅒歁䑁䅅兎㍁䅁䅁䅮䅙䥁䅙䅁湁䙁䅳䅕祂䝁䄸条求䝁䅍䅤杁䕁䅉杣桂䝁䅧兢桂䡁䅁兤あ䡁䅉兙杁䍁䄰䅉㉂䑁䅉兏杁䍁䄰䅉歂䝁䅕杙あ䍁䄴䅥獂䡁䅍䅥摂䕁䅍睢瑂䡁䅁兙畂䝁䅫党穂䍁䅁杖桂䝁䅷兤桂䡁䅑兡療䝁䄴睊桁䍁䅑䅒歁䑁䅅兎䅁䥁䜸䅁䥃䅁䅁睊扂䙁䅁杣療䝁䅯党橂䡁䅑䅉䍂䡁䅉兙潂䝁䄰兙睂䡁䅕䅤祂䝁䅅䅉瑁䍁䅁杤祁䑁䅫䅉瑁䍁䅁䅚求䝁䅉䅤畁䡁䅧䅢穂䡁䅧兘䑂䝁䄸兢睂䝁䅅杢灂䝁䅕督杁䙁䅙兙獂䡁䅕兙あ䝁䅫睢畂䍁䅣光歁䕁䅑䅊硁䑁䅣杍䅁䩁䜸䅁坃䅁䅁睊扂䙁䅁杣療䝁䅯党橂䡁䅑䅉䍂䡁䅉兙潂䝁䄰兙睂䡁䅕䅤祂䝁䅅䅉瑁䍁䅁杤祁䑁䅫䅉瑁䍁䅁䅚求䝁䅉䅤畁䡁䅧䅢穂䡁䅧兘䑂䝁䄸兢睂䝁䅅杢灂䝁䅕督杁䙁䅙兙獂䡁䅕兙あ䝁䅫睢畂䍁䅣光歁䕁䅑䅊硁䑁䅣兎㙁䍁䅑䅒歁䑁䅅䅏硁䅁䅁䅯䅙䩁䅉䅁湁䙁䅳䅕祂䝁䄸条求䝁䅍䅤杁䕁䅉杣桂䝁䅧兢桂䡁䅁兤あ䡁䅉兙杁䍁䄰䅉㉂䑁䅉兏杁䍁䄰䅉歂䝁䅕杙あ䍁䄴䅥獂䡁䅍䅥摂䕁䅍睢瑂䡁䅁兙畂䝁䅫党穂䍁䅁杖桂䝁䅷兤桂䡁䅑兡療䝁䄴睊桁䍁䅑䅒歁䑁䅅睎㙁䍁䅑䅒歁䑁䅉杍䅁䩁䝁䅁䥃䅁䅁睊扂䙁䅁杣療䝁䅯党橂䡁䅑䅉䍂䡁䅉兙潂䝁䄰兙睂䡁䅕䅤祂䝁䅅䅉瑁䍁䅁杤祁䑁䅫䅉瑁䍁䅁䅚求䝁䅉䅤畁䡁䅧䅢穂䡁䅧兘䑂䝁䄸兢睂䝁䅅杢灂䝁䅕督杁䙁䅙兙獂䡁䅕兙あ䝁䅫睢畂䍁䅣光歁䕁䅑䅊祁䑁䅅兏䅁䭁䝍䅁坃䅁䅁睊扂䙁䅁杣療䝁䅯党橂䡁䅑䅉䍂䡁䅉兙潂䝁䄰兙睂䡁䅕䅤祂䝁䅅䅉瑁䍁䅁杤祁䑁䅫䅉瑁䍁䅁䅚求䝁䅉䅤畁䡁䅧䅢穂䡁䅧兘䑂䝁䄸兢睂䝁䅅杢灂䝁䅕督杁䙁䅙兙獂䡁䅕兙あ䝁䅫睢畂䍁䅣光歁䕁䅑䅊祁䑁䅉免㙁䍁䅑䅒歁䑁䅉杍㕁䅁䅁䅰䅙䥁䅧䅁湁䙁䅳䅕祂䝁䄸条求䝁䅍䅤杁䕁䅉杣桂䝁䅧兢桂䡁䅁兤あ䡁䅉兙杁䍁䄰䅉㉂䑁䅉兏杁䍁䄰䅉歂䝁䅕杙あ䍁䄴䅥獂䡁䅍䅥摂䕁䅍睢瑂䡁䅁兙畂䝁䅫党穂䍁䅁杖桂䝁䅷兤桂䡁䅑兡療䝁䄴睊桁䍁䅑䅒歁䑁䅉䅎硁䅁䅁睰䅙䩁䅙䅁湁䙁䅳䅕祂䝁䄸条求䝁䅍䅤杁䕁䅉杣桂䝁䅧兢桂䡁䅁兤あ䡁䅉兙杁䍁䄰䅉㉂䑁䅉兏杁䍁䄰䅉歂䝁䅕杙あ䍁䄴䅥獂䡁䅍䅥摂䕁䅍睢瑂䡁䅁兙畂䝁䅫党穂䍁䅁杖桂䝁䅷兤桂䡁䅑兡療䝁䄴睊桁䍁䅑䅒歁䑁䅉䅎ぁ䑁䅯䅊䕂䍁䅑杍ぁ䑁䅫䅁潃杂䅁䅩䅁䍁䅣睗兂䡁䅉睢煂䝁䅕睙あ䍁䅁村祂䝁䅅䅡瑂䝁䅅䅣ㅂ䡁䅑杣桂䍁䅁兌杁䡁䅙杍㕁䍁䅁兌杁䝁䅑党楂䡁䅑杌㑂䝁䅷督㑂䙁䄰睑療䝁䄰䅣桂䝁䄴兡求䡁䅍䅉坂䝁䅅䅢ㅂ䝁䅅䅤灂䝁䄸杢湁䍁䅅䅊䕂䍁䅑杍㍁䑁䅁䅁牃杂䅁杬䅁䍁䅣睗兂䡁䅉睢煂䝁䅕睙あ䍁䅁村祂䝁䅅䅡瑂䝁䅅䅣ㅂ䡁䅑杣桂䍁䅁兌杁䡁䅙杍㕁䍁䅁兌杁䝁䅑党楂䡁䅑杌㑂䝁䅷督㑂䙁䄰睑療䝁䄰䅣桂䝁䄴兡求䡁䅍䅉坂䝁䅅䅢ㅂ䝁䅅䅤灂䝁䄸杢湁䍁䅅䅊䕂䍁䅑杍㍁䑁䅉杏歁䕁䅑䅊祁䑁䅣睎䅁䭁䝷䅁䥃䅁䅁睊扂䙁䅁杣療䝁䅯党橂䡁䅑䅉䍂䡁䅉兙潂䝁䄰兙睂䡁䅕䅤祂䝁䅅䅉瑁䍁䅁杤祁䑁䅫䅉瑁䍁䅁䅚求䝁䅉䅤畁䡁䅧䅢穂䡁䅧兘䑂䝁䄸兢睂䝁䅅杢灂䝁䅕督杁䙁䅙兙獂䡁䅕兙あ䝁䅫睢畂䍁䅣光歁䕁䅑䅊祁䑁䅫免䅁䡁䜸䅁坃䅁䅁睊扂䙁䅁杣療䝁䅯党橂䡁䅑䅉䍂䡁䅉兙潂䝁䄰兙睂䡁䅕䅤祂䝁䅅䅉瑁䍁䅁杤祁䑁䅫䅉瑁䍁䅁䅚求䝁䅉䅤畁䡁䅧䅢穂䡁䅧兘䑂䝁䄸兢睂䝁䅅杢灂䝁䅕督杁䙁䅙兙獂䡁䅕兙あ䝁䅫睢畂䍁䅣光歁䕁䅑䅊祁䑁䅫䅎㙁䍁䅑䅒歁䑁䅍䅍祁䅁䅁䅧䅙䥁䅧䅁湁䙁䅳䅕祂䝁䄸条求䝁䅍䅤杁䕁䅉杣桂䝁䅧兢桂䡁䅁兤あ䡁䅉兙杁䍁䄰䅉㉂䑁䅉兏杁䍁䄰䅉歂䝁䅕杙あ䍁䄴䅥獂䡁䅍䅥摂䕁䅍睢瑂䡁䅁兙畂䝁䅫党穂䍁䅁杖桂䝁䅷兤桂䡁䅑兡療䝁䄴睊桁䍁䅑䅒歁䑁䅍䅎睁䅁䅁睧䅙䩁䅙䅁湁䙁䅳䅕祂䝁䄸条求䝁䅍䅤杁䕁䅉杣桂䝁䅧兢桂䡁䅁兤あ䡁䅉兙杁䍁䄰䅉㉂䑁䅉兏杁䍁䄰䅉歂䝁䅕杙あ䍁䄴䅥獂䡁䅍䅥摂䕁䅍睢瑂䡁䅁兙畂䝁䅫党穂䍁䅁杖桂䝁䅷兤桂䡁䅑兡療䝁䄴睊桁䍁䅑䅒歁䑁䅍䅎祁䑁䅯䅊䕂䍁䅑睍ぁ䑁䅙䅁䕃杂䅁䅩䅁䍁䅣睗兂䡁䅉睢煂䝁䅕睙あ䍁䅁村祂䝁䅅䅡瑂䝁䅅䅣ㅂ䡁䅑杣桂䍁䅁兌杁䡁䅙杍㕁䍁䅁兌杁䝁䅑党楂䡁䅑杌㑂䝁䅷督㑂䙁䄰睑療䝁䄰䅣桂䝁䄴兡求䡁䅍䅉坂䝁䅅䅢ㅂ䝁䅅䅤灂䝁䄸杢湁䍁䅅䅊䕂䍁䅑睍ㅁ䑁䅫䅁癃杂䅁杬䅁䍁䅣睗兂䡁䅉睢煂䝁䅕睙あ䍁䅁村祂䝁䅅䅡瑂䝁䅅䅣ㅂ䡁䅑杣桂䍁䅁兌杁䡁䅙杍㕁䍁䅁兌杁䝁䅑党楂䡁䅑杌㑂䝁䅷督㑂䙁䄰睑療䝁䄰䅣桂䝁䄴兡求䡁䅍䅉坂䝁䅅䅢ㅂ䝁䅅䅤灂䝁䄸杢湁䍁䅅䅊䕂䍁䅑睍㉁䑁䅉杏歁䕁䅑䅊穁䑁䅣䅍䅁䱁䝁䅁䝃䅁䅁睊扂䙁䅁杣療䝁䅯党橂䡁䅑䅉䍂䡁䅉兙潂䝁䄰兙睂䡁䅕䅤祂䝁䅅䅉瑁䍁䅁杤祁䑁䅫䅉瑁䍁䅁䅚求䝁䅉䅤畁䡁䅧䅢穂䡁䅧兘䑂䝁䄸兢睂䝁䅅杢灂䝁䅕督杁䙁䅙兙獂䡁䅕兙あ䝁䅫睢畂䍁䅣光歁䕁䅑䅊ぁ䑁䅅䅁呃杂䅁杫䅁䍁䅣睗兂䡁䅉睢煂䝁䅕睙あ䍁䅁村祂䝁䅅䅡瑂䝁䅅䅣ㅂ䡁䅑杣桂䍁䅁兌杁䡁䅙杍㕁䍁䅁兌杁䝁䅑党楂䡁䅑杌㑂䝁䅷督㑂䙁䄰睑療䝁䄰䅣桂䝁䄴兡求䡁䅍䅉坂䝁䅅䅢ㅂ䝁䅅䅤灂䝁䄸杢湁䍁䅅䅊䕂䍁䅑䅎ぁ䑁䅯䅊䕂䍁䅑兎硁䅁䅁䅬䅙䥁䅙䅁湁䙁䅳䅕祂䝁䄸条求䝁䅍䅤杁䕁䅉杣桂䝁䅧兢桂䡁䅁兤あ䡁䅉兙杁䍁䄰䅉㉂䑁䅉兏杁䍁䄰䅉歂䝁䅕杙あ䍁䄴䅥獂䡁䅍䅥摂䕁䅍睢瑂䡁䅁兙畂䝁䅫党穂䍁䅁杖桂䝁䅷兤桂䡁䅑兡療䝁䄴睊桁䍁䅑䅒歁䑁䅣李䅁䩁䝣䅁千䅁䅁睊扂䙁䅁杣療䝁䅯党橂䡁䅑䅉䍂䡁䅉兙潂䝁䄰兙睂䡁䅕䅤祂䝁䅅䅉瑁䍁䅁杤祁䑁䅫䅉瑁䍁䅁䅚求䝁䅉䅤畁䡁䅧䅢穂䡁䅧兘䑂䝁䄸兢睂䝁䅅杢灂䝁䅕督杁䙁䅙兙獂䡁䅕兙あ䝁䅫睢畂䍁䅣光歁䕁䅑䅊㍁䑁䅧杏歁䕁䅑䅊㑁䑁䅑䅁奃杂䅁杨䅁䍁䅣睗兂䡁䅉睢煂䝁䅕睙あ䍁䅁村祂䝁䅅䅡瑂䝁䅅䅣ㅂ䡁䅑杣桂䍁䅁兌杁䡁䅙杍㕁䍁䅁兌杁䝁䅑党楂䡁䅑杌㑂䝁䅷督㑂䙁䄰睑療䝁䄰䅣桂䝁䄴兡求䡁䅍䅉坂䝁䅅䅢ㅂ䝁䅅䅤灂䝁䄸杢湁䍁䅅䅊䕂䍁䅑兏ㅁ䅁䅁睨䅙䩁䅑䅁湁䙁䅳䅕祂䝁䄸条求䝁䅍䅤杁䕁䅉杣桂䝁䅧兢桂䡁䅁兤あ䡁䅉兙杁䍁䄰䅉㉂䑁䅉兏杁䍁䄰䅉歂䝁䅕杙あ䍁䄴䅥獂䡁䅍䅥摂䕁䅍睢瑂䡁䅁兙畂䝁䅫党穂䍁䅁杖桂䝁䅷兤桂䡁䅑兡療䝁䄴睊桁䍁䅑䅒歁䑁䅫䅏㙁䍁䅑䅒歁䑁䅅䅍ㅁ䅁䅁䅩䅙䩁䅧䅁湁䙁䅳䅕祂䝁䄸条求䝁䅍䅤杁䕁䅉杣桂䝁䅧兢桂䡁䅁兤あ䡁䅉兙杁䍁䄰䅉㉂䑁䅉兏杁䍁䄰䅉歂䝁䅕杙あ䍁䄴䅥獂䡁䅍䅥摂䕁䅍睢瑂䡁䅁兙畂䝁䅫党穂䍁䅁杖桂䝁䅷兤桂䡁䅑兡療䝁䄴睊桁䍁䅑兒歁䑁䅅睍㑁䑁䅯䅊䉂䕁䅫䅊硁䑁䅍䅏䅁䩁䜰䅁奃䅁䅁睊扂䙁䅁杣療䝁䅯党橂䡁䅑䅉䍂䡁䅉兙潂䝁䄰兙睂䡁䅕䅤祂䝁䅅䅉瑁䍁䅁杤祁䑁䅫䅉瑁䍁䅁䅚求䝁䅉䅤畁䡁䅧䅢穂䡁䅧兘䑂䝁䄸兢睂䝁䅅杢灂䝁䅕督杁䙁䅙兙獂䡁䅕兙あ䝁䅫睢畂䍁䅣光歁䕁䅕䅊硁䑁䅍兏㙁䍁䅑兑䩂䍁䅑免穁䑁䅫䅁敃杂䅁䅬䅁䍁䅣睗兂䡁䅉睢煂䝁䅕睙あ䍁䅁村祂䝁䅅䅡瑂䝁䅅䅣ㅂ䡁䅑杣桂䍁䅁兌杁䡁䅙杍㕁䍁䅁兌杁䝁䅑党楂䡁䅑杌㑂䝁䅷督㑂䙁䄰睑療䝁䄰䅣桂䝁䄴兡求䡁䅍䅉坂䝁䅅䅢ㅂ䝁䅅䅤灂䝁䄸杢湁䍁䅅䅊䙂䍁䅑免ㅁ䑁䅯䅊䉂䕁䅫䅊硁䑁䅕䅁剃杂䅁䅬䅁䍁䅣睗兂䡁䅉睢煂䝁䅕睙あ䍁䅁村祂䝁䅅䅡瑂䝁䅅䅣ㅂ䡁䅑杣桂䍁䅁兌杁䡁䅙杍㕁䍁䅁兌杁䝁䅑党楂䡁䅑杌㑂䝁䅷督㑂䙁䄰睑療䝁䄰䅣桂䝁䄴兡求䡁䅍䅉坂䝁䅅䅢ㅂ䝁䅅䅤灂䝁䄸杢湁䍁䅅䅊䙂䍁䅑免㉁䑁䅯䅊䉂䕁䅫䅊硁䑁䅙䅁千杂䅁杬䅁䍁䅣睗兂䡁䅉睢煂䝁䅕睙あ䍁䅁村祂䝁䅅䅡瑂䝁䅅䅣ㅂ䡁䅑杣桂䍁䅁兌杁䡁䅙杍㕁䍁䅁兌杁䝁䅑党楂䡁䅑杌㑂䝁䅷督㑂䙁䄰睑療䝁䄰䅣桂䝁䄴兡求䡁䅍䅉坂䝁䅅䅢ㅂ䝁䅅䅤灂䝁䄸杢湁䍁䅅䅊䙂䍁䅑免㍁䑁䅉杏歁䙁䅧䅊硁䑁䅣杍䅁䭁䝅䅁坃䅁䅁睊扂䙁䅁杣療䝁䅯党橂䡁䅑䅉䍂䡁䅉兙潂䝁䄰兙睂䡁䅕䅤祂䝁䅅䅉瑁䍁䅁杤祁䑁䅫䅉瑁䍁䅁䅚求䝁䅉䅤畁䡁䅧䅢穂䡁䅧兘䑂䝁䄸兢睂䝁䅅杢灂䝁䅕督杁䙁䅙兙獂䡁䅕兙あ䝁䅫睢畂䍁䅣光歁䕁䅕䅊硁䑁䅣睍㙁䍁䅑䅗歁䑁䅅睎穁䅁䅁杯䅙䩁䅧䅁湁䙁䅳䅕祂䝁䄸条求䝁䅍䅤杁䕁䅉杣桂䝁䅧兢桂䡁䅁兤あ䡁䅉兙杁䍁䄰䅉㉂䑁䅉兏杁䍁䄰䅉歂䝁䅕杙あ䍁䄴䅥獂䡁䅍䅥摂䕁䅍睢瑂䡁䅁兙畂䝁䅫党穂䍁䅁杖桂䝁䅷兤桂䡁䅑兡療䝁䄴睊桁䍁䅑兒歁䑁䅉免㕁䑁䅯䅊䉂䕁䅫䅊祁䑁䅅兏䅁䭁䝕䅁奃䅁䅁睊扂䙁䅁杣療䝁䅯党橂䡁䅑䅉䍂䡁䅉兙潂䝁䄰兙睂䡁䅕䅤祂䝁䅅䅉瑁䍁䅁杤祁䑁䅫䅉瑁䍁䅁䅚求䝁䅉䅤畁䡁䅧䅢穂䡁䅧兘䑂䝁䄸兢睂䝁䅅杢灂䝁䅕督杁䙁䅙兙獂䡁䅕兙あ䝁䅫睢畂䍁䅣光歁䕁䅕䅊祁䑁䅉䅍㙁䍁䅑兑䩂䍁䅑杍祁䑁䅁䅁浃杂䅁杬䅁䍁䅣睗兂䡁䅉睢煂䝁䅕睙あ䍁䅁村祂䝁䅅䅡瑂䝁䅅䅣ㅂ䡁䅑杣桂䍁䅁兌杁䡁䅙杍㕁䍁䅁兌杁䝁䅑党楂䡁䅑杌㑂䝁䅷督㑂䙁䄰睑療䝁䄰䅣桂䝁䄴兡求䡁䅍䅉坂䝁䅅䅢ㅂ䝁䅅䅤灂䝁䄸杢湁䍁䅅䅊䙂䍁䅑杍ぁ䑁䅅杏歁䙁䅧䅊祁䑁䅑免䅁䭁䝫䅁坃䅁䅁睊扂䙁䅁杣療䝁䅯党橂䡁䅑䅉䍂䡁䅉兙潂䝁䄰兙睂䡁䅕䅤祂䝁䅅䅉瑁䍁䅁杤祁䑁䅫䅉瑁䍁䅁䅚求䝁䅉䅤畁䡁䅧䅢穂䡁䅧兘䑂䝁䄸兢睂䝁䅅杢灂䝁䅕督杁䙁䅙兙獂䡁䅕兙あ䝁䅫睢畂䍁䅣光歁䕁䅕䅊祁䑁䅑杍㙁䍁䅑䅗歁䑁䅉䅎祁䅁䅁東䅙䩁䅧䅁湁䙁䅳䅕祂䝁䄸条求䝁䅍䅤杁䕁䅉杣桂䝁䅧兢桂䡁䅁兤あ䡁䅉兙杁䍁䄰䅉㉂䑁䅉兏杁䍁䄰䅉歂䝁䅕杙あ䍁䄴䅥獂䡁䅍䅥摂䕁䅍睢瑂䡁䅁兙畂䝁䅫党穂䍁䅁杖桂䝁䅷兤桂䡁䅑兡療䝁䄴睊桁䍁䅑兒歁䑁䅉睎睁䑁䅯䅊䉂䕁䅫䅊祁䑁䅣䅍䅁䭁䜰䅁奃䅁䅁睊扂䙁䅁杣療䝁䅯党橂䡁䅑䅉䍂䡁䅉兙潂䝁䄰兙睂䡁䅕䅤祂䝁䅅䅉瑁䍁䅁杤祁䑁䅫䅉瑁䍁䅁䅚求䝁䅉䅤畁䡁䅧䅢穂䡁䅧兘䑂䝁䄸兢睂䝁䅅杢灂䝁䅕督杁䙁䅙兙獂䡁䅕兙あ䝁䅫睢畂䍁䅣光歁䕁䅕䅊祁䑁䅣免㙁䍁䅑兑䩂䍁䅑杍㍁䑁䅅䅁畃杂䅁杬䅁䍁䅣睗兂䡁䅉睢煂䝁䅕睙あ䍁䅁村祂䝁䅅䅡瑂䝁䅅䅣ㅂ䡁䅑杣桂䍁䅁兌杁䡁䅙杍㕁䍁䅁兌杁䝁䅑党楂䡁䅑杌㑂䝁䅷督㑂䙁䄰睑療䝁䄰䅣桂䝁䄴兡求䡁䅍䅉坂䝁䅅䅢ㅂ䝁䅅䅤灂䝁䄸杢湁䍁䅅䅊䙂䍁䅑杍㕁䑁䅅杏歁䙁䅧䅊祁䑁䅫免䅁䥁䝅䅁坃䅁䅁睊扂䙁䅁杣療䝁䅯党橂䡁䅑䅉䍂䡁䅉兙潂䝁䄰兙睂䡁䅕䅤祂䝁䅅䅉瑁䍁䅁杤祁䑁䅫䅉瑁䍁䅁䅚求䝁䅉䅤畁䡁䅧䅢穂䡁䅧兘䑂䝁䄸兢睂䝁䅅杢灂䝁䅕督杁䙁䅙兙獂䡁䅕兙あ䝁䅫睢畂䍁䅣光歁䕁䅕䅊祁䑁䅫杍㙁䍁䅑䅗歁䑁䅉兏祁䅁䅁杧䅙䩁䅧䅁湁䙁䅳䅕祂䝁䄸条求䝁䅍䅤杁䕁䅉杣桂䝁䅧兢桂䡁䅁兤あ䡁䅉兙杁䍁䄰䅉㉂䑁䅉兏杁䍁䄰䅉歂䝁䅕杙あ䍁䄴䅥獂䡁䅍䅥摂䕁䅍睢瑂䡁䅁兙畂䝁䅫党穂䍁䅁杖桂䝁䅷兤桂䡁䅑兡療䝁䄴睊桁䍁䅑兒歁䑁䅍䅎睁䑁䅯䅊䉂䕁䅫䅊穁䑁䅑䅍䅁䥁䝕䅁奃䅁䅁睊扂䙁䅁杣療䝁䅯党橂䡁䅑䅉䍂䡁䅉兙潂䝁䄰兙睂䡁䅕䅤祂䝁䅅䅉瑁䍁䅁杤祁䑁䅫䅉瑁䍁䅁䅚求䝁䅉䅤畁䡁䅧䅢穂䡁䅧兘䑂䝁䄸兢睂䝁䅅杢灂䝁䅕督杁䙁䅙兙獂䡁䅕兙あ䝁䅫睢畂䍁䅣光歁䕁䅕䅊穁䑁䅑免㙁䍁䅑兑䩂䍁䅑睍ぁ䑁䅅䅁䝃杂䅁杬䅁䍁䅣睗兂䡁䅉睢煂䝁䅕睙あ䍁䅁村祂䝁䅅䅡瑂䝁䅅䅣ㅂ䡁䅑杣桂䍁䅁兌杁䡁䅙杍㕁䍁䅁兌杁䝁䅑党楂䡁䅑杌㑂䝁䅷督㑂䙁䄰睑療䝁䄰䅣桂䝁䄴兡求䡁䅍䅉坂䝁䅅䅢ㅂ䝁䅅䅤灂䝁䄸杢湁䍁䅅䅊䙂䍁䅑睍ㅁ䑁䅫杏歁䙁䅧䅊穁䑁䅕兏䅁䱁䝅䅁坃䅁䅁睊扂䙁䅁杣療䝁䅯党橂䡁䅑䅉䍂䡁䅉兙潂䝁䄰兙睂䡁䅕䅤祂䝁䅅䅉瑁䍁䅁杤祁䑁䅫䅉瑁䍁䅁䅚求䝁䅉䅤畁䡁䅧䅢穂䡁䅧兘䑂䝁䄸兢睂䝁䅅杢灂䝁䅕督杁䙁䅙兙獂䡁䅕兙あ䝁䅫睢畂䍁䅣光歁䕁䅕䅊穁䑁䅙䅍㙁䍁䅑䅗歁䑁䅍李睁䅁䅁杳䅙䩁䅉䅁湁䙁䅳䅕祂䝁䄸条求䝁䅍䅤杁䕁䅉杣桂䝁䅧兢桂䡁䅁兤あ䡁䅉兙杁䍁䄰䅉㉂䑁䅉兏杁䍁䄰䅉歂䝁䅕杙あ䍁䄴䅥獂䡁䅍䅥摂䕁䅍睢瑂䡁䅁兙畂䝁䅫党穂䍁䅁杖桂䝁䅷兤桂䡁䅑兡療䝁䄴睊桁䍁䅑兒歁䑁䅑免㙁䍁䅑䅗歁䑁䅑免䅁䩁䝕䅁千䅁䅁睊扂䙁䅁杣療䝁䅯党橂䡁䅑䅉䍂䡁䅉兙潂䝁䄰兙睂䡁䅕䅤祂䝁䅅䅉瑁䍁䅁杤祁䑁䅫䅉瑁䍁䅁䅚求䝁䅉䅤畁䡁䅧䅢穂䡁䅧兘䑂䝁䄸兢睂䝁䅅杢灂䝁䅕督杁䙁䅙兙獂䡁䅕兙あ䝁䅫睢畂䍁䅣光歁䕁䅕䅊ぁ䑁䅉杏歁䙁䅧䅊ぁ䑁䅉䅁坃杂䅁䅬䅁䍁䅣睗兂䡁䅉睢煂䝁䅕睙あ䍁䅁村祂䝁䅅䅡瑂䝁䅅䅣ㅂ䡁䅑杣桂䍁䅁兌杁䡁䅙杍㕁䍁䅁兌杁䝁䅑党楂䡁䅑杌㑂䝁䅷督㑂䙁䄰睑療䝁䄰䅣桂䝁䄴兡求䡁䅍䅉坂䝁䅅䅢ㅂ䝁䅅䅤灂䝁䄸杢湁䍁䅅䅊䙂䍁䅑睎㉁䑁䅯䅊䉂䕁䅫䅊㍁䑁䅙䅁婃杂䅁䅬䅁䍁䅣睗兂䡁䅉睢煂䝁䅕睙あ䍁䅁村祂䝁䅅䅡瑂䝁䅅䅣ㅂ䡁䅑杣桂䍁䅁兌杁䡁䅙杍㕁䍁䅁兌杁䝁䅑党楂䡁䅑杌㑂䝁䅷督㑂䙁䄰睑療䝁䄰䅣桂䝁䄴兡求䡁䅍䅉坂䝁䅅䅢ㅂ䝁䅅䅤灂䝁䄸杢湁䍁䅅䅊䙂䍁䅑睎㍁䑁䅯䅊䉂䕁䅫䅊㍁䑁䅣䅁慃杂䅁杫䅁䍁䅣睗兂䡁䅉睢煂䝁䅕睙あ䍁䅁村祂䝁䅅䅡瑂䝁䅅䅣ㅂ䡁䅑杣桂䍁䅁兌杁䡁䅙杍㕁䍁䅁兌杁䝁䅑党楂䡁䅑杌㑂䝁䅷督㑂䙁䄰睑療䝁䄰䅣桂䝁䄴兡求䡁䅍䅉坂䝁䅅䅢ㅂ䝁䅅䅤灂䝁䄸杢湁䍁䅅䅊䙂䍁䅑兏ㅁ䑁䅯䅊奂䍁䅑兏ㅁ䅁䅁兩䅙䩁䅉䅁湁䙁䅳䅕祂䝁䄸条求䝁䅍䅤杁䕁䅉杣桂䝁䅧兢桂䡁䅁兤あ䡁䅉兙杁䍁䄰䅉㉂䑁䅉兏杁䍁䄰䅉歂䝁䅕杙あ䍁䄴䅥獂䡁䅍䅥摂䕁䅍睢瑂䡁䅁兙畂䝁䅫党穂䍁䅁杖桂䝁䅷兤桂䡁䅑兡療䝁䄴睊桁䍁䅑兒歁䑁䅫李㙁䍁䅑䅗歁䑁䅫李䅁䥁䝯䅁䕃䅁䅁睊扂䙁䅁杣療䝁䅯党橂䡁䅑䅉䍂䡁䅉兙潂䝁䄰兙睂䡁䅕䅤祂䝁䅅䅉瑁䍁䅁杤祁䑁䅫䅉瑁䍁䅁䅚求䝁䅉䅤畁䡁䅧䅢穂䡁䅧兘兂䝁䄸杣あ䝁䅙睢獂䝁䅫睢杁䝁䅉杣求䝁䅅睡歂䝁䄸睤畂䍁䅣光歁䕁䅧䅊硁䅁䅁睩䅙䥁䄴䅁湁䙁䅳䅕祂䝁䄸条求䝁䅍䅤杁䕁䅉杣桂䝁䅧兢桂䡁䅁兤あ䡁䅉兙杁䍁䄰䅉㉂䑁䅉兏杁䍁䄰䅉歂䝁䅕杙あ䍁䄴䅥獂䡁䅍䅥摂䙁䅁睢祂䡁䅑杚療䝁䅷兡療䍁䅁杙祂䝁䅕兙牂䝁䅑睢㍂䝁䄴睊桁䍁䅑䅓歁䑁䅑杏歁䕁䅧䅊㑁䅁䅁䅪䅙䥁䄴䅁湁䙁䅳䅕祂䝁䄸条求䝁䅍䅤杁䕁䅉杣桂䝁䅧兢桂䡁䅁兤あ䡁䅉兙杁䍁䄰䅉㉂䑁䅉兏杁䍁䄰䅉歂䝁䅕杙あ䍁䄴䅥獂䡁䅍䅥摂䙁䅁睢祂䡁䅑杚療䝁䅷兡療䍁䅁杙祂䝁䅕兙牂䝁䅑睢㍂䝁䄴睊桁䍁䅑兓歁䑁䅅杏歁䕁䄰䅊硁䅁䅁兪䅙䥁䄴䅁湁䙁䅳䅕祂䝁䄸条求䝁䅍䅤杁䕁䅉杣桂䝁䅧兢桂䡁䅁兤あ䡁䅉兙杁䍁䄰䅉㉂䑁䅉兏杁䍁䄰䅉歂䝁䅕杙あ䍁䄴䅥獂䡁䅍䅥摂䙁䅁睢祂䡁䅑杚療䝁䅷兡療䍁䅁杙祂䝁䅕兙牂䝁䅑睢㍂䝁䄴睊桁䍁䅑兓歁䑁䅉杏歁䕁䄰䅊祁䅁䅁杪䅙䕁䅷䅁湁䙁䅳䅕祂䝁䄸条求䝁䅍䅤杁䕁䅉杣求䝁䄴䅤杁䍁䄰䅉㉂䑁䅧杌㑂䝁䅷督㑂䙁䄰村求䡁䅑杣湁䍁䅅䅊䕂䍁䅑睎硁䅁䅁杩䅍䙁䅧䅁湁䙁䅳䅕祂䝁䄸条求䝁䅍䅤杁䕁䅉杣求䝁䄴䅤杁䍁䄰䅉㉂䑁䅧杌㑂䝁䅷督㑂䙁䄰村求䡁䅑杣湁䍁䅅䅊䕂䍁䅑睎穁䑁䅯䅊䕂䍁䅑睎㍁䅁䅁睩䅍䕁䅷䅁湁䙁䅳䅕祂䝁䄸条求䝁䅍䅤杁䕁䅉杣求䝁䄴䅤杁䍁䄰䅉㉂䑁䅧杌㑂䝁䅷督㑂䙁䄰村求䡁䅑杣湁䍁䅅䅊䕂䍁䅑䅏㕁䅁䅁杪䅍䙁䅧䅁湁䙁䅳䅕祂䝁䄸条求䝁䅍䅤杁䕁䅉杣求䝁䄴䅤杁䍁䄰䅉㉂䑁䅧杌㑂䝁䅷督㑂䙁䄰村求䡁䅑杣湁䍁䅅䅊䕂䍁䅑兏祁䑁䅯䅊䕂䍁䅑兏㑁䅁䅁睪䅍䙁䅧䅁湁䙁䅳䅕祂䝁䄸条求䝁䅍䅤杁䕁䅉杣求䝁䄴䅤杁䍁䄰䅉㉂䑁䅧杌㑂䝁䅷督㑂䙁䄰村求䡁䅑杣湁䍁䅅䅊䙂䍁䅑睎硁䑁䅯䅊奂䍁䅑睎硁䅁䅁䅪䅍䙁䅧䅁湁䙁䅳䅕祂䝁䄸条求䝁䅍䅤杁䕁䅉杣求䝁䄴䅤杁䍁䄰䅉㉂䑁䅧杌㑂䝁䅷督㑂䙁䄰村求䡁䅑杣湁䍁䅅䅊䙂䍁䅑睎祁䑁䅯䅊奂䍁䅑睎祁䅁䅁兪䅍䙁䅧䅁湁䙁䅳䅕祂䝁䄸条求䝁䅍䅤杁䕁䅉杣求䝁䄴䅤杁䍁䄰䅉㉂䑁䅧杌㑂䝁䅷督㑂䙁䄰村求䡁䅑杣湁䍁䅅䅊䙂䍁䅑䅏㕁䑁䅯䅊奂䍁䅑䅏㕁䅁䅁䅫䅍䙁䅧䅁湁䙁䅳䅕祂䝁䄸条求䝁䅍䅤杁䕁䅉杣求䝁䄴䅤杁䍁䄰䅉㉂䑁䅧杌㑂䝁䅷督㑂䙁䄰村求䡁䅑杣湁䍁䅅䅊䙂䍁䅑兏睁䑁䅯䅊奂䍁䅑兏睁䅁䅁八䅍䙁䅧䅁湁䙁䅳䅕祂䝁䄸条求䝁䅍䅤杁䕁䅉杣求䝁䄴䅤杁䍁䄰䅉㉂䑁䅧杌㑂䝁䅷督㑂䙁䄰睑療䝁䄸睡杁䙁䅕杢灂䡁䅑入湁䍁䅅䅊䕂䍁䅑睎硁䅁䅁杧䅍䝁䅑䅁湁䙁䅳䅕祂䝁䄸条求䝁䅍䅤杁䕁䅉杣求䝁䄴䅤杁䍁䄰䅉㉂䑁䅧杌㑂䝁䅷督㑂䙁䄰睑療䝁䄸睡杁䙁䅕杢灂䡁䅑入湁䍁䅅䅊䕂䍁䅑睎穁䑁䅯䅊䕂䍁䅑睎㕁䅁䅁睧䅍䙁䅧䅁湁䙁䅳䅕祂䝁䄸条求䝁䅍䅤杁䕁䅉杣求䝁䄴䅤杁䍁䄰䅉㉂䑁䅧杌㑂䝁䅷督㑂䙁䄰睑療䝁䄸睡杁䙁䅕杢灂䡁䅑入湁䍁䅅䅊䕂䍁䅑兏硁䅁䅁来䅍䝁䅑䅁湁䙁䅳䅕祂䝁䄸条求䝁䅍䅤杁䕁䅉杣求䝁䄴䅤杁䍁䄰䅉㉂䑁䅧杌㑂䝁䅷督㑂䙁䄰睑療䝁䄸睡杁䙁䅕杢灂䡁䅑入湁䍁䅅䅊䕂䍁䅑兏ぁ䑁䅯䅊䕂䍁䅑兏㉁䅁䅁睥䅍䝁䅙䅁湁䙁䅳䅕祂䝁䄸条求䝁䅍䅤杁䕁䅉杣求䝁䄴䅤杁䍁䄰䅉㉂䑁䅧杌㑂䝁䅷督㑂䙁䄰睑療䝁䄸睡杁䙁䅕杢灂䡁䅑入湁䍁䅅䅊䙂䍁䅑睎硁䑁䅯䅊䉂䕁䅫䅊㍁䑁䅅䅁䕃睁䅁杚䅁䍁䅣睗兂䡁䅉睢煂䝁䅕睙あ䍁䅁村祂䝁䅕杢あ䍁䅁兌杁䡁䅙䅏畁䡁䅧䅢穂䡁䅧兘䑂䝁䄸睢牂䍁䅁兖畂䝁䅫䅤㕂䍁䅣光歁䕁䅕䅊㍁䑁䅉杏歁䕁䅅兓歁䑁䅣杍䅁䥁䑕䅁歂䅁䅁睊扂䙁䅁杣療䝁䅯党橂䡁䅑䅉䍂䡁䅉党畂䡁䅑䅉瑁䍁䅁杤㑁䍁䄴䅥獂䡁䅍䅥摂䕁䅍睢療䝁䅳䅉噂䝁䄴兡あ䡁䅫睊桁䍁䅑兒歁䑁䅫免㙁䍁䅑䅗歁䑁䅫免䅁䡁䑷䅁歂䅁䅁睊扂䙁䅁杣療䝁䅯党橂䡁䅑䅉䍂䡁䅉党畂䡁䅑䅉瑁䍁䅁杤㑁䍁䄴䅥獂䡁䅍䅥摂䕁䅍睢療䝁䅳䅉噂䝁䄴兡あ䡁䅫睊桁䍁䅑兒歁䑁䅫杍㙁䍁䅑䅗歁䑁䅫杍䅁䡁䐰䅁佂䅁䅁睊扂䙁䅁杣療䝁䅯党橂䡁䅑䅉䍂䡁䅉党畂䡁䅑䅉瑁䍁䅁杤㑁䍁䄴䅥獂䡁䅍䅥摂䕁䅍兤祂䡁䅙党湁䍁䅅䅊䕂䍁䅑睎硁䅁䅁東䅍䙁䅯䅁湁䙁䅳䅕祂䝁䄸条求䝁䅍䅤杁䕁䅉杣求䝁䄴䅤杁䍁䄰䅉㉂䑁䅧杌㑂䝁䅷督㑂䙁䄰睑ㅂ䡁䅉杤求䍁䅣光歁䕁䅑䅊㍁䑁䅍杏歁䕁䅑䅊㍁䑁䅫䅁牃睁䅁杔䅁䍁䅣睗兂䡁䅉睢煂䝁䅕睙あ䍁䅁村祂䝁䅕杢あ䍁䅁兌杁䡁䅙䅏畁䡁䅧䅢穂䡁䅧兘䑂䡁䅕杣㉂䝁䅕睊桁䍁䅑䅒歁䑁䅫免䅁䡁䑉䅁慂䅁䅁睊扂䙁䅁杣療䝁䅯党橂䡁䅑䅉䍂䡁䅉党畂䡁䅑䅉瑁䍁䅁杤㑁䍁䄴䅥獂䡁䅍䅥摂䕁䅍兤祂䡁䅙党湁䍁䅅䅊䕂䍁䅑兏ぁ䑁䅯䅊䕂䍁䅑兏㍁䅁䅁督䅍䙁䅷䅁湁䙁䅳䅕祂䝁䄸条求䝁䅍䅤杁䕁䅉杣求䝁䄴䅤杁䍁䄰䅉㉂䑁䅧杌㑂䝁䅷督㑂䙁䄰睑ㅂ䡁䅉杤求䍁䅣光歁䕁䅕䅊㍁䑁䅅杏歁䕁䅅兓歁䑁䅣免䅁䭁䑷䅁捂䅁䅁睊扂䙁䅁杣療䝁䅯党橂䡁䅑䅉䍂䡁䅉党畂䡁䅑䅉瑁䍁䅁杤㑁䍁䄴䅥獂䡁䅍䅥摂䕁䅍兤祂䡁䅙党湁䍁䅅䅊䙂䍁䅑睎祁䑁䅯䅊䉂䕁䅫䅊㍁䑁䅉䅁瑃睁䅁杗䅁䍁䅣睗兂䡁䅉睢煂䝁䅕睙あ䍁䅁村祂䝁䅕杢あ䍁䅁兌杁䡁䅙䅏畁䡁䅧䅢穂䡁䅧兘䑂䡁䅕杣㉂䝁䅕睊桁䍁䅑兒歁䑁䅫免㙁䍁䅑䅗歁䑁䅫免䅁䡁䑑䅁慂䅁䅁睊扂䙁䅁杣療䝁䅯党橂䡁䅑䅉䍂䡁䅉党畂䡁䅑䅉瑁䍁䅁杤㑁䍁䄴䅥獂䡁䅍䅥摂䕁䅍兤祂䡁䅙党湁䍁䅅䅊䙂䍁䅑兏祁䑁䅯䅊奂䍁䅑兏祁䅁䅁兤䅍䕁䄴䅁湁䙁䅳䅕祂䝁䄸条求䝁䅍䅤杁䕁䅉杣求䝁䄴䅤杁䍁䄰䅉㉂䑁䅧杌㑂䝁䅷督㑂䙁䄰兒㕂䡁䅉兤穂䍁䅣光歁䕁䅑䅊㍁䑁䅅䅁祃睁䅁杗䅁䍁䅣睗兂䡁䅉睢煂䝁䅕睙あ䍁䅁村祂䝁䅕杢あ䍁䅁兌杁䡁䅙䅏畁䡁䅧䅢穂䡁䅧兘䙂䡁䅫杣ㅂ䡁䅍睊桁䍁䅑䅒歁䑁䅣睍㙁䍁䅑䅒歁䑁䅣睎䅁䱁䑍䅁佂䅁䅁睊扂䙁䅁杣療䝁䅯党橂䡁䅑䅉䍂䡁䅉党畂䡁䅑䅉瑁䍁䅁杤㑁䍁䄴䅥獂䡁䅍䅥摂䕁䅕入祂䡁䅕督湁䍁䅅䅊䕂䍁䅑䅏㕁䅁䅁杴䅍䙁䅯䅁湁䙁䅳䅕祂䝁䄸条求䝁䅍䅤杁䕁䅉杣求䝁䄴䅤杁䍁䄰䅉㉂䑁䅧杌㑂䝁䅷督㑂䙁䄰兒㕂䡁䅉兤穂䍁䅣光歁䕁䅑䅊㕁䑁䅉杏歁䕁䅑䅊㕁䑁䅧䅁㍃睁䅁䅘䅁䍁䅣睗兂䡁䅉睢煂䝁䅕睙あ䍁䅁村祂䝁䅕杢あ䍁䅁兌杁䡁䅙䅏畁䡁䅧䅢穂䡁䅧兘䙂䡁䅫杣ㅂ䡁䅍睊桁䍁䅑兒歁䑁䅣免㙁䍁䅑兑䩂䍁䅑睎硁䅁䅁䅴䅍䙁䅷䅁湁䙁䅳䅕祂䝁䄸条求䝁䅍䅤杁䕁䅉杣求䝁䄴䅤杁䍁䄰䅉㉂䑁䅧杌㑂䝁䅷督㑂䙁䄰兒㕂䡁䅉兤穂䍁䅣光歁䕁䅕䅊㍁䑁䅉杏歁䕁䅅兓歁䑁䅣杍䅁䱁䑕䅁慂䅁䅁睊扂䙁䅁杣療䝁䅯党橂䡁䅑䅉䍂䡁䅉党畂䡁䅑䅉瑁䍁䅁杤㑁䍁䄴䅥獂䡁䅍䅥摂䕁䅕入祂䡁䅕督湁䍁䅅䅊䙂䍁䅑䅏㕁䑁䅯䅊奂䍁䅑䅏㕁䅁䅁䅵䅍䙁䅯䅁湁䙁䅳䅕祂䝁䄸条求䝁䅍䅤杁䕁䅉杣求䝁䄴䅤杁䍁䄰䅉㉂䑁䅧杌㑂䝁䅷督㑂䙁䄰兒㕂䡁䅉兤穂䍁䅣光歁䕁䅕䅊㕁䑁䅁杏歁䙁䅧䅊㕁䑁䅁䅁㕃睁䅁杗䅁䍁䅣睗兂䡁䅉睢煂䝁䅕睙あ䍁䅁村祂䝁䅕杢あ䍁䅁兌杁䡁䅙䅏畁䡁䅧䅢穂䡁䅧兘佂䝁䄸杤療䡁䅁兙㕂䝁䄰党畂䡁䅑睊桁䍁䅑䅒歁䑁䅣免䅁䭁䐴䅁浂䅁䅁睊扂䙁䅁杣療䝁䅯党橂䡁䅑䅉䍂䡁䅉党畂䡁䅑䅉瑁䍁䅁杤㑁䍁䄴䅥獂䡁䅍䅥摂䕁䄴睢㉂䝁䄸䅣桂䡁䅫兢求䝁䄴䅤湁䍁䅅䅊䕂䍁䅑睎穁䑁䅯䅊䕂䍁䅑䅏睁䅁䅁睲䅍䙁䅯䅁湁䙁䅳䅕祂䝁䄸条求䝁䅍䅤杁䕁䅉杣求䝁䄴䅤杁䍁䄰䅉㉂䑁䅧杌㑂䝁䅷督㑂䙁䄰杔療䡁䅙睢睂䝁䅅入瑂䝁䅕杢あ䍁䅣光歁䕁䅑䅊㕁䑁䅉䅁慃睁䅁杚䅁䍁䅣睗兂䡁䅉睢煂䝁䅕睙あ䍁䅁村祂䝁䅕杢あ䍁䅁兌杁䡁䅙䅏畁䡁䅧䅢穂䡁䅧兘佂䝁䄸杤療䡁䅁兙㕂䝁䄰党畂䡁䅑睊桁䍁䅑䅒歁䑁䅫兎㙁䍁䅑䅒歁䑁䅫䅏䅁䩁䑳䅁潂䅁䅁睊扂䙁䅁杣療䝁䅯党橂䡁䅑䅉䍂䡁䅉党畂䡁䅑䅉瑁䍁䅁杤㑁䍁䄴䅥獂䡁䅍䅥摂䕁䄴睢㉂䝁䄸䅣桂䡁䅫兢求䝁䄴䅤湁䍁䅅䅊䙂䍁䅑睎硁䑁䅯䅊䉂䕁䅫䅊㍁䑁䅅䅁睃睁䅁䅡䅁䍁䅣睗兂䡁䅉睢煂䝁䅕睙あ䍁䅁村祂䝁䅕杢あ䍁䅁兌杁䡁䅙䅏畁䡁䅧䅢穂䡁䅧兘佂䝁䄸杤療䡁䅁兙㕂䝁䄰党畂䡁䅑睊桁䍁䅑兒歁䑁䅣杍㙁䍁䅑兑䩂䍁䅑睎祁䅁䅁关䅍䝁䅙䅁湁䙁䅳䅕祂䝁䄸条求䝁䅍䅤杁䕁䅉杣求䝁䄴䅤杁䍁䄰䅉㉂䑁䅧杌㑂䝁䅷督㑂䙁䄰杔療䡁䅙睢睂䝁䅅入瑂䝁䅕杢あ䍁䅣光歁䕁䅕䅊㕁䑁䅉杏歁䙁䅧䅊㕁䑁䅉䅁捃睁䅁杚䅁䍁䅣睗兂䡁䅉睢煂䝁䅕睙あ䍁䅁村祂䝁䅕杢あ䍁䅁兌杁䡁䅙䅏畁䡁䅧䅢穂䡁䅧兘佂䝁䄸杤療䡁䅁兙㕂䝁䄰党畂䡁䅑睊桁䍁䅑兒歁䑁䅫睍㙁䍁䅑䅗歁䑁䅫睍䅁䩁䐰䅁奂䅁䅁睊扂䙁䅁杣療䝁䅯党橂䡁䅑䅉䍂䡁䅉党畂䡁䅑䅉瑁䍁䅁杤㑁䍁䄴䅥獂䡁䅍䅥摂䙁䅉党橂䝁䅅杣湂䝁䅅䅣桂䡁䅫睊桁䍁䅑䅒歁䑁䅣免䅁䡁䑙䅁歂䅁䅁睊扂䙁䅁杣療䝁䅯党橂䡁䅑䅉䍂䡁䅉党畂䡁䅑䅉瑁䍁䅁杤㑁䍁䄴䅥獂䡁䅍䅥摂䙁䅉党橂䝁䅅杣湂䝁䅅䅣桂䡁䅫睊桁䍁䅑䅒歁䑁䅣睍㙁䍁䅑䅒歁䑁䅣兏䅁䡁䑣䅁奂䅁䅁睊扂䙁䅁杣療䝁䅯党橂䡁䅑䅉䍂䡁䅉党畂䡁䅑䅉瑁䍁䅁杤㑁䍁䄴䅥獂䡁䅍䅥摂䙁䅉党橂䝁䅅杣湂䝁䅅䅣桂䡁䅫睊桁䍁䅑䅒歁䑁䅫免䅁䩁䑉䅁歂䅁䅁睊扂䙁䅁杣療䝁䅯党橂䡁䅑䅉䍂䡁䅉党畂䡁䅑䅉瑁䍁䅁杤㑁䍁䄴䅥獂䡁䅍䅥摂䙁䅉党橂䝁䅅杣湂䝁䅅䅣桂䡁䅫睊桁䍁䅑䅒歁䑁䅫䅎㙁䍁䅑䅒歁䑁䅫睎䅁䩁䑍䅁浂䅁䅁睊扂䙁䅁杣療䝁䅯党橂䡁䅑䅉䍂䡁䅉党畂䡁䅑䅉瑁䍁䅁杤㑁䍁䄴䅥獂䡁䅍䅥摂䙁䅉党橂䝁䅅杣湂䝁䅅䅣桂䡁䅫睊桁䍁䅑兒歁䑁䅣免㙁䍁䅑兑䩂䍁䅑睎硁䅁䅁䅥䅍䝁䅙䅁湁䙁䅳䅕祂䝁䄸条求䝁䅍䅤杁䕁䅉杣求䝁䄴䅤杁䍁䄰䅉㉂䑁䅧杌㑂䝁䅷督㑂䙁䄰杕求䝁䅍兙祂䝁䅣兙睂䝁䅅入湁䍁䅅䅊䙂䍁䅑睎祁䑁䅯䅊䉂䕁䅫䅊㍁䑁䅉䅁㕂睁䅁䅚䅁䍁䅣睗兂䡁䅉睢煂䝁䅕睙あ䍁䅁村祂䝁䅕杢あ䍁䅁兌杁䡁䅙䅏畁䡁䅧䅢穂䡁䅧兘卂䝁䅕睙桂䡁䅉睚桂䡁䅁兙㕂䍁䅣光歁䕁䅕䅊㕁䑁䅅杏歁䙁䅧䅊㕁䑁䅅䅁啃睁䅁䅚䅁䍁䅣睗兂䡁䅉睢煂䝁䅕睙あ䍁䅁村祂䝁䅕杢あ䍁䅁兌杁䡁䅙䅏畁䡁䅧䅢穂䡁䅧兘卂䝁䅕睙桂䡁䅉睚桂䡁䅁兙㕂䍁䅣光歁䕁䅕䅊㕁䑁䅉杏歁䙁䅧䅊㕁䑁䅉䅁噃睁䅁䅗䅁䍁䅣睗兂䡁䅉睢煂䝁䅕睙あ䍁䅁村祂䝁䅕杢あ䍁䅁兌杁䡁䅙䅏畁䡁䅧䅢穂䡁䅧兘呂䝁䄸兤畂䝁䅑䅤祂䝁䅅睙牂䍁䅣光歁䕁䅑䅊㍁䑁䅅䅁敃睁䅁䅚䅁䍁䅣睗兂䡁䅉睢煂䝁䅕睙あ䍁䅁村祂䝁䅕杢あ䍁䅁兌杁䡁䅙䅏畁䡁䅧䅢穂䡁䅧兘呂䝁䄸兤畂䝁䅑䅤祂䝁䅅睙牂䍁䅣光歁䕁䅑䅊㍁䑁䅍杏歁䕁䅑䅊㍁䑁䅧䅁晃睁䅁䅗䅁䍁䅣睗兂䡁䅉睢煂䝁䅕睙あ䍁䅁村祂䝁䅕杢あ䍁䅁兌杁䡁䅙䅏畁䡁䅧䅢穂䡁䅧兘呂䝁䄸兤畂䝁䅑䅤祂䝁䅅睙牂䍁䅣光歁䕁䅑䅊㕁䑁䅁䅁䝃睁䅁䅚䅁䍁䅣睗兂䡁䅉睢煂䝁䅕睙あ䍁䅁村祂䝁䅕杢あ䍁䅁兌杁䡁䅙䅏畁䡁䅧䅢穂䡁䅧兘呂䝁䄸兤畂䝁䅑䅤祂䝁䅅睙牂䍁䅣光歁䕁䅑䅊㕁䑁䅍杏歁䕁䅑䅊㕁䑁䅙䅁䡃睁䅁杚䅁䍁䅣睗兂䡁䅉睢煂䝁䅕睙あ䍁䅁村祂䝁䅕杢あ䍁䅁兌杁䡁䅙䅏畁䡁䅧䅢穂䡁䅧兘呂䝁䄸兤畂䝁䅑䅤祂䝁䅅睙牂䍁䅣光歁䕁䅕䅊㍁䑁䅅杏歁䕁䅅兓歁䑁䅣免䅁䭁䑁䅁浂䅁䅁睊扂䙁䅁杣療䝁䅯党橂䡁䅑䅉䍂䡁䅉党畂䡁䅑䅉瑁䍁䅁杤㑁䍁䄴䅥獂䡁䅍䅥摂䙁䅍睢ㅂ䝁䄴䅚あ䡁䅉兙橂䝁䅳睊桁䍁䅑兒歁䑁䅣杍㙁䍁䅑兑䩂䍁䅑睎祁䅁䅁兯䅍䝁䅑䅁湁䙁䅳䅕祂䝁䄸条求䝁䅍䅤杁䕁䅉杣求䝁䄴䅤杁䍁䄰䅉㉂䑁䅧杌㑂䝁䅷督㑂䙁䄰睕療䡁䅕杢歂䡁䅑杣桂䝁䅍睡湁䍁䅅䅊䙂䍁䅑兏睁䑁䅯䅊奂䍁䅑兏睁䅁䅁䅩䅍䝁䅑䅁湁䙁䅳䅕祂䝁䄸条求䝁䅍䅤杁䕁䅉杣求䝁䄴䅤杁䍁䄰䅉㉂䑁䅧杌㑂䝁䅷督㑂䙁䄰睕療䡁䅕杢歂䡁䅑杣桂䝁䅍睡湁䍁䅅䅊䙂䍁䅑兏硁䑁䅯䅊奂䍁䅑兏硁䅁䅁兩䅍䙁䅉䅁湁䙁䅳䅕祂䝁䄸条求䝁䅍䅤杁䕁䅉杣求䝁䄴䅤杁䍁䄰䅉㉂䑁䅧杌㑂䝁䅷督㑂䙁䄰䅖桂䡁䅧杚㕂䝁䅷党湁䍁䅅䅊䕂䍁䅑睎硁䅁䅁杯䅍䙁䄴䅁湁䙁䅳䅕祂䝁䄸条求䝁䅍䅤杁䕁䅉杣求䝁䄴䅤杁䍁䄰䅉㉂䑁䅧杌㑂䝁䅷督㑂䙁䄰䅖桂䡁䅧杚㕂䝁䅷党湁䍁䅅䅊䕂䍁䅑睎穁䑁䅯䅊䕂䍁䅑睎㕁䅁䅁睯䅍䙁䅉䅁湁䙁䅳䅕祂䝁䄸条求䝁䅍䅤杁䕁䅉杣求䝁䄴䅤杁䍁䄰䅉㉂䑁䅧杌㑂䝁䅷督㑂䙁䄰䅖桂䡁䅧杚㕂䝁䅷党湁䍁䅅䅊䕂䍁䅑兏硁䅁䅁杰䅍䙁䄴䅁湁䙁䅳䅕祂䝁䄸条求䝁䅍䅤杁䕁䅉杣求䝁䄴䅤杁䍁䄰䅉㉂䑁䅧杌㑂䝁䅷督㑂䙁䄰䅖桂䡁䅧杚㕂䝁䅷党湁䍁䅅䅊䕂䍁䅑兏ぁ䑁䅯䅊䕂䍁䅑兏㕁䅁䅁睰䅍䝁䅁䅁湁䙁䅳䅕祂䝁䄸条求䝁䅍䅤杁䕁䅉杣求䝁䄴䅤杁䍁䄰䅉㉂䑁䅧杌㑂䝁䅷督㑂䙁䄰䅖桂䡁䅧杚㕂䝁䅷党湁䍁䅅䅊䙂䍁䅑睎硁䑁䅯䅊䉂䕁䅫䅊㍁䑁䅅䅁歃睁䅁䅙䅁䍁䅣睗兂䡁䅉睢煂䝁䅕睙あ䍁䅁村祂䝁䅕杢あ䍁䅁兌杁䡁䅙䅏畁䡁䅧䅢穂䡁䅧兘啂䝁䅅䅥浂䡁䅫䅢求䍁䅣光歁䕁䅕䅊㍁䑁䅉杏歁䕁䅅兓歁䑁䅣杍䅁䭁䑕䅁敂䅁䅁睊扂䙁䅁杣療䝁䅯党橂䡁䅑䅉䍂䡁䅉党畂䡁䅑䅉瑁䍁䅁杤㑁䍁䄴䅥獂䡁䅍䅥摂䙁䅑兙㑂䝁䅙入獂䝁䅕睊桁䍁䅑兒歁䑁䅫免㙁䍁䅑䅗歁䑁䅫免䅁䭁䑧䅁敂䅁䅁睊扂䙁䅁杣療䝁䅯党橂䡁䅑䅉䍂䡁䅉党畂䡁䅑䅉瑁䍁䅁杤㑁䍁䄴䅥獂䡁䅍䅥摂䙁䅑兙㑂䝁䅙入獂䝁䅕睊桁䍁䅑兒歁䑁䅫杍㙁䍁䅑䅗歁䑁䅫杍䅁䭁䑫䅁啂䅁䅁睊扂䙁䅁杣療䝁䅯党橂䡁䅑䅉䍂䡁䅉党畂䡁䅑䅉瑁䍁䅁杤㑁䍁䄴䅥獂䡁䅍䅥摂䙁䅕杙灂䝁䅍兣ㅂ䝁䅫兙湁䍁䅅䅊䕂䍁䅑睎硁䅁䅁杦䅍䝁䅁䅁湁䙁䅳䅕祂䝁䄸条求䝁䅍䅤杁䕁䅉杣求䝁䄴䅤杁䍁䄰䅉㉂䑁䅧杌㑂䝁䅷督㑂䙁䄰兖楂䝁䅫睙硂䡁䅕兡桂䍁䅣光歁䕁䅑䅊㍁䑁䅍杏歁䕁䅑䅊㍁䑁䅫䅁⽂睁䅁䅖䅁䍁䅣睗兂䡁䅉睢煂䝁䅕睙あ䍁䅁村祂䝁䅕杢あ䍁䅁兌杁䡁䅙䅏畁䡁䅧䅢穂䡁䅧兘噂䝁䅉兡橂䡁䅅兤灂䝁䅅睊桁䍁䅑䅒歁䑁䅫免䅁䩁䑙䅁杂䅁䅁睊扂䙁䅁杣療䝁䅯党橂䡁䅑䅉䍂䡁䅉党畂䡁䅑䅉瑁䍁䅁杤㑁䍁䄴䅥獂䡁䅍䅥摂䙁䅕杙灂䝁䅍兣ㅂ䝁䅫兙湁䍁䅅䅊䕂䍁䅑兏ぁ䑁䅯䅊䕂䍁䅑兏㑁䅁䅁睬䅍䝁䅉䅁湁䙁䅳䅕祂䝁䄸条求䝁䅍䅤杁䕁䅉杣求䝁䄴䅤杁䍁䄰䅉㉂䑁䅧杌㑂䝁䅷督㑂䙁䄰兖楂䝁䅫睙硂䡁䅕兡桂䍁䅣光歁䕁䅕䅊㍁䑁䅅杏歁䕁䅅兓歁䑁䅣免䅁䥁䑁䅁楂䅁䅁睊扂䙁䅁杣療䝁䅯党橂䡁䅑䅉䍂䡁䅉党畂䡁䅑䅉瑁䍁䅁杤㑁䍁䄴䅥獂䡁䅍䅥摂䙁䅕杙灂䝁䅍兣ㅂ䝁䅫兙湁䍁䅅䅊䙂䍁䅑睎祁䑁䅯䅊䉂䕁䅫䅊㍁䑁䅉䅁䉃睁䅁䅙䅁䍁䅣睗兂䡁䅉睢煂䝁䅕睙あ䍁䅁村祂䝁䅕杢あ䍁䅁兌杁䡁䅙䅏畁䡁䅧䅢穂䡁䅧兘噂䝁䅉兡橂䡁䅅兤灂䝁䅅睊桁䍁䅑兒歁䑁䅫免㙁䍁䅑䅗歁䑁䅫免䅁䩁䑧䅁杂䅁䅁睊扂䙁䅁杣療䝁䅯党橂䡁䅑䅉䍂䡁䅉党畂䡁䅑䅉瑁䍁䅁杤㑁䍁䄴䅥獂䡁䅍䅥摂䙁䅕杙灂䝁䅍兣ㅂ䝁䅫兙湁䍁䅅䅊䙂䍁䅑兏祁䑁䅯䅊奂䍁䅑兏祁䅁䅁六䅍䕁䅷䅁湁䙁䅳䅕祂䝁䄸条求䝁䅍䅤杁䕁䅉杣求䝁䄴䅤杁䍁䄰䅉㉂䑁䅫杌㑂䝁䅷督㑂䙁䄰村求䡁䅑杣湁䍁䅅䅊䕂䍁䅑睎硁䅁䅁朰䅍䙁䅧䅁湁䙁䅳䅕祂䝁䄸条求䝁䅍䅤杁䕁䅉杣求䝁䄴䅤杁䍁䄰䅉㉂䑁䅫杌㑂䝁䅷督㑂䙁䄰村求䡁䅑杣湁䍁䅅䅊䕂䍁䅑睎穁䑁䅯䅊䕂䍁䅑睎㍁䅁䅁眰䅍䕁䅷䅁湁䙁䅳䅕祂䝁䄸条求䝁䅍䅤杁䕁䅉杣求䝁䄴䅤杁䍁䄰䅉㉂䑁䅫杌㑂䝁䅷督㑂䙁䄰村求䡁䅑杣湁䍁䅅䅊䕂䍁䅑䅏㕁䅁䅁朴䅍䙁䅧䅁湁䙁䅳䅕祂䝁䄸条求䝁䅍䅤杁䕁䅉杣求䝁䄴䅤杁䍁䄰䅉㉂䑁䅫杌㑂䝁䅷督㑂䙁䄰村求䡁䅑杣湁䍁䅅䅊䕂䍁䅑兏祁䑁䅯䅊䕂䍁䅑兏㑁䅁䅁眴䅍䙁䅧䅁湁䙁䅳䅕祂䝁䄸条求䝁䅍䅤杁䕁䅉杣求䝁䄴䅤杁䍁䄰䅉㉂䑁䅫杌㑂䝁䅷督㑂䙁䄰村求䡁䅑杣湁䍁䅅䅊䙂䍁䅑睎硁䑁䅯䅊奂䍁䅑睎硁䅁䅁䄱䅍䙁䅧䅁湁䙁䅳䅕祂䝁䄸条求䝁䅍䅤杁䕁䅉杣求䝁䄴䅤杁䍁䄰䅉㉂䑁䅫杌㑂䝁䅷督㑂䙁䄰村求䡁䅑杣湁䍁䅅䅊䙂䍁䅑睎祁䑁䅯䅊奂䍁䅑睎祁䅁䅁儱䅍䙁䅧䅁湁䙁䅳䅕祂䝁䄸条求䝁䅍䅤杁䕁䅉杣求䝁䄴䅤杁䍁䄰䅉㉂䑁䅫杌㑂䝁䅷督㑂䙁䄰村求䡁䅑杣湁䍁䅅䅊䙂䍁䅑䅏㕁䑁䅯䅊奂䍁䅑䅏㕁䅁䅁䄵䅍䙁䅧䅁湁䙁䅳䅕祂䝁䄸条求䝁䅍䅤杁䕁䅉杣求䝁䄴䅤杁䍁䄰䅉㉂䑁䅫杌㑂䝁䅷督㑂䙁䄰村求䡁䅑杣湁䍁䅅䅊䙂䍁䅑兏睁䑁䅯䅊奂䍁䅑兏睁䅁䅁儵䅍䙁䅧䅁湁䙁䅳䅕祂䝁䄸条求䝁䅍䅤杁䕁䅉杣求䝁䄴䅤杁䍁䄰䅉㉂䑁䅫杌㑂䝁䅷督㑂䙁䄰睑療䝁䄸睡杁䙁䅕杢灂䡁䅑入湁䍁䅅䅊䕂䍁䅑睎硁䅁䅁杵䅍䝁䅑䅁湁䙁䅳䅕祂䝁䄸条求䝁䅍䅤杁䕁䅉杣求䝁䄴䅤杁䍁䄰䅉㉂䑁䅫杌㑂䝁䅷督㑂䙁䄰睑療䝁䄸睡杁䙁䅕杢灂䡁䅑入湁䍁䅅䅊䕂䍁䅑睎穁䑁䅯䅊䕂䍁䅑睎㕁䅁䅁睵䅍䙁䅧䅁湁䙁䅳䅕祂䝁䄸条求䝁䅍䅤杁䕁䅉杣求䝁䄴䅤杁䍁䄰䅉㉂䑁䅫杌㑂䝁䅷督㑂䙁䄰睑療䝁䄸睡杁䙁䅕杢灂䡁䅑入湁䍁䅅䅊䕂䍁䅑兏硁䅁䅁杷䅍䝁䅑䅁湁䙁䅳䅕祂䝁䄸条求䝁䅍䅤杁䕁䅉杣求䝁䄴䅤杁䍁䄰䅉㉂䑁䅫杌㑂䝁䅷督㑂䙁䄰睑療䝁䄸睡杁䙁䅕杢灂䡁䅑入湁䍁䅅䅊䕂䍁䅑兏ぁ䑁䅯䅊䕂䍁䅑兏㉁䅁䅁睷䅍䝁䅙䅁湁䙁䅳䅕祂䝁䄸条求䝁䅍䅤杁䕁䅉杣求䝁䄴䅤杁䍁䄰䅉㉂䑁䅫杌㑂䝁䅷督㑂䙁䄰睑療䝁䄸睡杁䙁䅕杢灂䡁䅑入湁䍁䅅䅊䙂䍁䅑睎硁䑁䅯䅊䉂䕁䅫䅊㍁䑁䅅䅁㡃睁䅁杚䅁䍁䅣睗兂䡁䅉睢煂䝁䅕睙あ䍁䅁村祂䝁䅕杢あ䍁䅁兌杁䡁䅙兏畁䡁䅧䅢穂䡁䅧兘䑂䝁䄸睢牂䍁䅁兖畂䝁䅫䅤㕂䍁䅣光歁䕁䅕䅊㍁䑁䅉杏歁䕁䅅兓歁䑁䅣杍䅁䱁䐰䅁歂䅁䅁睊扂䙁䅁杣療䝁䅯党橂䡁䅑䅉䍂䡁䅉党畂䡁䅑䅉瑁䍁䅁杤㕁䍁䄴䅥獂䡁䅍䅥摂䕁䅍睢療䝁䅳䅉噂䝁䄴兡あ䡁䅫睊桁䍁䅑兒歁䑁䅫免㙁䍁䅑䅗歁䑁䅫免䅁䵁䑑䅁歂䅁䅁睊扂䙁䅁杣療䝁䅯党橂䡁䅑䅉䍂䡁䅉党畂䡁䅑䅉瑁䍁䅁杤㕁䍁䄴䅥獂䡁䅍䅥摂䕁䅍睢療䝁䅳䅉噂䝁䄴兡あ䡁䅫睊桁䍁䅑兒歁䑁䅫杍㙁䍁䅑䅗歁䑁䅫杍䅁䵁䑕䅁佂䅁䅁睊扂䙁䅁杣療䝁䅯党橂䡁䅑䅉䍂䡁䅉党畂䡁䅑䅉瑁䍁䅁杤㕁䍁䄴䅥獂䡁䅍䅥摂䕁䅍兤祂䡁䅙党湁䍁䅅䅊䕂䍁䅑睎硁䅁䅁朸䅍䙁䅯䅁湁䙁䅳䅕祂䝁䄸条求䝁䅍䅤杁䕁䅉杣求䝁䄴䅤杁䍁䄰䅉㉂䑁䅫杌㑂䝁䅷督㑂䙁䄰睑ㅂ䡁䅉杤求䍁䅣光歁䕁䅑䅊㍁䑁䅍杏歁䕁䅑䅊㍁䑁䅫䅁穄睁䅁杔䅁䍁䅣睗兂䡁䅉睢煂䝁䅕睙あ䍁䅁村祂䝁䅕杢あ䍁䅁兌杁䡁䅙兏畁䡁䅧䅢穂䡁䅧兘䑂䡁䅕杣㉂䝁䅕睊桁䍁䅑䅒歁䑁䅫免䅁䱁䐴䅁慂䅁䅁睊扂䙁䅁杣療䝁䅯党橂䡁䅑䅉䍂䡁䅉党畂䡁䅑䅉瑁䍁䅁杤㕁䍁䄴䅥獂䡁䅍䅥摂䕁䅍兤祂䡁䅙党湁䍁䅅䅊䕂䍁䅑兏ぁ䑁䅯䅊䕂䍁䅑兏㍁䅁䅁睶䅍䙁䅷䅁湁䙁䅳䅕祂䝁䄸条求䝁䅍䅤杁䕁䅉杣求䝁䄴䅤杁䍁䄰䅉㉂䑁䅫杌㑂䝁䅷督㑂䙁䄰睑ㅂ䡁䅉杤求䍁䅣光歁䕁䅕䅊㍁䑁䅅杏歁䕁䅅兓歁䑁䅣免䅁偁䑑䅁捂䅁䅁睊扂䙁䅁杣療䝁䅯党橂䡁䅑䅉䍂䡁䅉党畂䡁䅑䅉瑁䍁䅁杤㕁䍁䄴䅥獂䡁䅍䅥摂䕁䅍兤祂䡁䅙党湁䍁䅅䅊䙂䍁䅑睎祁䑁䅯䅊䉂䕁䅫䅊㍁䑁䅉䅁ㅄ睁䅁杗䅁䍁䅣睗兂䡁䅉睢煂䝁䅕睙あ䍁䅁村祂䝁䅕杢あ䍁䅁兌杁䡁䅙兏畁䡁䅧䅢穂䡁䅧兘䑂䡁䅕杣㉂䝁䅕睊桁䍁䅑兒歁䑁䅫免㙁䍁䅑䅗歁䑁䅫免䅁䵁䑁䅁慂䅁䅁睊扂䙁䅁杣療䝁䅯党橂䡁䅑䅉䍂䡁䅉党畂䡁䅑䅉瑁䍁䅁杤㕁䍁䄴䅥獂䡁䅍䅥摂䕁䅍兤祂䡁䅙党湁䍁䅅䅊䙂䍁䅑兏祁䑁䅯䅊奂䍁䅑兏祁䅁䅁具䅍䕁䄴䅁湁䙁䅳䅕祂䝁䄸条求䝁䅍䅤杁䕁䅉杣求䝁䄴䅤杁䍁䄰䅉㉂䑁䅫杌㑂䝁䅷督㑂䙁䄰兒㕂䡁䅉兤穂䍁䅣光歁䕁䅑䅊㍁䑁䅅䅁㙄睁䅁杗䅁䍁䅣睗兂䡁䅉睢煂䝁䅕睙あ䍁䅁村祂䝁䅕杢あ䍁䅁兌杁䡁䅙兏畁䡁䅧䅢穂䡁䅧兘䙂䡁䅫杣ㅂ䡁䅍睊桁䍁䅑䅒歁䑁䅣睍㙁䍁䅑䅒歁䑁䅣睎䅁偁䑳䅁佂䅁䅁睊扂䙁䅁杣療䝁䅯党橂䡁䅑䅉䍂䡁䅉党畂䡁䅑䅉瑁䍁䅁杤㕁䍁䄴䅥獂䡁䅍䅥摂䕁䅕入祂䡁䅕督湁䍁䅅䅊䕂䍁䅑䅏㕁䅁䅁术䅍䙁䅯䅁湁䙁䅳䅕祂䝁䄸条求䝁䅍䅤杁䕁䅉杣求䝁䄴䅤杁䍁䄰䅉㉂䑁䅫杌㑂䝁䅷督㑂䙁䄰兒㕂䡁䅉兤穂䍁䅣光歁䕁䅑䅊㕁䑁䅉杏歁䕁䅑䅊㕁䑁䅧䅁⽄睁䅁䅘䅁䍁䅣睗兂䡁䅉睢煂䝁䅕睙あ䍁䅁村祂䝁䅕杢あ䍁䅁兌杁䡁䅙兏畁䡁䅧䅢穂䡁䅧兘䙂䡁䅫杣ㅂ䡁䅍睊桁䍁䅑兒歁䑁䅣免㙁䍁䅑兑䩂䍁䅑睎硁䅁䅁䄯䅍䙁䅷䅁湁䙁䅳䅕祂䝁䄸条求䝁䅍䅤杁䕁䅉杣求䝁䄴䅤杁䍁䄰䅉㉂䑁䅫杌㑂䝁䅷督㑂䙁䄰兒㕂䡁䅉兤穂䍁䅣光歁䕁䅕䅊㍁䑁䅉杏歁䕁䅅兓歁䑁䅣杍䅁偁䐰䅁慂䅁䅁睊扂䙁䅁杣療䝁䅯党橂䡁䅑䅉䍂䡁䅉党畂䡁䅑䅉瑁䍁䅁杤㕁䍁䄴䅥獂䡁䅍䅥摂䕁䅕入祂䡁䅕督湁䍁䅅䅊䙂䍁䅑䅏㕁䑁䅯䅊奂䍁䅑䅏㕁䅁䅁䅁䅑䙁䅯䅁湁䙁䅳䅕祂䝁䄸条求䝁䅍䅤杁䕁䅉杣求䝁䄴䅤杁䍁䄰䅉㉂䑁䅫杌㑂䝁䅷督㑂䙁䄰兒㕂䡁䅉兤穂䍁䅣光歁䕁䅕䅊㕁䑁䅁杏歁䙁䅧䅊㕁䑁䅁䅁䉁䅂䅁杗䅁䍁䅣睗兂䡁䅉睢煂䝁䅕睙あ䍁䅁村祂䝁䅕杢あ䍁䅁兌杁䡁䅙兏畁䡁䅧䅢穂䡁䅧兘佂䝁䄸杤療䡁䅁兙㕂䝁䄰党畂䡁䅑睊桁䍁䅑䅒歁䑁䅣免䅁䵁䐴䅁浂䅁䅁睊扂䙁䅁杣療䝁䅯党橂䡁䅑䅉䍂䡁䅉党畂䡁䅑䅉瑁䍁䅁杤㕁䍁䄴䅥獂䡁䅍䅥摂䕁䄴睢㉂䝁䄸䅣桂䡁䅫兢求䝁䄴䅤湁䍁䅅䅊䕂䍁䅑睎穁䑁䅯䅊䕂䍁䅑䅏睁䅁䅁睺䅍䙁䅯䅁湁䙁䅳䅕祂䝁䄸条求䝁䅍䅤杁䕁䅉杣求䝁䄴䅤杁䍁䄰䅉㉂䑁䅫杌㑂䝁䅷督㑂䙁䄰杔療䡁䅙睢睂䝁䅅入瑂䝁䅕杢あ䍁䅣光歁䕁䅑䅊㕁䑁䅉䅁㉄睁䅁杚䅁䍁䅣睗兂䡁䅉睢煂䝁䅕睙あ䍁䅁村祂䝁䅕杢あ䍁䅁兌杁䡁䅙兏畁䡁䅧䅢穂䡁䅧兘佂䝁䄸杤療䡁䅁兙㕂䝁䄰党畂䡁䅑睊桁䍁䅑䅒歁䑁䅫兎㙁䍁䅑䅒歁䑁䅫䅏䅁偁䑣䅁潂䅁䅁睊扂䙁䅁杣療䝁䅯党橂䡁䅑䅉䍂䡁䅉党畂䡁䅑䅉瑁䍁䅁杤㕁䍁䄴䅥獂䡁䅍䅥摂䕁䄴睢㉂䝁䄸䅣桂䡁䅫兢求䝁䄴䅤湁䍁䅅䅊䙂䍁䅑睎硁䑁䅯䅊䉂䕁䅫䅊㍁䑁䅅䅁兄睁䅁䅡䅁䍁䅣睗兂䡁䅉睢煂䝁䅕睙あ䍁䅁村祂䝁䅕杢あ䍁䅁兌杁䡁䅙兏畁䡁䅧䅢穂䡁䅧兘佂䝁䄸杤療䡁䅁兙㕂䝁䄰党畂䡁䅑睊桁䍁䅑兒歁䑁䅣杍㙁䍁䅑兑䩂䍁䅑睎祁䅁䅁儰䅍䝁䅙䅁湁䙁䅳䅕祂䝁䄸条求䝁䅍䅤杁䕁䅉杣求䝁䄴䅤杁䍁䄰䅉㉂䑁䅫杌㑂䝁䅷督㑂䙁䄰杔療䡁䅙睢睂䝁䅅入瑂䝁䅕杢あ䍁䅣光歁䕁䅕䅊㕁䑁䅉杏歁䙁䅧䅊㕁䑁䅉䅁㑄睁䅁杚䅁䍁䅣睗兂䡁䅉睢煂䝁䅕睙あ䍁䅁村祂䝁䅕杢あ䍁䅁兌杁䡁䅙兏畁䡁䅧䅢穂䡁䅧兘佂䝁䄸杤療䡁䅁兙㕂䝁䄰党畂䡁䅑睊桁䍁䅑兒歁䑁䅫睍㙁䍁䅑䅗歁䑁䅫睍䅁偁䑫䅁奂䅁䅁睊扂䙁䅁杣療䝁䅯党橂䡁䅑䅉䍂䡁䅉党畂䡁䅑䅉瑁䍁䅁杤㕁䍁䄴䅥獂䡁䅍䅥摂䙁䅉党橂䝁䅅杣湂䝁䅅䅣桂䡁䅫睊桁䍁䅑䅒歁䑁䅣免䅁䵁䑙䅁歂䅁䅁睊扂䙁䅁杣療䝁䅯党橂䡁䅑䅉䍂䡁䅉党畂䡁䅑䅉瑁䍁䅁杤㕁䍁䄴䅥獂䡁䅍䅥摂䙁䅉党橂䝁䅅杣湂䝁䅅䅣桂䡁䅫睊桁䍁䅑䅒歁䑁䅣睍㙁䍁䅑䅒歁䑁䅣兏䅁䵁䑣䅁奂䅁䅁睊扂䙁䅁杣療䝁䅯党橂䡁䅑䅉䍂䡁䅉党畂䡁䅑䅉瑁䍁䅁杤㕁䍁䄴䅥獂䡁䅍䅥摂䙁䅉党橂䝁䅅杣湂䝁䅅䅣桂䡁䅫睊桁䍁䅑䅒歁䑁䅫免䅁佁䐴䅁歂䅁䅁睊扂䙁䅁杣療䝁䅯党橂䡁䅑䅉䍂䡁䅉党畂䡁䅑䅉瑁䍁䅁杤㕁䍁䄴䅥獂䡁䅍䅥摂䙁䅉党橂䝁䅅杣湂䝁䅅䅣桂䡁䅫睊桁䍁䅑䅒歁䑁䅫䅎㙁䍁䅑䅒歁䑁䅫睎䅁佁䐸䅁浂䅁䅁睊扂䙁䅁杣療䝁䅯党橂䡁䅑䅉䍂䡁䅉党畂䡁䅑䅉瑁䍁䅁杤㕁䍁䄴䅥獂䡁䅍䅥摂䙁䅉党橂䝁䅅杣湂䝁䅅䅣桂䡁䅫睊桁䍁䅑兒歁䑁䅣免㙁䍁䅑兑䩂䍁䅑睎硁䅁䅁䅹䅍䝁䅙䅁湁䙁䅳䅕祂䝁䄸条求䝁䅍䅤杁䕁䅉杣求䝁䄴䅤杁䍁䄰䅉㉂䑁䅫杌㑂䝁䅷督㑂䙁䄰杕求䝁䅍兙祂䝁䅣兙睂䝁䅅入湁䍁䅅䅊䙂䍁䅑睎祁䑁䅯䅊䉂䕁䅫䅊㍁䑁䅉䅁䩄睁䅁䅚䅁䍁䅣睗兂䡁䅉睢煂䝁䅕睙あ䍁䅁村祂䝁䅕杢あ䍁䅁兌杁䡁䅙兏畁䡁䅧䅢穂䡁䅧兘卂䝁䅕睙桂䡁䅉睚桂䡁䅁兙㕂䍁䅣光歁䕁䅕䅊㕁䑁䅅杏歁䙁䅧䅊㕁䑁䅅䅁睄睁䅁䅚䅁䍁䅣睗兂䡁䅉睢煂䝁䅕睙あ䍁䅁村祂䝁䅕杢あ䍁䅁兌杁䡁䅙兏畁䡁䅧䅢穂䡁䅧兘卂䝁䅕睙桂䡁䅉睚桂䡁䅁兙㕂䍁䅣光歁䕁䅕䅊㕁䑁䅉杏歁䙁䅧䅊㕁䑁䅉䅁硄睁䅁䅗䅁䍁䅣睗兂䡁䅉睢煂䝁䅕睙あ䍁䅁村祂䝁䅕杢あ䍁䅁兌杁䡁䅙兏畁䡁䅧䅢穂䡁䅧兘呂䝁䄸兤畂䝁䅑䅤祂䝁䅅睙牂䍁䅣光歁䕁䅑䅊㍁䑁䅅䅁䭄睁䅁䅚䅁䍁䅣睗兂䡁䅉睢煂䝁䅕睙あ䍁䅁村祂䝁䅕杢あ䍁䅁兌杁䡁䅙兏畁䡁䅧䅢穂䡁䅧兘呂䝁䄸兤畂䝁䅑䅤祂䝁䅅睙牂䍁䅣光歁䕁䅑䅊㍁䑁䅍杏歁䕁䅑䅊㍁䑁䅧䅁䱄睁䅁䅗䅁䍁䅣睗兂䡁䅉睢煂䝁䅕睙あ䍁䅁村祂䝁䅕杢あ䍁䅁兌杁䡁䅙兏畁䡁䅧䅢穂䡁䅧兘呂䝁䄸兤畂䝁䅑䅤祂䝁䅅睙牂䍁䅣光歁䕁䅑䅊㕁䑁䅁䅁坄睁䅁䅚䅁䍁䅣睗兂䡁䅉睢煂䝁䅕睙あ䍁䅁村祂䝁䅕杢あ䍁䅁兌杁䡁䅙兏畁䡁䅧䅢穂䡁䅧兘呂䝁䄸兤畂䝁䅑䅤祂䝁䅅睙牂䍁䅣光歁䕁䅑䅊㕁䑁䅍杏歁䕁䅑䅊㕁䑁䅙䅁塄睁䅁杚䅁䍁䅣睗兂䡁䅉睢煂䝁䅕睙あ䍁䅁村祂䝁䅕杢あ䍁䅁兌杁䡁䅙兏畁䡁䅧䅢穂䡁䅧兘呂䝁䄸兤畂䝁䅑䅤祂䝁䅅睙牂䍁䅣光歁䕁䅕䅊㍁䑁䅅杏歁䕁䅅兓歁䑁䅣免䅁䵁䑷䅁浂䅁䅁睊扂䙁䅁杣療䝁䅯党橂䡁䅑䅉䍂䡁䅉党畂䡁䅑䅉瑁䍁䅁杤㕁䍁䄴䅥獂䡁䅍䅥摂䙁䅍睢ㅂ䝁䄴䅚あ䡁䅉兙橂䝁䅳睊桁䍁䅑兒歁䑁䅣杍㙁䍁䅑兑䩂䍁䅑睎祁䅁䅁兺䅍䝁䅑䅁湁䙁䅳䅕祂䝁䄸条求䝁䅍䅤杁䕁䅉杣求䝁䄴䅤杁䍁䄰䅉㉂䑁䅫杌㑂䝁䅷督㑂䙁䄰睕療䡁䅕杢歂䡁䅑杣桂䝁䅍睡湁䍁䅅䅊䙂䍁䅑兏睁䑁䅯䅊奂䍁䅑兏睁䅁䅁䄲䅍䝁䅑䅁湁䙁䅳䅕祂䝁䄸条求䝁䅍䅤杁䕁䅉杣求䝁䄴䅤杁䍁䄰䅉㉂䑁䅫杌㑂䝁䅷督㑂䙁䄰睕療䡁䅕杢歂䡁䅑杣桂䝁䅍睡湁䍁䅅䅊䙂䍁䅑兏硁䑁䅯䅊奂䍁䅑兏硁䅁䅁儲䅍䙁䅉䅁湁䙁䅳䅕祂䝁䄸条求䝁䅍䅤杁䕁䅉杣求䝁䄴䅤杁䍁䄰䅉㉂䑁䅫杌㑂䝁䅷督㑂䙁䄰䅖桂䡁䅧杚㕂䝁䅷党湁䍁䅅䅊䕂䍁䅑睎硁䅁䅁朲䅍䙁䄴䅁湁䙁䅳䅕祂䝁䄸条求䝁䅍䅤杁䕁䅉杣求䝁䄴䅤杁䍁䄰䅉㉂䑁䅫杌㑂䝁䅷督㑂䙁䄰䅖桂䡁䅧杚㕂䝁䅷党湁䍁䅅䅊䕂䍁䅑睎穁䑁䅯䅊䕂䍁䅑睎㕁䅁䅁眲䅍䙁䅉䅁湁䙁䅳䅕祂䝁䄸条求䝁䅍䅤杁䕁䅉杣求䝁䄴䅤杁䍁䄰䅉㉂䑁䅫杌㑂䝁䅷督㑂䙁䄰䅖桂䡁䅧杚㕂䝁䅷党湁䍁䅅䅊䕂䍁䅑兏硁䅁䅁朳䅍䙁䄴䅁湁䙁䅳䅕祂䝁䄸条求䝁䅍䅤杁䕁䅉杣求䝁䄴䅤杁䍁䄰䅉㉂䑁䅫杌㑂䝁䅷督㑂䙁䄰䅖桂䡁䅧杚㕂䝁䅷党湁䍁䅅䅊䕂䍁䅑兏ぁ䑁䅯䅊䕂䍁䅑兏㕁䅁䅁眳䅍䝁䅁䅁湁䙁䅳䅕祂䝁䄸条求䝁䅍䅤杁䕁䅉杣求䝁䄴䅤杁䍁䄰䅉㉂䑁䅫杌㑂䝁䅷督㑂䙁䄰䅖桂䡁䅧杚㕂䝁䅷党湁䍁䅅䅊䙂䍁䅑睎硁䑁䅯䅊䉂䕁䅫䅊㍁䑁䅅䅁捄睁䅁䅙䅁䍁䅣睗兂䡁䅉睢煂䝁䅕睙あ䍁䅁村祂䝁䅕杢あ䍁䅁兌杁䡁䅙兏畁䡁䅧䅢穂䡁䅧兘啂䝁䅅䅥浂䡁䅫䅢求䍁䅣光歁䕁䅕䅊㍁䑁䅉杏歁䕁䅅兓歁䑁䅣杍䅁乁䐰䅁敂䅁䅁睊扂䙁䅁杣療䝁䅯党橂䡁䅑䅉䍂䡁䅉党畂䡁䅑䅉瑁䍁䅁杤㕁䍁䄴䅥獂䡁䅍䅥摂䙁䅑兙㑂䝁䅙入獂䝁䅕睊桁䍁䅑兒歁䑁䅫免㙁䍁䅑䅗歁䑁䅫免䅁佁䑁䅁敂䅁䅁睊扂䙁䅁杣療䝁䅯党橂䡁䅑䅉䍂䡁䅉党畂䡁䅑䅉瑁䍁䅁杤㕁䍁䄴䅥獂䡁䅍䅥摂䙁䅑兙㑂䝁䅙入獂䝁䅕睊桁䍁䅑兒歁䑁䅫杍㙁䍁䅑䅗歁䑁䅫杍䅁佁䑅䅁啂䅁䅁睊扂䙁䅁杣療䝁䅯党橂䡁䅑䅉䍂䡁䅉党畂䡁䅑䅉瑁䍁䅁杤㕁䍁䄴䅥獂䡁䅍䅥摂䙁䅕杙灂䝁䅍兣ㅂ䝁䅫兙湁䍁䅅䅊䕂䍁䅑睎硁䅁䅁朵䅍䝁䅁䅁湁䙁䅳䅕祂䝁䄸条求䝁䅍䅤杁䕁䅉杣求䝁䄴䅤杁䍁䄰䅉㉂䑁䅫杌㑂䝁䅷督㑂䙁䄰兖楂䝁䅫睙硂䡁䅕兡桂䍁䅣光歁䕁䅑䅊㍁䑁䅍杏歁䕁䅑䅊㍁䑁䅫䅁湄睁䅁䅖䅁䍁䅣睗兂䡁䅉睢煂䝁䅕睙あ䍁䅁村祂䝁䅕杢あ䍁䅁兌杁䡁䅙兏畁䡁䅧䅢穂䡁䅧兘噂䝁䅉兡橂䡁䅅兤灂䝁䅅睊桁䍁䅑䅒歁䑁䅫免䅁佁䑯䅁杂䅁䅁睊扂䙁䅁杣療䝁䅯党橂䡁䅑䅉䍂䡁䅉党畂䡁䅑䅉瑁䍁䅁杤㕁䍁䄴䅥獂䡁䅍䅥摂䙁䅕杙灂䝁䅍兣ㅂ䝁䅫兙湁䍁䅅䅊䕂䍁䅑兏ぁ䑁䅯䅊䕂䍁䅑兏㑁䅁䅁眶䅍䝁䅉䅁湁䙁䅳䅕祂䝁䄸条求䝁䅍䅤杁䕁䅉杣求䝁䄴䅤杁䍁䄰䅉㉂䑁䅫杌㑂䝁䅷督㑂䙁䄰兖楂䝁䅫睙硂䡁䅕兡桂䍁䅣光歁䕁䅕䅊㍁䑁䅅杏歁䕁䅅兓歁䑁䅣免䅁佁䑧䅁楂䅁䅁睊扂䙁䅁杣療䝁䅯党橂䡁䅑䅉䍂䡁䅉党畂䡁䅑䅉瑁䍁䅁杤㕁䍁䄴䅥獂䡁䅍䅥摂䙁䅕杙灂䝁䅍兣ㅂ䝁䅫兙湁䍁䅅䅊䙂䍁䅑睎祁䑁䅯䅊䉂䕁䅫䅊㍁䑁䅉䅁灄睁䅁䅙䅁䍁䅣睗兂䡁䅉睢煂䝁䅕睙あ䍁䅁村祂䝁䅕杢あ䍁䅁兌杁䡁䅙兏畁䡁䅧䅢穂䡁䅧兘噂䝁䅉兡橂䡁䅅兤灂䝁䅅睊桁䍁䅑兒歁䑁䅫免㙁䍁䅑䅗歁䑁䅫免䅁佁䑷䅁杂䅁䅁睊扂䙁䅁杣療䝁䅯党橂䡁䅑䅉䍂䡁䅉党畂䡁䅑䅉瑁䍁䅁杤㕁䍁䄴䅥獂䡁䅍䅥摂䙁䅕杙灂䝁䅍兣ㅂ䝁䅫兙湁䍁䅅䅊䙂䍁䅑兏祁䑁䅯䅊奂䍁䅑兏祁䅁䅁儷䅍䝁䅑䅁湁䙁䅳䅕祂䝁䄸条求䝁䅍䅤杁䕁䅣兙祂䝁䄸杢畂䝁䅕䅉乂䝁䄸䅚求䝁䅷䅉瑁䍁䅁杤祁䍁䄴䅥獂䡁䅍䅥摂䕁䅍入楂䝁䅕杣䡂䙁䅉䅗湁䍁䅅䅊䕂䍁䅑睎硁䅁䅁兡䅙䡁䅁䅁湁䙁䅳䅕祂䝁䄸条求䝁䅍䅤杁䕁䅣兙祂䝁䄸杢畂䝁䅕䅉乂䝁䄸䅚求䝁䅷䅉瑁䍁䅁杤祁䍁䄴䅥獂䡁䅍䅥摂䕁䅍入楂䝁䅕杣䡂䙁䅉䅗湁䍁䅅䅊䕂䍁䅑睎穁䑁䅯䅊䕂䍁䅑睎㍁䅁䅁条䅙䝁䅑䅁湁䙁䅳䅕祂䝁䄸条求䝁䅍䅤杁䕁䅣兙祂䝁䄸杢畂䝁䅕䅉乂䝁䄸䅚求䝁䅷䅉瑁䍁䅁杤祁䍁䄴䅥獂䡁䅍䅥摂䕁䅍入楂䝁䅕杣䡂䙁䅉䅗湁䍁䅅䅊䕂䍁䅑兏睁䅁䅁兢䅙䡁䅉䅁湁䙁䅳䅕祂䝁䄸条求䝁䅍䅤杁䕁䅣兙祂䝁䄸杢畂䝁䅕䅉乂䝁䄸䅚求䝁䅷䅉瑁䍁䅁杤祁䍁䄴䅥獂䡁䅍䅥摂䕁䅍入楂䝁䅕杣䡂䙁䅉䅗湁䍁䅅䅊䕂䍁䅑兏穁䑁䅯䅊䕂䍁䅑免睁䑁䅅䅁畂杂䅁杣䅁䍁䅣睗兂䡁䅉睢煂䝁䅕睙あ䍁䅁睒桂䡁䅉睢畂䝁䄴党杁䕁䄰睢歂䝁䅕䅢杁䍁䄰䅉㉂䑁䅉杌㑂䝁䅷督㑂䙁䄰睑㕂䝁䅉党祂䕁䅣杕奂䍁䅣光歁䕁䅕䅊㍁䑁䅅杏歁䕁䅅兓歁䑁䅣免䅁䝁䝳䅁祂䅁䅁睊扂䙁䅁杣療䝁䅯党橂䡁䅑䅉䡂䝁䅅杣療䝁䄴杢求䍁䅁兔療䝁䅑党獂䍁䅁兌杁䡁䅙杍畁䡁䅧䅢穂䡁䅧兘䑂䡁䅫杙求䡁䅉睒卂䙁䅧睊桁䍁䅑兒歁䑁䅣杍㙁䍁䅑兑䩂䍁䅑睎祁䅁䅁䅢䅙䡁䅁䅁湁䙁䅳䅕祂䝁䄸条求䝁䅍䅤杁䕁䅣兙祂䝁䄸杢畂䝁䅕䅉乂䝁䄸䅚求䝁䅷䅉瑁䍁䅁杤祁䍁䄴䅥獂䡁䅍䅥摂䕁䅍入楂䝁䅕杣䡂䙁䅉䅗湁䍁䅅䅊䙂䍁䅑兏睁䑁䅯䅊奂䍁䅑兏睁䅁䅁睢䅙䡁䅁䅁湁䙁䅳䅕祂䝁䄸条求䝁䅍䅤杁䕁䅣兙祂䝁䄸杢畂䝁䅕䅉乂䝁䄸䅚求䝁䅷䅉瑁䍁䅁杤祁䍁䄴䅥獂䡁䅍䅥摂䕁䅍入楂䝁䅕杣䡂䙁䅉䅗湁䍁䅅䅊䙂䍁䅑兏硁䑁䅯䅊奂䍁䅑兏硁䅁䅁䅣䅙䝁䅑䅁湁䙁䅳䅕祂䝁䄸条求䝁䅍䅤杁䕁䅣兙祂䝁䄸杢畂䝁䅕䅉乂䝁䄸䅚求䝁䅷䅉瑁䍁䅁杤祁䍁䄴䅥獂䡁䅍䅥摂䕁䅣睢呂䝁䅕睙ㅂ䡁䅉党湁䍁䅅䅊䕂䍁䅑睎硁䅁䅁杒䅙䡁䅁䅁湁䙁䅳䅕祂䝁䄸条求䝁䅍䅤杁䕁䅣兙祂䝁䄸杢畂䝁䅕䅉乂䝁䄸䅚求䝁䅷䅉瑁䍁䅁杤祁䍁䄴䅥獂䡁䅍䅥摂䕁䅣睢呂䝁䅕睙ㅂ䡁䅉党湁䍁䅅䅊䕂䍁䅑睎穁䑁䅯䅊䕂䍁䅑䅏硁䅁䅁睒䅙䝁䅑䅁湁䙁䅳䅕祂䝁䄸条求䝁䅍䅤杁䕁䅣兙祂䝁䄸杢畂䝁䅕䅉乂䝁䄸䅚求䝁䅷䅉瑁䍁䅁杤祁䍁䄴䅥獂䡁䅍䅥摂䕁䅣睢呂䝁䅕睙ㅂ䡁䅉党湁䍁䅅䅊䕂䍁䅑兏穁䅁䅁兣䅙䡁䅉䅁湁䙁䅳䅕祂䝁䄸条求䝁䅍䅤杁䕁䅣兙祂䝁䄸杢畂䝁䅕䅉乂䝁䄸䅚求䝁䅷䅉瑁䍁䅁杤祁䍁䄴䅥獂䡁䅍䅥摂䕁䅣睢呂䝁䅕睙ㅂ䡁䅉党湁䍁䅅䅊䕂䍁䅑兏㉁䑁䅯䅊䕂䍁䅑免睁䑁䅅䅁祂杂䅁杣䅁䍁䅣睗兂䡁䅉睢煂䝁䅕睙あ䍁䅁睒桂䡁䅉睢畂䝁䄴党杁䕁䄰睢歂䝁䅕䅢杁䍁䄰䅉㉂䑁䅉杌㑂䝁䅷督㑂䙁䄰睒療䙁䅍党橂䡁䅕杣求䍁䅣光歁䕁䅕䅊㍁䑁䅅杏歁䕁䅅兓歁䑁䅣免䅁䕁䝧䅁祂䅁䅁睊扂䙁䅁杣療䝁䅯党橂䡁䅑䅉䡂䝁䅅杣療䝁䄴杢求䍁䅁兔療䝁䅑党獂䍁䅁兌杁䡁䅙杍畁䡁䅧䅢穂䡁䅧兘䡂䝁䄸睕求䝁䅍兤祂䝁䅕睊桁䍁䅑兒歁䑁䅣杍㙁䍁䅑兑䩂䍁䅑睎祁䅁䅁兓䅙䡁䅁䅁湁䙁䅳䅕祂䝁䄸条求䝁䅍䅤杁䕁䅣兙祂䝁䄸杢畂䝁䅕䅉乂䝁䄸䅚求䝁䅷䅉瑁䍁䅁杤祁䍁䄴䅥獂䡁䅍䅥摂䕁䅣睢呂䝁䅕睙ㅂ䡁䅉党湁䍁䅅䅊䙂䍁䅑兏穁䑁䅯䅊奂䍁䅑兏穁䅁䅁督䅙䡁䅁䅁湁䙁䅳䅕祂䝁䄸条求䝁䅍䅤杁䕁䅣兙祂䝁䄸杢畂䝁䅕䅉乂䝁䄸䅚求䝁䅷䅉瑁䍁䅁杤祁䍁䄴䅥獂䡁䅍䅥摂䕁䅣睢呂䝁䅕睙ㅂ䡁䅉党湁䍁䅅䅊䙂䍁䅑兏ぁ䑁䅯䅊奂䍁䅑兏ぁ䅁䅁䅤䅙䙁䄴䅁湁䙁䅳䅕祂䝁䄸条求䝁䅍䅤杁䕁䅣兙祂䝁䄸杢畂䝁䅕䅉乂䝁䄸䅚求䝁䅷䅉瑁䍁䅁杤祁䍁䄴䅥獂䡁䅍䅥摂䕁䄸䅣あ䝁䅫杤湁䍁䅅䅊䕂䍁䅑睎硁䅁䅁兖䅙䝁䅯䅁湁䙁䅳䅕祂䝁䄸条求䝁䅍䅤杁䕁䅣兙祂䝁䄸杢畂䝁䅕䅉乂䝁䄸䅚求䝁䅷䅉瑁䍁䅁杤祁䍁䄴䅥獂䡁䅍䅥摂䕁䄸䅣あ䝁䅫杤湁䍁䅅䅊䕂䍁䅑睎穁䑁䅯䅊䕂䍁䅑睎㑁䅁䅁杖䅙䙁䄴䅁湁䙁䅳䅕祂䝁䄸条求䝁䅍䅤杁䕁䅣兙祂䝁䄸杢畂䝁䅕䅉乂䝁䄸䅚求䝁䅷䅉瑁䍁䅁杤祁䍁䄴䅥獂䡁䅍䅥摂䕁䄸䅣あ䝁䅫杤湁䍁䅅䅊䕂䍁䅑兏睁䅁䅁兔䅙䝁䅯䅁湁䙁䅳䅕祂䝁䄸条求䝁䅍䅤杁䕁䅣兙祂䝁䄸杢畂䝁䅕䅉乂䝁䄸䅚求䝁䅷䅉瑁䍁䅁杤祁䍁䄴䅥獂䡁䅍䅥摂䕁䄸䅣あ䝁䅫杤湁䍁䅅䅊䕂䍁䅑兏穁䑁䅯䅊䕂䍁䅑兏㕁䅁䅁杔䅙䝁䅷䅁湁䙁䅳䅕祂䝁䄸条求䝁䅍䅤杁䕁䅣兙祂䝁䄸杢畂䝁䅕䅉乂䝁䄸䅚求䝁䅷䅉瑁䍁䅁杤祁䍁䄴䅥獂䡁䅍䅥摂䕁䄸䅣あ䝁䅫杤湁䍁䅅䅊䙂䍁䅑睎硁䑁䅯䅊䉂䕁䅫䅊㍁䑁䅅䅁塂杂䅁䅢䅁䍁䅣睗兂䡁䅉睢煂䝁䅕睙あ䍁䅁睒桂䡁䅉睢畂䝁䄴党杁䕁䄰睢歂䝁䅕䅢杁䍁䄰䅉㉂䑁䅉杌㑂䝁䅷督㑂䙁䄰睔睂䡁䅑兡㉂䍁䅣光歁䕁䅕䅊㍁䑁䅉杏歁䕁䅅兓歁䑁䅣杍䅁䙁䝧䅁煂䅁䅁睊扂䙁䅁杣療䝁䅯党橂䡁䅑䅉䡂䝁䅅杣療䝁䄴杢求䍁䅁兔療䝁䅑党獂䍁䅁兌杁䡁䅙杍畁䡁䅧䅢穂䡁䅧兘偂䡁䅁䅤灂䡁䅙睊桁䍁䅑兒歁䑁䅫䅍㙁䍁䅑䅗歁䑁䅫䅍䅁䕁䜸䅁煂䅁䅁睊扂䙁䅁杣療䝁䅯党橂䡁䅑䅉䡂䝁䅅杣療䝁䄴杢求䍁䅁兔療䝁䅑党獂䍁䅁兌杁䡁䅙杍畁䡁䅧䅢穂䡁䅧兘偂䡁䅁䅤灂䡁䅙睊桁䍁䅑兒歁䑁䅫免㙁䍁䅑䅗歁䑁䅫免䅁䙁䝁䅁捂䅁䅁睊扂䙁䅁杣療䝁䅯党橂䡁䅑䅉䡂䝁䅅杣療䝁䄴杢求䍁䅁兔療䝁䅑党獂䍁䅁兌杁䡁䅙杍畁䡁䅧䅢穂䡁䅧兘偂䡁䅉䅚祂䍁䅣光歁䕁䅑䅊㍁䑁䅅䅁桂杂䅁䅡䅁䍁䅣睗兂䡁䅉睢煂䝁䅕睙あ䍁䅁睒桂䡁䅉睢畂䝁䄴党杁䕁䄰睢歂䝁䅕䅢杁䍁䄰䅉㉂䑁䅉杌㑂䝁䅷督㑂䙁䄰睔祂䝁䅑杣湁䍁䅅䅊䕂䍁䅑睎穁䑁䅯䅊䕂䍁䅑䅏硁䅁䅁杙䅙䙁䅷䅁湁䙁䅳䅕祂䝁䄸条求䝁䅍䅤杁䕁䅣兙祂䝁䄸杢畂䝁䅕䅉乂䝁䄸䅚求䝁䅷䅉瑁䍁䅁杤祁䍁䄴䅥獂䡁䅍䅥摂䕁䄸杣歂䡁䅉睊桁䍁䅑䅒歁䑁䅫睍䅁䝁䝕䅁煂䅁䅁睊扂䙁䅁杣療䝁䅯党橂䡁䅑䅉䡂䝁䅅杣療䝁䄴杢求䍁䅁兔療䝁䅑党獂䍁䅁兌杁䡁䅙杍畁䡁䅧䅢穂䡁䅧兘偂䡁䅉䅚祂䍁䅣光歁䕁䅑䅊㕁䑁䅙杏歁䕁䅑䅊硁䑁䅁免䅁䝁䝙䅁煂䅁䅁睊扂䙁䅁杣療䝁䅯党橂䡁䅑䅉䡂䝁䅅杣療䝁䄴杢求䍁䅁兔療䝁䅑党獂䍁䅁兌杁䡁䅙杍畁䡁䅧䅢穂䡁䅧兘偂䡁䅉䅚祂䍁䅣光歁䕁䅕䅊㍁䑁䅅杏歁䕁䅅兓歁䑁䅣免䅁䝁䝍䅁煂䅁䅁睊扂䙁䅁杣療䝁䅯党橂䡁䅑䅉䡂䝁䅅杣療䝁䄴杢求䍁䅁兔療䝁䅑党獂䍁䅁兌杁䡁䅙杍畁䡁䅧䅢穂䡁䅧兘偂䡁䅉䅚祂䍁䅣光歁䕁䅕䅊㍁䑁䅉杏歁䕁䅅兓歁䑁䅣杍䅁䝁䝑䅁潂䅁䅁睊扂䙁䅁杣療䝁䅯党橂䡁䅑䅉䡂䝁䅅杣療䝁䄴杢求䍁䅁兔療䝁䅑党獂䍁䅁兌杁䡁䅙杍畁䡁䅧䅢穂䡁䅧兘偂䡁䅉䅚祂䍁䅣光歁䕁䅕䅊㕁䑁䅍杏歁䙁䅧䅊㕁䑁䅍䅁湂杂䅁䅡䅁䍁䅣睗兂䡁䅉睢煂䝁䅕睙あ䍁䅁睒桂䡁䅉睢畂䝁䄴党杁䕁䄰睢歂䝁䅕䅢杁䍁䄰䅉㉂䑁䅉杌㑂䝁䅷督㑂䙁䄰睔祂䝁䅑杣湁䍁䅅䅊䙂䍁䅑兏ぁ䑁䅯䅊奂䍁䅑兏ぁ䅁䅁䅡䅙䡁䅉䅁湁䙁䅳䅕祂䝁䄸条求䝁䅍䅤杁䕁䅣兙祂䝁䄸杢畂䝁䅕䅉乂䝁䄸䅚求䝁䅷䅉瑁䍁䅁杤祁䍁䄴䅥獂䡁䅍䅥摂䙁䅍睢畂䡁䅉兙灂䍁䅁睕求䝁䅍兤祂䝁䅫䅤㕂䍁䅣光歁䕁䅑䅊㍁䑁䅅䅁婂杂䅁杦䅁䍁䅣睗兂䡁䅉睢煂䝁䅕睙あ䍁䅁睒桂䡁䅉睢畂䝁䄴党杁䕁䄰睢歂䝁䅕䅢杁䍁䄰䅉㉂䑁䅉杌㑂䝁䅷督㑂䙁䄰睕療䝁䄴杣桂䝁䅫䅉呂䝁䅕睙ㅂ䡁䅉兡あ䡁䅫睊桁䍁䅑䅒歁䑁䅣睍㙁䍁䅑䅒歁䑁䅣䅏䅁䙁䝯䅁祂䅁䅁睊扂䙁䅁杣療䝁䅯党橂䡁䅑䅉䡂䝁䅅杣療䝁䄴杢求䍁䅁兔療䝁䅑党獂䍁䅁兌杁䡁䅙杍畁䡁䅧䅢穂䡁䅧兘呂䝁䄸杢祂䝁䅅兡杁䙁䅍党橂䡁䅕杣灂䡁䅑入湁䍁䅅䅊䕂䍁䅑兏睁䅁䅁兘䅙䡁䄴䅁湁䙁䅳䅕祂䝁䄸条求䝁䅍䅤杁䕁䅣兙祂䝁䄸杢畂䝁䅕䅉乂䝁䄸䅚求䝁䅷䅉瑁䍁䅁杤祁䍁䄴䅥獂䡁䅍䅥摂䙁䅍睢畂䡁䅉兙灂䍁䅁睕求䝁䅍兤祂䝁䅫䅤㕂䍁䅣光歁䕁䅑䅊㕁䑁䅍杏歁䕁䅑䅊㕁䑁䅙䅁敂杂䅁䅧䅁䍁䅣睗兂䡁䅉睢煂䝁䅕睙あ䍁䅁睒桂䡁䅉睢畂䝁䄴党杁䕁䄰睢歂䝁䅕䅢杁䍁䄰䅉㉂䑁䅉杌㑂䝁䅷督㑂䙁䄰睕療䝁䄴杣桂䝁䅫䅉呂䝁䅕睙ㅂ䡁䅉兡あ䡁䅫睊桁䍁䅑兒歁䑁䅣免㙁䍁䅑兑䩂䍁䅑睎硁䅁䅁睗䅙䥁䅁䅁湁䙁䅳䅕祂䝁䄸条求䝁䅍䅤杁䕁䅣兙祂䝁䄸杢畂䝁䅕䅉乂䝁䄸䅚求䝁䅷䅉瑁䍁䅁杤祁䍁䄴䅥獂䡁䅍䅥摂䙁䅍睢畂䡁䅉兙灂䍁䅁睕求䝁䅍兤祂䝁䅫䅤㕂䍁䅣光歁䕁䅕䅊㍁䑁䅉杏歁䕁䅅兓歁䑁䅣杍䅁䙁䝷䅁⭂䅁䅁睊扂䙁䅁杣療䝁䅯党橂䡁䅑䅉䡂䝁䅅杣療䝁䄴杢求䍁䅁兔療䝁䅑党獂䍁䅁兌杁䡁䅙杍畁䡁䅧䅢穂䡁䅧兘呂䝁䄸杢祂䝁䅅兡杁䙁䅍党橂䡁䅕杣灂䡁䅑入湁䍁䅅䅊䙂䍁䅑兏睁䑁䅯䅊奂䍁䅑兏睁䅁䅁睘䅙䡁䄴䅁湁䙁䅳䅕祂䝁䄸条求䝁䅍䅤杁䕁䅣兙祂䝁䄸杢畂䝁䅕䅉乂䝁䄸䅚求䝁䅷䅉瑁䍁䅁杤祁䍁䄴䅥獂䡁䅍䅥摂䙁䅍睢畂䡁䅉兙灂䍁䅁睕求䝁䅍兤祂䝁䅫䅤㕂䍁䅣光歁䕁䅕䅊㕁䑁䅅杏歁䙁䅧䅊㕁䑁䅅䅁杂杂䅁䅚䅁䍁䅣睗兂䡁䅉睢煂䝁䅕睙あ䍁䅁睒桂䡁䅉睢畂䝁䄴党杁䕁䄰睢歂䝁䅕䅢杁䍁䄰䅉㉂䑁䅑杌㑂䝁䅷督㑂䙁䄰睑㕂䝁䅉党祂䕁䅣杕奂䍁䅣光歁䕁䅑䅊㍁䑁䅅䅁慄杂䅁䅣䅁䍁䅣睗兂䡁䅉睢煂䝁䅕睙あ䍁䅁睒桂䡁䅉睢畂䝁䄴党杁䕁䄰睢歂䝁䅕䅢杁䍁䄰䅉㉂䑁䅑杌㑂䝁䅷督㑂䙁䄰睑㕂䝁䅉党祂䕁䅣杕奂䍁䅣光歁䕁䅑䅊㍁䑁䅍杏歁䕁䅑䅊㍁䑁䅣䅁扄杂䅁䅚䅁䍁䅣睗兂䡁䅉睢煂䝁䅕睙あ䍁䅁睒桂䡁䅉睢畂䝁䄴党杁䕁䄰睢歂䝁䅕䅢杁䍁䄰䅉㉂䑁䅑杌㑂䝁䅷督㑂䙁䄰睑㕂䝁䅉党祂䕁䅣杕奂䍁䅣光歁䕁䅑䅊㕁䑁䅁䅁敄杂䅁杣䅁䍁䅣睗兂䡁䅉睢煂䝁䅕睙あ䍁䅁睒桂䡁䅉睢畂䝁䄴党杁䕁䄰睢歂䝁䅕䅢杁䍁䄰䅉㉂䑁䅑杌㑂䝁䅷督㑂䙁䄰睑㕂䝁䅉党祂䕁䅣杕奂䍁䅣光歁䕁䅑䅊㕁䑁䅍杏歁䕁䅑䅊硁䑁䅁免䅁乁䜸䅁祂䅁䅁睊扂䙁䅁杣療䝁䅯党橂䡁䅑䅉䡂䝁䅅杣療䝁䄴杢求䍁䅁兔療䝁䅑党獂䍁䅁兌杁䡁䅙䅎畁䡁䅧䅢穂䡁䅧兘䑂䡁䅫杙求䡁䅉睒卂䙁䅧睊桁䍁䅑兒歁䑁䅣免㙁䍁䅑兑䩂䍁䅑睎硁䅁䅁䄳䅙䡁䅉䅁湁䙁䅳䅕祂䝁䄸条求䝁䅍䅤杁䕁䅣兙祂䝁䄸杢畂䝁䅕䅉乂䝁䄸䅚求䝁䅷䅉瑁䍁䅁杤ぁ䍁䄴䅥獂䡁䅍䅥摂䕁䅍入楂䝁䅕杣䡂䙁䅉䅗湁䍁䅅䅊䙂䍁䅑睎祁䑁䅯䅊䉂䕁䅫䅊㍁䑁䅉䅁摄杂䅁䅣䅁䍁䅣睗兂䡁䅉睢煂䝁䅕睙あ䍁䅁睒桂䡁䅉睢畂䝁䄴党杁䕁䄰睢歂䝁䅕䅢杁䍁䄰䅉㉂䑁䅑杌㑂䝁䅷督㑂䙁䄰睑㕂䝁䅉党祂䕁䅣杕奂䍁䅣光歁䕁䅕䅊㕁䑁䅁杏歁䙁䅧䅊㕁䑁䅁䅁杄杂䅁䅣䅁䍁䅣睗兂䡁䅉睢煂䝁䅕睙あ䍁䅁睒桂䡁䅉睢畂䝁䄴党杁䕁䄰睢歂䝁䅕䅢杁䍁䄰䅉㉂䑁䅑杌㑂䝁䅷督㑂䙁䄰睑㕂䝁䅉党祂䕁䅣杕奂䍁䅣光歁䕁䅕䅊㕁䑁䅅杏歁䙁䅧䅊㕁䑁䅅䅁桄杂䅁䅚䅁䍁䅣睗兂䡁䅉睢煂䝁䅕睙あ䍁䅁睒桂䡁䅉睢畂䝁䄴党杁䕁䄰睢歂䝁䅕䅢杁䍁䄰䅉㉂䑁䅑杌㑂䝁䅷督㑂䙁䄰睒療䙁䅍党橂䡁䅕杣求䍁䅣光歁䕁䅑䅊㍁䑁䅅䅁㍃杂䅁䅣䅁䍁䅣睗兂䡁䅉睢煂䝁䅕睙あ䍁䅁睒桂䡁䅉睢畂䝁䄴党杁䕁䄰睢歂䝁䅕䅢杁䍁䄰䅉㉂䑁䅑杌㑂䝁䅷督㑂䙁䄰睒療䙁䅍党橂䡁䅕杣求䍁䅣光歁䕁䅑䅊㍁䑁䅍杏歁䕁䅑䅊㑁䑁䅅䅁㑃杂䅁䅚䅁䍁䅣睗兂䡁䅉睢煂䝁䅕睙あ䍁䅁睒桂䡁䅉睢畂䝁䄴党杁䕁䄰睢歂䝁䅕䅢杁䍁䄰䅉㉂䑁䅑杌㑂䝁䅷督㑂䙁䄰睒療䙁䅍党橂䡁䅕杣求䍁䅣光歁䕁䅑䅊㕁䑁䅍䅁楄杂䅁杣䅁䍁䅣睗兂䡁䅉睢煂䝁䅕睙あ䍁䅁睒桂䡁䅉睢畂䝁䄴党杁䕁䄰睢歂䝁䅕䅢杁䍁䄰䅉㉂䑁䅑杌㑂䝁䅷督㑂䙁䄰睒療䙁䅍党橂䡁䅕杣求䍁䅣光歁䕁䅑䅊㕁䑁䅙杏歁䕁䅑䅊硁䑁䅁免䅁佁䝍䅁祂䅁䅁睊扂䙁䅁杣療䝁䅯党橂䡁䅑䅉䡂䝁䅅杣療䝁䄴杢求䍁䅁兔療䝁䅑党獂䍁䅁兌杁䡁䅙䅎畁䡁䅧䅢穂䡁䅧兘䡂䝁䄸睕求䝁䅍兤祂䝁䅕睊桁䍁䅑兒歁䑁䅣免㙁䍁䅑兑䩂䍁䅑睎硁䅁䅁兵䅙䡁䅉䅁湁䙁䅳䅕祂䝁䄸条求䝁䅍䅤杁䕁䅣兙祂䝁䄸杢畂䝁䅕䅉乂䝁䄸䅚求䝁䅷䅉瑁䍁䅁杤ぁ䍁䄴䅥獂䡁䅍䅥摂䕁䅣睢呂䝁䅕睙ㅂ䡁䅉党湁䍁䅅䅊䙂䍁䅑睎祁䑁䅯䅊䉂䕁䅫䅊㍁䑁䅉䅁㙃杂䅁䅣䅁䍁䅣睗兂䡁䅉睢煂䝁䅕睙あ䍁䅁睒桂䡁䅉睢畂䝁䄴党杁䕁䄰睢歂䝁䅕䅢杁䍁䄰䅉㉂䑁䅑杌㑂䝁䅷督㑂䙁䄰睒療䙁䅍党橂䡁䅕杣求䍁䅣光歁䕁䅕䅊㕁䑁䅍杏歁䙁䅧䅊㕁䑁䅍䅁歄杂䅁䅣䅁䍁䅣睗兂䡁䅉睢煂䝁䅕睙あ䍁䅁睒桂䡁䅉睢畂䝁䄴党杁䕁䄰睢歂䝁䅕䅢杁䍁䄰䅉㉂䑁䅑杌㑂䝁䅷督㑂䙁䄰睒療䙁䅍党橂䡁䅕杣求䍁䅣光歁䕁䅕䅊㕁䑁䅑杏歁䙁䅧䅊㕁䑁䅑䅁汄杂䅁杘䅁䍁䅣睗兂䡁䅉睢煂䝁䅕睙あ䍁䅁睒桂䡁䅉睢畂䝁䄴党杁䕁䄰睢歂䝁䅕䅢杁䍁䄰䅉㉂䑁䅑杌㑂䝁䅷督㑂䙁䄰睔睂䡁䅑兡㉂䍁䅣光歁䕁䅑䅊㍁䑁䅅䅁䝄杂䅁条䅁䍁䅣睗兂䡁䅉睢煂䝁䅕睙あ䍁䅁睒桂䡁䅉睢畂䝁䄴党杁䕁䄰睢歂䝁䅕䅢杁䍁䄰䅉㉂䑁䅑杌㑂䝁䅷督㑂䙁䄰睔睂䡁䅑兡㉂䍁䅣光歁䕁䅑䅊㍁䑁䅍杏歁䕁䅑䅊㍁䑁䅧䅁䡄杂䅁杘䅁䍁䅣睗兂䡁䅉睢煂䝁䅕睙あ䍁䅁睒桂䡁䅉睢畂䝁䄴党杁䕁䄰睢歂䝁䅕䅢杁䍁䄰䅉㉂䑁䅑杌㑂䝁䅷督㑂䙁䄰睔睂䡁䅑兡㉂䍁䅣光歁䕁䅑䅊㕁䑁䅁䅁䉄杂䅁条䅁䍁䅣睗兂䡁䅉睢煂䝁䅕睙あ䍁䅁睒桂䡁䅉睢畂䝁䄴党杁䕁䄰睢歂䝁䅕䅢杁䍁䄰䅉㉂䑁䅑杌㑂䝁䅷督㑂䙁䄰睔睂䡁䅑兡㉂䍁䅣光歁䕁䅑䅊㕁䑁䅍杏歁䕁䅑䅊㕁䑁䅫䅁䍄杂䅁䅢䅁䍁䅣睗兂䡁䅉睢煂䝁䅕睙あ䍁䅁睒桂䡁䅉睢畂䝁䄴党杁䕁䄰睢歂䝁䅕䅢杁䍁䄰䅉㉂䑁䅑杌㑂䝁䅷督㑂䙁䄰睔睂䡁䅑兡㉂䍁䅣光歁䕁䅕䅊㍁䑁䅅杏歁䕁䅅兓歁䑁䅣免䅁䵁䝧䅁獂䅁䅁睊扂䙁䅁杣療䝁䅯党橂䡁䅑䅉䡂䝁䅅杣療䝁䄴杢求䍁䅁兔療䝁䅑党獂䍁䅁兌杁䡁䅙䅎畁䡁䅧䅢穂䡁䅧兘偂䡁䅁䅤灂䡁䅙睊桁䍁䅑兒歁䑁䅣杍㙁䍁䅑兑䩂䍁䅑睎祁䅁䅁兹䅙䝁䅯䅁湁䙁䅳䅕祂䝁䄸条求䝁䅍䅤杁䕁䅣兙祂䝁䄸杢畂䝁䅕䅉乂䝁䄸䅚求䝁䅷䅉瑁䍁䅁杤ぁ䍁䄴䅥獂䡁䅍䅥摂䕁䄸䅣あ䝁䅫杤湁䍁䅅䅊䙂䍁䅑兏睁䑁䅯䅊奂䍁䅑兏睁䅁䅁睷䅙䝁䅯䅁湁䙁䅳䅕祂䝁䄸条求䝁䅍䅤杁䕁䅣兙祂䝁䄸杢畂䝁䅕䅉乂䝁䄸䅚求䝁䅷䅉瑁䍁䅁杤ぁ䍁䄴䅥獂䡁䅍䅥摂䕁䄸䅣あ䝁䅫杤湁䍁䅅䅊䙂䍁䅑兏硁䑁䅯䅊奂䍁䅑兏硁䅁䅁䅸䅙䙁䅷䅁湁䙁䅳䅕祂䝁䄸条求䝁䅍䅤杁䕁䅣兙祂䝁䄸杢畂䝁䅕䅉乂䝁䄸䅚求䝁䅷䅉瑁䍁䅁杤ぁ䍁䄴䅥獂䡁䅍䅥摂䕁䄸杣歂䡁䅉睊桁䍁䅑䅒歁䑁䅣免䅁乁䝉䅁潂䅁䅁睊扂䙁䅁杣療䝁䅯党橂䡁䅑䅉䡂䝁䅅杣療䝁䄴杢求䍁䅁兔療䝁䅑党獂䍁䅁兌杁䡁䅙䅎畁䡁䅧䅢穂䡁䅧兘偂䡁䅉䅚祂䍁䅣光歁䕁䅑䅊㍁䑁䅍杏歁䕁䅑䅊㑁䑁䅅䅁呄杂䅁䅘䅁䍁䅣睗兂䡁䅉睢煂䝁䅕睙あ䍁䅁睒桂䡁䅉睢畂䝁䄴党杁䕁䄰睢歂䝁䅕䅢杁䍁䄰䅉㉂䑁䅑杌㑂䝁䅷督㑂䙁䄰睔祂䝁䅑杣湁䍁䅅䅊䕂䍁䅑兏穁䅁䅁朱䅙䝁䅯䅁湁䙁䅳䅕祂䝁䄸条求䝁䅍䅤杁䕁䅣兙祂䝁䄸杢畂䝁䅕䅉乂䝁䄸䅚求䝁䅷䅉瑁䍁䅁杤ぁ䍁䄴䅥獂䡁䅍䅥摂䕁䄸杣歂䡁䅉睊桁䍁䅑䅒歁䑁䅫李㙁䍁䅑䅒歁䑁䅅䅍硁䅁䅁眱䅙䝁䅯䅁湁䙁䅳䅕祂䝁䄸条求䝁䅍䅤杁䕁䅣兙祂䝁䄸杢畂䝁䅕䅉乂䝁䄸䅚求䝁䅷䅉瑁䍁䅁杤ぁ䍁䄴䅥獂䡁䅍䅥摂䕁䄸杣歂䡁䅉睊桁䍁䅑兒歁䑁䅣免㙁䍁䅑兑䩂䍁䅑睎硁䅁䅁䄱䅙䝁䅯䅁湁䙁䅳䅕祂䝁䄸条求䝁䅍䅤杁䕁䅣兙祂䝁䄸杢畂䝁䅕䅉乂䝁䄸䅚求䝁䅷䅉瑁䍁䅁杤ぁ䍁䄴䅥獂䡁䅍䅥摂䕁䄸杣歂䡁䅉睊桁䍁䅑兒歁䑁䅣杍㙁䍁䅑兑䩂䍁䅑睎祁䅁䅁儱䅙䝁䅧䅁湁䙁䅳䅕祂䝁䄸条求䝁䅍䅤杁䕁䅣兙祂䝁䄸杢畂䝁䅕䅉乂䝁䄸䅚求䝁䅷䅉瑁䍁䅁杤ぁ䍁䄴䅥獂䡁䅍䅥摂䕁䄸杣歂䡁䅉睊桁䍁䅑兒歁䑁䅫睍㙁䍁䅑䅗歁䑁䅫睍䅁乁䝧䅁潂䅁䅁睊扂䙁䅁杣療䝁䅯党橂䡁䅑䅉䡂䝁䅅杣療䝁䄴杢求䍁䅁兔療䝁䅑党獂䍁䅁兌杁䡁䅙䅎畁䡁䅧䅢穂䡁䅧兘偂䡁䅉䅚祂䍁䅣光歁䕁䅕䅊㕁䑁䅑杏歁䙁䅧䅊㕁䑁䅑䅁婄杂䅁杣䅁䍁䅣睗兂䡁䅉睢煂䝁䅕睙あ䍁䅁睒桂䡁䅉睢畂䝁䄴党杁䕁䄰睢歂䝁䅕䅢杁䍁䄰䅉㉂䑁䅑杌㑂䝁䅷督㑂䙁䄰睕療䝁䄴杣桂䝁䅫䅉呂䝁䅕睙ㅂ䡁䅉兡あ䡁䅫睊桁䍁䅑䅒歁䑁䅣免䅁䵁䝯䅁⭂䅁䅁睊扂䙁䅁杣療䝁䅯党橂䡁䅑䅉䡂䝁䅅杣療䝁䄴杢求䍁䅁兔療䝁䅑党獂䍁䅁兌杁䡁䅙䅎畁䡁䅧䅢穂䡁䅧兘呂䝁䄸杢祂䝁䅅兡杁䙁䅍党橂䡁䅕杣灂䡁䅑入湁䍁䅅䅊䕂䍁䅑睎穁䑁䅯䅊䕂䍁䅑睎㑁䅁䅁睹䅙䡁䅉䅁湁䙁䅳䅕祂䝁䄸条求䝁䅍䅤杁䕁䅣兙祂䝁䄸杢畂䝁䅕䅉乂䝁䄸䅚求䝁䅷䅉瑁䍁䅁杤ぁ䍁䄴䅥獂䡁䅍䅥摂䙁䅍睢畂䡁䅉兙灂䍁䅁睕求䝁䅍兤祂䝁䅫䅤㕂䍁䅣光歁䕁䅑䅊㕁䑁䅁䅁佄杂䅁杦䅁䍁䅣睗兂䡁䅉睢煂䝁䅕睙あ䍁䅁睒桂䡁䅉睢畂䝁䄴党杁䕁䄰睢歂䝁䅕䅢杁䍁䄰䅉㉂䑁䅑杌㑂䝁䅷督㑂䙁䄰睕療䝁䄴杣桂䝁䅫䅉呂䝁䅕睙ㅂ䡁䅉兡あ䡁䅫睊桁䍁䅑䅒歁䑁䅫睍㙁䍁䅑䅒歁䑁䅫李䅁䵁䜸䅁䅃䅁䅁睊扂䙁䅁杣療䝁䅯党橂䡁䅑䅉䡂䝁䅅杣療䝁䄴杢求䍁䅁兔療䝁䅑党獂䍁䅁兌杁䡁䅙䅎畁䡁䅧䅢穂䡁䅧兘呂䝁䄸杢祂䝁䅅兡杁䙁䅍党橂䡁䅕杣灂䡁䅑入湁䍁䅅䅊䙂䍁䅑睎硁䑁䅯䅊䉂䕁䅫䅊㍁䑁䅅䅁䵄杂䅁䅧䅁䍁䅣睗兂䡁䅉睢煂䝁䅕睙あ䍁䅁睒桂䡁䅉睢畂䝁䄴党杁䕁䄰睢歂䝁䅕䅢杁䍁䄰䅉㉂䑁䅑杌㑂䝁䅷督㑂䙁䄰睕療䝁䄴杣桂䝁䅫䅉呂䝁䅕睙ㅂ䡁䅉兡あ䡁䅫睊桁䍁䅑兒歁䑁䅣杍㙁䍁䅑兑䩂䍁䅑睎祁䅁䅁兺䅙䡁䄴䅁湁䙁䅳䅕祂䝁䄸条求䝁䅍䅤杁䕁䅣兙祂䝁䄸杢畂䝁䅕䅉乂䝁䄸䅚求䝁䅷䅉瑁䍁䅁杤ぁ䍁䄴䅥獂䡁䅍䅥摂䙁䅍睢畂䡁䅉兙灂䍁䅁睕求䝁䅍兤祂䝁䅫䅤㕂䍁䅣光歁䕁䅕䅊㕁䑁䅁杏歁䙁䅧䅊㕁䑁䅁䅁兄杂䅁杦䅁䍁䅣睗兂䡁䅉睢煂䝁䅕睙あ䍁䅁睒桂䡁䅉睢畂䝁䄴党杁䕁䄰睢歂䝁䅕䅢杁䍁䄰䅉㉂䑁䅑杌㑂䝁䅷督㑂䙁䄰睕療䝁䄴杣桂䝁䅫䅉呂䝁䅕睙ㅂ䡁䅉兡あ䡁䅫睊桁䍁䅑兒歁䑁䅫免㙁䍁䅑䅗歁䑁䅫免䅁乁䝅䅁奂䅁䅁睊扂䙁䅁杣療䝁䅯党橂䡁䅑䅉䥂䝁䅅兢瑂䝁䅕杣杁䍁䄰䅉祁䑁䅁杍ぁ䍁䄴䅥獂䡁䅍䅥摂䕁䅍睢瑂䡁䅁兙畂䡁䅫睊桁䍁䅑䅒歁䑁䅣免䅁䑁䝑䅁歂䅁䅁睊扂䙁䅁杣療䝁䅯党橂䡁䅑䅉䥂䝁䅅兢瑂䝁䅕杣杁䍁䄰䅉祁䑁䅁杍ぁ䍁䄴䅥獂䡁䅍䅥摂䕁䅍睢瑂䡁䅁兙畂䡁䅫睊桁䍁䅑䅒歁䑁䅣睍㙁䍁䅑䅒歁䑁䅣睎䅁䑁䝕䅁奂䅁䅁睊扂䙁䅁杣療䝁䅯党橂䡁䅑䅉䥂䝁䅅兢瑂䝁䅕杣杁䍁䄰䅉祁䑁䅁杍ぁ䍁䄴䅥獂䡁䅍䅥摂䕁䅍睢瑂䡁䅁兙畂䡁䅫睊桁䍁䅑䅒歁䑁䅧兏䅁䑁䝧䅁歂䅁䅁睊扂䙁䅁杣療䝁䅯党橂䡁䅑䅉䥂䝁䅅兢瑂䝁䅕杣杁䍁䄰䅉祁䑁䅁杍ぁ䍁䄴䅥獂䡁䅍䅥摂䕁䅍睢瑂䡁䅁兙畂䡁䅫睊桁䍁䅑䅒歁䑁䅫杍㙁䍁䅑䅒歁䑁䅫䅏䅁䑁䝫䅁浂䅁䅁睊扂䙁䅁杣療䝁䅯党橂䡁䅑䅉䥂䝁䅅兢瑂䝁䅕杣杁䍁䄰䅉祁䑁䅁杍ぁ䍁䄴䅥獂䡁䅍䅥摂䕁䅍睢瑂䡁䅁兙畂䡁䅫睊桁䍁䅑兒歁䑁䅣免㙁䍁䅑兑䩂䍁䅑睎硁䅁䅁李䅙䝁䅙䅁湁䙁䅳䅕祂䝁䄸条求䝁䅍䅤杁䕁䅧兙瑂䝁䄰党祂䍁䅁兌杁䑁䅉䅍祁䑁䅑杌㑂䝁䅷督㑂䙁䄰睑療䝁䄰䅣桂䝁䄴入湁䍁䅅䅊䙂䍁䅑睎祁䑁䅯䅊䉂䕁䅫䅊㍁䑁䅉䅁㍁杂䅁䅚䅁䍁䅣睗兂䡁䅉睢煂䝁䅕睙あ䍁䅁䅓桂䝁䄰兢求䡁䅉䅉瑁䍁䅁杍睁䑁䅉䅎畁䡁䅧䅢穂䡁䅧兘䑂䝁䄸兢睂䝁䅅杢㕂䍁䅣光歁䕁䅕䅊㑁䑁䅫杏歁䙁䅧䅊㑁䑁䅫䅁㙁杂䅁䅚䅁䍁䅣睗兂䡁䅉睢煂䝁䅕睙あ䍁䅁䅓桂䝁䄰兢求䡁䅉䅉瑁䍁䅁杍睁䑁䅉䅎畁䡁䅧䅢穂䡁䅧兘䑂䝁䄸兢睂䝁䅅杢㕂䍁䅣光歁䕁䅕䅊㕁䑁䅁杏歁䙁䅧䅊㕁䑁䅁䅁㝁杂䅁䅖䅁䍁䅣睗兂䡁䅉睢煂䝁䅕睙あ䍁䅁睓求䡁䅉杢杁䍁䄰䅉祁䑁䅁杍穁䍁䄴䅥獂䡁䅍䅥摂䕁䅍睢瑂䡁䅁兙畂䡁䅫睊桁䍁䅑䅒歁䑁䅣免䅁䅁䕙䅁杂䅁䅁睊扂䙁䅁杣療䝁䅯党橂䡁䅑䅉䱂䝁䅕杣畂䍁䅁兌杁䑁䅉䅍祁䑁䅍杌㑂䝁䅷督㑂䙁䄰睑療䝁䄰䅣桂䝁䄴入湁䍁䅅䅊䕂䍁䅑睎穁䑁䅯䅊䕂䍁䅑睎㍁䅁䅁睂䅑䙁䅑䅁湁䙁䅳䅕祂䝁䄸条求䝁䅍䅤杁䕁䅳党祂䝁䄴䅉瑁䍁䅁杍睁䑁䅉睍畁䡁䅧䅢穂䡁䅧兘䑂䝁䄸兢睂䝁䅅杢㕂䍁䅣光歁䕁䅑䅊㑁䑁䅫䅁䍁䅂䅁䅙䅁䍁䅣睗兂䡁䅉睢煂䝁䅕睙あ䍁䅁睓求䡁䅉杢杁䍁䄰䅉祁䑁䅁杍穁䍁䄴䅥獂䡁䅍䅥摂䕁䅍睢瑂䡁䅁兙畂䡁䅫睊桁䍁䅑䅒歁䑁䅫杍㙁䍁䅑䅒歁䑁䅫䅏䅁䅁䕍䅁楂䅁䅁睊扂䙁䅁杣療䝁䅯党橂䡁䅑䅉䱂䝁䅕杣畂䍁䅁兌杁䑁䅉䅍祁䑁䅍杌㑂䝁䅷督㑂䙁䄰睑療䝁䄰䅣桂䝁䄴入湁䍁䅅䅊䙂䍁䅑睎硁䑁䅯䅊䉂䕁䅫䅊㍁䑁䅅䅁䥁䅂䅁杙䅁䍁䅣睗兂䡁䅉睢煂䝁䅕睙あ䍁䅁睓求䡁䅉杢杁䍁䄰䅉祁䑁䅁杍穁䍁䄴䅥獂䡁䅍䅥摂䕁䅍睢瑂䡁䅁兙畂䡁䅫睊桁䍁䅑兒歁䑁䅣杍㙁䍁䅑兑䩂䍁䅑睎祁䅁䅁元䅑䝁䅁䅁湁䙁䅳䅕祂䝁䄸条求䝁䅍䅤杁䕁䅳党祂䝁䄴䅉瑁䍁䅁杍睁䑁䅉睍畁䡁䅧䅢穂䡁䅧兘䑂䝁䄸兢睂䝁䅅杢㕂䍁䅣光歁䕁䅕䅊㑁䑁䅫杏歁䙁䅧䅊㑁䑁䅫䅁䕁䅂䅁䅙䅁䍁䅣睗兂䡁䅉睢煂䝁䅕睙あ䍁䅁睓求䡁䅉杢杁䍁䄰䅉祁䑁䅁杍穁䍁䄴䅥獂䡁䅍䅥摂䕁䅍睢瑂䡁䅁兙畂䡁䅫睊桁䍁䅑兒歁䑁䅫䅍㙁䍁䅑䅗歁䑁䅫䅍䅁䅁䕕䅁啂䅁䅁睊扂䙁䅁杣療䝁䅯党橂䡁䅑䅉䱂䝁䅕杣畂䍁䅁兌杁䑁䅉䅍祁䑁䅑杌㑂䝁䅷督㑂䙁䄰睑療䝁䄰䅣桂䝁䄴入湁䍁䅅䅊䕂䍁䅑睎硁䅁䅁杄䅑䝁䅁䅁湁䙁䅳䅕祂䝁䄸条求䝁䅍䅤杁䕁䅳党祂䝁䄴䅉瑁䍁䅁杍睁䑁䅉䅎畁䡁䅧䅢穂䡁䅧兘䑂䝁䄸兢睂䝁䅅杢㕂䍁䅣光歁䕁䅑䅊㍁䑁䅍杏歁䕁䅑䅊㍁䑁䅣䅁偁䅂䅁䅖䅁䍁䅣睗兂䡁䅉睢煂䝁䅕睙あ䍁䅁睓求䡁䅉杢杁䍁䄰䅉祁䑁䅁杍ぁ䍁䄴䅥獂䡁䅍䅥摂䕁䅍睢瑂䡁䅁兙畂䡁䅫睊桁䍁䅑䅒歁䑁䅧兏䅁䅁䕯䅁杂䅁䅁睊扂䙁䅁杣療䝁䅯党橂䡁䅑䅉䱂䝁䅕杣畂䍁䅁兌杁䑁䅉䅍祁䑁䅑杌㑂䝁䅷督㑂䙁䄰睑療䝁䄰䅣桂䝁䄴入湁䍁䅅䅊䕂䍁䅑兏祁䑁䅯䅊䕂䍁䅑兏㑁䅁䅁睃䅑䝁䅉䅁湁䙁䅳䅕祂䝁䄸条求䝁䅍䅤杁䕁䅳党祂䝁䄴䅉瑁䍁䅁杍睁䑁䅉䅎畁䡁䅧䅢穂䡁䅧兘䑂䝁䄸兢睂䝁䅅杢㕂䍁䅣光歁䕁䅕䅊㍁䑁䅅杏歁䕁䅅兓歁䑁䅣免䅁䉁䕁䅁楂䅁䅁睊扂䙁䅁杣療䝁䅯党橂䡁䅑䅉䱂䝁䅕杣畂䍁䅁兌杁䑁䅉䅍祁䑁䅑杌㑂䝁䅷督㑂䙁䄰睑療䝁䄰䅣桂䝁䄴入湁䍁䅅䅊䙂䍁䅑睎祁䑁䅯䅊䉂䕁䅫䅊㍁䑁䅉䅁剁䅂䅁䅙䅁䍁䅣睗兂䡁䅉睢煂䝁䅕睙あ䍁䅁睓求䡁䅉杢杁䍁䄰䅉祁䑁䅁杍ぁ䍁䄴䅥獂䡁䅍䅥摂䕁䅍睢瑂䡁䅁兙畂䡁䅫睊桁䍁䅑兒歁䑁䅧兏㙁䍁䅑䅗歁䑁䅧兏䅁䅁䕷䅁杂䅁䅁睊扂䙁䅁杣療䝁䅯党橂䡁䅑䅉䱂䝁䅕杣畂䍁䅁兌杁䑁䅉䅍祁䑁䅑杌㑂䝁䅷督㑂䙁䄰睑療䝁䄰䅣桂䝁䄴入湁䍁䅅䅊䙂䍁䅑兏睁䑁䅯䅊奂䍁䅑兏睁䅁䅁兄䅑䝁䅯䅁湁䙁䅳䅕祂䝁䄸条求䝁䅍䅤杁䕁䄸睚桂䝁䄰兙杁䕁䅫兓杁䍁䄰䅉祁䑁䅁杍ぁ䍁䅁兌杁䡁䅙杍畁䡁䅧䅢穂䡁䅧兘䍂䝁䅅䅢灂䝁䅉兙祂䝁䅫督湁䍁䅅䅊䕂䍁䅑李㕁䅁䅁眹䅑䡁䅙䅁湁䙁䅳䅕祂䝁䄸条求䝁䅍䅤杁䕁䄸睚桂䝁䄰兙杁䕁䅫兓杁䍁䄰䅉祁䑁䅁杍ぁ䍁䅁兌杁䡁䅙杍畁䡁䅧䅢穂䡁䅧兘䍂䝁䅅䅢灂䝁䅉兙祂䝁䅫督湁䍁䅅䅊䕂䍁䅑睎硁䑁䅯䅊䕂䍁䅑䅏睁䅁䅁䄫䅑䝁䅯䅁湁䙁䅳䅕祂䝁䄸条求䝁䅍䅤杁䕁䄸睚桂䝁䄰兙杁䕁䅫兓杁䍁䄰䅉祁䑁䅁杍ぁ䍁䅁兌杁䡁䅙杍畁䡁䅧䅢穂䡁䅧兘䍂䝁䅅䅢灂䝁䅉兙祂䝁䅫督湁䍁䅅䅊䕂䍁䅑兏祁䅁䅁眱䅑䡁䅙䅁湁䙁䅳䅕祂䝁䄸条求䝁䅍䅤杁䕁䄸睚桂䝁䄰兙杁䕁䅫兓杁䍁䄰䅉祁䑁䅁杍ぁ䍁䅁兌杁䡁䅙杍畁䡁䅧䅢穂䡁䅧兘䍂䝁䅅䅢灂䝁䅉兙祂䝁䅫督湁䍁䅅䅊䕂䍁䅑兏ㅁ䑁䅯䅊䕂䍁䅑兏㕁䅁䅁䄲䅑䡁䅧䅁湁䙁䅳䅕祂䝁䄸条求䝁䅍䅤杁䕁䄸睚桂䝁䄰兙杁䕁䅫兓杁䍁䄰䅉祁䑁䅁杍ぁ䍁䅁兌杁䡁䅙杍畁䡁䅧䅢穂䡁䅧兘䍂䝁䅅䅢灂䝁䅉兙祂䝁䅫督湁䍁䅅䅊䙂䍁䅑李㕁䑁䅯䅊䉂䕁䅫䅊㉁䑁䅫䅁㕄䅂䅁䅥䅁䍁䅣睗兂䡁䅉睢煂䝁䅕睙あ䍁䅁睔湂䝁䅅兢桂䍁䅁兓䩂䍁䅁兌杁䑁䅉䅍祁䑁䅑䅉瑁䍁䅁杤祁䍁䄴䅥獂䡁䅍䅥摂䕁䅉兙獂䝁䅫杙桂䡁䅉兡穂䍁䅣光歁䕁䅕䅊㍁䑁䅁杏歁䕁䅅兓歁䑁䅣䅍䅁偁䕯䅁㉂䅁䅁睊扂䙁䅁杣療䝁䅯党橂䡁䅑䅉偂䝁䅣兙瑂䝁䅅䅉䩂䕁䅫䅉瑁䍁䅁杍睁䑁䅉䅎杁䍁䄰䅉㉂䑁䅉杌㑂䝁䅷督㑂䙁䄰村桂䝁䅷兡楂䝁䅅杣灂䡁䅍睊桁䍁䅑兒歁䑁䅫杍㙁䍁䅑䅗歁䑁䅫杍䅁乁䕫䅁㉂䅁䅁睊扂䙁䅁杣療䝁䅯党橂䡁䅑䅉偂䝁䅣兙瑂䝁䅅䅉䩂䕁䅫䅉瑁䍁䅁杍睁䑁䅉䅎杁䍁䄰䅉㉂䑁䅉杌㑂䝁䅷督㑂䙁䄰村桂䝁䅷兡楂䝁䅅杣灂䡁䅍睊桁䍁䅑兒歁䑁䅫睍㙁䍁䅑䅗歁䑁䅫睍䅁乁䕯䅁畂䅁䅁睊扂䙁䅁杣療䝁䅯党橂䡁䅑䅉偂䝁䅣兙瑂䝁䅅䅉䩂䕁䅫䅉瑁䍁䅁杍睁䑁䅉䅎杁䍁䄰䅉㉂䑁䅉杌㑂䝁䅷督㑂䙁䄰村桂䝁䄰䅉䱂䝁䅅杣桂䝁䄸睡求䍁䅣光歁䕁䅑䅊㉁䑁䅫䅁偄䅂䅁来䅁䍁䅣睗兂䡁䅉睢煂䝁䅕睙あ䍁䅁睔湂䝁䅅兢桂䍁䅁兓䩂䍁䅁兌杁䑁䅉䅍祁䑁䅑䅉瑁䍁䅁杤祁䍁䄴䅥獂䡁䅍䅥摂䕁䅉兙瑂䍁䅁睓桂䡁䅉兙療䝁䅳党湁䍁䅅䅊䕂䍁䅑睎硁䑁䅯䅊䕂䍁䅑睎穁䅁䅁䄰䅑䝁䄴䅁湁䙁䅳䅕祂䝁䄸条求䝁䅍䅤杁䕁䄸睚桂䝁䄰兙杁䕁䅫兓杁䍁䄰䅉祁䑁䅁杍ぁ䍁䅁兌杁䡁䅙杍畁䡁䅧䅢穂䡁䅧兘䍂䝁䅅兢杁䕁䅳兙祂䝁䅅睢牂䝁䅕睊桁䍁䅑䅒歁䑁䅧兎䅁佁䕳䅁㙂䅁䅁睊扂䙁䅁杣療䝁䅯党橂䡁䅑䅉偂䝁䅣兙瑂䝁䅅䅉䩂䕁䅫䅉瑁䍁䅁杍睁䑁䅉䅎杁䍁䄰䅉㉂䑁䅉杌㑂䝁䅷督㑂䙁䄰村桂䝁䄰䅉䱂䝁䅅杣桂䝁䄸睡求䍁䅣光歁䕁䅑䅊㑁䑁䅧杏歁䕁䅑䅊㕁䑁䅉䅁獄䅂䅁䅦䅁䍁䅣睗兂䡁䅉睢煂䝁䅕睙あ䍁䅁睔湂䝁䅅兢桂䍁䅁兓䩂䍁䅁兌杁䑁䅉䅍祁䑁䅑䅉瑁䍁䅁杤祁䍁䄴䅥獂䡁䅍䅥摂䕁䅉兙瑂䍁䅁睓桂䡁䅉兙療䝁䅳党湁䍁䅅䅊䙂䍁䅑李㕁䑁䅯䅊䉂䕁䅫䅊㉁䑁䅫䅁剄䅂䅁䅦䅁䍁䅣睗兂䡁䅉睢煂䝁䅕睙あ䍁䅁睔湂䝁䅅兢桂䍁䅁兓䩂䍁䅁兌杁䑁䅉䅍祁䑁䅑䅉瑁䍁䅁杤祁䍁䄴䅥獂䡁䅍䅥摂䕁䅉兙瑂䍁䅁睓桂䡁䅉兙療䝁䅳党湁䍁䅅䅊䙂䍁䅑睎睁䑁䅯䅊䉂䕁䅫䅊㍁䑁䅁䅁卄䅂䅁来䅁䍁䅣睗兂䡁䅉睢煂䝁䅕睙あ䍁䅁睔湂䝁䅅兢桂䍁䅁兓䩂䍁䅁兌杁䑁䅉䅍祁䑁䅑䅉瑁䍁䅁杤祁䍁䄴䅥獂䡁䅍䅥摂䕁䅉兙瑂䍁䅁睓桂䡁䅉兙療䝁䅳党湁䍁䅅䅊䙂䍁䅑䅏ㅁ䑁䅯䅊奂䍁䅑䅏ㅁ䅁䅁儷䅑䡁䅯䅁湁䙁䅳䅕祂䝁䄸条求䝁䅍䅤杁䕁䄸睚桂䝁䄰兙杁䕁䅫兓杁䍁䄰䅉祁䑁䅁杍ぁ䍁䅁兌杁䡁䅙杍畁䡁䅧䅢穂䡁䅧兘䍂䝁䅅兢杁䕁䅳兙祂䝁䅅睢牂䝁䅕睊桁䍁䅑兒歁䑁䅧李㙁䍁䅑䅗歁䑁䅧李䅁佁䔴䅁浂䅁䅁睊扂䙁䅁杣療䝁䅯党橂䡁䅑䅉偂䝁䅣兙瑂䝁䅅䅉䩂䕁䅫䅉瑁䍁䅁杍睁䑁䅉䅎杁䍁䄰䅉㉂䑁䅉杌㑂䝁䅷督㑂䙁䄰杒灂䝁䅣兙祂䝁䅕䅤湁䍁䅅䅊䕂䍁䅑李㕁䅁䅁眵䅑䡁䅉䅁湁䙁䅳䅕祂䝁䄸条求䝁䅍䅤杁䕁䄸睚桂䝁䄰兙杁䕁䅫兓杁䍁䄰䅉祁䑁䅁杍ぁ䍁䅁兌杁䡁䅙杍畁䡁䅧䅢穂䡁䅧兘䝂䝁䅫睚桂䡁䅉党あ䍁䅣光歁䕁䅑䅊㍁䑁䅅杏歁䕁䅑䅊㑁䑁䅁䅁潄䅂䅁杚䅁䍁䅣睗兂䡁䅉睢煂䝁䅕睙あ䍁䅁睔湂䝁䅅兢桂䍁䅁兓䩂䍁䅁兌杁䑁䅉䅍祁䑁䅑䅉瑁䍁䅁杤祁䍁䄴䅥獂䡁䅍䅥摂䕁䅙兡湂䝁䅅杣求䡁䅑睊桁䍁䅑䅒歁䑁䅫杍䅁偁䕳䅁祂䅁䅁睊扂䙁䅁杣療䝁䅯党橂䡁䅑䅉偂䝁䅣兙瑂䝁䅅䅉䩂䕁䅫䅉瑁䍁䅁杍睁䑁䅉䅎杁䍁䄰䅉㉂䑁䅉杌㑂䝁䅷督㑂䙁䄰杒灂䝁䅣兙祂䝁䅕䅤湁䍁䅅䅊䕂䍁䅑兏ㅁ䑁䅯䅊䕂䍁䅑兏㕁䅁䅁䄯䅑䡁䅑䅁湁䙁䅳䅕祂䝁䄸条求䝁䅍䅤杁䕁䄸睚桂䝁䄰兙杁䕁䅫兓杁䍁䄰䅉祁䑁䅁杍ぁ䍁䅁兌杁䡁䅙杍畁䡁䅧䅢穂䡁䅧兘䝂䝁䅫睚桂䡁䅉党あ䍁䅣光歁䕁䅕䅊㉁䑁䅫杏歁䕁䅅兓歁䑁䅙兏䅁佁䕫䅁あ䅁䅁睊扂䙁䅁杣療䝁䅯党橂䡁䅑䅉偂䝁䅣兙瑂䝁䅅䅉䩂䕁䅫䅉瑁䍁䅁杍睁䑁䅉䅎杁䍁䄰䅉㉂䑁䅉杌㑂䝁䅷督㑂䙁䄰杒灂䝁䅣兙祂䝁䅕䅤湁䍁䅅䅊䙂䍁䅑睎睁䑁䅯䅊䉂䕁䅫䅊㍁䑁䅁䅁煄䅂䅁杣䅁䍁䅣睗兂䡁䅉睢煂䝁䅕睙あ䍁䅁睔湂䝁䅅兢桂䍁䅁兓䩂䍁䅁兌杁䑁䅉䅍祁䑁䅑䅉瑁䍁䅁杤祁䍁䄴䅥獂䡁䅍䅥摂䕁䅙兡湂䝁䅅杣求䡁䅑睊桁䍁䅑兒歁䑁䅫杍㙁䍁䅑䅗歁䑁䅫杍䅁偁䔰䅁祂䅁䅁睊扂䙁䅁杣療䝁䅯党橂䡁䅑䅉偂䝁䅣兙瑂䝁䅅䅉䩂䕁䅫䅉瑁䍁䅁杍睁䑁䅉䅎杁䍁䄰䅉㉂䑁䅉杌㑂䝁䅷督㑂䙁䄰杒灂䝁䅣兙祂䝁䅕䅤湁䍁䅅䅊䙂䍁䅑兏穁䑁䅯䅊奂䍁䅑兏穁䅁䅁术䅑䝁䅯䅁湁䙁䅳䅕祂䝁䄸条求䝁䅍䅤杁䕁䄸睚桂䝁䄰兙杁䕁䅫兓杁䍁䄰䅉祁䑁䅁杍ぁ䍁䅁兌杁䡁䅙杍畁䡁䅧䅢穂䡁䅧兘䵂䕁䅅䅉䍂䡁䅉兤牂䝁䅕䅤湁䍁䅅䅊䕂䍁䅑李㕁䅁䅁眳䅑䡁䅙䅁湁䙁䅳䅕祂䝁䄸条求䝁䅍䅤杁䕁䄸睚桂䝁䄰兙杁䕁䅫兓杁䍁䄰䅉祁䑁䅁杍ぁ䍁䅁兌杁䡁䅙杍畁䡁䅧䅢穂䡁䅧兘䵂䕁䅅䅉䍂䡁䅉兤牂䝁䅕䅤湁䍁䅅䅊䕂䍁䅑睎硁䑁䅯䅊䕂䍁䅑睎㉁䅁䅁䄴䅑䝁䅯䅁湁䙁䅳䅕祂䝁䄸条求䝁䅍䅤杁䕁䄸睚桂䝁䄰兙杁䕁䅫兓杁䍁䄰䅉祁䑁䅁杍ぁ䍁䅁兌杁䡁䅙杍畁䡁䅧䅢穂䡁䅧兘䵂䕁䅅䅉䍂䡁䅉兤牂䝁䅕䅤湁䍁䅅䅊䕂䍁䅑䅏㑁䅁䅁眲䅑䡁䅙䅁湁䙁䅳䅕祂䝁䄸条求䝁䅍䅤杁䕁䄸睚桂䝁䄰兙杁䕁䅫兓杁䍁䄰䅉祁䑁䅁杍ぁ䍁䅁兌杁䡁䅙杍畁䡁䅧䅢穂䡁䅧兘䵂䕁䅅䅉䍂䡁䅉兤牂䝁䅕䅤湁䍁䅅䅊䕂䍁䅑兏硁䑁䅯䅊䕂䍁䅑兏㍁䅁䅁䄳䅑䡁䅧䅁湁䙁䅳䅕祂䝁䄸条求䝁䅍䅤杁䕁䄸睚桂䝁䄰兙杁䕁䅫兓杁䍁䄰䅉祁䑁䅁杍ぁ䍁䅁兌杁䡁䅙杍畁䡁䅧䅢穂䡁䅧兘䵂䕁䅅䅉䍂䡁䅉兤牂䝁䅕䅤湁䍁䅅䅊䙂䍁䅑李㕁䑁䅯䅊䉂䕁䅫䅊㉁䑁䅫䅁桄䅂䅁䅥䅁䍁䅣睗兂䡁䅉睢煂䝁䅕睙あ䍁䅁睔湂䝁䅅兢桂䍁䅁兓䩂䍁䅁兌杁䑁䅉䅍祁䑁䅑䅉瑁䍁䅁杤祁䍁䄴䅥獂䡁䅍䅥摂䕁䅷兑杁䕁䅉杣ㅂ䝁䅳党あ䍁䅣光歁䕁䅕䅊㍁䑁䅁杏歁䕁䅅兓歁䑁䅣䅍䅁佁䕉䅁㉂䅁䅁睊扂䙁䅁杣療䝁䅯党橂䡁䅑䅉偂䝁䅣兙瑂䝁䅅䅉䩂䕁䅫䅉瑁䍁䅁杍睁䑁䅉䅎杁䍁䄰䅉㉂䑁䅉杌㑂䝁䅷督㑂䙁䄰䅔䉂䍁䅁村祂䡁䅕睡求䡁䅑睊桁䍁䅑兒歁䑁䅧䅏㙁䍁䅑䅗歁䑁䅧䅏䅁乁䔰䅁㉂䅁䅁睊扂䙁䅁杣療䝁䅯党橂䡁䅑䅉偂䝁䅣兙瑂䝁䅅䅉䩂䕁䅫䅉瑁䍁䅁杍睁䑁䅉䅎杁䍁䄰䅉㉂䑁䅉杌㑂䝁䅷督㑂䙁䄰䅔䉂䍁䅁村祂䡁䅕睡求䡁䅑睊桁䍁䅑兒歁䑁䅧兏㙁䍁䅑䅗歁䑁䅧兏䅁乁䔴䅁㑂䅁䅁睊扂䙁䅁杣療䝁䅯党橂䡁䅑䅉偂䝁䅣兙瑂䝁䅅䅉䩂䕁䅫䅉瑁䍁䅁杍睁䑁䅉䅎杁䍁䄰䅉㉂䑁䅉杌㑂䝁䅷督㑂䙁䄰䅔求䍁䅁睕獂䝁䅫䅣杁䕁䅙杣桂䝁䄴眵桂䝁䅫督湁䍁䅅䅊䕂䍁䅑李㕁䅁䅁眯䅑䥁䅑䅁湁䙁䅳䅕祂䝁䄸条求䝁䅍䅤杁䕁䄸睚桂䝁䄰兙杁䕁䅫兓杁䍁䄰䅉祁䑁䅁杍ぁ䍁䅁兌杁䡁䅙杍畁䡁䅧䅢穂䡁䅧兘䵂䝁䅕䅉呂䝁䅷兡睂䍁䅁杒祂䝁䅅杢湄䝁䅅兡穂䍁䅣光歁䕁䅑䅊㍁䑁䅅杏歁䕁䅑䅊㍁䑁䅕䅁䅁兂䅁䅥䅁䍁䅣睗兂䡁䅉睢煂䝁䅕睙あ䍁䅁睔湂䝁䅅兢桂䍁䅁兓䩂䍁䅁兌杁䑁䅉䅍祁䑁䅑䅉瑁䍁䅁杤祁䍁䄴䅥獂䡁䅍䅥摂䕁䅷党杁䙁䅍䅢灂䡁䅁䅉䝂䡁䅉兙畂佁䅣兙灂䡁䅍睊桁䍁䅑䅒歁䑁䅧睎䅁䅁䙍䅁䕃䅁䅁睊扂䙁䅁杣療䝁䅯党橂䡁䅑䅉偂䝁䅣兙瑂䝁䅅䅉䩂䕁䅫䅉瑁䍁䅁杍睁䑁䅉䅎杁䍁䄰䅉㉂䑁䅉杌㑂䝁䅷督㑂䙁䄰䅔求䍁䅁睕獂䝁䅫䅣杁䕁䅙杣桂䝁䄴眵桂䝁䅫督湁䍁䅅䅊䕂䍁䅑兏睁䑁䅯䅊䕂䍁䅑兏㉁䅁䅁䅂䅕䥁䅙䅁湁䙁䅳䅕祂䝁䄸条求䝁䅍䅤杁䕁䄸睚桂䝁䄰兙杁䕁䅫兓杁䍁䄰䅉祁䑁䅁杍ぁ䍁䅁兌杁䡁䅙杍畁䡁䅧䅢穂䡁䅧兘䵂䝁䅕䅉呂䝁䅷兡睂䍁䅁杒祂䝁䅅杢湄䝁䅅兡穂䍁䅣光歁䕁䅕䅊㉁䑁䅫杏歁䕁䅅兓歁䑁䅙兏䅁䅁䙅䅁䝃䅁䅁睊扂䙁䅁杣療䝁䅯党橂䡁䅑䅉偂䝁䅣兙瑂䝁䅅䅉䩂䕁䅫䅉瑁䍁䅁杍睁䑁䅉䅎杁䍁䄰䅉㉂䑁䅉杌㑂䝁䅷督㑂䙁䄰䅔求䍁䅁睕獂䝁䅫䅣杁䕁䅙杣桂䝁䄴眵桂䝁䅫督湁䍁䅅䅊䙂䍁䅑睎睁䑁䅯䅊䉂䕁䅫䅊㍁䑁䅁䅁䍁兂䅁䅨䅁䍁䅣睗兂䡁䅉睢煂䝁䅕睙あ䍁䅁睔湂䝁䅅兢桂䍁䅁兓䩂䍁䅁兌杁䑁䅉䅍祁䑁䅑䅉瑁䍁䅁杤祁䍁䄴䅥獂䡁䅍䅥摂䕁䅷党杁䙁䅍䅢灂䡁䅁䅉䝂䡁䅉兙畂佁䅣兙灂䡁䅍睊桁䍁䅑兒歁䑁䅧睎㙁䍁䅑䅗歁䑁䅧睎䅁䅁䙕䅁䕃䅁䅁睊扂䙁䅁杣療䝁䅯党橂䡁䅑䅉偂䝁䅣兙瑂䝁䅅䅉䩂䕁䅫䅉瑁䍁䅁杍睁䑁䅉䅎杁䍁䄰䅉㉂䑁䅉杌㑂䝁䅷督㑂䙁䄰䅔求䍁䅁睕獂䝁䅫䅣杁䕁䅙杣桂䝁䄴眵桂䝁䅫督湁䍁䅅䅊䙂䍁䅑䅏㑁䑁䅯䅊奂䍁䅑䅏㑁䅁䅁杂䅕䝁䅷䅁湁䙁䅳䅕祂䝁䄸条求䝁䅍䅤杁䕁䄸睚桂䝁䄰兙杁䕁䅫兓杁䍁䄰䅉祁䑁䅁杍ぁ䍁䅁兌杁䡁䅙杍畁䡁䅧䅢穂䡁䅧兘佂䙁䅙䅉䡂䝁䅅䅢獂䝁䅕杣㕂䍁䅣光歁䕁䅑䅊㉁䑁䅫䅁穄䅂䅁䅥䅁䍁䅣睗兂䡁䅉睢煂䝁䅕睙あ䍁䅁睔湂䝁䅅兢桂䍁䅁兓䩂䍁䅁兌杁䑁䅉䅍祁䑁䅑䅉瑁䍁䅁杤祁䍁䄴䅥獂䡁䅍䅥摂䕁䄴杖杁䕁䅣兙獂䝁䅷党祂䡁䅫睊桁䍁䅑䅒歁䑁䅣免㙁䍁䅑䅒歁䑁䅣䅏䅁偁䕑䅁獂䅁䅁睊扂䙁䅁杣療䝁䅯党橂䡁䅑䅉偂䝁䅣兙瑂䝁䅅䅉䩂䕁䅫䅉瑁䍁䅁杍睁䑁䅉䅎杁䍁䄰䅉㉂䑁䅉杌㑂䝁䅷督㑂䙁䄰杔坂䍁䅁睒桂䝁䅷䅢求䡁䅉入湁䍁䅅䅊䕂䍁䅑兏睁䅁䅁眴䅑䡁䅧䅁湁䙁䅳䅕祂䝁䄸条求䝁䅍䅤杁䕁䄸睚桂䝁䄰兙杁䕁䅫兓杁䍁䄰䅉祁䑁䅁杍ぁ䍁䅁兌杁䡁䅙杍畁䡁䅧䅢穂䡁䅧兘佂䙁䅙䅉䡂䝁䅅䅢獂䝁䅕杣㕂䍁䅣光歁䕁䅑䅊㕁䑁䅍杏歁䕁䅑䅊㕁䑁䅧䅁歄䅂䅁来䅁䍁䅣睗兂䡁䅉睢煂䝁䅕睙あ䍁䅁睔湂䝁䅅兢桂䍁䅁兓䩂䍁䅁兌杁䑁䅉䅍祁䑁䅑䅉瑁䍁䅁杤祁䍁䄴䅥獂䡁䅍䅥摂䕁䄴杖杁䕁䅣兙獂䝁䅷党祂䡁䅫睊桁䍁䅑兒歁䑁䅙兏㙁䍁䅑兑䩂䍁䅑李㕁䅁䅁儹䅑䡁䅯䅁湁䙁䅳䅕祂䝁䄸条求䝁䅍䅤杁䕁䄸睚桂䝁䄰兙杁䕁䅫兓杁䍁䄰䅉祁䑁䅁杍ぁ䍁䅁兌杁䡁䅙杍畁䡁䅧䅢穂䡁䅧兘佂䙁䅙䅉䡂䝁䅅䅢獂䝁䅕杣㕂䍁䅣光歁䕁䅕䅊㍁䑁䅁杏歁䕁䅅兓歁䑁䅣䅍䅁偁䕙䅁㑂䅁䅁睊扂䙁䅁杣療䝁䅯党橂䡁䅑䅉偂䝁䅣兙瑂䝁䅅䅉䩂䕁䅫䅉瑁䍁䅁杍睁䑁䅉䅎杁䍁䄰䅉㉂䑁䅉杌㑂䝁䅷督㑂䙁䄰杔坂䍁䅁睒桂䝁䅷䅢求䡁䅉入湁䍁䅅䅊䙂䍁䅑兏睁䑁䅯䅊奂䍁䅑兏睁䅁䅁儵䅑䡁䅧䅁湁䙁䅳䅕祂䝁䄸条求䝁䅍䅤杁䕁䄸睚桂䝁䄰兙杁䕁䅫兓杁䍁䄰䅉祁䑁䅁杍ぁ䍁䅁兌杁䡁䅙杍畁䡁䅧䅢穂䡁䅧兘佂䙁䅙䅉䡂䝁䅅䅢獂䝁䅕杣㕂䍁䅣光歁䕁䅕䅊㕁䑁䅅杏歁䙁䅧䅊㕁䑁䅅䅁浄䅂䅁䅚䅁䍁䅣睗兂䡁䅉睢煂䝁䅕睙あ䍁䅁睔湂䝁䅅兢桂䍁䅁兓䩂䍁䅁兌杁䑁䅉䅍祁䑁䅑䅉瑁䍁䅁杤祁䍁䄴䅥獂䡁䅍䅥摂䙁䅍党穂䡁䅍兤畂䍁䅣光歁䕁䅑䅊㉁䑁䅫䅁癄䅂䅁䅣䅁䍁䅣睗兂䡁䅉睢煂䝁䅕睙あ䍁䅁睔湂䝁䅅兢桂䍁䅁兓䩂䍁䅁兌杁䑁䅉䅍祁䑁䅑䅉瑁䍁䅁杤祁䍁䄴䅥獂䡁䅍䅥摂䙁䅍党穂䡁䅍兤畂䍁䅣光歁䕁䅑䅊㍁䑁䅅杏歁䕁䅑䅊㑁䑁䅁䅁睄䅂䅁䅚䅁䍁䅣睗兂䡁䅉睢煂䝁䅕睙あ䍁䅁睔湂䝁䅅兢桂䍁䅁兓䩂䍁䅁兌杁䑁䅉䅍祁䑁䅑䅉瑁䍁䅁杤祁䍁䄴䅥獂䡁䅍䅥摂䙁䅍党穂䡁䅍兤畂䍁䅣光歁䕁䅑䅊㕁䑁䅉䅁呄䅂䅁䅣䅁䍁䅣睗兂䡁䅉睢煂䝁䅕睙あ䍁䅁睔湂䝁䅅兢桂䍁䅁兓䩂䍁䅁兌杁䑁䅉䅍祁䑁䅑䅉瑁䍁䅁杤祁䍁䄴䅥獂䡁䅍䅥摂䙁䅍党穂䡁䅍兤畂䍁䅣光歁䕁䅑䅊㕁䑁䅕杏歁䕁䅑䅊㕁䑁䅫䅁啄䅂䅁杣䅁䍁䅣睗兂䡁䅉睢煂䝁䅕睙あ䍁䅁睔湂䝁䅅兢桂䍁䅁兓䩂䍁䅁兌杁䑁䅉䅍祁䑁䅑䅉瑁䍁䅁杤祁䍁䄴䅥獂䡁䅍䅥摂䙁䅍党穂䡁䅍兤畂䍁䅣光歁䕁䅕䅊㉁䑁䅫杏歁䕁䅅兓歁䑁䅙兏䅁偁䕅䅁祂䅁䅁睊扂䙁䅁杣療䝁䅯党橂䡁䅑䅉偂䝁䅣兙瑂䝁䅅䅉䩂䕁䅫䅉瑁䍁䅁杍睁䑁䅉䅎杁䍁䄰䅉㉂䑁䅉杌㑂䝁䅷督㑂䙁䄰睕求䡁䅍督ㅂ䝁䄴睊桁䍁䅑兒歁䑁䅣䅍㙁䍁䅑兑䩂䍁䅑睎睁䅁䅁朸䅑䡁䅁䅁湁䙁䅳䅕祂䝁䄸条求䝁䅍䅤杁䕁䄸睚桂䝁䄰兙杁䕁䅫兓杁䍁䄰䅉祁䑁䅁杍ぁ䍁䅁兌杁䡁䅙杍畁䡁䅧䅢穂䡁䅧兘呂䝁䅕督穂䡁䅕杢湁䍁䅅䅊䙂䍁䅑兏祁䑁䅯䅊奂䍁䅑兏祁䅁䅁儱䅑䡁䅁䅁湁䙁䅳䅕祂䝁䄸条求䝁䅍䅤杁䕁䄸睚桂䝁䄰兙杁䕁䅫兓杁䍁䄰䅉祁䑁䅁杍ぁ䍁䅁兌杁䡁䅙杍畁䡁䅧䅢穂䡁䅧兘呂䝁䅕督穂䡁䅕杢湁䍁䅅䅊䙂䍁䅑兏穁䑁䅯䅊奂䍁䅑兏穁䅁䅁朱䅑䝁䅯䅁湁䙁䅳䅕祂䝁䄸条求䝁䅍䅤杁䕁䄸睚桂䝁䄰兙杁䕁䅫兓杁䍁䄰䅉祁䑁䅁杍ぁ䍁䅁兌杁䡁䅙䅏畁䡁䅧䅢穂䡁䅧兘䍂䝁䅅䅢灂䝁䅉兙祂䝁䅫督湁䍁䅅䅊䕂䍁䅑睎硁䅁䅁免䅕䡁䅙䅁湁䙁䅳䅕祂䝁䄸条求䝁䅍䅤杁䕁䄸睚桂䝁䄰兙杁䕁䅫兓杁䍁䄰䅉祁䑁䅁杍ぁ䍁䅁兌杁䡁䅙䅏畁䡁䅧䅢穂䡁䅧兘䍂䝁䅅䅢灂䝁䅉兙祂䝁䅫督湁䍁䅅䅊䕂䍁䅑睎穁䑁䅯䅊䕂䍁䅑䅏祁䅁䅁杍䅕䝁䅯䅁湁䙁䅳䅕祂䝁䄸条求䝁䅍䅤杁䕁䄸睚桂䝁䄰兙杁䕁䅫兓杁䍁䄰䅉祁䑁䅁杍ぁ䍁䅁兌杁䡁䅙䅏畁䡁䅧䅢穂䡁䅧兘䍂䝁䅅䅢灂䝁䅉兙祂䝁䅫督湁䍁䅅䅊䕂䍁䅑兏ぁ䅁䅁兊䅕䡁䅧䅁湁䙁䅳䅕祂䝁䄸条求䝁䅍䅤杁䕁䄸睚桂䝁䄰兙杁䕁䅫兓杁䍁䄰䅉祁䑁䅁杍ぁ䍁䅁兌杁䡁䅙䅏畁䡁䅧䅢穂䡁䅧兘䍂䝁䅅䅢灂䝁䅉兙祂䝁䅫督湁䍁䅅䅊䕂䍁䅑兏㍁䑁䅯䅊䕂䍁䅑免硁䑁䅁䅁流兂䅁䅥䅁䍁䅣睗兂䡁䅉睢煂䝁䅕睙あ䍁䅁睔湂䝁䅅兢桂䍁䅁兓䩂䍁䅁兌杁䑁䅉䅍祁䑁䅑䅉瑁䍁䅁杤㑁䍁䄴䅥獂䡁䅍䅥摂䕁䅉兙獂䝁䅫杙桂䡁䅉兡穂䍁䅣光歁䕁䅕䅊㍁䑁䅅杏歁䕁䅅兓歁䑁䅣免䅁䑁䙍䅁㑂䅁䅁睊扂䙁䅁杣療䝁䅯党橂䡁䅑䅉偂䝁䅣兙瑂䝁䅅䅉䩂䕁䅫䅉瑁䍁䅁杍睁䑁䅉䅎杁䍁䄰䅉㉂䑁䅧杌㑂䝁䅷督㑂䙁䄰村桂䝁䅷兡楂䝁䅅杣灂䡁䅍睊桁䍁䅑兒歁䑁䅣杍㙁䍁䅑兑䩂䍁䅑睎祁䅁䅁䅎䅕䡁䅙䅁湁䙁䅳䅕祂䝁䄸条求䝁䅍䅤杁䕁䄸睚桂䝁䄰兙杁䕁䅫兓杁䍁䄰䅉祁䑁䅁杍ぁ䍁䅁兌杁䡁䅙䅏畁䡁䅧䅢穂䡁䅧兘䍂䝁䅅䅢灂䝁䅉兙祂䝁䅫督湁䍁䅅䅊䙂䍁䅑兏ぁ䑁䅯䅊奂䍁䅑兏ぁ䅁䅁睊䅕䡁䅙䅁湁䙁䅳䅕祂䝁䄸条求䝁䅍䅤杁䕁䄸睚桂䝁䄰兙杁䕁䅫兓杁䍁䄰䅉祁䑁䅁杍ぁ䍁䅁兌杁䡁䅙䅏畁䡁䅧䅢穂䡁䅧兘䍂䝁䅅䅢灂䝁䅉兙祂䝁䅫督湁䍁䅅䅊䙂䍁䅑兏ㅁ䑁䅯䅊奂䍁䅑兏ㅁ䅁䅁䅋䅕䝁䄴䅁湁䙁䅳䅕祂䝁䄸条求䝁䅍䅤杁䕁䄸睚桂䝁䄰兙杁䕁䅫兓杁䍁䄰䅉祁䑁䅁杍ぁ䍁䅁兌杁䡁䅙䅏畁䡁䅧䅢穂䡁䅧兘䍂䝁䅅兢杁䕁䅳兙祂䝁䅅睢牂䝁䅕睊桁䍁䅑䅒歁䑁䅙兏䅁䑁䙫䅁㙂䅁䅁睊扂䙁䅁杣療䝁䅯党橂䡁䅑䅉偂䝁䅣兙瑂䝁䅅䅉䩂䕁䅫䅉瑁䍁䅁杍睁䑁䅉䅎杁䍁䄰䅉㉂䑁䅧杌㑂䝁䅷督㑂䙁䄰村桂䝁䄰䅉䱂䝁䅅杣桂䝁䄸睡求䍁䅣光歁䕁䅑䅊㍁䑁䅅杏歁䕁䅑䅊㍁䑁䅍䅁㙁兂䅁杢䅁䍁䅣睗兂䡁䅉睢煂䝁䅕睙あ䍁䅁睔湂䝁䅅兢桂䍁䅁兓䩂䍁䅁兌杁䑁䅉䅍祁䑁䅑䅉瑁䍁䅁杤㑁䍁䄴䅥獂䡁䅍䅥摂䕁䅉兙瑂䍁䅁睓桂䡁䅉兙療䝁䅳党湁䍁䅅䅊䕂䍁䅑䅏ㅁ䅁䅁光䅕䡁䅯䅁湁䙁䅳䅕祂䝁䄸条求䝁䅍䅤杁䕁䄸睚桂䝁䄰兙杁䕁䅫兓杁䍁䄰䅉祁䑁䅁杍ぁ䍁䅁兌杁䡁䅙䅏畁䡁䅧䅢穂䡁䅧兘䍂䝁䅅兢杁䕁䅳兙祂䝁䅅睢牂䝁䅕睊桁䍁䅑䅒歁䑁䅧䅏㙁䍁䅑䅒歁䑁䅫杍䅁䍁䙉䅁㡂䅁䅁睊扂䙁䅁杣療䝁䅯党橂䡁䅑䅉偂䝁䅣兙瑂䝁䅅䅉䩂䕁䅫䅉瑁䍁䅁杍睁䑁䅉䅎杁䍁䄰䅉㉂䑁䅧杌㑂䝁䅷督㑂䙁䄰村桂䝁䄰䅉䱂䝁䅅杣桂䝁䄸睡求䍁䅣光歁䕁䅕䅊㉁䑁䅫杏歁䕁䅅兓歁䑁䅙兏䅁䑁䙳䅁㡂䅁䅁睊扂䙁䅁杣療䝁䅯党橂䡁䅑䅉偂䝁䅣兙瑂䝁䅅䅉䩂䕁䅫䅉瑁䍁䅁杍睁䑁䅉䅎杁䍁䄰䅉㉂䑁䅧杌㑂䝁䅷督㑂䙁䄰村桂䝁䄰䅉䱂䝁䅅杣桂䝁䄸睡求䍁䅣光歁䕁䅕䅊㍁䑁䅁杏歁䕁䅅兓歁䑁䅣䅍䅁䑁䙷䅁㙂䅁䅁睊扂䙁䅁杣療䝁䅯党橂䡁䅑䅉偂䝁䅣兙瑂䝁䅅䅉䩂䕁䅫䅉瑁䍁䅁杍睁䑁䅉䅎杁䍁䄰䅉㉂䑁䅧杌㑂䝁䅷督㑂䙁䄰村桂䝁䄰䅉䱂䝁䅅杣桂䝁䄸睡求䍁䅣光歁䕁䅕䅊㑁䑁䅕杏歁䙁䅧䅊㑁䑁䅕䅁橁兂䅁来䅁䍁䅣睗兂䡁䅉睢煂䝁䅕睙あ䍁䅁睔湂䝁䅅兢桂䍁䅁兓䩂䍁䅁兌杁䑁䅉䅍祁䑁䅑䅉瑁䍁䅁杤㑁䍁䄴䅥獂䡁䅍䅥摂䕁䅉兙瑂䍁䅁睓桂䡁䅉兙療䝁䅳党湁䍁䅅䅊䙂䍁䅑䅏㉁䑁䅯䅊奂䍁䅑䅏㉁䅁䅁䅊䅕䝁䅙䅁湁䙁䅳䅕祂䝁䄸条求䝁䅍䅤杁䕁䄸睚桂䝁䄰兙杁䕁䅫兓杁䍁䄰䅉祁䑁䅁杍ぁ䍁䅁兌杁䡁䅙䅏畁䡁䅧䅢穂䡁䅧兘䝂䝁䅫睚桂䡁䅉党あ䍁䅣光歁䕁䅑䅊㍁䑁䅅䅁塁兂䅁杣䅁䍁䅣睗兂䡁䅉睢煂䝁䅕睙あ䍁䅁睔湂䝁䅅兢桂䍁䅁兓䩂䍁䅁兌杁䑁䅉䅍祁䑁䅑䅉瑁䍁䅁杤㑁䍁䄴䅥獂䡁䅍䅥摂䕁䅙兡湂䝁䅅杣求䡁䅑睊桁䍁䅑䅒歁䑁䅣睍㙁䍁䅑䅒歁䑁䅧杍䅁䉁䙧䅁浂䅁䅁睊扂䙁䅁杣療䝁䅯党橂䡁䅑䅉偂䝁䅣兙瑂䝁䅅䅉䩂䕁䅫䅉瑁䍁䅁杍睁䑁䅉䅎杁䍁䄰䅉㉂䑁䅧杌㑂䝁䅷督㑂䙁䄰杒灂䝁䅣兙祂䝁䅕䅤湁䍁䅅䅊䕂䍁䅑兏ぁ䅁䅁先䅕䡁䅑䅁湁䙁䅳䅕祂䝁䄸条求䝁䅍䅤杁䕁䄸睚桂䝁䄰兙杁䕁䅫兓杁䍁䄰䅉祁䑁䅁杍ぁ䍁䅁兌杁䡁䅙䅏畁䡁䅧䅢穂䡁䅧兘䝂䝁䅫睚桂䡁䅉党あ䍁䅣光歁䕁䅑䅊㕁䑁䅣杏歁䕁䅑䅊硁䑁䅅䅍䅁䉁䘴䅁あ䅁䅁睊扂䙁䅁杣療䝁䅯党橂䡁䅑䅉偂䝁䅣兙瑂䝁䅅䅉䩂䕁䅫䅉瑁䍁䅁杍睁䑁䅉䅎杁䍁䄰䅉㉂䑁䅧杌㑂䝁䅷督㑂䙁䄰杒灂䝁䅣兙祂䝁䅕䅤湁䍁䅅䅊䙂䍁䅑睎硁䑁䅯䅊䉂䕁䅫䅊㍁䑁䅅䅁婁兂䅁䅤䅁䍁䅣睗兂䡁䅉睢煂䝁䅕睙あ䍁䅁睔湂䝁䅅兢桂䍁䅁兓䩂䍁䅁兌杁䑁䅉䅍祁䑁䅑䅉瑁䍁䅁杤㑁䍁䄴䅥獂䡁䅍䅥摂䕁䅙兡湂䝁䅅杣求䡁䅑睊桁䍁䅑兒歁䑁䅣杍㙁䍁䅑兑䩂䍁䅑睎祁䅁䅁杇䅕䡁䅉䅁湁䙁䅳䅕祂䝁䄸条求䝁䅍䅤杁䕁䄸睚桂䝁䄰兙杁䕁䅫兓杁䍁䄰䅉祁䑁䅁杍ぁ䍁䅁兌杁䡁䅙䅏畁䡁䅧䅢穂䡁䅧兘䝂䝁䅫睚桂䡁䅉党あ䍁䅣光歁䕁䅕䅊㕁䑁䅑杏歁䙁䅧䅊㕁䑁䅑䅁晁兂䅁杣䅁䍁䅣睗兂䡁䅉睢煂䝁䅕睙あ䍁䅁睔湂䝁䅅兢桂䍁䅁兓䩂䍁䅁兌杁䑁䅉䅍祁䑁䅑䅉瑁䍁䅁杤㑁䍁䄴䅥獂䡁䅍䅥摂䕁䅙兡湂䝁䅅杣求䡁䅑睊桁䍁䅑兒歁䑁䅫兎㙁䍁䅑䅗歁䑁䅫兎䅁䍁䙁䅁煂䅁䅁睊扂䙁䅁杣療䝁䅯党橂䡁䅑䅉偂䝁䅣兙瑂䝁䅅䅉䩂䕁䅫䅉瑁䍁䅁杍睁䑁䅉䅎杁䍁䄰䅉㉂䑁䅧杌㑂䝁䅷督㑂䙁䄰䅔桂䍁䅁村祂䡁䅕睡求䡁䅑睊桁䍁䅑䅒歁䑁䅙兏䅁䅁䘸䅁㉂䅁䅁睊扂䙁䅁杣療䝁䅯党橂䡁䅑䅉偂䝁䅣兙瑂䝁䅅䅉䩂䕁䅫䅉瑁䍁䅁杍睁䑁䅉䅎杁䍁䄰䅉㉂䑁䅧杌㑂䝁䅷督㑂䙁䄰䅔桂䍁䅁村祂䡁䅕睡求䡁䅑睊桁䍁䅑䅒歁䑁䅣免㙁䍁䅑䅒歁䑁䅣李䅁䉁䙁䅁煂䅁䅁睊扂䙁䅁杣療䝁䅯党橂䡁䅑䅉偂䝁䅣兙瑂䝁䅅䅉䩂䕁䅫䅉瑁䍁䅁杍睁䑁䅉䅎杁䍁䄰䅉㉂䑁䅧杌㑂䝁䅷督㑂䙁䄰䅔桂䍁䅁村祂䡁䅕睡求䡁䅑睊桁䍁䅑䅒歁䑁䅧䅏䅁䅁䙣䅁㑂䅁䅁睊扂䙁䅁杣療䝁䅯党橂䡁䅑䅉偂䝁䅣兙瑂䝁䅅䅉䩂䕁䅫䅉瑁䍁䅁杍睁䑁䅉䅎杁䍁䄰䅉㉂䑁䅧杌㑂䝁䅷督㑂䙁䄰䅔桂䍁䅁村祂䡁䅕睡求䡁䅑睊桁䍁䅑䅒歁䑁䅫免㙁䍁䅑䅒歁䑁䅅䅍硁䅁䅁䅃䅕䡁䅧䅁湁䙁䅳䅕祂䝁䄸条求䝁䅍䅤杁䕁䄸睚桂䝁䄰兙杁䕁䅫兓杁䍁䄰䅉祁䑁䅁杍ぁ䍁䅁兌杁䡁䅙䅏畁䡁䅧䅢穂䡁䅧兘䵂䝁䅅䅉䍂䡁䅉兤牂䝁䅕䅤湁䍁䅅䅊䙂䍁䅑李㕁䑁䅯䅊䉂䕁䅫䅊㉁䑁䅫䅁剁兂䅁䅥䅁䍁䅣睗兂䡁䅉睢煂䝁䅕睙あ䍁䅁睔湂䝁䅅兢桂䍁䅁兓䩂䍁䅁兌杁䑁䅉䅍祁䑁䅑䅉瑁䍁䅁杤㑁䍁䄴䅥獂䡁䅍䅥摂䕁䅷兙杁䕁䅉杣ㅂ䝁䅳党あ䍁䅣光歁䕁䅕䅊㍁䑁䅁杏歁䕁䅅兓歁䑁䅣䅍䅁䉁䙉䅁㉂䅁䅁睊扂䙁䅁杣療䝁䅯党橂䡁䅑䅉偂䝁䅣兙瑂䝁䅅䅉䩂䕁䅫䅉瑁䍁䅁杍睁䑁䅉䅎杁䍁䄰䅉㉂䑁䅧杌㑂䝁䅷督㑂䙁䄰䅔桂䍁䅁村祂䡁䅕睡求䡁䅑睊桁䍁䅑兒歁䑁䅧䅏㙁䍁䅑䅗歁䑁䅧䅏䅁䅁䙫䅁㉂䅁䅁睊扂䙁䅁杣療䝁䅯党橂䡁䅑䅉偂䝁䅣兙瑂䝁䅅䅉䩂䕁䅫䅉瑁䍁䅁杍睁䑁䅉䅎杁䍁䄰䅉㉂䑁䅧杌㑂䝁䅷督㑂䙁䄰䅔桂䍁䅁村祂䡁䅕睡求䡁䅑睊桁䍁䅑兒歁䑁䅧兏㙁䍁䅑䅗歁䑁䅧兏䅁䅁䙯䅁㑂䅁䅁睊扂䙁䅁杣療䝁䅯党橂䡁䅑䅉偂䝁䅣兙瑂䝁䅅䅉䩂䕁䅫䅉瑁䍁䅁杍睁䑁䅉䅎杁䍁䄰䅉㉂䑁䅧杌㑂䝁䅷督㑂䙁䄰䅔求䍁䅁睕獂䝁䅫䅣杁䕁䅙杣桂䝁䄴眵桂䝁䅫督湁䍁䅅䅊䕂䍁䅑李㕁䅁䅁児䅕䥁䅑䅁湁䙁䅳䅕祂䝁䄸条求䝁䅍䅤杁䕁䄸睚桂䝁䄰兙杁䕁䅫兓杁䍁䄰䅉祁䑁䅁杍ぁ䍁䅁兌杁䡁䅙䅏畁䡁䅧䅢穂䡁䅧兘䵂䝁䅕䅉呂䝁䅷兡睂䍁䅁杒祂䝁䅅杢湄䝁䅅兡穂䍁䅣光歁䕁䅑䅊㍁䑁䅅杏歁䕁䅑䅊㍁䑁䅕䅁⭁兂䅁䅥䅁䍁䅣睗兂䡁䅉睢煂䝁䅕睙あ䍁䅁睔湂䝁䅅兢桂䍁䅁兓䩂䍁䅁兌杁䑁䅉䅍祁䑁䅑䅉瑁䍁䅁杤㑁䍁䄴䅥獂䡁䅍䅥摂䕁䅷党杁䙁䅍䅢灂䡁䅁䅉䝂䡁䅉兙畂佁䅣兙灂䡁䅍睊桁䍁䅑䅒歁䑁䅧睎䅁䑁䙕䅁䕃䅁䅁睊扂䙁䅁杣療䝁䅯党橂䡁䅑䅉偂䝁䅣兙瑂䝁䅅䅉䩂䕁䅫䅉瑁䍁䅁杍睁䑁䅉䅎杁䍁䄰䅉㉂䑁䅧杌㑂䝁䅷督㑂䙁䄰䅔求䍁䅁睕獂䝁䅫䅣杁䕁䅙杣桂䝁䄴眵桂䝁䅫督湁䍁䅅䅊䕂䍁䅑兏睁䑁䅯䅊䕂䍁䅑兏㉁䅁䅁李䅕䥁䅙䅁湁䙁䅳䅕祂䝁䄸条求䝁䅍䅤杁䕁䄸睚桂䝁䄰兙杁䕁䅫兓杁䍁䄰䅉祁䑁䅁杍ぁ䍁䅁兌杁䡁䅙䅏畁䡁䅧䅢穂䡁䅧兘䵂䝁䅕䅉呂䝁䅷兡睂䍁䅁杒祂䝁䅅杢湄䝁䅅兡穂䍁䅣光歁䕁䅕䅊㉁䑁䅫杏歁䕁䅅兓歁䑁䅙兏䅁䑁䘸䅁䝃䅁䅁睊扂䙁䅁杣療䝁䅯党橂䡁䅑䅉偂䝁䅣兙瑂䝁䅅䅉䩂䕁䅫䅉瑁䍁䅁杍睁䑁䅉䅎杁䍁䄰䅉㉂䑁䅧杌㑂䝁䅷督㑂䙁䄰䅔求䍁䅁睕獂䝁䅫䅣杁䕁䅙杣桂䝁䄴眵桂䝁䅫督湁䍁䅅䅊䙂䍁䅑睎睁䑁䅯䅊䉂䕁䅫䅊㍁䑁䅁䅁䅂兂䅁䅨䅁䍁䅣睗兂䡁䅉睢煂䝁䅕睙あ䍁䅁睔湂䝁䅅兢桂䍁䅁兓䩂䍁䅁兌杁䑁䅉䅍祁䑁䅑䅉瑁䍁䅁杤㑁䍁䄴䅥獂䡁䅍䅥摂䕁䅷党杁䙁䅍䅢灂䡁䅁䅉䝂䡁䅉兙畂佁䅣兙灂䡁䅍睊桁䍁䅑兒歁䑁䅧睎㙁䍁䅑䅗歁䑁䅧睎䅁䑁䙣䅁䕃䅁䅁睊扂䙁䅁杣療䝁䅯党橂䡁䅑䅉偂䝁䅣兙瑂䝁䅅䅉䩂䕁䅫䅉瑁䍁䅁杍睁䑁䅉䅎杁䍁䄰䅉㉂䑁䅧杌㑂䝁䅷督㑂䙁䄰䅔求䍁䅁睕獂䝁䅫䅣杁䕁䅙杣桂䝁䄴眵桂䝁䅫督湁䍁䅅䅊䙂䍁䅑䅏㑁䑁䅯䅊奂䍁䅑䅏㑁䅁䅁䅏䅕䝁䅷䅁湁䙁䅳䅕祂䝁䄸条求䝁䅍䅤杁䕁䄸睚桂䝁䄰兙杁䕁䅫兓杁䍁䄰䅉祁䑁䅁杍ぁ䍁䅁兌杁䡁䅙䅏畁䡁䅧䅢穂䡁䅧兘佂䙁䅙䅉䡂䝁䅅䅢獂䝁䅕杣㕂䍁䅣光歁䕁䅑䅊㉁䑁䅫䅁䱁兂䅁䅥䅁䍁䅣睗兂䡁䅉睢煂䝁䅕睙あ䍁䅁睔湂䝁䅅兢桂䍁䅁兓䩂䍁䅁兌杁䑁䅉䅍祁䑁䅑䅉瑁䍁䅁杤㑁䍁䄴䅥獂䡁䅍䅥摂䕁䄴杖杁䕁䅣兙獂䝁䅷党祂䡁䅫睊桁䍁䅑䅒歁䑁䅣免㙁䍁䅑䅒歁䑁䅣䅏䅁䅁䙷䅁獂䅁䅁睊扂䙁䅁杣療䝁䅯党橂䡁䅑䅉偂䝁䅣兙瑂䝁䅅䅉䩂䕁䅫䅉瑁䍁䅁杍睁䑁䅉䅎杁䍁䄰䅉㉂䑁䅧杌㑂䝁䅷督㑂䙁䄰杔坂䍁䅁睒桂䝁䅷䅢求䡁䅉入湁䍁䅅䅊䕂䍁䅑兏睁䅁䅁兌䅕䡁䅧䅁湁䙁䅳䅕祂䝁䄸条求䝁䅍䅤杁䕁䄸睚桂䝁䄰兙杁䕁䅫兓杁䍁䄰䅉祁䑁䅁杍ぁ䍁䅁兌杁䡁䅙䅏畁䡁䅧䅢穂䡁䅧兘佂䙁䅙䅉䡂䝁䅅䅢獂䝁䅕杣㕂䍁䅣光歁䕁䅑䅊㕁䑁䅍杏歁䕁䅑䅊㕁䑁䅧䅁畁兂䅁来䅁䍁䅣睗兂䡁䅉睢煂䝁䅕睙あ䍁䅁睔湂䝁䅅兢桂䍁䅁兓䩂䍁䅁兌杁䑁䅉䅍祁䑁䅑䅉瑁䍁䅁杤㑁䍁䄴䅥獂䡁䅍䅥摂䕁䄴杖杁䕁䅣兙獂䝁䅷党祂䡁䅫睊桁䍁䅑兒歁䑁䅙兏㙁䍁䅑兑䩂䍁䅑李㕁䅁䅁兄䅕䡁䅯䅁湁䙁䅳䅕祂䝁䄸条求䝁䅍䅤杁䕁䄸睚桂䝁䄰兙杁䕁䅫兓杁䍁䄰䅉祁䑁䅁杍ぁ䍁䅁兌杁䡁䅙䅏畁䡁䅧䅢穂䡁䅧兘佂䙁䅙䅉䡂䝁䅅䅢獂䝁䅕杣㕂䍁䅣光歁䕁䅕䅊㍁䑁䅁杏歁䕁䅅兓歁䑁䅣䅍䅁䅁䘴䅁㑂䅁䅁睊扂䙁䅁杣療䝁䅯党橂䡁䅑䅉偂䝁䅣兙瑂䝁䅅䅉䩂䕁䅫䅉瑁䍁䅁杍睁䑁䅉䅎杁䍁䄰䅉㉂䑁䅧杌㑂䝁䅷督㑂䙁䄰杔坂䍁䅁睒桂䝁䅷䅢求䡁䅉入湁䍁䅅䅊䙂䍁䅑兏睁䑁䅯䅊奂䍁䅑兏睁䅁䅁睌䅕䡁䅧䅁湁䙁䅳䅕祂䝁䄸条求䝁䅍䅤杁䕁䄸睚桂䝁䄰兙杁䕁䅫兓杁䍁䄰䅉祁䑁䅁杍ぁ䍁䅁兌杁䡁䅙䅏畁䡁䅧䅢穂䡁䅧兘佂䙁䅙䅉䡂䝁䅅䅢獂䝁䅕杣㕂䍁䅣光歁䕁䅕䅊㕁䑁䅅杏歁䙁䅧䅊㕁䑁䅅䅁睁兂䅁䅚䅁䍁䅣睗兂䡁䅉睢煂䝁䅕睙あ䍁䅁睔湂䝁䅅兢桂䍁䅁兓䩂䍁䅁兌杁䑁䅉䅍祁䑁䅑䅉瑁䍁䅁杤㑁䍁䄴䅥獂䡁䅍䅥摂䙁䅍党穂䡁䅍兤畂䍁䅣光歁䕁䅑䅊㍁䑁䅅䅁灁兂䅁䅣䅁䍁䅣睗兂䡁䅉睢煂䝁䅕睙あ䍁䅁睔湂䝁䅅兢桂䍁䅁兓䩂䍁䅁兌杁䑁䅉䅍祁䑁䅑䅉瑁䍁䅁杤㑁䍁䄴䅥獂䡁䅍䅥摂䙁䅍党穂䡁䅍兤畂䍁䅣光歁䕁䅑䅊㍁䑁䅍杏歁䕁䅑䅊㑁䑁䅍䅁煁兂䅁䅚䅁䍁䅣睗兂䡁䅉睢煂䝁䅕睙あ䍁䅁睔湂䝁䅅兢桂䍁䅁兓䩂䍁䅁兌杁䑁䅉䅍祁䑁䅑䅉瑁䍁䅁杤㑁䍁䄴䅥獂䡁䅍䅥摂䙁䅍党穂䡁䅍兤畂䍁䅣光歁䕁䅑䅊㕁䑁䅕䅁呁兂䅁杣䅁䍁䅣睗兂䡁䅉睢煂䝁䅕睙あ䍁䅁睔湂䝁䅅兢桂䍁䅁兓䩂䍁䅁兌杁䑁䅉䅍祁䑁䅑䅉瑁䍁䅁杤㑁䍁䄴䅥獂䡁䅍䅥摂䙁䅍党穂䡁䅍兤畂䍁䅣光歁䕁䅑䅊㕁䑁䅧杏歁䕁䅑䅊硁䑁䅅睍䅁䉁䙑䅁祂䅁䅁睊扂䙁䅁杣療䝁䅯党橂䡁䅑䅉偂䝁䅣兙瑂䝁䅅䅉䩂䕁䅫䅉瑁䍁䅁杍睁䑁䅉䅎杁䍁䄰䅉㉂䑁䅧杌㑂䝁䅷督㑂䙁䄰睕求䡁䅍督ㅂ䝁䄴睊桁䍁䅑兒歁䑁䅣免㙁䍁䅑兑䩂䍁䅑睎硁䅁䅁睋䅕䡁䅉䅁湁䙁䅳䅕祂䝁䄸条求䝁䅍䅤杁䕁䄸睚桂䝁䄰兙杁䕁䅫兓杁䍁䄰䅉祁䑁䅁杍ぁ䍁䅁兌杁䡁䅙䅏畁䡁䅧䅢穂䡁䅧兘呂䝁䅕督穂䡁䅕杢湁䍁䅅䅊䙂䍁䅑睎祁䑁䅯䅊䉂䕁䅫䅊㍁䑁䅉䅁獁兂䅁䅣䅁䍁䅣睗兂䡁䅉睢煂䝁䅕睙あ䍁䅁睔湂䝁䅅兢桂䍁䅁兓䩂䍁䅁兌杁䑁䅉䅍祁䑁䅑䅉瑁䍁䅁杤㑁䍁䄴䅥獂䡁䅍䅥摂䙁䅍党穂䡁䅍兤畂䍁䅣光歁䕁䅕䅊㕁䑁䅕杏歁䙁䅧䅊㕁䑁䅕䅁噁兂䅁䅣䅁䍁䅣睗兂䡁䅉睢煂䝁䅕睙あ䍁䅁睔湂䝁䅅兢桂䍁䅁兓䩂䍁䅁兌杁䑁䅉䅍祁䑁䅑䅉瑁䍁䅁杤㑁䍁䄴䅥獂䡁䅍䅥摂䙁䅍党穂䡁䅍兤畂䍁䅣光歁䕁䅕䅊㕁䑁䅙杏歁䙁䅧䅊㕁䑁䅙䅁坁兂䅁条䅁䍁䅣睗兂䡁䅉睢煂䝁䅕睙あ䍁䅁睔湂䝁䅅兢桂䍁䅁兓䩂䍁䅁兌杁䑁䅉䅍祁䑁䅑䅉瑁䍁䅁杤㕁䍁䄴䅥獂䡁䅍䅥摂䕁䅉兙獂䝁䅫杙桂䡁䅉兡穂䍁䅣光歁䕁䅑䅊㍁䑁䅅䅁摂兂䅁杤䅁䍁䅣睗兂䡁䅉睢煂䝁䅕睙あ䍁䅁睔湂䝁䅅兢桂䍁䅁兓䩂䍁䅁兌杁䑁䅉䅍祁䑁䅑䅉瑁䍁䅁杤㕁䍁䄴䅥獂䡁䅍䅥摂䕁䅉兙獂䝁䅫杙桂䡁䅉兡穂䍁䅣光歁䕁䅑䅊㍁䑁䅍杏歁䕁䅑䅊㑁䑁䅉䅁敂兂䅁条䅁䍁䅣睗兂䡁䅉睢煂䝁䅕睙あ䍁䅁睔湂䝁䅅兢桂䍁䅁兓䩂䍁䅁兌杁䑁䅉䅍祁䑁䅑䅉瑁䍁䅁杤㕁䍁䄴䅥獂䡁䅍䅥摂䕁䅉兙獂䝁䅫杙桂䡁䅉兡穂䍁䅣光歁䕁䅑䅊㕁䑁䅑䅁桂兂䅁䅥䅁䍁䅣睗兂䡁䅉睢煂䝁䅕睙あ䍁䅁睔湂䝁䅅兢桂䍁䅁兓䩂䍁䅁兌杁䑁䅉䅍祁䑁䅑䅉瑁䍁䅁杤㕁䍁䄴䅥獂䡁䅍䅥摂䕁䅉兙獂䝁䅫杙桂䡁䅉兡穂䍁䅣光歁䕁䅑䅊㕁䑁䅣杏歁䕁䅑䅊硁䑁䅅䅍䅁䝁䙉䅁㑂䅁䅁睊扂䙁䅁杣療䝁䅯党橂䡁䅑䅉偂䝁䅣兙瑂䝁䅅䅉䩂䕁䅫䅉瑁䍁䅁杍睁䑁䅉䅎杁</t>
  </si>
  <si>
    <t>䍁䄰䅉㉂䑁䅫杌㑂䝁䅷督㑂䙁䄰村桂䝁䅷兡楂䝁䅅杣灂䡁䅍睊桁䍁䅑兒歁䑁䅣免㙁䍁䅑兑䩂䍁䅑睎硁䅁䅁睘䅕䡁䅧䅁湁䙁䅳䅕祂䝁䄸条求䝁䅍䅤杁䕁䄸睚桂䝁䄰兙杁䕁䅫兓杁䍁䄰䅉祁䑁䅁杍ぁ䍁䅁兌杁䡁䅙兏畁䡁䅧䅢穂䡁䅧兘䍂䝁䅅䅢灂䝁䅉兙祂䝁䅫督湁䍁䅅䅊䙂䍁䅑睎祁䑁䅯䅊䉂䕁䅫䅊㍁䑁䅉䅁杂兂䅁杤䅁䍁䅣睗兂䡁䅉睢煂䝁䅕睙あ䍁䅁睔湂䝁䅅兢桂䍁䅁兓䩂䍁䅁兌杁䑁䅉䅍祁䑁䅑䅉瑁䍁䅁杤㕁䍁䄴䅥獂䡁䅍䅥摂䕁䅉兙獂䝁䅫杙桂䡁䅉兡穂䍁䅣光歁䕁䅕䅊㕁䑁䅑杏歁䙁䅧䅊㕁䑁䅑䅁橂兂䅁杤䅁䍁䅣睗兂䡁䅉睢煂䝁䅕睙あ䍁䅁睔湂䝁䅅兢桂䍁䅁兓䩂䍁䅁兌杁䑁䅉䅍祁䑁䅑䅉瑁䍁䅁杤㕁䍁䄴䅥獂䡁䅍䅥摂䕁䅉兙獂䝁䅫杙桂䡁䅉兡穂䍁䅣光歁䕁䅕䅊㕁䑁䅕杏歁䙁䅧䅊㕁䑁䅕䅁歂兂䅁杢䅁䍁䅣睗兂䡁䅉睢煂䝁䅕睙あ䍁䅁睔湂䝁䅅兢桂䍁䅁兓䩂䍁䅁兌杁䑁䅉䅍祁䑁䅑䅉瑁䍁䅁杤㕁䍁䄴䅥獂䡁䅍䅥摂䕁䅉兙瑂䍁䅁睓桂䡁䅉兙療䝁䅳党湁䍁䅅䅊䕂䍁䅑李㕁䅁䅁兡䅕䡁䅯䅁湁䙁䅳䅕祂䝁䄸条求䝁䅍䅤杁䕁䄸睚桂䝁䄰兙杁䕁䅫兓杁䍁䄰䅉祁䑁䅁杍ぁ䍁䅁兌杁䡁䅙兏畁䡁䅧䅢穂䡁䅧兘䍂䝁䅅兢杁䕁䅳兙祂䝁䅅睢牂䝁䅕睊桁䍁䅑䅒歁䑁䅣免㙁䍁䅑䅒歁䑁䅣睍䅁䝁䙯䅁畂䅁䅁睊扂䙁䅁杣療䝁䅯党橂䡁䅑䅉偂䝁䅣兙瑂䝁䅅䅉䩂䕁䅫䅉瑁䍁䅁杍睁䑁䅉䅎杁䍁䄰䅉㉂䑁䅫杌㑂䝁䅷督㑂䙁䄰村桂䝁䄰䅉䱂䝁䅅杣桂䝁䄸睡求䍁䅣光歁䕁䅑䅊㑁䑁䅕䅁瑂兂䅁来䅁䍁䅣睗兂䡁䅉睢煂䝁䅕睙あ䍁䅁睔湂䝁䅅兢桂䍁䅁兓䩂䍁䅁兌杁䑁䅉䅍祁䑁䅑䅉瑁䍁䅁杤㕁䍁䄴䅥獂䡁䅍䅥摂䕁䅉兙瑂䍁䅁睓桂䡁䅉兙療䝁䅳党湁䍁䅅䅊䕂䍁䅑䅏㑁䑁䅯䅊䕂䍁䅑兏祁䅁䅁杢䅕䡁䅷䅁湁䙁䅳䅕祂䝁䄸条求䝁䅍䅤杁䕁䄸睚桂䝁䄰兙杁䕁䅫兓杁䍁䄰䅉祁䑁䅁杍ぁ䍁䅁兌杁䡁䅙兏畁䡁䅧䅢穂䡁䅧兘䍂䝁䅅兢杁䕁䅳兙祂䝁䅅睢牂䝁䅕睊桁䍁䅑兒歁䑁䅙兏㙁䍁䅑兑䩂䍁䅑李㕁䅁䅁睡䅕䡁䅷䅁湁䙁䅳䅕祂䝁䄸条求䝁䅍䅤杁䕁䄸睚桂䝁䄰兙杁䕁䅫兓杁䍁䄰䅉祁䑁䅁杍ぁ䍁䅁兌杁䡁䅙兏畁䡁䅧䅢穂䡁䅧兘䍂䝁䅅兢杁䕁䅳兙祂䝁䅅睢牂䝁䅕睊桁䍁䅑兒歁䑁䅣䅍㙁䍁䅑兑䩂䍁䅑睎睁䅁䅁䅢䅕䡁䅯䅁湁䙁䅳䅕祂䝁䄸条求䝁䅍䅤杁䕁䄸睚桂䝁䄰兙杁䕁䅫兓杁䍁䄰䅉祁䑁䅁杍ぁ䍁䅁兌杁䡁䅙兏畁䡁䅧䅢穂䡁䅧兘䍂䝁䅅兢杁䕁䅳兙祂䝁䅅睢牂䝁䅕睊桁䍁䅑兒歁䑁䅧兎㙁䍁䅑䅗歁䑁䅧兎䅁䝁䘸䅁㙂䅁䅁睊扂䙁䅁杣療䝁䅯党橂䡁䅑䅉偂䝁䅣兙瑂䝁䅅䅉䩂䕁䅫䅉瑁䍁䅁杍睁䑁䅉䅎杁䍁䄰䅉㉂䑁䅫杌㑂䝁䅷督㑂䙁䄰村桂䝁䄰䅉䱂䝁䅅杣桂䝁䄸睡求䍁䅣光歁䕁䅕䅊㑁䑁䅙杏歁䙁䅧䅊㑁䑁䅙䅁睂兂䅁杚䅁䍁䅣睗兂䡁䅉睢煂䝁䅕睙あ䍁䅁睔湂䝁䅅兢桂䍁䅁兓䩂䍁䅁兌杁䑁䅉䅍祁䑁䅑䅉瑁䍁䅁杤㕁䍁䄴䅥獂䡁䅍䅥摂䕁䅙兡湂䝁䅅杣求䡁䅑睊桁䍁䅑䅒歁䑁䅣免䅁䝁䙕䅁祂䅁䅁睊扂䙁䅁杣療䝁䅯党橂䡁䅑䅉偂䝁䅣兙瑂䝁䅅䅉䩂䕁䅫䅉瑁䍁䅁杍睁䑁䅉䅎杁䍁䄰䅉㉂䑁䅫杌㑂䝁䅷督㑂䙁䄰杒灂䝁䅣兙祂䝁䅕䅤湁䍁䅅䅊䕂䍁䅑睎穁䑁䅯䅊䕂䍁䅑䅏祁䅁䅁杚䅕䝁䅙䅁湁䙁䅳䅕祂䝁䄸条求䝁䅍䅤杁䕁䄸睚桂䝁䄰兙杁䕁䅫兓杁䍁䄰䅉祁䑁䅁杍ぁ䍁䅁兌杁䡁䅙兏畁䡁䅧䅢穂䡁䅧兘䝂䝁䅫睚桂䡁䅉党あ䍁䅣光歁䕁䅑䅊㕁䑁䅑䅁乂兂䅁䅤䅁䍁䅣睗兂䡁䅉睢煂䝁䅕睙あ䍁䅁睔湂䝁䅅兢桂䍁䅁兓䩂䍁䅁兌杁䑁䅉䅍祁䑁䅑䅉瑁䍁䅁杤㕁䍁䄴䅥獂䡁䅍䅥摂䕁䅙兡湂䝁䅅杣求䡁䅑睊桁䍁䅑䅒歁䑁䅫睎㙁䍁䅑䅒歁䑁䅅免睁䅁䅁杔䅕䡁䅑䅁湁䙁䅳䅕祂䝁䄸条求䝁䅍䅤杁䕁䄸睚桂䝁䄰兙杁䕁䅫兓杁䍁䄰䅉祁䑁䅁杍ぁ䍁䅁兌杁䡁䅙兏畁䡁䅧䅢穂䡁䅧兘䝂䝁䅫睚桂䡁䅉党あ䍁䅣光歁䕁䅕䅊㍁䑁䅅杏歁䕁䅅兓歁䑁䅣免䅁䝁䙣䅁あ䅁䅁睊扂䙁䅁杣療䝁䅯党橂䡁䅑䅉偂䝁䅣兙瑂䝁䅅䅉䩂䕁䅫䅉瑁䍁䅁杍睁䑁䅉䅎杁䍁䄰䅉㉂䑁䅫杌㑂䝁䅷督㑂䙁䄰杒灂䝁䅣兙祂䝁䅕䅤湁䍁䅅䅊䙂䍁䅑睎祁䑁䅯䅊䉂䕁䅫䅊㍁䑁䅉䅁潂兂䅁杣䅁䍁䅣睗兂䡁䅉睢煂䝁䅕睙あ䍁䅁睔湂䝁䅅兢桂䍁䅁兓䩂䍁䅁兌杁䑁䅉䅍祁䑁䅑䅉瑁䍁䅁杤㕁䍁䄴䅥獂䡁䅍䅥摂䕁䅙兡湂䝁䅅杣求䡁䅑睊桁䍁䅑兒歁䑁䅫䅎㙁䍁䅑䅗歁䑁䅫䅎䅁䕁䘸䅁祂䅁䅁睊扂䙁䅁杣療䝁䅯党橂䡁䅑䅉偂䝁䅣兙瑂䝁䅅䅉䩂䕁䅫䅉瑁䍁䅁杍睁䑁䅉䅎杁䍁䄰䅉㉂䑁䅫杌㑂䝁䅷督㑂䙁䄰杒灂䝁䅣兙祂䝁䅕䅤湁䍁䅅䅊䙂䍁䅑兏ㅁ䑁䅯䅊奂䍁䅑兏ㅁ䅁䅁䅕䅕䝁䅯䅁湁䙁䅳䅕祂䝁䄸条求䝁䅍䅤杁䕁䄸睚桂䝁䄰兙杁䕁䅫兓杁䍁䄰䅉祁䑁䅁杍ぁ䍁䅁兌杁䡁䅙兏畁䡁䅧䅢穂䡁䅧兘䵂䝁䅅䅉䍂䡁䅉兤牂䝁䅕䅤湁䍁䅅䅊䕂䍁䅑李㕁䅁䅁兖䅕䡁䅙䅁湁䙁䅳䅕祂䝁䄸条求䝁䅍䅤杁䕁䄸睚桂䝁䄰兙杁䕁䅫兓杁䍁䄰䅉祁䑁䅁杍ぁ䍁䅁兌杁䡁䅙兏畁䡁䅧䅢穂䡁䅧兘䵂䝁䅅䅉䍂䡁䅉兤牂䝁䅕䅤湁䍁䅅䅊䕂䍁䅑睎硁䑁䅯䅊䕂䍁䅑睎㉁䅁䅁杖䅕䝁䅯䅁湁䙁䅳䅕祂䝁䄸条求䝁䅍䅤杁䕁䄸睚桂䝁䄰兙杁䕁䅫兓杁䍁䄰䅉祁䑁䅁杍ぁ䍁䅁兌杁䡁䅙兏畁䡁䅧䅢穂䡁䅧兘䵂䝁䅅䅉䍂䡁䅉兤牂䝁䅕䅤湁䍁䅅䅊䕂䍁䅑䅏㑁䅁䅁兗䅕䡁䅧䅁湁䙁䅳䅕祂䝁䄸条求䝁䅍䅤杁䕁䄸睚桂䝁䄰兙杁䕁䅫兓杁䍁䄰䅉祁䑁䅁杍ぁ䍁䅁兌杁䡁䅙兏畁䡁䅧䅢穂䡁䅧兘䵂䝁䅅䅉䍂䡁䅉兤牂䝁䅕䅤湁䍁䅅䅊䕂䍁䅑兏硁䑁䅯䅊䕂䍁䅑免睁䑁䅅䅁慂兂䅁䅥䅁䍁䅣睗兂䡁䅉睢煂䝁䅕睙あ䍁䅁睔湂䝁䅅兢桂䍁䅁兓䩂䍁䅁兌杁䑁䅉䅍祁䑁䅑䅉瑁䍁䅁杤㕁䍁䄴䅥獂䡁䅍䅥摂䕁䅷兙杁䕁䅉杣ㅂ䝁䅳党あ䍁䅣光歁䕁䅕䅊㉁䑁䅫杏歁䕁䅅兓歁䑁䅙兏䅁䙁䙣䅁㑂䅁䅁睊扂䙁䅁杣療䝁䅯党橂䡁䅑䅉偂䝁䅣兙瑂䝁䅅䅉䩂䕁䅫䅉瑁䍁䅁杍睁䑁䅉䅎杁䍁䄰䅉㉂䑁䅫杌㑂䝁䅷督㑂䙁䄰䅔桂䍁䅁村祂䡁䅕睡求䡁䅑睊桁䍁䅑兒歁䑁䅣䅍㙁䍁䅑兑䩂䍁䅑睎睁䅁䅁䅗䅕䡁䅙䅁湁䙁䅳䅕祂䝁䄸条求䝁䅍䅤杁䕁䄸睚桂䝁䄰兙杁䕁䅫兓杁䍁䄰䅉祁䑁䅁杍ぁ䍁䅁兌杁䡁䅙兏畁䡁䅧䅢穂䡁䅧兘䵂䝁䅅䅉䍂䡁䅉兤牂䝁䅕䅤湁䍁䅅䅊䙂䍁䅑䅏㑁䑁䅯䅊奂䍁䅑䅏㑁䅁䅁睗䅕䡁䅙䅁湁䙁䅳䅕祂䝁䄸条求䝁䅍䅤杁䕁䄸睚桂䝁䄰兙杁䕁䅫兓杁䍁䄰䅉祁䑁䅁杍ぁ䍁䅁兌杁䡁䅙兏畁䡁䅧䅢穂䡁䅧兘䵂䝁䅅䅉䍂䡁䅉兤牂䝁䅕䅤湁䍁䅅䅊䙂䍁䅑䅏㕁䑁䅯䅊奂䍁䅑䅏㕁䅁䅁䅘䅕䡁䅧䅁湁䙁䅳䅕祂䝁䄸条求䝁䅍䅤杁䕁䄸睚桂䝁䄰兙杁䕁䅫兓杁䍁䄰䅉祁䑁䅁杍ぁ䍁䅁兌杁䡁䅙兏畁䡁䅧䅢穂䡁䅧兘䵂䝁䅕䅉呂䝁䅷兡睂䍁䅁杒祂䝁䅅杢湄䝁䅅兡穂䍁䅣光歁䕁䅑䅊㉁䑁䅫䅁硂兂䅁䅨䅁䍁䅣睗兂䡁䅉睢煂䝁䅕睙あ䍁䅁睔湂䝁䅅兢桂䍁䅁兓䩂䍁䅁兌杁䑁䅉䅍祁䑁䅑䅉瑁䍁䅁杤㕁䍁䄴䅥獂䡁䅍䅥摂䕁䅷党杁䙁䅍䅢灂䡁䅁䅉䝂䡁䅉兙畂佁䅣兙灂䡁䅍睊桁䍁䅑䅒歁䑁䅣免㙁䍁䅑䅒歁䑁䅣兎䅁䡁䙉䅁㑂䅁䅁睊扂䙁䅁杣療䝁䅯党橂䡁䅑䅉偂䝁䅣兙瑂䝁䅅䅉䩂䕁䅫䅉瑁䍁䅁杍睁䑁䅉䅎杁䍁䄰䅉㉂䑁䅫杌㑂䝁䅷督㑂䙁䄰䅔求䍁䅁睕獂䝁䅫䅣杁䕁䅙杣桂䝁䄴眵桂䝁䅫督湁䍁䅅䅊䕂䍁䅑䅏㍁䅁䅁兤䅕䥁䅑䅁湁䙁䅳䅕祂䝁䄸条求䝁䅍䅤杁䕁䄸睚桂䝁䄰兙杁䕁䅫兓杁䍁䄰䅉祁䑁䅁杍ぁ䍁䅁兌杁䡁䅙兏畁䡁䅧䅢穂䡁䅧兘䵂䝁䅕䅉呂䝁䅷兡睂䍁䅁杒祂䝁䅅杢湄䝁䅅兡穂䍁䅣光歁䕁䅑䅊㕁䑁䅁杏歁䕁䅑䅊㕁䑁䅙䅁㉂兂䅁杨䅁䍁䅣睗兂䡁䅉睢煂䝁䅕睙あ䍁䅁睔湂䝁䅅兢桂䍁䅁兓䩂䍁䅁兌杁䑁䅉䅍祁䑁䅑䅉瑁䍁䅁杤㕁䍁䄴䅥獂䡁䅍䅥摂䕁䅷党杁䙁䅍䅢灂䡁䅁䅉䝂䡁䅉兙畂佁䅣兙灂䡁䅍睊桁䍁䅑兒歁䑁䅙兏㙁䍁䅑兑䩂䍁䅑李㕁䅁䅁督䅕䥁䅙䅁湁䙁䅳䅕祂䝁䄸条求䝁䅍䅤杁䕁䄸睚桂䝁䄰兙杁䕁䅫兓杁䍁䄰䅉祁䑁䅁杍ぁ䍁䅁兌杁䡁䅙兏畁䡁䅧䅢穂䡁䅧兘䵂䝁䅕䅉呂䝁䅷兡睂䍁䅁杒祂䝁䅅杢湄䝁䅅兡穂䍁䅣光歁䕁䅕䅊㍁䑁䅁杏歁䕁䅅兓歁䑁䅣䅍䅁䡁䙑䅁䕃䅁䅁睊扂䙁䅁杣療䝁䅯党橂䡁䅑䅉偂䝁䅣兙瑂䝁䅅䅉䩂䕁䅫䅉瑁䍁䅁杍睁䑁䅉䅎杁䍁䄰䅉㉂䑁䅫杌㑂䝁䅷督㑂䙁䄰䅔求䍁䅁睕獂䝁䅫䅣杁䕁䅙杣桂䝁䄴眵桂䝁䅫督湁䍁䅅䅊䙂䍁䅑䅏㍁䑁䅯䅊奂䍁䅑䅏㍁䅁䅁睤䅕䥁䅑䅁湁䙁䅳䅕祂䝁䄸条求䝁䅍䅤杁䕁䄸睚桂䝁䄰兙杁䕁䅫兓杁䍁䄰䅉祁䑁䅁杍ぁ䍁䅁兌杁䡁䅙兏畁䡁䅧䅢穂䡁䅧兘䵂䝁䅕䅉呂䝁䅷兡睂䍁䅁杒祂䝁䅅杢湄䝁䅅兡穂䍁䅣光歁䕁䅕䅊㑁䑁䅧杏歁䙁䅧䅊㑁䑁䅧䅁㑂兂䅁䅢䅁䍁䅣睗兂䡁䅉睢煂䝁䅕睙あ䍁䅁睔湂䝁䅅兢桂䍁䅁兓䩂䍁䅁兌杁䑁䅉䅍祁䑁䅑䅉瑁䍁䅁杤㕁䍁䄴䅥獂䡁䅍䅥摂䕁䄴杖杁䕁䅣兙獂䝁䅷党祂䡁䅫睊桁䍁䅑䅒歁䑁䅙兏䅁䕁䙅䅁㑂䅁䅁睊扂䙁䅁杣療䝁䅯党橂䡁䅑䅉偂䝁䅣兙瑂䝁䅅䅉䩂䕁䅫䅉瑁䍁䅁杍睁䑁䅉䅎杁䍁䄰䅉㉂䑁䅫杌㑂䝁䅷督㑂䙁䄰杔坂䍁䅁睒桂䝁䅷䅢求䡁䅉入湁䍁䅅䅊䕂䍁䅑睎硁䑁䅯䅊䕂䍁䅑睎㑁䅁䅁村䅕䝁䅷䅁湁䙁䅳䅕祂䝁䄸条求䝁䅍䅤杁䕁䄸睚桂䝁䄰兙杁䕁䅫兓杁䍁䄰䅉祁䑁䅁杍ぁ䍁䅁兌杁䡁䅙兏畁䡁䅧䅢穂䡁䅧兘佂䙁䅙䅉䡂䝁䅅䅢獂䝁䅕杣㕂䍁䅣光歁䕁䅑䅊㕁䑁䅁䅁䙂兂䅁来䅁䍁䅣睗兂䡁䅉睢煂䝁䅕睙あ䍁䅁睔湂䝁䅅兢桂䍁䅁兓䩂䍁䅁兌杁䑁䅉䅍祁䑁䅑䅉瑁䍁䅁杤㕁䍁䄴䅥獂䡁䅍䅥摂䕁䄴杖杁䕁䅣兙獂䝁䅷党祂䡁䅫睊桁䍁䅑䅒歁䑁䅫睍㙁䍁䅑䅒歁䑁䅅䅍硁䅁䅁杒䅕䡁䅯䅁湁䙁䅳䅕祂䝁䄸条求䝁䅍䅤杁䕁䄸睚桂䝁䄰兙杁䕁䅫兓杁䍁䄰䅉祁䑁䅁杍ぁ䍁䅁兌杁䡁䅙兏畁䡁䅧䅢穂䡁䅧兘佂䙁䅙䅉䡂䝁䅅䅢獂䝁䅕杣㕂䍁䅣光歁䕁䅕䅊㉁䑁䅫杏歁䕁䅅兓歁䑁䅙兏䅁䕁䙍䅁㙂䅁䅁睊扂䙁䅁杣療䝁䅯党橂䡁䅑䅉偂䝁䅣兙瑂䝁䅅䅉䩂䕁䅫䅉瑁䍁䅁杍睁䑁䅉䅎杁䍁䄰䅉㉂䑁䅫杌㑂䝁䅷督㑂䙁䄰杔坂䍁䅁睒桂䝁䅷䅢求䡁䅉入湁䍁䅅䅊䙂䍁䅑睎睁䑁䅯䅊䉂䕁䅫䅊㍁䑁䅁䅁䕂兂䅁䅥䅁䍁䅣睗兂䡁䅉睢煂䝁䅕睙あ䍁䅁睔湂䝁䅅兢桂䍁䅁兓䩂䍁䅁兌杁䑁䅉䅍祁䑁䅑䅉瑁䍁䅁杤㕁䍁䄴䅥獂䡁䅍䅥摂䕁䄴杖杁䕁䅣兙獂䝁䅷党祂䡁䅫睊桁䍁䅑兒歁䑁䅫䅍㙁䍁䅑䅗歁䑁䅫䅍䅁䕁䙣䅁㑂䅁䅁睊扂䙁䅁杣療䝁䅯党橂䡁䅑䅉偂䝁䅣兙瑂䝁䅅䅉䩂䕁䅫䅉瑁䍁䅁杍睁䑁䅉䅎杁䍁䄰䅉㉂䑁䅫杌㑂䝁䅷督㑂䙁䄰杔坂䍁䅁睒桂䝁䅷䅢求䡁䅉入湁䍁䅅䅊䙂䍁䅑兏硁䑁䅯䅊奂䍁䅑兏硁䅁䅁䅓䅕䝁䅑䅁湁䙁䅳䅕祂䝁䄸条求䝁䅍䅤杁䕁䄸睚桂䝁䄰兙杁䕁䅫兓杁䍁䄰䅉祁䑁䅁杍ぁ䍁䅁兌杁䡁䅙兏畁䡁䅧䅢穂䡁䅧兘呂䝁䅕督穂䡁䅕杢湁䍁䅅䅊䕂䍁䅑睎硁䅁䅁兓䅕䡁䅁䅁湁䙁䅳䅕祂䝁䄸条求䝁䅍䅤杁䕁䄸睚桂䝁䄰兙杁䕁䅫兓杁䍁䄰䅉祁䑁䅁杍ぁ䍁䅁兌杁䡁䅙兏畁䡁䅧䅢穂䡁䅧兘呂䝁䅕督穂䡁䅕杢湁䍁䅅䅊䕂䍁䅑睎穁䑁䅯䅊䕂䍁䅑䅏穁䅁䅁杓䅕䝁䅑䅁湁䙁䅳䅕祂䝁䄸条求䝁䅍䅤杁䕁䄸睚桂䝁䄰兙杁䕁䅫兓杁䍁䄰䅉祁䑁䅁杍ぁ䍁䅁兌杁䡁䅙兏畁䡁䅧䅢穂䡁䅧兘呂䝁䅕督穂䡁䅕杢湁䍁䅅䅊䕂䍁䅑兏ㅁ䅁䅁兕䅕䡁䅉䅁湁䙁䅳䅕祂䝁䄸条求䝁䅍䅤杁䕁䄸睚桂䝁䄰兙杁䕁䅫兓杁䍁䄰䅉祁䑁䅁杍ぁ䍁䅁兌杁䡁䅙兏畁䡁䅧䅢穂䡁䅧兘呂䝁䅕督穂䡁䅕杢湁䍁䅅䅊䕂䍁䅑兏㑁䑁䅯䅊䕂䍁䅑免硁䑁䅍䅁卂兂䅁杣䅁䍁䅣睗兂䡁䅉睢煂䝁䅕睙あ䍁䅁睔湂䝁䅅兢桂䍁䅁兓䩂䍁䅁兌杁䑁䅉䅍祁䑁䅑䅉瑁䍁䅁杤㕁䍁䄴䅥獂䡁䅍䅥摂䙁䅍党穂䡁䅍兤畂䍁䅣光歁䕁䅕䅊㍁䑁䅅杏歁䕁䅅兓歁䑁䅣免䅁䕁䙳䅁祂䅁䅁睊扂䙁䅁杣療䝁䅯党橂䡁䅑䅉偂䝁䅣兙瑂䝁䅅䅉䩂䕁䅫䅉瑁䍁䅁杍睁䑁䅉䅎杁䍁䄰䅉㉂䑁䅫杌㑂䝁䅷督㑂䙁䄰睕求䡁䅍督ㅂ䝁䄴睊桁䍁䅑兒歁䑁䅣杍㙁䍁䅑兑䩂䍁䅑睎祁䅁䅁䅔䅕䡁䅁䅁湁䙁䅳䅕祂䝁䄸条求䝁䅍䅤杁䕁䄸睚桂䝁䄰兙杁䕁䅫兓杁䍁䄰䅉祁䑁䅁杍ぁ䍁䅁兌杁䡁䅙兏畁䡁䅧䅢穂䡁䅧兘呂䝁䅕督穂䡁䅕杢湁䍁䅅䅊䙂䍁䅑兏ㅁ䑁䅯䅊奂䍁䅑兏ㅁ䅁䅁睕䅕䡁䅁䅁湁䙁䅳䅕祂䝁䄸条求䝁䅍䅤杁䕁䄸睚桂䝁䄰兙杁䕁䅫兓杁䍁䄰䅉祁䑁䅁杍ぁ䍁䅁兌杁䡁䅙兏畁䡁䅧䅢穂䡁䅧兘呂䝁䅕督穂䡁䅕杢湁䍁䅅䅊䙂䍁䅑兏㉁䑁䅯䅊奂䍁䅑兏㉁䅁䅁䅖䅕䝁䅁䅁湁䙁䅳䅕祂䝁䄸条求䝁䅍䅤杁䕁䄸睚桂䝁䄰兙杁䕁䅫兓杁䍁䄰䅉祁䑁䅁杍ぁ䍁䄴䅥獂䡁䅍䅥摂䕁䅉兙獂䝁䅫杙桂䡁䅉兡穂䍁䅣光歁䕁䅑䅊㉁䑁䅫䅁硃䅂䅁䅙䅁䍁䅣睗兂䡁䅉睢煂䝁䅕睙あ䍁䅁睔湂䝁䅅兢桂䍁䅁兓䩂䍁䅁兌杁䑁䅉䅍祁䑁䅑杌㑂䝁䅷督㑂䙁䄰村桂䝁䅷兡楂䝁䅅杣灂䡁䅍睊桁䍁䅑䅒歁䑁䅣免䅁䙁䕅䅁獂䅁䅁睊扂䙁䅁杣療䝁䅯党橂䡁䅑䅉偂䝁䅣兙瑂䝁䅅䅉䩂䕁䅫䅉瑁䍁䅁杍睁䑁䅉䅎畁䡁䅧䅢穂䡁䅧兘䍂䝁䅅䅢灂䝁䅉兙祂䝁䅫督湁䍁䅅䅊䕂䍁䅑睎硁䑁䅯䅊䕂䍁䅑䅏睁䅁䅁杳䅑䝁䅷䅁湁䙁䅳䅕祂䝁䄸条求䝁䅍䅤杁䕁䄸睚桂䝁䄰兙杁䕁䅫兓杁䍁䄰䅉祁䑁䅁杍ぁ䍁䄴䅥獂䡁䅍䅥摂䕁䅉兙獂䝁䅫杙桂䡁䅉兡穂䍁䅣光歁䕁䅑䅊㍁䑁䅍杏歁䕁䅑䅊㍁䑁䅣䅁卂䅂䅁䅢䅁䍁䅣睗兂䡁䅉睢煂䝁䅕睙あ䍁䅁睔湂䝁䅅兢桂䍁䅁兓䩂䍁䅁兌杁䑁䅉䅍祁䑁䅑杌㑂䝁䅷督㑂䙁䄰村桂䝁䅷兡楂䝁䅅杣灂䡁䅍睊桁䍁䅑䅒歁䑁䅣睍㙁䍁䅑䅒歁䑁䅧杍䅁䡁䕙䅁杂䅁䅁睊扂䙁䅁杣療䝁䅯党橂䡁䅑䅉偂䝁䅣兙瑂䝁䅅䅉䩂䕁䅫䅉瑁䍁䅁杍睁䑁䅉䅎畁䡁䅧䅢穂䡁䅧兘䍂䝁䅅䅢灂䝁䅉兙祂䝁䅫督湁䍁䅅䅊䕂䍁䅑兏睁䅁䅁兑䅑䝁䅁䅁湁䙁䅳䅕祂䝁䄸条求䝁䅍䅤杁䕁䄸睚桂䝁䄰兙杁䕁䅫兓杁䍁䄰䅉祁䑁䅁杍ぁ䍁䄴䅥獂䡁䅍䅥摂䕁䅉兙獂䝁䅫杙桂䡁䅉兡穂䍁䅣光歁䕁䅑䅊㕁䑁䅉䅁ㅃ䅂䅁䅢䅁䍁䅣睗兂䡁䅉睢煂䝁䅕睙あ䍁䅁睔湂䝁䅅兢桂䍁䅁兓䩂䍁䅁兌杁䑁䅉䅍祁䑁䅑杌㑂䝁䅷督㑂䙁䄰村桂䝁䅷兡楂䝁䅅杣灂䡁䅍睊桁䍁䅑䅒歁䑁䅫睍㙁䍁䅑䅒歁䑁䅫兏䅁䕁䕉䅁杂䅁䅁睊扂䙁䅁杣療䝁䅯党橂䡁䅑䅉偂䝁䅣兙瑂䝁䅅䅉䩂䕁䅫䅉瑁䍁䅁杍睁䑁䅉䅎畁䡁䅧䅢穂䡁䅧兘䍂䝁䅅䅢灂䝁䅉兙祂䝁䅫督湁䍁䅅䅊䕂䍁䅑兏ぁ䅁䅁杣䅑䝁䅷䅁湁䙁䅳䅕祂䝁䄸条求䝁䅍䅤杁䕁䄸睚桂䝁䄰兙杁䕁䅫兓杁䍁䄰䅉祁䑁䅁杍ぁ䍁䄴䅥獂䡁䅍䅥摂䕁䅉兙獂䝁䅫杙桂䡁䅉兡穂䍁䅣光歁䕁䅑䅊㕁䑁䅕杏歁䕁䅑䅊㕁䑁䅫䅁㉃䅂䅁杢䅁䍁䅣睗兂䡁䅉睢煂䝁䅕睙あ䍁䅁睔湂䝁䅅兢桂䍁䅁兓䩂䍁䅁兌杁䑁䅉䅍祁䑁䅑杌㑂䝁䅷督㑂䙁䄰村桂䝁䅷兡楂䝁䅅杣灂䡁䅍睊桁䍁䅑䅒歁䑁䅫睎㙁䍁䅑䅒歁䑁䅅䅍硁䅁䅁杨䅑䝁䄴䅁湁䙁䅳䅕祂䝁䄸条求䝁䅍䅤杁䕁䄸睚桂䝁䄰兙杁䕁䅫兓杁䍁䄰䅉祁䑁䅁杍ぁ䍁䄴䅥獂䡁䅍䅥摂䕁䅉兙獂䝁䅫杙桂䡁䅉兡穂䍁䅣光歁䕁䅑䅊㕁䑁䅣杏歁䕁䅑䅊硁䑁䅁睍䅁䡁䕍䅁畂䅁䅁睊扂䙁䅁杣療䝁䅯党橂䡁䅑䅉偂䝁䅣兙瑂䝁䅅䅉䩂䕁䅫䅉瑁䍁䅁杍睁䑁䅉䅎畁䡁䅧䅢穂䡁䅧兘䍂䝁䅅䅢灂䝁䅉兙祂䝁䅫督湁䍁䅅䅊䙂䍁䅑李㕁䑁䅯䅊䉂䕁䅫䅊㉁䑁䅫䅁穃䅂䅁杢䅁䍁䅣睗兂䡁䅉睢煂䝁䅕睙あ䍁䅁睔湂䝁䅅兢桂䍁䅁兓䩂䍁䅁兌杁䑁䅉䅍祁䑁䅑杌㑂䝁䅷督㑂䙁䄰村桂䝁䅷兡楂䝁䅅杣灂䡁䅍睊桁䍁䅑兒歁䑁䅣䅍㙁䍁䅑兑䩂䍁䅑睎睁䅁䅁䅴䅑䝁䄴䅁湁䙁䅳䅕祂䝁䄸条求䝁䅍䅤杁䕁䄸睚桂䝁䄰兙杁䕁䅫兓杁䍁䄰䅉祁䑁䅁杍ぁ䍁䄴䅥獂䡁䅍䅥摂䕁䅉兙獂䝁䅫杙桂䡁䅉兡穂䍁䅣光歁䕁䅕䅊㍁䑁䅅杏歁䕁䅅兓歁䑁䅣免䅁䙁䕍䅁畂䅁䅁睊扂䙁䅁杣療䝁䅯党橂䡁䅑䅉偂䝁䅣兙瑂䝁䅅䅉䩂䕁䅫䅉瑁䍁䅁杍睁䑁䅉䅎畁䡁䅧䅢穂䡁䅧兘䍂䝁䅅䅢灂䝁䅉兙祂䝁䅫督湁䍁䅅䅊䙂䍁䅑睎祁䑁䅯䅊䉂䕁䅫䅊㍁䑁䅉䅁啂䅂䅁䅢䅁䍁䅣睗兂䡁䅉睢煂䝁䅕睙あ䍁䅁睔湂䝁䅅兢桂䍁䅁兓䩂䍁䅁兌杁䑁䅉䅍祁䑁䅑杌㑂䝁䅷督㑂䙁䄰村桂䝁䅷兡楂䝁䅅杣灂䡁䅍睊桁䍁䅑兒歁䑁䅫䅍㙁䍁䅑䅗歁䑁䅫䅍䅁䕁䕍䅁獂䅁䅁睊扂䙁䅁杣療䝁䅯党橂䡁䅑䅉偂䝁䅣兙瑂䝁䅅䅉䩂䕁䅫䅉瑁䍁䅁杍睁䑁䅉䅎畁䡁䅧䅢穂䡁䅧兘䍂䝁䅅䅢灂䝁䅉兙祂䝁䅫督湁䍁䅅䅊䙂䍁䅑兏硁䑁䅯䅊奂䍁䅑兏硁䅁䅁䅒䅑䝁䅷䅁湁䙁䅳䅕祂䝁䄸条求䝁䅍䅤杁䕁䄸睚桂䝁䄰兙杁䕁䅫兓杁䍁䄰䅉祁䑁䅁杍ぁ䍁䄴䅥獂䡁䅍䅥摂䕁䅉兙獂䝁䅫杙桂䡁䅉兡穂䍁䅣光歁䕁䅕䅊㕁䑁䅉杏歁䙁䅧䅊㕁䑁䅉䅁㍃䅂䅁䅢䅁䍁䅣睗兂䡁䅉睢煂䝁䅕睙あ䍁䅁睔湂䝁䅅兢桂䍁䅁兓䩂䍁䅁兌杁䑁䅉䅍祁䑁䅑杌㑂䝁䅷督㑂䙁䄰村桂䝁䅷兡楂䝁䅅杣灂䡁䅍睊桁䍁䅑兒歁䑁䅫睍㙁䍁䅑䅗歁䑁䅫睍䅁䱁䕧䅁獂䅁䅁睊扂䙁䅁杣療䝁䅯党橂䡁䅑䅉偂䝁䅣兙瑂䝁䅅䅉䩂䕁䅫䅉瑁䍁䅁杍睁䑁䅉䅎畁䡁䅧䅢穂䡁䅧兘䍂䝁䅅䅢灂䝁䅉兙祂䝁䅫督湁䍁䅅䅊䙂䍁䅑兏ぁ䑁䅯䅊奂䍁䅑兏ぁ䅁䅁䅤䅑䝁䅷䅁湁䙁䅳䅕祂䝁䄸条求䝁䅍䅤杁䕁䄸睚桂䝁䄰兙杁䕁䅫兓杁䍁䄰䅉祁䑁䅁杍ぁ䍁䄴䅥獂䡁䅍䅥摂䕁䅉兙獂䝁䅫杙桂䡁䅉兡穂䍁䅣光歁䕁䅕䅊㕁䑁䅕杏歁䙁䅧䅊㕁䑁䅕䅁ㅂ䅂䅁䅚䅁䍁䅣睗兂䡁䅉睢煂䝁䅕睙あ䍁䅁睔湂䝁䅅兢桂䍁䅁兓䩂䍁䅁兌杁䑁䅉䅍祁䑁䅑杌㑂䝁䅷督㑂䙁䄰村桂䝁䄰䅉䱂䝁䅅杣桂䝁䄸睡求䍁䅣光歁䕁䅑䅊㉁䑁䅫䅁䅄䅂䅁䅚䅁䍁䅣睗兂䡁䅉睢煂䝁䅕睙あ䍁䅁睔湂䝁䅅兢桂䍁䅁兓䩂䍁䅁兌杁䑁䅉䅍祁䑁䅑杌㑂䝁䅷督㑂䙁䄰村桂䝁䄰䅉䱂䝁䅅杣桂䝁䄸睡求䍁䅣光歁䕁䅑䅊㍁䑁䅅䅁摂䅂䅁䅣䅁䍁䅣睗兂䡁䅉睢煂䝁䅕睙あ䍁䅁睔湂䝁䅅兢桂䍁䅁兓䩂䍁䅁兌杁䑁䅉䅍祁䑁䅑杌㑂䝁䅷督㑂䙁䄰村桂䝁䄰䅉䱂䝁䅅杣桂䝁䄸睡求䍁䅣光歁䕁䅑䅊㍁䑁䅅杏歁䕁䅑䅊㍁䑁䅍䅁䉄䅂䅁䅣䅁䍁䅣睗兂䡁䅉睢煂䝁䅕睙あ䍁䅁睔湂䝁䅅兢桂䍁䅁兓䩂䍁䅁兌杁䑁䅉䅍祁䑁䅑杌㑂䝁䅷督㑂䙁䄰村桂䝁䄰䅉䱂䝁䅅杣桂䝁䄸睡求䍁䅣光歁䕁䅑䅊㍁䑁䅍杏歁䕁䅑䅊㍁䑁䅕䅁元䅂䅁䅣䅁䍁䅣睗兂䡁䅉睢煂䝁䅕睙あ䍁䅁睔湂䝁䅅兢桂䍁䅁兓䩂䍁䅁兌杁䑁䅉䅍祁䑁䅑杌㑂䝁䅷督㑂䙁䄰村桂䝁䄰䅉䱂䝁䅅杣桂䝁䄸睡求䍁䅣光歁䕁䅑䅊㍁䑁䅍杏歁䕁䅑䅊㍁䑁䅣䅁敂䅂䅁䅚䅁䍁䅣睗兂䡁䅉睢煂䝁䅕睙あ䍁䅁睔湂䝁䅅兢桂䍁䅁兓䩂䍁䅁兌杁䑁䅉䅍祁䑁䅑杌㑂䝁䅷督㑂䙁䄰村桂䝁䄰䅉䱂䝁䅅杣桂䝁䄸睡求䍁䅣光歁䕁䅑䅊㑁䑁䅕䅁䕄䅂䅁䅚䅁䍁䅣睗兂䡁䅉睢煂䝁䅕睙あ䍁䅁睔湂䝁䅅兢桂䍁䅁兓䩂䍁䅁兌杁䑁䅉䅍祁䑁䅑杌㑂䝁䅷督㑂䙁䄰村桂䝁䄰䅉䱂䝁䅅杣桂䝁䄸睡求䍁䅣光歁䕁䅑䅊㑁䑁䅣䅁剃䅂䅁䅣䅁䍁䅣睗兂䡁䅉睢煂䝁䅕睙あ䍁䅁睔湂䝁䅅兢桂䍁䅁兓䩂䍁䅁兌杁䑁䅉䅍祁䑁䅑杌㑂䝁䅷督㑂䙁䄰村桂䝁䄰䅉䱂䝁䅅杣桂䝁䄸睡求䍁䅣光歁䕁䅑䅊㑁䑁䅧杏歁䕁䅑䅊㕁䑁䅉䅁䙄䅂䅁䅚䅁䍁䅣睗兂䡁䅉睢煂䝁䅕睙あ䍁䅁睔湂䝁䅅兢桂䍁䅁兓䩂䍁䅁兌杁䑁䅉䅍祁䑁䅑杌㑂䝁䅷督㑂䙁䄰村桂䝁䄰䅉䱂䝁䅅杣桂䝁䄸睡求䍁䅣光歁䕁䅑䅊㑁䑁䅫䅁ㅁ䅂䅁䅣䅁䍁䅣睗兂䡁䅉睢煂䝁䅕睙あ䍁䅁睔湂䝁䅅兢桂䍁䅁兓䩂䍁䅁兌杁䑁䅉䅍祁䑁䅑杌㑂䝁䅷督㑂䙁䄰村桂䝁䄰䅉䱂䝁䅅杣桂䝁䄸睡求䍁䅣光歁䕁䅑䅊㕁䑁䅁杏歁䕁䅑䅊㕁䑁䅙䅁千䅂䅁䅣䅁䍁䅣睗兂䡁䅉睢煂䝁䅕睙あ䍁䅁睔湂䝁䅅兢桂䍁䅁兓䩂䍁䅁兌杁䑁䅉䅍祁䑁䅑杌㑂䝁䅷督㑂䙁䄰村桂䝁䄰䅉䱂䝁䅅杣桂䝁䄸睡求䍁䅣光歁䕁䅑䅊㕁䑁䅉杏歁䕁䅑䅊㕁䑁䅧䅁㉁䅂䅁杣䅁䍁䅣睗兂䡁䅉睢煂䝁䅕睙あ䍁䅁睔湂䝁䅅兢桂䍁䅁兓䩂䍁䅁兌杁䑁䅉䅍祁䑁䅑杌㑂䝁䅷督㑂䙁䄰村桂䝁䄰䅉䱂䝁䅅杣桂䝁䄸睡求䍁䅣光歁䕁䅕䅊㉁䑁䅫杏歁䕁䅅兓歁䑁䅙兏䅁䵁䕉䅁祂䅁䅁睊扂䙁䅁杣療䝁䅯党橂䡁䅑䅉偂䝁䅣兙瑂䝁䅅䅉䩂䕁䅫䅉瑁䍁䅁杍睁䑁䅉䅎畁䡁䅧䅢穂䡁䅧兘䍂䝁䅅兢杁䕁䅳兙祂䝁䅅睢牂䝁䅕睊桁䍁䅑兒歁䑁䅣䅍㙁䍁䅑兑䩂䍁䅑睎睁䅁䅁睷䅑䡁䅉䅁湁䙁䅳䅕祂䝁䄸条求䝁䅍䅤杁䕁䄸睚桂䝁䄰兙杁䕁䅫兓杁䍁䄰䅉祁䑁䅁杍ぁ䍁䄴䅥獂䡁䅍䅥摂䕁䅉兙瑂䍁䅁睓桂䡁䅉兙療䝁䅳党湁䍁䅅䅊䙂䍁䅑睎硁䑁䅯䅊䉂䕁䅫䅊㍁䑁䅅䅁時䅂䅁杣䅁䍁䅣睗兂䡁䅉睢煂䝁䅕睙あ䍁䅁睔湂䝁䅅兢桂䍁䅁兓䩂䍁䅁兌杁䑁䅉䅍祁䑁䅑杌㑂䝁䅷督㑂䙁䄰村桂䝁䄰䅉䱂䝁䅅杣桂䝁䄸睡求䍁䅣光歁䕁䅕䅊㍁䑁䅉杏歁䕁䅅兓歁䑁䅣杍䅁䝁䕁䅁睂䅁䅁睊扂䙁䅁杣療䝁䅯党橂䡁䅑䅉偂䝁䅣兙瑂䝁䅅䅉䩂䕁䅫䅉瑁䍁䅁杍睁䑁䅉䅎畁䡁䅧䅢穂䡁䅧兘䍂䝁䅅兢杁䕁䅳兙祂䝁䅅睢牂䝁䅕睊桁䍁䅑兒歁䑁䅧兎㙁䍁䅑䅗歁䑁䅧兎䅁䵁䕙䅁睂䅁䅁睊扂䙁䅁杣療䝁䅯党橂䡁䅑䅉偂䝁䅣兙瑂䝁䅅䅉䩂䕁䅫䅉瑁䍁䅁杍睁䑁䅉䅎畁䡁䅧䅢穂䡁䅧兘䍂䝁䅅兢杁䕁䅳兙祂䝁䅅睢牂䝁䅕睊桁䍁䅑兒歁䑁䅧李㙁䍁䅑䅗歁䑁䅧李䅁䵁䕣䅁睂䅁䅁睊扂䙁䅁杣療䝁䅯党橂䡁䅑䅉偂䝁䅣兙瑂䝁䅅䅉䩂䕁䅫䅉瑁䍁䅁杍睁䑁䅉䅎畁䡁䅧䅢穂䡁䅧兘䍂䝁䅅兢杁䕁䅳兙祂䝁䅅睢牂䝁䅕睊桁䍁䅑兒歁䑁䅧睎㙁䍁䅑䅗歁䑁䅧睎䅁䩁䕍䅁睂䅁䅁睊扂䙁䅁杣療䝁䅯党橂䡁䅑䅉偂䝁䅣兙瑂䝁䅅䅉䩂䕁䅫䅉瑁䍁䅁杍睁䑁䅉䅎畁䡁䅧䅢穂䡁䅧兘䍂䝁䅅兢杁䕁䅳兙祂䝁䅅睢牂䝁䅕睊桁䍁䅑兒歁䑁䅧䅏㙁䍁䅑䅗歁䑁䅧䅏䅁䩁䕑䅁睂䅁䅁睊扂䙁䅁杣療䝁䅯党橂䡁䅑䅉偂䝁䅣兙瑂䝁䅅䅉䩂䕁䅫䅉瑁䍁䅁杍睁䑁䅉䅎畁䡁䅧䅢穂䡁䅧兘䍂䝁䅅兢杁䕁䅳兙祂䝁䅅睢牂䝁䅕睊桁䍁䅑兒歁䑁䅧兏㙁䍁䅑䅗歁䑁䅧兏䅁䑁䕣䅁睂䅁䅁睊扂䙁䅁杣療䝁䅯党橂䡁䅑䅉偂䝁䅣兙瑂䝁䅅䅉䩂䕁䅫䅉瑁䍁䅁杍睁䑁䅉䅎畁䡁䅧䅢穂䡁䅧兘䍂䝁䅅兢杁䕁䅳兙祂䝁䅅睢牂䝁䅕睊桁䍁䅑兒歁䑁䅫䅍㙁䍁䅑䅗歁䑁䅫䅍䅁䑁䕧䅁捂䅁䅁睊扂䙁䅁杣療䝁䅯党橂䡁䅑䅉偂䝁䅣兙瑂䝁䅅䅉䩂䕁䅫䅉瑁䍁䅁杍睁䑁䅉䅎畁䡁䅧䅢穂䡁䅧兘䑂䝁䄸兢睂䝁䅅杢㕂䍁䅣光歁䕁䅑䅊㍁䑁䅅䅁灁䅂䅁䅡䅁䍁䅣睗兂䡁䅉睢煂䝁䅕睙あ䍁䅁睔湂䝁䅅兢桂䍁䅁兓䩂䍁䅁兌杁䑁䅉䅍祁䑁䅑杌㑂䝁䅷督㑂䙁䄰睑療䝁䄰䅣桂䝁䄴入湁䍁䅅䅊䕂䍁䅑睎穁䑁䅯䅊䕂䍁䅑睎㍁䅁䅁杋䅑䙁䅷䅁湁䙁䅳䅕祂䝁䄸条求䝁䅍䅤杁䕁䄸睚桂䝁䄰兙杁䕁䅫兓杁䍁䄰䅉祁䑁䅁杍ぁ䍁䄴䅥獂䡁䅍䅥摂䕁䅍睢瑂䡁䅁兙畂䡁䅫睊桁䍁䅑䅒歁䑁䅧兏䅁䍁䔰䅁潂䅁䅁睊扂䙁䅁杣療䝁䅯党橂䡁䅑䅉偂䝁䅣兙瑂䝁䅅䅉䩂䕁䅫䅉瑁䍁䅁杍睁䑁䅉䅎畁䡁䅧䅢穂䡁䅧兘䑂䝁䄸兢睂䝁䅅杢㕂䍁䅣光歁䕁䅑䅊㕁䑁䅉杏歁䕁䅑䅊㕁䑁䅧䅁畁䅂䅁条䅁䍁䅣睗兂䡁䅉睢煂䝁䅕睙あ䍁䅁睔湂䝁䅅兢桂䍁䅁兓䩂䍁䅁兌杁䑁䅉䅍祁䑁䅑杌㑂䝁䅷督㑂䙁䄰睑療䝁䄰䅣桂䝁䄴入湁䍁䅅䅊䙂䍁䅑睎硁䑁䅯䅊䉂䕁䅫䅊㍁䑁䅅䅁牁䅂䅁条䅁䍁䅣睗兂䡁䅉睢煂䝁䅕睙あ䍁䅁睔湂䝁䅅兢桂䍁䅁兓䩂䍁䅁兌杁䑁䅉䅍祁䑁䅑杌㑂䝁䅷督㑂䙁䄰睑療䝁䄰䅣桂䝁䄴入湁䍁䅅䅊䙂䍁䅑睎祁䑁䅯䅊䉂䕁䅫䅊㍁䑁䅉䅁獁䅂䅁䅡䅁䍁䅣睗兂䡁䅉睢煂䝁䅕睙あ䍁䅁睔湂䝁䅅兢桂䍁䅁兓䩂䍁䅁兌杁䑁䅉䅍祁䑁䅑杌㑂䝁䅷督㑂䙁䄰睑療䝁䄰䅣桂䝁䄴入湁䍁䅅䅊䙂䍁䅑䅏㕁䑁䅯䅊奂䍁䅑䅏㕁䅁䅁睌䅑䝁䅧䅁湁䙁䅳䅕祂䝁䄸条求䝁䅍䅤杁䕁䄸睚桂䝁䄰兙杁䕁䅫兓杁䍁䄰䅉祁䑁䅁杍ぁ䍁䄴䅥獂䡁䅍䅥摂䕁䅍睢瑂䡁䅁兙畂䡁䅫睊桁䍁䅑兒歁䑁䅫䅍㙁䍁䅑䅗歁䑁䅫䅍䅁䑁䕁䅁捂䅁䅁睊扂䙁䅁杣療䝁䅯党橂䡁䅑䅉偂䝁䅣兙瑂䝁䅅䅉䩂䕁䅫䅉瑁䍁䅁杍睁䑁䅉䅎畁䡁䅧䅢穂䡁䅧兘䝂䝁䅫睚桂䡁䅉党あ䍁䅣光歁䕁䅑䅊㉁䑁䅫䅁㕃䅂䅁䅘䅁䍁䅣睗兂䡁䅉睢煂䝁䅕睙あ䍁䅁睔湂䝁䅅兢桂䍁䅁兓䩂䍁䅁兌杁䑁䅉䅍祁䑁䅑杌㑂䝁䅷督㑂䙁䄰杒灂䝁䅣兙祂䝁䅕䅤湁䍁䅅䅊䕂䍁䅑睎硁䅁䅁兒䅑䝁䅧䅁湁䙁䅳䅕祂䝁䄸条求䝁䅍䅤杁䕁䄸睚桂䝁䄰兙杁䕁䅫兓杁䍁䄰䅉祁䑁䅁杍ぁ䍁䄴䅥獂䡁䅍䅥摂䕁䅙兡湂䝁䅅杣求䡁䅑睊桁䍁䅑䅒歁䑁䅣免㙁䍁䅑䅒歁䑁䅧䅍䅁䱁䕯䅁潂䅁䅁睊扂䙁䅁杣療䝁䅯党橂䡁䅑䅉偂䝁䅣兙瑂䝁䅅䅉䩂䕁䅫䅉瑁䍁䅁杍睁䑁䅉䅎畁䡁䅧䅢穂䡁䅧兘䝂䝁䅫睚桂䡁䅉党あ䍁䅣光歁䕁䅑䅊㍁䑁䅍杏歁䕁䅑䅊㍁䑁䅫䅁䝂䅂䅁䅡䅁䍁䅣睗兂䡁䅉睢煂䝁䅕睙あ䍁䅁睔湂䝁䅅兢桂䍁䅁兓䩂䍁䅁兌杁䑁䅉䅍祁䑁䅑杌㑂䝁䅷督㑂䙁䄰杒灂䝁䅣兙祂䝁䅕䅤湁䍁䅅䅊䕂䍁䅑睎穁䑁䅯䅊䕂䍁䅑䅏祁䅁䅁睤䅑䙁䅷䅁湁䙁䅳䅕祂䝁䄸条求䝁䅍䅤杁䕁䄸睚桂䝁䄰兙杁䕁䅫兓杁䍁䄰䅉祁䑁䅁杍ぁ䍁䄴䅥獂䡁䅍䅥摂䕁䅙兡湂䝁䅅杣求䡁䅑睊桁䍁䅑䅒歁䑁䅫免䅁䙁䕫䅁捂䅁䅁睊扂䙁䅁杣療䝁䅯党橂䡁䅑䅉偂䝁䅣兙瑂䝁䅅䅉䩂䕁䅫䅉瑁䍁䅁杍睁䑁䅉䅎畁䡁䅧䅢穂䡁䅧兘䝂䝁䅫睚桂䡁䅉党あ䍁䅣光歁䕁䅑䅊㕁䑁䅉䅁㥃䅂䅁䅘䅁䍁䅣睗兂䡁䅉睢煂䝁䅕睙あ䍁䅁睔湂䝁䅅兢桂䍁䅁兓䩂䍁䅁兌杁䑁䅉䅍祁䑁䅑杌㑂䝁䅷督㑂䙁䄰杒灂䝁䅣兙祂䝁䅕䅤湁䍁䅅䅊䕂䍁䅑兏ぁ䅁䅁䅥䅑䝁䅯䅁湁䙁䅳䅕祂䝁䄸条求䝁䅍䅤杁䕁䄸睚桂䝁䄰兙杁䕁䅫兓杁䍁䄰䅉祁䑁䅁杍ぁ䍁䄴䅥獂䡁䅍䅥摂䕁䅙兡湂䝁䅅杣求䡁䅑睊桁䍁䅑䅒歁䑁䅫䅎㙁䍁䅑䅒歁䑁䅅䅍睁䅁䅁杗䅑䝁䅧䅁湁䙁䅳䅕祂䝁䄸条求䝁䅍䅤杁䕁䄸睚桂䝁䄰兙杁䕁䅫兓杁䍁䄰䅉祁䑁䅁杍ぁ䍁䄴䅥獂䡁䅍䅥摂䕁䅙兡湂䝁䅅杣求䡁䅑睊桁䍁䅑䅒歁䑁䅫兎㙁䍁䅑䅒歁䑁䅫兏䅁䱁䔴䅁煂䅁䅁睊扂䙁䅁杣療䝁䅯党橂䡁䅑䅉偂䝁䅣兙瑂䝁䅅䅉䩂䕁䅫䅉瑁䍁䅁杍睁䑁䅉䅎畁䡁䅧䅢穂䡁䅧兘䝂䝁䅫睚桂䡁䅉党あ䍁䅣光歁䕁䅑䅊㕁䑁䅣杏歁䕁䅑䅊硁䑁䅁免䅁䥁䕣䅁煂䅁䅁睊扂䙁䅁杣療䝁䅯党橂䡁䅑䅉偂䝁䅣兙瑂䝁䅅䅉䩂䕁䅫䅉瑁䍁䅁杍睁䑁䅉䅎畁䡁䅧䅢穂䡁䅧兘䝂䝁䅫睚桂䡁䅉党あ䍁䅣光歁䕁䅑䅊㕁䑁䅣杏歁䕁䅑䅊硁䑁䅁睍䅁䡁䕫䅁煂䅁䅁睊扂䙁䅁杣療䝁䅯党橂䡁䅑䅉偂䝁䅣兙瑂䝁䅅䅉䩂䕁䅫䅉瑁䍁䅁杍睁䑁䅉䅎畁䡁䅧䅢穂䡁䅧兘䝂䝁䅫睚桂䡁䅉党あ䍁䅣光歁䕁䅕䅊㉁䑁䅫杏歁䕁䅅兓歁䑁䅙兏䅁䱁䕳䅁煂䅁䅁睊扂䙁䅁杣療䝁䅯党橂䡁䅑䅉偂䝁䅣兙瑂䝁䅅䅉䩂䕁䅫䅉瑁䍁䅁杍睁䑁䅉䅎畁䡁䅧䅢穂䡁䅧兘䝂䝁䅫睚桂䡁䅉党あ䍁䅣光歁䕁䅕䅊㍁䑁䅁杏歁䕁䅅兓歁䑁䅣䅍䅁䱁䕷䅁煂䅁䅁睊扂䙁䅁杣療䝁䅯党橂䡁䅑䅉偂䝁䅣兙瑂䝁䅅䅉䩂䕁䅫䅉瑁䍁䅁杍睁䑁䅉䅎畁䡁䅧䅢穂䡁䅧兘䝂䝁䅫睚桂䡁䅉党あ䍁䅣光歁䕁䅕䅊㍁䑁䅅杏歁䕁䅅兓歁䑁䅣免䅁䕁䕣䅁煂䅁䅁睊扂䙁䅁杣療䝁䅯党橂䡁䅑䅉偂䝁䅣兙瑂䝁䅅䅉䩂䕁䅫䅉瑁䍁䅁杍睁䑁䅉䅎畁䡁䅧䅢穂䡁䅧兘䝂䝁䅫睚桂䡁䅉党あ䍁䅣光歁䕁䅕䅊㍁䑁䅉杏歁䕁䅅兓歁䑁䅣杍䅁䕁䕧䅁潂䅁䅁睊扂䙁䅁杣療䝁䅯党橂䡁䅑䅉偂䝁䅣兙瑂䝁䅅䅉䩂䕁䅫䅉瑁䍁䅁杍睁䑁䅉䅎畁䡁䅧䅢穂䡁䅧兘䝂䝁䅫睚桂䡁䅉党あ䍁䅣光歁䕁䅕䅊㕁䑁䅅杏歁䙁䅧䅊㕁䑁䅅䅁扂䅂䅁䅡䅁䍁䅣睗兂䡁䅉睢煂䝁䅕睙あ䍁䅁睔湂䝁䅅兢桂䍁䅁兓䩂䍁䅁兌杁䑁䅉䅍祁䑁䅑杌㑂䝁䅷督㑂䙁䄰杒灂䝁䅣兙祂䝁䅕䅤湁䍁䅅䅊䙂䍁䅑兏祁䑁䅯䅊奂䍁䅑兏祁䅁䅁䅘䅑䝁䅧䅁湁䙁䅳䅕祂䝁䄸条求䝁䅍䅤杁䕁䄸睚桂䝁䄰兙杁䕁䅫兓杁䍁䄰䅉祁䑁䅁杍ぁ䍁䄴䅥獂䡁䅍䅥摂䕁䅙兡湂䝁䅅杣求䡁䅑睊桁䍁䅑兒歁䑁䅫睍㙁䍁䅑䅗歁䑁䅫睍䅁䱁䔸䅁潂䅁䅁睊扂䙁䅁杣療䝁䅯党橂䡁䅑䅉偂䝁䅣兙瑂䝁䅅䅉䩂䕁䅫䅉瑁䍁䅁杍睁䑁䅉䅎畁䡁䅧䅢穂䡁䅧兘䝂䝁䅫睚桂䡁䅉党あ䍁䅣光歁䕁䅕䅊㕁䑁䅑杏歁䙁䅧䅊㕁䑁䅑䅁㙂䅂䅁䅡䅁䍁䅣睗兂䡁䅉睢煂䝁䅕睙あ䍁䅁睔湂䝁䅅兢桂䍁䅁兓䩂䍁䅁兌杁䑁䅉䅍祁䑁䅑杌㑂䝁䅷督㑂䙁䄰杒灂䝁䅣兙祂䝁䅕䅤湁䍁䅅䅊䙂䍁䅑兏ㅁ䑁䅯䅊奂䍁䅑兏ㅁ䅁䅁睥䅑䝁䅁䅁湁䙁䅳䅕祂䝁䄸条求䝁䅍䅤杁䕁䄸睚桂䝁䄰兙杁䕁䅫兓杁䍁䄰䅉祁䑁䅁杍ぁ䍁䄴䅥獂䡁䅍䅥摂䕁䅷兑杁䕁䅉杣ㅂ䝁䅳党あ䍁䅣光歁䕁䅑䅊㉁䑁䅫䅁汃䅂䅁䅙䅁䍁䅣睗兂䡁䅉睢煂䝁䅕睙あ䍁䅁睔湂䝁䅅兢桂䍁䅁兓䩂䍁䅁兌杁䑁䅉䅍祁䑁䅑杌㑂䝁䅷督㑂䙁䄰䅔䉂䍁䅁村祂䡁䅕睡求䡁䅑睊桁䍁䅑䅒歁䑁䅣免䅁䕁䕫䅁獂䅁䅁睊扂䙁䅁杣療䝁䅯党橂䡁䅑䅉偂䝁䅣兙瑂䝁䅅䅉䩂䕁䅫䅉瑁䍁䅁杍睁䑁䅉䅎畁䡁䅧䅢穂䡁䅧兘䵂䕁䅅䅉䍂䡁䅉兤牂䝁䅕䅤湁䍁䅅䅊䕂䍁䅑睎硁䑁䅯䅊䕂䍁䅑睎㉁䅁䅁杰䅑䝁䅷䅁湁䙁䅳䅕祂䝁䄸条求䝁䅍䅤杁䕁䄸睚桂䝁䄰兙杁䕁䅫兓杁䍁䄰䅉祁䑁䅁杍ぁ䍁䄴䅥獂䡁䅍䅥摂䕁䅷兑杁䕁䅉杣ㅂ䝁䅳党あ䍁䅣光歁䕁䅑䅊㍁䑁䅍杏歁䕁䅑䅊㍁䑁䅧䅁䥃䅂䅁䅢䅁䍁䅣睗兂䡁䅉睢煂䝁䅕睙あ䍁䅁睔湂䝁䅅兢桂䍁䅁兓䩂䍁䅁兌杁䑁䅉䅍祁䑁䅑杌㑂䝁䅷督㑂䙁䄰䅔䉂䍁䅁村祂䡁䅕睡求䡁䅑睊桁䍁䅑䅒歁䑁䅣睍㙁䍁䅑䅒歁䑁䅣兏䅁䕁䕯䅁杂䅁䅁睊扂䙁䅁杣療䝁䅯党橂䡁䅑䅉偂䝁䅣兙瑂䝁䅅䅉䩂䕁䅫䅉瑁䍁䅁杍睁䑁䅉䅎畁䡁䅧䅢穂䡁䅧兘䵂䕁䅅䅉䍂䡁䅉兤牂䝁䅕䅤湁䍁䅅䅊䕂䍁䅑䅏㑁䅁䅁兮䅑䝁䅁䅁湁䙁䅳䅕祂䝁䄸条求䝁䅍䅤杁䕁䄸睚桂䝁䄰兙杁䕁䅫兓杁䍁䄰䅉祁䑁䅁杍ぁ䍁䄴䅥獂䡁䅍䅥摂䕁䅷兑杁䕁䅉杣ㅂ䝁䅳党あ䍁䅣光歁䕁䅑䅊㕁䑁䅁䅁䩃䅂䅁䅙䅁䍁䅣睗兂䡁䅉睢煂䝁䅕睙あ䍁䅁睔湂䝁䅅兢桂䍁䅁兓䩂䍁䅁兌杁䑁䅉䅍祁䑁䅑杌㑂䝁䅷督㑂䙁䄰䅔䉂䍁䅁村祂䡁䅕睡求䡁䅑睊桁䍁䅑䅒歁䑁䅫免䅁䑁䕫䅁獂䅁䅁睊扂䙁䅁杣療䝁䅯党橂䡁䅑䅉偂䝁䅣兙瑂䝁䅅䅉䩂䕁䅫䅉瑁䍁䅁杍睁䑁䅉䅎畁䡁䅧䅢穂䡁䅧兘䵂䕁䅅䅉䍂䡁䅉兤牂䝁䅕䅤湁䍁䅅䅊䕂䍁䅑兏硁䑁䅯䅊䕂䍁䅑兏㍁䅁䅁杮䅑䝁䅷䅁湁䙁䅳䅕祂䝁䄸条求䝁䅍䅤杁䕁䄸睚桂䝁䄰兙杁䕁䅫兓杁䍁䄰䅉祁䑁䅁杍ぁ䍁䄴䅥獂䡁䅍䅥摂䕁䅷兑杁䕁䅉杣ㅂ䝁䅳党あ䍁䅣光歁䕁䅑䅊㕁䑁䅍杏歁䕁䅑䅊㕁䑁䅫䅁䭃䅂䅁杢䅁䍁䅣睗兂䡁䅉睢煂䝁䅕睙あ䍁䅁睔湂䝁䅅兢桂䍁䅁兓䩂䍁䅁兌杁䑁䅉䅍祁䑁䅑杌㑂䝁䅷督㑂䙁䄰䅔䉂䍁䅁村祂䡁䅕睡求䡁䅑睊桁䍁䅑䅒歁䑁䅫䅎㙁䍁䅑䅒歁䑁䅅䅍睁䅁䅁杏䅑䝁䄴䅁湁䙁䅳䅕祂䝁䄸条求䝁䅍䅤杁䕁䄸睚桂䝁䄰兙杁䕁䅫兓杁䍁䄰䅉祁䑁䅁杍ぁ䍁䄴䅥獂䡁䅍䅥摂䕁䅷兑杁䕁䅉杣ㅂ䝁䅳党あ䍁䅣光歁䕁䅑䅊㕁䑁䅑杏歁䕁䅑䅊硁䑁䅁免䅁䥁䕕䅁畂䅁䅁睊扂䙁䅁杣療䝁䅯党橂䡁䅑䅉偂䝁䅣兙瑂䝁䅅䅉䩂䕁䅫䅉瑁䍁䅁杍睁䑁䅉䅎畁䡁䅧䅢穂䡁䅧兘䵂䕁䅅䅉䍂䡁䅉兤牂䝁䅕䅤湁䍁䅅䅊䙂䍁䅑李㕁䑁䅯䅊䉂䕁䅫䅊㉁䑁䅫䅁湃䅂䅁杢䅁䍁䅣睗兂䡁䅉睢煂䝁䅕睙あ䍁䅁睔湂䝁䅅兢桂䍁䅁兓䩂䍁䅁兌杁䑁䅉䅍祁䑁䅑杌㑂䝁䅷督㑂䙁䄰䅔䉂䍁䅁村祂䡁䅕睡求䡁䅑睊桁䍁䅑兒歁䑁䅣䅍㙁䍁䅑兑䩂䍁䅑睎睁䅁䅁䅱䅑䝁䄴䅁湁䙁䅳䅕祂䝁䄸条求䝁䅍䅤杁䕁䄸睚桂䝁䄰兙杁䕁䅫兓杁䍁䄰䅉祁䑁䅁杍ぁ䍁䄴䅥獂䡁䅍䅥摂䕁䅷兑杁䕁䅉杣ㅂ䝁䅳党あ䍁䅣光歁䕁䅕䅊㍁䑁䅅杏歁䕁䅅兓歁䑁䅣免䅁䕁䕳䅁畂䅁䅁睊扂䙁䅁杣療䝁䅯党橂䡁䅑䅉偂䝁䅣兙瑂䝁䅅䅉䩂䕁䅫䅉瑁䍁䅁杍睁䑁䅉䅎畁䡁䅧䅢穂䡁䅧兘䵂䕁䅅䅉䍂䡁䅉兤牂䝁䅕䅤湁䍁䅅䅊䙂䍁䅑睎祁䑁䅯䅊䉂䕁䅫䅊㍁䑁䅉䅁䵂䅂䅁䅢䅁䍁䅣睗兂䡁䅉睢煂䝁䅕睙あ䍁䅁睔湂䝁䅅兢桂䍁䅁兓䩂䍁䅁兌杁䑁䅉䅍祁䑁䅑杌㑂䝁䅷督㑂䙁䄰䅔䉂䍁䅁村祂䡁䅕睡求䡁䅑睊桁䍁䅑兒歁䑁䅧䅏㙁䍁䅑䅗歁䑁䅧䅏䅁䩁䔸䅁獂䅁䅁睊扂䙁䅁杣療䝁䅯党橂䡁䅑䅉偂䝁䅣兙瑂䝁䅅䅉䩂䕁䅫䅉瑁䍁䅁杍睁䑁䅉䅎畁䡁䅧䅢穂䡁䅧兘䵂䕁䅅䅉䍂䡁䅉兤牂䝁䅕䅤湁䍁䅅䅊䙂䍁䅑䅏㕁䑁䅯䅊奂䍁䅑䅏㕁䅁䅁䅯䅑䝁䅷䅁湁䙁䅳䅕祂䝁䄸条求䝁䅍䅤杁䕁䄸睚桂䝁䄰兙杁䕁䅫兓杁䍁䄰䅉祁䑁䅁杍ぁ䍁䄴䅥獂䡁䅍䅥摂䕁䅷兑杁䕁䅉杣ㅂ䝁䅳党あ䍁䅣光歁䕁䅕䅊㕁䑁䅁杏歁䙁䅧䅊㕁䑁䅁䅁䱃䅂䅁䅢䅁䍁䅣睗兂䡁䅉睢煂䝁䅕睙あ䍁䅁睔湂䝁䅅兢桂䍁䅁兓䩂䍁䅁兌杁䑁䅉䅍祁䑁䅑杌㑂䝁䅷督㑂䙁䄰䅔䉂䍁䅁村祂䡁䅕睡求䡁䅑睊桁䍁䅑兒歁䑁䅫免㙁䍁䅑䅗歁䑁䅫免䅁䑁䕳䅁獂䅁䅁睊扂䙁䅁杣療䝁䅯党橂䡁䅑䅉偂䝁䅣兙瑂䝁䅅䅉䩂䕁䅫䅉瑁䍁䅁杍睁䑁䅉䅎畁䡁䅧䅢穂䡁䅧兘䵂䕁䅅䅉䍂䡁䅉兤牂䝁䅕䅤湁䍁䅅䅊䙂䍁䅑兏祁䑁䅯䅊奂䍁䅑兏祁䅁䅁䅐䅑䝁䄴䅁湁䙁䅳䅕祂䝁䄸条求䝁䅍䅤杁䕁䄸睚桂䝁䄰兙杁䕁䅫兓杁䍁䄰䅉祁䑁䅁杍ぁ䍁䄴䅥獂䡁䅍䅥摂䕁䅷党杁䙁䅍䅢灂䡁䅁䅉䝂䡁䅉兙畂佁䅣兙灂䡁䅍睊桁䍁䅑䅒歁䑁䅙兏䅁䵁䕧䅁畂䅁䅁睊扂䙁䅁杣療䝁䅯党橂䡁䅑䅉偂䝁䅣兙瑂䝁䅅䅉䩂䕁䅫䅉瑁䍁䅁杍睁䑁䅉䅎畁䡁䅧䅢穂䡁䅧兘䵂䝁䅕䅉呂䝁䅷兡睂䍁䅁杒祂䝁䅅杢湄䝁䅅兡穂䍁䅣光歁䕁䅑䅊㍁䑁䅅䅁桂䅂䅁来䅁䍁䅣睗兂䡁䅉睢煂䝁䅕睙あ䍁䅁睔湂䝁䅅兢桂䍁䅁兓䩂䍁䅁兌杁䑁䅉䅍祁䑁䅑杌㑂䝁䅷督㑂䙁䄰䅔求䍁䅁睕獂䝁䅫䅣杁䕁䅙杣桂䝁䄴眵桂䝁䅫督湁䍁䅅䅊䕂䍁䅑睎硁䑁䅯䅊䕂䍁䅑睎ㅁ䅁䅁兹䅑䡁䅯䅁湁䙁䅳䅕祂䝁䄸条求䝁䅍䅤杁䕁䄸睚桂䝁䄰兙杁䕁䅫兓杁䍁䄰䅉祁䑁䅁杍ぁ䍁䄴䅥獂䡁䅍䅥摂䕁䅷党杁䙁䅍䅢灂䡁䅁䅉䝂䡁䅉兙畂佁䅣兙灂䡁䅍睊桁䍁䅑䅒歁䑁䅣睍㙁䍁䅑䅒歁䑁䅣李䅁䩁䕕䅁㙂䅁䅁睊扂䙁䅁杣療䝁䅯党橂䡁䅑䅉偂䝁䅣兙瑂䝁䅅䅉䩂䕁䅫䅉瑁䍁䅁杍睁䑁䅉䅎畁䡁䅧䅢穂䡁䅧兘䵂䝁䅕䅉呂䝁䅷兡睂䍁䅁杒祂䝁䅅杢湄䝁䅅兡穂䍁䅣光歁䕁䅑䅊㍁䑁䅍杏歁䕁䅑䅊㍁䑁䅣䅁楂䅂䅁来䅁䍁䅣睗兂䡁䅉睢煂䝁䅕睙あ䍁䅁睔湂䝁䅅兢桂䍁䅁兓䩂䍁䅁兌杁䑁䅉䅍祁䑁䅑杌㑂䝁䅷督㑂䙁䄰䅔求䍁䅁睕獂䝁䅫䅣杁䕁䅙杣桂䝁䄴眵桂䝁䅫督湁䍁䅅䅊䕂䍁䅑睎穁䑁䅯䅊䕂䍁䅑睎㑁䅁䅁睧䅑䝁䄴䅁湁䙁䅳䅕祂䝁䄸条求䝁䅍䅤杁䕁䄸睚桂䝁䄰兙杁䕁䅫兓杁䍁䄰䅉祁䑁䅁杍ぁ䍁䄴䅥獂䡁䅍䅥摂䕁䅷党杁䙁䅍䅢灂䡁䅁䅉䝂䡁䅉兙畂佁䅣兙灂䡁䅍睊桁䍁䅑䅒歁䑁䅧睎䅁䵁䕷䅁畂䅁䅁睊扂䙁䅁杣療䝁䅯党橂䡁䅑䅉偂䝁䅣兙瑂䝁䅅䅉䩂䕁䅫䅉瑁䍁䅁杍睁䑁䅉䅎畁䡁䅧䅢穂䡁䅧兘䵂䝁䅕䅉呂䝁䅷兡睂䍁䅁杒祂䝁䅅杢湄䝁䅅兡穂䍁䅣光歁䕁䅑䅊㑁䑁䅧䅁坃䅂䅁杢䅁䍁䅣睗兂䡁䅉睢煂䝁䅕睙あ䍁䅁睔湂䝁䅅兢桂䍁䅁兓䩂䍁䅁兌杁䑁䅉䅍祁䑁䅑杌㑂䝁䅷督㑂䙁䄰䅔求䍁䅁睕獂䝁䅫䅣杁䕁䅙杣桂䝁䄴眵桂䝁䅫督湁䍁䅅䅊䕂䍁䅑䅏㕁䅁䅁党䅑䝁䄴䅁湁䙁䅳䅕祂䝁䄸条求䝁䅍䅤杁䕁䄸睚桂䝁䄰兙杁䕁䅫兓杁䍁䄰䅉祁䑁䅁杍ぁ䍁䄴䅥獂䡁䅍䅥摂䕁䅷党杁䙁䅍䅢灂䡁䅁䅉䝂䡁䅉兙畂佁䅣兙灂䡁䅍睊桁䍁䅑䅒歁䑁䅫䅍䅁䡁䔸䅁㙂䅁䅁睊扂䙁䅁杣療䝁䅯党橂䡁䅑䅉偂䝁䅣兙瑂䝁䅅䅉䩂䕁䅫䅉瑁䍁䅁杍睁䑁䅉䅎畁䡁䅧䅢穂䡁䅧兘䵂䝁䅕䅉呂䝁䅷兡睂䍁䅁杒祂䝁䅅杢湄䝁䅅兡穂䍁䅣光歁䕁䅑䅊㕁䑁䅁杏歁䕁䅑䅊㕁䑁䅙䅁乄䅂䅁来䅁䍁䅣睗兂䡁䅉睢煂䝁䅕睙あ䍁䅁睔湂䝁䅅兢桂䍁䅁兓䩂䍁䅁兌杁䑁䅉䅍祁䑁䅑杌㑂䝁䅷督㑂䙁䄰䅔求䍁䅁睕獂䝁䅫䅣杁䕁䅙杣桂䝁䄴眵桂䝁䅫督湁䍁䅅䅊䕂䍁䅑兏硁䑁䅯䅊䕂䍁䅑兏㍁䅁䅁睬䅑䡁䅯䅁湁䙁䅳䅕祂䝁䄸条求䝁䅍䅤杁䕁䄸睚桂䝁䄰兙杁䕁䅫兓杁䍁䄰䅉祁䑁䅁杍ぁ䍁䄴䅥獂䡁䅍䅥摂䕁䅷党杁䙁䅍䅢灂䡁䅁䅉䝂䡁䅉兙畂佁䅣兙灂䡁䅍睊桁䍁䅑䅒歁䑁䅫杍㙁䍁䅑䅒歁䑁䅫䅏䅁䝁䕙䅁㙂䅁䅁睊扂䙁䅁杣療䝁䅯党橂䡁䅑䅉偂䝁䅣兙瑂䝁䅅䅉䩂䕁䅫䅉瑁䍁䅁杍睁䑁䅉䅎畁䡁䅧䅢穂䡁䅧兘䵂䝁䅕䅉呂䝁䅷兡睂䍁䅁杒祂䝁䅅杢湄䝁䅅兡穂䍁䅣光歁䕁䅑䅊㕁䑁䅍杏歁䕁䅑䅊㕁䑁䅫䅁䅃䅂䅁䅦䅁䍁䅣睗兂䡁䅉睢煂䝁䅕睙あ䍁䅁睔湂䝁䅅兢桂䍁䅁兓䩂䍁䅁兌杁䑁䅉䅍祁䑁䅑杌㑂䝁䅷督㑂䙁䄰䅔求䍁䅁睕獂䝁䅫䅣杁䕁䅙杣桂䝁䄴眵桂䝁䅫督湁䍁䅅䅊䙂䍁䅑李㕁䑁䅯䅊䉂䕁䅫䅊㉁䑁䅫䅁䭄䅂䅁䅦䅁䍁䅣睗兂䡁䅉睢煂䝁䅕睙あ䍁䅁睔湂䝁䅅兢桂䍁䅁兓䩂䍁䅁兌杁䑁䅉䅍祁䑁䅑杌㑂䝁䅷督㑂䙁䄰䅔求䍁䅁睕獂䝁䅫䅣杁䕁䅙杣桂䝁䄴眵桂䝁䅫督湁䍁䅅䅊䙂䍁䅑睎睁䑁䅯䅊䉂䕁䅫䅊㍁䑁䅁䅁䱄䅂䅁䅦䅁䍁䅣睗兂䡁䅉睢煂䝁䅕睙あ䍁䅁睔湂䝁䅅兢桂䍁䅁兓䩂䍁䅁兌杁䑁䅉䅍祁䑁䅑杌㑂䝁䅷督㑂䙁䄰䅔求䍁䅁睕獂䝁䅫䅣杁䕁䅙杣桂䝁䄴眵桂䝁䅫督湁䍁䅅䅊䙂䍁䅑睎硁䑁䅯䅊䉂䕁䅫䅊㍁䑁䅅䅁橂䅂䅁䅦䅁䍁䅣睗兂䡁䅉睢煂䝁䅕睙あ䍁䅁睔湂䝁䅅兢桂䍁䅁兓䩂䍁䅁兌杁䑁䅉䅍祁䑁䅑杌㑂䝁䅷督㑂䙁䄰䅔求䍁䅁睕獂䝁䅫䅣杁䕁䅙杣桂䝁䄴眵桂䝁䅫督湁䍁䅅䅊䙂䍁䅑睎祁䑁䅯䅊䉂䕁䅫䅊㍁䑁䅉䅁歂䅂䅁来䅁䍁䅣睗兂䡁䅉睢煂䝁䅕睙あ䍁䅁睔湂䝁䅅兢桂䍁䅁兓䩂䍁䅁兌杁䑁䅉䅍祁䑁䅑杌㑂䝁䅷督㑂䙁䄰䅔求䍁䅁睕獂䝁䅫䅣杁䕁䅙杣桂䝁䄴眵桂䝁䅫督湁䍁䅅䅊䙂䍁䅑䅏㍁䑁䅯䅊奂䍁䅑䅏㍁䅁䅁杺䅑䡁䅯䅁湁䙁䅳䅕祂䝁䄸条求䝁䅍䅤杁䕁䄸睚桂䝁䄰兙杁䕁䅫兓杁䍁䄰䅉祁䑁䅁杍ぁ䍁䄴䅥獂䡁䅍䅥摂䕁䅷党杁䙁䅍䅢灂䡁䅁䅉䝂䡁䅉兙畂佁䅣兙灂䡁䅍睊桁䍁䅑兒歁䑁䅧䅏㙁䍁䅑䅗歁䑁䅧䅏䅁䩁䕧䅁㙂䅁䅁睊扂䙁䅁杣療䝁䅯党橂䡁䅑䅉偂䝁䅣兙瑂䝁䅅䅉䩂䕁䅫䅉瑁䍁䅁杍睁䑁䅉䅎畁䡁䅧䅢穂䡁䅧兘䵂䝁䅕䅉呂䝁䅷兡睂䍁䅁杒祂䝁䅅杢湄䝁䅅兡穂䍁䅣光歁䕁䅕䅊㑁䑁䅫杏歁䙁䅧䅊㑁䑁䅫䅁湂䅂䅁来䅁䍁䅣睗兂䡁䅉睢煂䝁䅕睙あ䍁䅁睔湂䝁䅅兢桂䍁䅁兓䩂䍁䅁兌杁䑁䅉䅍祁䑁䅑杌㑂䝁䅷督㑂䙁䄰䅔求䍁䅁睕獂䝁䅫䅣杁䕁䅙杣桂䝁䄴眵桂䝁䅫督湁䍁䅅䅊䙂䍁䅑兏睁䑁䅯䅊奂䍁䅑兏睁䅁䅁䅡䅑䡁䅯䅁湁䙁䅳䅕祂䝁䄸条求䝁䅍䅤杁䕁䄸睚桂䝁䄰兙杁䕁䅫兓杁䍁䄰䅉祁䑁䅁杍ぁ䍁䄴䅥獂䡁䅍䅥摂䕁䅷党杁䙁䅍䅢灂䡁䅁䅉䝂䡁䅉兙畂佁䅣兙灂䡁䅍睊桁䍁䅑兒歁䑁䅫免㙁䍁䅑䅗歁䑁䅫免䅁䥁䕅䅁楂䅁䅁睊扂䙁䅁杣療䝁䅯党橂䡁䅑䅉偂䝁䅣兙瑂䝁䅅䅉䩂䕁䅫䅉瑁䍁䅁杍睁䑁䅉䅎畁䡁䅧䅢穂䡁䅧兘佂䙁䅙䅉䡂䝁䅅䅢獂䝁䅕杣㕂䍁䅣光歁䕁䅑䅊㉁䑁䅫䅁灃䅂䅁杙䅁䍁䅣睗兂䡁䅉睢煂䝁䅕睙あ䍁䅁睔湂䝁䅅兢桂䍁䅁兓䩂䍁䅁兌杁䑁䅉䅍祁䑁䅑杌㑂䝁䅷督㑂䙁䄰杔坂䍁䅁睒桂䝁䅷䅢求䡁䅉入湁䍁䅅䅊䕂䍁䅑睎硁䅁䅁兔䅑䝁䄴䅁湁䙁䅳䅕祂䝁䄸条求䝁䅍䅤杁䕁䄸睚桂䝁䄰兙杁䕁䅫兓杁䍁䄰䅉祁䑁䅁杍ぁ䍁䄴䅥獂䡁䅍䅥摂䕁䄴杖杁䕁䅣兙獂䝁䅷党祂䡁䅫睊桁䍁䅑䅒歁䑁䅣免㙁䍁䅑䅒歁䑁䅣䅏䅁䭁䕯䅁畂䅁䅁睊扂䙁䅁杣療䝁䅯党橂䡁䅑䅉偂䝁䅣兙瑂䝁䅅䅉䩂䕁䅫䅉瑁䍁䅁杍睁䑁䅉䅎畁䡁䅧䅢穂䡁䅧兘佂䙁䅙䅉䡂䝁䅅䅢獂䝁䅕杣㕂䍁䅣光歁䕁䅑䅊㍁䑁䅍杏歁䕁䅑䅊㑁䑁䅁䅁䵃䅂䅁杢䅁䍁䅣睗兂䡁䅉睢煂䝁䅕睙あ䍁䅁睔湂䝁䅅兢桂䍁䅁兓䩂䍁䅁兌杁䑁䅉䅍祁䑁䅑杌㑂䝁䅷督㑂䙁䄰杔坂䍁䅁睒桂䝁䅷䅢求䡁䅉入湁䍁䅅䅊䕂䍁䅑睎穁䑁䅯䅊䕂䍁䅑䅏硁䅁䅁杧䅑䝁䄴䅁湁䙁䅳䅕祂䝁䄸条求䝁䅍䅤杁䕁䄸睚桂䝁䄰兙杁䕁䅫兓杁䍁䄰䅉祁䑁䅁杍ぁ䍁䄴䅥獂䡁䅍䅥摂䕁䄴杖杁䕁䅣兙獂䝁䅷党祂䡁䅫睊桁䍁䅑䅒歁䑁䅣睍㙁䍁䅑䅒歁䑁䅧杍䅁䕁䔴䅁楂䅁䅁睊扂䙁䅁杣療䝁䅯党橂䡁䅑䅉偂䝁䅣兙瑂䝁䅅䅉䩂䕁䅫䅉瑁䍁䅁杍睁䑁䅉䅎畁䡁䅧䅢穂䡁䅧兘佂䙁䅙䅉䡂䝁䅅䅢獂䝁䅕杣㕂䍁䅣光歁䕁䅑䅊㕁䑁䅁䅁瑃䅂䅁杙䅁䍁䅣睗兂䡁䅉睢煂䝁䅕睙あ䍁䅁睔湂䝁䅅兢桂䍁䅁兓䩂䍁䅁兌杁䑁䅉䅍祁䑁䅑杌㑂䝁䅷督㑂䙁䄰杔坂䍁䅁睒桂䝁䅷䅢求䡁䅉入湁䍁䅅䅊䕂䍁䅑兏祁䅁䅁兪䅑䝁䅉䅁湁䙁䅳䅕祂䝁䄸条求䝁䅍䅤杁䕁䄸睚桂䝁䄰兙杁䕁䅫兓杁䍁䄰䅉祁䑁䅁杍ぁ䍁䄴䅥獂䡁䅍䅥摂䕁䄴杖杁䕁䅣兙獂䝁䅷党祂䡁䅫睊桁䍁䅑䅒歁䑁䅫睍䅁䡁䕷䅁畂䅁䅁睊扂䙁䅁杣療䝁䅯党橂䡁䅑䅉偂䝁䅣兙瑂䝁䅅䅉䩂䕁䅫䅉瑁䍁䅁杍睁䑁䅉䅎畁䡁䅧䅢穂䡁䅧兘佂䙁䅙䅉䡂䝁䅅䅢獂䝁䅕杣㕂䍁䅣光歁䕁䅑䅊㕁䑁䅍杏歁䕁䅑䅊㕁䑁䅧䅁畃䅂䅁杙䅁䍁䅣睗兂䡁䅉睢煂䝁䅕睙あ䍁䅁睔湂䝁䅅兢桂䍁䅁兓䩂䍁䅁兌杁䑁䅉䅍祁䑁䅑杌㑂䝁䅷督㑂䙁䄰杔坂䍁䅁睒桂䝁䅷䅢求䡁䅉入湁䍁䅅䅊䕂䍁䅑兏ぁ䅁䅁兖䅑䡁䅁䅁湁䙁䅳䅕祂䝁䄸条求䝁䅍䅤杁䕁䄸睚桂䝁䄰兙杁䕁䅫兓杁䍁䄰䅉祁䑁䅁杍ぁ䍁䄴䅥獂䡁䅍䅥摂䕁䄴杖杁䕁䅣兙獂䝁䅷党祂䡁䅫睊桁䍁䅑䅒歁䑁䅫兎㙁䍁䅑䅒歁䑁䅅䅍睁䅁䅁杪䅑䡁䅁䅁湁䙁䅳䅕祂䝁䄸条求䝁䅍䅤杁䕁䄸睚桂䝁䄰兙杁䕁䅫兓杁䍁䄰䅉祁䑁䅁杍ぁ䍁䄴䅥獂䡁䅍䅥摂䕁䄴杖杁䕁䅣兙獂䝁䅷党祂䡁䅫睊桁䍁䅑䅒歁䑁䅫李㙁䍁䅑䅒歁䑁䅅䅍祁䅁䅁兦䅑䡁䅁䅁湁䙁䅳䅕祂䝁䄸条求䝁䅍䅤杁䕁䄸睚桂䝁䄰兙杁䕁䅫兓杁䍁䄰䅉祁䑁䅁杍ぁ䍁䄴䅥獂䡁䅍䅥摂䕁䄴杖杁䕁䅣兙獂䝁䅷党祂䡁䅫睊桁䍁䅑䅒歁䑁䅫睎㙁䍁䅑䅒歁䑁䅅䅍穁䅁䅁杖䅑䡁䅁䅁湁䙁䅳䅕祂䝁䄸条求䝁䅍䅤杁䕁䄸睚桂䝁䄰兙杁䕁䅫兓杁䍁䄰䅉祁䑁䅁杍ぁ䍁䄴䅥獂䡁䅍䅥摂䕁䄴杖杁䕁䅣兙獂䝁䅷党祂䡁䅫睊桁䍁䅑兒歁䑁䅙兏㙁䍁䅑兑䩂䍁䅑李㕁䅁䅁睱䅑䡁䅁䅁湁䙁䅳䅕祂䝁䄸条求䝁䅍䅤杁䕁䄸睚桂䝁䄰兙杁䕁䅫兓杁䍁䄰䅉祁䑁䅁杍ぁ䍁䄴䅥獂䡁䅍䅥摂䕁䄴杖杁䕁䅣兙獂䝁䅷党祂䡁䅫睊桁䍁䅑兒歁䑁䅣䅍㙁䍁䅑兑䩂䍁䅑睎睁䅁䅁䅲䅑䡁䅁䅁湁䙁䅳䅕祂䝁䄸条求䝁䅍䅤杁䕁䄸睚桂䝁䄰兙杁䕁䅫兓杁䍁䄰䅉祁䑁䅁杍ぁ䍁䄴䅥獂䡁䅍䅥摂䕁䄴杖杁䕁䅣兙獂䝁䅷党祂䡁䅫睊桁䍁䅑兒歁䑁䅣免㙁䍁䅑兑䩂䍁䅑睎硁䅁䅁睔䅑䡁䅁䅁湁䙁䅳䅕祂䝁䄸条求䝁䅍䅤杁䕁䄸睚桂䝁䄰兙杁䕁䅫兓杁䍁䄰䅉祁䑁䅁杍ぁ䍁䄴䅥獂䡁䅍䅥摂䕁䄴杖杁䕁䅣兙獂䝁䅷党祂䡁䅫睊桁䍁䅑兒歁䑁䅣杍㙁䍁䅑兑䩂䍁䅑睎祁䅁䅁䅕䅑䝁䄴䅁湁䙁䅳䅕祂䝁䄸条求䝁䅍䅤杁䕁䄸睚桂䝁䄰兙杁䕁䅫兓杁䍁䄰䅉祁䑁䅁杍ぁ䍁䄴䅥獂䡁䅍䅥摂䕁䄴杖杁䕁䅣兙獂䝁䅷党祂䡁䅫睊桁䍁䅑兒歁䑁䅫䅍㙁䍁䅑䅗歁䑁䅫䅍䅁䭁䔸䅁畂䅁䅁睊扂䙁䅁杣療䝁䅯党橂䡁䅑䅉偂䝁䅣兙瑂䝁䅅䅉䩂䕁䅫䅉瑁䍁䅁杍睁䑁䅉䅎畁䡁䅧䅢穂䡁䅧兘佂䙁䅙䅉䡂䝁䅅䅢獂䝁䅕杣㕂䍁䅣光歁䕁䅕䅊㕁䑁䅅杏歁䙁䅧䅊㕁䑁䅅䅁睃䅂䅁杢䅁䍁䅣睗兂䡁䅉睢煂䝁䅕睙あ䍁䅁睔湂䝁䅅兢桂䍁䅁兓䩂䍁䅁兌杁䑁䅉䅍祁䑁䅑杌㑂䝁䅷督㑂䙁䄰杔坂䍁䅁睒桂䝁䅷䅢求䡁䅉入湁䍁䅅䅊䙂䍁䅑兏祁䑁䅯䅊奂䍁䅑兏祁䅁䅁睪䅑䝁䄴䅁湁䙁䅳䅕祂䝁䄸条求䝁䅍䅤杁䕁䄸睚桂䝁䄰兙杁䕁䅫兓杁䍁䄰䅉祁䑁䅁杍ぁ䍁䄴䅥獂䡁䅍䅥摂䕁䄴杖杁䕁䅣兙獂䝁䅷党祂䡁䅫睊桁䍁䅑兒歁䑁䅫睍㙁䍁䅑䅗歁䑁䅫睍䅁䡁䔴䅁畂䅁䅁睊扂䙁䅁杣療䝁䅯党橂䡁䅑䅉偂䝁䅣兙瑂䝁䅅䅉䩂䕁䅫䅉瑁䍁䅁杍睁䑁䅉䅎畁䡁䅧䅢穂䡁䅧兘佂䙁䅙䅉䡂䝁䅅䅢獂䝁䅕杣㕂䍁䅣光歁䕁䅕䅊㕁䑁䅑杏歁䙁䅧䅊㕁䑁䅑䅁塂䅂䅁杢䅁䍁䅣睗兂䡁䅉睢煂䝁䅕睙あ䍁䅁睔湂䝁䅅兢桂䍁䅁兓䩂䍁䅁兌杁䑁䅉䅍祁䑁䅑杌㑂䝁䅷督㑂䙁䄰杔坂䍁䅁睒桂䝁䅷䅢求䡁䅉入湁䍁䅅䅊䙂䍁䅑兏ㅁ䑁䅯䅊奂䍁䅑兏ㅁ䅁䅁䅗䅑䙁䅯䅁湁䙁䅳䅕祂䝁䄸条求䝁䅍䅤杁䕁䄸睚桂䝁䄰兙杁䕁䅫兓杁䍁䄰䅉祁䑁䅁杍ぁ䍁䄴䅥獂䡁䅍䅥摂䙁䅍党穂䡁䅍兤畂䍁䅣光歁䕁䅑䅊㉁䑁䅫䅁婃䅂䅁杗䅁䍁䅣睗兂䡁䅉睢煂䝁䅕睙あ䍁䅁睔湂䝁䅅兢桂䍁䅁兓䩂䍁䅁兌杁䑁䅉䅍祁䑁䅑杌㑂䝁䅷督㑂䙁䄰睕求䡁䅍督ㅂ䝁䄴睊桁䍁䅑䅒歁䑁䅣免䅁䑁䕅䅁浂䅁䅁睊扂䙁䅁杣療䝁䅯党橂䡁䅑䅉偂䝁䅣兙瑂䝁䅅䅉䩂䕁䅫䅉瑁䍁䅁杍睁䑁䅉䅎畁䡁䅧䅢穂䡁䅧兘呂䝁䅕督穂䡁䅕杢湁䍁䅅䅊䕂䍁䅑睎硁䑁䅯䅊䕂䍁䅑䅏睁䅁䅁杭䅑䝁䅙䅁湁䙁䅳䅕祂䝁䄸条求䝁䅍䅤杁䕁䄸睚桂䝁䄰兙杁䕁䅫兓杁䍁䄰䅉祁䑁䅁杍ぁ䍁䄴䅥獂䡁䅍䅥摂䙁䅍党穂䡁䅍兤畂䍁䅣光歁䕁䅑䅊㍁䑁䅍杏歁䕁䅑䅊㍁䑁䅧䅁祁䅂䅁杚䅁䍁䅣睗兂䡁䅉睢煂䝁䅕睙あ䍁䅁睔湂䝁䅅兢桂䍁䅁兓䩂䍁䅁兌杁䑁䅉䅍祁䑁䅑杌㑂䝁䅷督㑂䙁䄰睕求䡁䅍督ㅂ䝁䄴睊桁䍁䅑䅒歁䑁䅣睍㙁䍁䅑䅒歁䑁䅧杍䅁䝁䔴䅁浂䅁䅁睊扂䙁䅁杣療䝁䅯党橂䡁䅑䅉偂䝁䅣兙瑂䝁䅅䅉䩂䕁䅫䅉瑁䍁䅁杍睁䑁䅉䅎畁䡁䅧䅢穂䡁䅧兘呂䝁䅕督穂䡁䅕杢湁䍁䅅䅊䕂䍁䅑睎穁䑁䅯䅊䕂䍁䅑䅏穁䅁䅁兡䅑䙁䅯䅁湁䙁䅳䅕祂䝁䄸条求䝁䅍䅤杁䕁䄸睚桂䝁䄰兙杁䕁䅫兓杁䍁䄰䅉祁䑁䅁杍ぁ䍁䄴䅥獂䡁䅍䅥摂䙁䅍党穂䡁䅍兤畂䍁䅣光歁䕁䅑䅊㕁䑁䅁䅁㥁䅂䅁杗䅁䍁䅣睗兂䡁䅉睢煂䝁䅕睙あ䍁䅁睔湂䝁䅅兢桂䍁䅁兓䩂䍁䅁兌杁䑁䅉䅍祁䑁䅑杌㑂䝁䅷督㑂䙁䄰睕求䡁䅍督ㅂ䝁䄴睊桁䍁䅑䅒歁䑁䅫杍䅁䭁䕅䅁浂䅁䅁睊扂䙁䅁杣療䝁䅯党橂䡁䅑䅉偂䝁䅣兙瑂䝁䅅䅉䩂䕁䅫䅉瑁䍁䅁杍睁䑁䅉䅎畁䡁䅧䅢穂䡁䅧兘呂䝁䅕督穂䡁䅕杢湁䍁䅅䅊䕂䍁䅑兏穁䑁䅯䅊䕂䍁䅑兏㕁䅁䅁材䅑䙁䅯䅁湁䙁䅳䅕祂䝁䄸条求䝁䅍䅤杁䕁䄸睚桂䝁䄰兙杁䕁䅫兓杁䍁䄰䅉祁䑁䅁杍ぁ䍁䄴䅥獂䡁䅍䅥摂䙁䅍党穂䡁䅍兤畂䍁䅣光歁䕁䅑䅊㕁䑁䅑䅁療䅂䅁杗䅁䍁䅣睗兂䡁䅉睢煂䝁䅕睙あ䍁䅁睔湂䝁䅅兢桂䍁䅁兓䩂䍁䅁兌杁䑁䅉䅍祁䑁䅑杌㑂䝁䅷督㑂䙁䄰睕求䡁䅍督ㅂ䝁䄴睊桁䍁䅑䅒歁䑁䅫兎䅁䝁䕯䅁浂䅁䅁睊扂䙁䅁杣療䝁䅯党橂䡁䅑䅉偂䝁䅣兙瑂䝁䅅䅉䩂䕁䅫䅉瑁䍁䅁杍睁䑁䅉䅎畁䡁䅧䅢穂䡁䅧兘呂䝁䅕督穂䡁䅕杢湁䍁䅅䅊䕂䍁䅑兏ㅁ䑁䅯䅊䕂䍁䅑兏㕁䅁䅁杯䅑䝁䅧䅁湁䙁䅳䅕祂䝁䄸条求䝁䅍䅤杁䕁䄸睚桂䝁䄰兙杁䕁䅫兓杁䍁䄰䅉祁䑁䅁杍ぁ䍁䄴䅥獂䡁䅍䅥摂䙁䅍党穂䡁䅍兤畂䍁䅣光歁䕁䅑䅊㕁䑁䅣杏歁䕁䅑䅊硁䑁䅁免䅁䥁䕑䅁潂䅁䅁睊扂䙁䅁杣療䝁䅯党橂䡁䅑䅉偂䝁䅣兙瑂䝁䅅䅉䩂䕁䅫䅉瑁䍁䅁杍睁䑁䅉䅎畁䡁䅧䅢穂䡁䅧兘呂䝁䅕督穂䡁䅕杢湁䍁䅅䅊䕂䍁䅑兏㍁䑁䅯䅊䕂䍁䅑免睁䑁䅍䅁睂䅂䅁䅡䅁䍁䅣睗兂䡁䅉睢煂䝁䅕睙あ䍁䅁睔湂䝁䅅兢桂䍁䅁兓䩂䍁䅁兌杁䑁䅉䅍祁䑁䅑杌㑂䝁䅷督㑂䙁䄰睕求䡁䅍督ㅂ䝁䄴睊桁䍁䅑䅒歁䑁䅫䅏㙁䍁䅑䅒歁䑁䅅䅍ぁ䅁䅁睡䅑䝁䅧䅁湁䙁䅳䅕祂䝁䄸条求䝁䅍䅤杁䕁䄸睚桂䝁䄰兙杁䕁䅫兓杁䍁䄰䅉祁䑁䅁杍ぁ䍁䄴䅥獂䡁䅍䅥摂䙁䅍党穂䡁䅍兤畂䍁䅣光歁䕁䅕䅊㉁䑁䅫杏歁䕁䅅兓歁䑁䅙兏䅁䩁䕳䅁潂䅁䅁睊扂䙁䅁杣療䝁䅯党橂䡁䅑䅉偂䝁䅣兙瑂䝁䅅䅉䩂䕁䅫䅉瑁䍁䅁杍睁䑁䅉䅎畁䡁䅧䅢穂䡁䅧兘呂䝁䅕督穂䡁䅕杢湁䍁䅅䅊䙂䍁䅑睎睁䑁䅯䅊䉂䕁䅫䅊㍁䑁䅁䅁捃䅂䅁䅡䅁䍁䅣睗兂䡁䅉睢煂䝁䅕睙あ䍁䅁睔湂䝁䅅兢桂䍁䅁兓䩂䍁䅁兌杁䑁䅉䅍祁䑁䅑杌㑂䝁䅷督㑂䙁䄰睕求䡁䅍督ㅂ䝁䄴睊桁䍁䅑兒歁䑁䅣免㙁䍁䅑兑䩂䍁䅑睎硁䅁䅁睍䅑䝁䅧䅁湁䙁䅳䅕祂䝁䄸条求䝁䅍䅤杁䕁䄸睚桂䝁䄰兙杁䕁䅫兓杁䍁䄰䅉祁䑁䅁杍ぁ䍁䄴䅥獂䡁䅍䅥摂䙁䅍党穂䡁䅍兤畂䍁䅣光歁䕁䅕䅊㍁䑁䅉杏歁䕁䅅兓歁䑁䅣杍䅁䑁䕑䅁浂䅁䅁睊扂䙁䅁杣療䝁䅯党橂䡁䅑䅉偂䝁䅣兙瑂䝁䅅䅉䩂䕁䅫䅉瑁䍁䅁杍睁䑁䅉䅎畁䡁䅧䅢穂䡁䅧兘呂䝁䅕督穂䡁䅕杢湁䍁䅅䅊䙂䍁䅑兏睁䑁䅯䅊奂䍁䅑兏睁䅁䅁睐䅑䝁䅙䅁湁䙁䅳䅕祂䝁䄸条求䝁䅍䅤杁䕁䄸睚桂䝁䄰兙杁䕁䅫兓杁䍁䄰䅉祁䑁䅁杍ぁ䍁䄴䅥獂䡁䅍䅥摂䙁䅍党穂䡁䅍兤畂䍁䅣光歁䕁䅕䅊㕁䑁䅅杏歁䙁䅧䅊㕁䑁䅅䅁䅂䅂䅁杚䅁䍁䅣睗兂䡁䅉睢煂䝁䅕睙あ䍁䅁睔湂䝁䅅兢桂䍁䅁兓䩂䍁䅁兌杁䑁䅉䅍祁䑁䅑杌㑂䝁䅷督㑂䙁䄰睕求䡁䅍督ㅂ䝁䄴睊桁䍁䅑兒歁䑁䅫杍㙁䍁䅑䅗歁䑁䅫杍䅁䭁䕍䅁浂䅁䅁睊扂䙁䅁杣療䝁䅯党橂䡁䅑䅉偂䝁䅣兙瑂䝁䅅䅉䩂䕁䅫䅉瑁䍁䅁杍睁䑁䅉䅎畁䡁䅧䅢穂䡁䅧兘呂䝁䅕督穂䡁䅕杢湁䍁䅅䅊䙂䍁䅑兏穁䑁䅯䅊奂䍁䅑兏穁䅁䅁䅰䅑䝁䅙䅁湁䙁䅳䅕祂䝁䄸条求䝁䅍䅤杁䕁䄸睚桂䝁䄰兙杁䕁䅫兓杁䍁䄰䅉祁䑁䅁杍ぁ䍁䄴䅥獂䡁䅍䅥摂䙁䅍党穂䡁䅍兤畂䍁䅣光歁䕁䅕䅊㕁䑁䅑杏歁䙁䅧䅊㕁䑁䅑䅁硂䅂䅁杚䅁䍁䅣睗兂䡁䅉睢煂䝁䅕睙あ䍁䅁睔湂䝁䅅兢桂䍁䅁兓䩂䍁䅁兌杁䑁䅉䅍祁䑁䅑杌㑂䝁䅷督㑂䙁䄰睕求䡁䅍督ㅂ䝁䄴睊桁䍁䅑兒歁䑁䅫兎㙁䍁䅑䅗歁䑁䅫兎䅁䝁䕷䅁浂䅁䅁睊扂䙁䅁杣療䝁䅯党橂䡁䅑䅉偂䝁䅣兙瑂䝁䅅䅉䩂䕁䅫䅉瑁䍁䅁杍睁䑁䅉䅎畁䡁䅧䅢穂䡁䅧兘呂䝁䅕督穂䡁䅕杢湁䍁䅅䅊䙂䍁䅑兏㉁䑁䅯䅊奂䍁䅑兏㉁䅁䅁兢䅑䙁䅑䅁湁䙁䅳䅕祂䝁䄸条求䝁䅍䅤杁䙁䅁入あ䝁䅧睢畂䍁䅁杤硁䑁䅕杌㑂䝁䅷督㑂䙁䄰睑㕂䝁䅉党祂䕁䅣杕奂䍁䅣光歁䕁䅑䅊㍁䑁䅅䅁流杂䅁䅙䅁䍁䅣睗兂䡁䅉睢煂䝁䅕睙あ䍁䅁䅕㕂䡁䅑䅡療䝁䄴䅉㉂䑁䅅兎畁䡁䅧䅢穂䡁䅧兘䑂䡁䅫杙求䡁䅉睒卂䙁䅧睊桁䍁䅑䅒歁䑁䅣睍㙁䍁䅑䅒歁䑁䅣睎䅁䍁䝣䅁啂䅁䅁睊扂䙁䅁杣療䝁䅯党橂䡁䅑䅉兂䡁䅫䅤潂䝁䄸杢杁䡁䅙免ㅁ䍁䄴䅥獂䡁䅍䅥摂䕁䅍入楂䝁䅕杣䡂䙁䅉䅗湁䍁䅅䅊䕂䍁䅑兏睁䅁䅁杋䅙䝁䅉䅁湁䙁䅳䅕祂䝁䄸条求䝁䅍䅤杁䙁䅁入あ䝁䅧睢畂䍁䅁杤硁䑁䅕杌㑂䝁䅷督㑂䙁䄰睑㕂䝁䅉党祂䕁䅣杕奂䍁䅣光歁䕁䅑䅊㕁䑁䅍杏歁䕁䅑䅊硁䑁䅁免䅁䍁䝳䅁楂䅁䅁睊扂䙁䅁杣療䝁䅯党橂䡁䅑䅉兂䡁䅫䅤潂䝁䄸杢杁䡁䅙免ㅁ䍁䄴䅥獂䡁䅍䅥摂䕁䅍入楂䝁䅕杣䡂䙁䅉䅗湁䍁䅅䅊䙂䍁䅑睎硁䑁䅯䅊䉂䕁䅫䅊㍁䑁䅅䅁潁杂䅁杙䅁䍁䅣睗兂䡁䅉睢煂䝁䅕睙あ䍁䅁䅕㕂䡁䅑䅡療䝁䄴䅉㉂䑁䅅兎畁䡁䅧䅢穂䡁䅧兘䑂䡁䅫杙求䡁䅉睒卂䙁䅧睊桁䍁䅑兒歁䑁䅣杍㙁䍁䅑兑䩂䍁䅑睎祁䅁䅁克䅙䝁䅁䅁湁䙁䅳䅕祂䝁䄸条求䝁䅍䅤杁䙁䅁入あ䝁䅧睢畂䍁䅁杤硁䑁䅕杌㑂䝁䅷督㑂䙁䄰睑㕂䝁䅉党祂䕁䅣杕奂䍁䅣光歁䕁䅕䅊㕁䑁䅁杏歁䙁䅧䅊㕁䑁䅁䅁獁杂䅁䅙䅁䍁䅣睗兂䡁䅉睢煂䝁䅕睙あ䍁䅁䅕㕂䡁䅑䅡療䝁䄴䅉㉂䑁䅅兎畁䡁䅧䅢穂䡁䅧兘䑂䡁䅫杙求䡁䅉睒卂䙁䅧睊桁䍁䅑兒歁䑁䅫免㙁䍁䅑䅗歁䑁䅫免䅁䍁䜰䅁啂䅁䅁睊扂䙁䅁杣療䝁䅯党橂䡁䅑䅉兂䡁䅫䅤潂䝁䄸杢杁䡁䅙免ㅁ䍁䄴䅥獂䡁䅍䅥摂䕁䅣睢呂䝁䅕睙ㅂ䡁䅉党湁䍁䅅䅊䕂䍁䅑睎硁䅁䅁䅹䅕䝁䅁䅁湁䙁䅳䅕祂䝁䄸条求䝁䅍䅤杁䙁䅁入あ䝁䅧睢畂䍁䅁杤硁䑁䅕杌㑂䝁䅷督㑂䙁䄰睒療䙁䅍党橂䡁䅕杣求䍁䅣光歁䕁䅑䅊㍁䑁䅍杏歁䕁䅑䅊㑁䑁䅅䅁䩄兂䅁䅖䅁䍁䅣睗兂䡁䅉睢煂䝁䅕睙あ䍁䅁䅕㕂䡁䅑䅡療䝁䄴䅉㉂䑁䅅兎畁䡁䅧䅢穂䡁䅧兘䡂䝁䄸睕求䝁䅍兤祂䝁䅕睊桁䍁䅑䅒歁䑁䅫睍䅁䍁䜴䅁楂䅁䅁睊扂䙁䅁杣療䝁䅯党橂䡁䅑䅉兂䡁䅫䅤潂䝁䄸杢杁䡁䅙免ㅁ䍁䄴䅥獂䡁䅍䅥摂䕁䅣睢呂䝁䅕睙ㅂ䡁䅉党湁䍁䅅䅊䕂䍁䅑兏㉁䑁䅯䅊䕂䍁䅑免睁䑁䅅䅁癁杂䅁杙䅁䍁䅣睗兂䡁䅉睢煂䝁䅕睙あ䍁䅁䅕㕂䡁䅑䅡療䝁䄴䅉㉂䑁䅅兎畁䡁䅧䅢穂䡁䅧兘䡂䝁䄸睕求䝁䅍兤祂䝁䅕睊桁䍁䅑兒歁䑁䅣免㙁䍁䅑兑䩂䍁䅑睎硁䅁䅁杹䅕䝁䅉䅁湁䙁䅳䅕祂䝁䄸条求䝁䅍䅤杁䙁䅁入あ䝁䅧睢畂䍁䅁杤硁䑁䅕杌㑂䝁䅷督㑂䙁䄰睒療䙁䅍党橂䡁䅕杣求䍁䅣光歁䕁䅕䅊㍁䑁䅉杏歁䕁䅅兓歁䑁䅣杍䅁䵁䙳䅁杂䅁䅁睊扂䙁䅁杣療䝁䅯党橂䡁䅑䅉兂䡁䅫䅤潂䝁䄸杢杁䡁䅙免ㅁ䍁䄴䅥獂䡁䅍䅥摂䕁䅣睢呂䝁䅕睙ㅂ䡁䅉党湁䍁䅅䅊䙂䍁䅑兏穁䑁䅯䅊奂䍁䅑兏穁䅁䅁䅍䅙䝁䅁䅁湁䙁䅳䅕祂䝁䄸条求䝁䅍䅤杁䙁䅁入あ䝁䅧睢畂䍁䅁杤硁䑁䅕杌㑂䝁䅷督㑂䙁䄰睒療䙁䅍党橂䡁䅕杣求䍁䅣光歁䕁䅕䅊㕁䑁䅑杏歁䙁䅧䅊㕁䑁䅑䅁硁杂䅁杔䅁䍁䅣睗兂䡁䅉睢煂䝁䅕睙あ䍁䅁䅕㕂䡁䅑䅡療䝁䄴䅉㉂䑁䅅兎畁䡁䅧䅢穂䡁䅧兘偂䡁䅁䅤灂䡁䅙睊桁䍁䅑䅒歁䑁䅣免䅁䥁䘸䅁慂䅁䅁睊扂䙁䅁杣療䝁䅯党橂䡁䅑䅉兂䡁䅫䅤潂䝁䄸杢杁䡁䅙免ㅁ䍁䄴䅥獂䡁䅍䅥摂䕁䄸䅣あ䝁䅫杤湁䍁䅅䅊䕂䍁䅑睎穁䑁䅯䅊䕂䍁䅑睎㑁䅁䅁䅫䅕䕁䄴䅁湁䙁䅳䅕祂䝁䄸条求䝁䅍䅤杁䙁䅁入あ䝁䅧睢畂䍁䅁杤硁䑁䅕杌㑂䝁䅷督㑂䙁䄰睔睂䡁䅑兡㉂䍁䅣光歁䕁䅑䅊㕁䑁䅁䅁䉄兂䅁杗䅁䍁䅣睗兂䡁䅉睢煂䝁䅕睙あ䍁䅁䅕㕂䡁䅑䅡療䝁䄴䅉㉂䑁䅅兎畁䡁䅧䅢穂䡁䅧兘偂䡁䅁䅤灂䡁䅙睊桁䍁䅑䅒歁䑁䅫睍㙁䍁䅑䅒歁䑁䅫兏䅁䵁䙉䅁捂䅁䅁睊扂䙁䅁杣療䝁䅯党橂䡁䅑䅉兂䡁䅫䅤潂䝁䄸杢杁䡁䅙免ㅁ䍁䄴䅥獂䡁䅍䅥摂䕁䄸䅣あ䝁䅫杤湁䍁䅅䅊䙂䍁䅑睎硁䑁䅯䅊䉂䕁䅫䅊㍁䑁䅅䅁剃兂䅁䅘䅁䍁䅣睗兂䡁䅉睢煂䝁䅕睙あ䍁䅁䅕㕂䡁䅑䅡療䝁䄴䅉㉂䑁䅅兎畁䡁䅧䅢穂䡁䅧兘偂䡁䅁䅤灂䡁䅙睊桁䍁䅑兒歁䑁䅣杍㙁䍁䅑兑䩂䍁䅑睎祁䅁䅁杫䅕䙁䅯䅁湁䙁䅳䅕祂䝁䄸条求䝁䅍䅤杁䙁䅁入あ䝁䅧睢畂䍁䅁杤硁䑁䅕杌㑂䝁䅷督㑂䙁䄰睔睂䡁䅑兡㉂䍁䅣光歁䕁䅕䅊㕁䑁䅁杏歁䙁䅧䅊㕁䑁䅁䅁䑄兂䅁杗䅁䍁䅣睗兂䡁䅉睢煂䝁䅕睙あ䍁䅁䅕㕂䡁䅑䅡療䝁䄴䅉㉂䑁䅅兎畁䡁䅧䅢穂䡁䅧兘偂䡁䅁䅤灂䡁䅙睊桁䍁䅑兒歁䑁䅫免㙁䍁䅑䅗歁䑁䅫免䅁䵁䙑䅁䵂䅁䅁睊扂䙁䅁杣療䝁䅯党橂䡁䅑䅉兂䡁䅫䅤潂䝁䄸杢杁䡁䅙免ㅁ䍁䄴䅥獂䡁䅍䅥摂䕁䄸杣歂䡁䅉睊桁䍁䅑䅒歁䑁䅣免䅁䍁䝉䅁奂䅁䅁睊扂䙁䅁杣療䝁䅯党橂䡁䅑䅉兂䡁䅫䅤潂䝁䄸杢杁䡁䅙免ㅁ䍁䄴䅥獂䡁䅍䅥摂䕁䄸杣歂䡁䅉睊桁䍁䅑䅒歁䑁䅣睍㙁䍁䅑䅒歁䑁䅧免䅁䍁䝍䅁䵂䅁䅁睊扂䙁䅁杣療䝁䅯党橂䡁䅑䅉兂䡁䅫䅤潂䝁䄸杢杁䡁䅙免ㅁ䍁䄴䅥獂䡁䅍䅥摂䕁䄸杣歂䡁䅉睊桁䍁䅑䅒歁䑁䅫睍䅁䉁䜰䅁慂䅁䅁睊扂䙁䅁杣療䝁䅯党橂䡁䅑䅉兂䡁䅫䅤潂䝁䄸杢杁䡁䅙免ㅁ䍁䄴䅥獂䡁䅍䅥摂䕁䄸杣歂䡁䅉睊桁䍁䅑䅒歁䑁䅫李㙁䍁䅑䅒歁䑁䅅䅍硁䅁䅁杈䅙䙁䅯䅁湁䙁䅳䅕祂䝁䄸条求䝁䅍䅤杁䙁䅁入あ䝁䅧睢畂䍁䅁杤硁䑁䅕杌㑂䝁䅷督㑂䙁䄰睔祂䝁䅑杣湁䍁䅅䅊䙂䍁䅑睎硁䑁䅯䅊䉂䕁䅫䅊㍁䑁䅅䅁歁杂䅁杗䅁䍁䅣睗兂䡁䅉睢煂䝁䅕睙あ䍁䅁䅕㕂䡁䅑䅡療䝁䄴䅉㉂䑁䅅兎畁䡁䅧䅢穂䡁䅧兘偂䡁䅉䅚祂䍁䅣光歁䕁䅕䅊㍁䑁䅉杏歁䕁䅅兓歁䑁䅣杍䅁䍁䝕䅁奂䅁䅁睊扂䙁䅁杣療䝁䅯党橂䡁䅑䅉兂䡁䅫䅤潂䝁䄸杢杁䡁䅙免ㅁ䍁䄴䅥獂䡁䅍䅥摂䕁䄸杣歂䡁䅉睊桁䍁䅑兒歁䑁䅫睍㙁䍁䅑䅗歁䑁䅫睍䅁䉁䜸䅁奂䅁䅁睊扂䙁䅁杣療䝁䅯党橂䡁䅑䅉兂䡁䅫䅤潂䝁䄸杢杁䡁䅙免ㅁ䍁䄴䅥獂䡁䅍䅥摂䕁䄸杣歂䡁䅉睊桁䍁䅑兒歁䑁䅫䅎㙁䍁䅑䅗歁䑁䅫䅎䅁䍁䝁䅁楂䅁䅁睊扂䙁䅁杣療䝁䅯党橂䡁䅑䅉兂䡁䅫䅤潂䝁䄸杢杁䡁䅙免ㅁ䍁䄴䅥獂䡁䅍䅥摂䙁䅍睢畂䡁䅉兙灂䍁䅁睕求䝁䅍兤祂䝁䅫䅤㕂䍁䅣光歁䕁䅑䅊㍁䑁䅅䅁硄兂䅁杢䅁䍁䅣睗兂䡁䅉睢煂䝁䅕睙あ䍁䅁䅕㕂䡁䅑䅡療䝁䄴䅉㉂䑁䅅兎畁䡁䅧䅢穂䡁䅧兘呂䝁䄸杢祂䝁䅅兡杁䙁䅍党橂䡁䅕杣灂䡁䅑入湁䍁䅅䅊䕂䍁䅑睎穁䑁䅯䅊䕂䍁䅑睎㑁䅁䅁朸䅕䝁䅉䅁湁䙁䅳䅕祂䝁䄸条求䝁䅍䅤杁䙁䅁入あ䝁䅧睢畂䍁䅁杤硁䑁䅕杌㑂䝁䅷督㑂䙁䄰睕療䝁䄴杣桂䝁䅫䅉呂䝁䅕睙ㅂ䡁䅉兡あ䡁䅫睊桁䍁䅑䅒歁䑁䅫䅍䅁䩁䙑䅁畂䅁䅁睊扂䙁䅁杣療䝁䅯党橂䡁䅑䅉兂䡁䅫䅤潂䝁䄸杢杁䡁䅙免ㅁ䍁䄴䅥獂䡁䅍䅥摂䙁䅍睢畂䡁䅉兙灂䍁䅁睕求䝁䅍兤祂䝁䅫䅤㕂䍁䅣光歁䕁䅑䅊㕁䑁䅍杏歁䕁䅑䅊㕁䑁䅙䅁噃兂䅁䅣䅁䍁䅣睗兂䡁䅉睢煂䝁䅕睙あ䍁䅁䅕㕂䡁䅑䅡療䝁䄴䅉㉂䑁䅅兎畁䡁䅧䅢穂䡁䅧兘呂䝁䄸杢祂䝁䅅兡杁䙁䅍党橂䡁䅕杣灂䡁䅑入湁䍁䅅䅊䙂䍁䅑睎硁䑁䅯䅊䉂䕁䅫䅊㍁䑁䅅䅁穄兂䅁䅣䅁䍁䅣睗兂䡁䅉睢煂䝁䅕睙あ䍁䅁䅕㕂䡁䅑䅡療䝁䄴䅉㉂䑁䅅兎畁䡁䅧䅢穂䡁䅧兘呂䝁䄸杢祂䝁䅅兡杁䙁䅍党橂䡁䅕杣灂䡁䅑入湁䍁䅅䅊䙂䍁䅑睎祁䑁䅯䅊䉂䕁䅫䅊㍁䑁䅉䅁い兂䅁杢䅁䍁䅣睗兂䡁䅉睢煂䝁䅕睙あ䍁䅁䅕㕂䡁䅑䅡療䝁䄴䅉㉂䑁䅅兎畁䡁䅧䅢穂䡁䅧兘呂䝁䄸杢祂䝁䅅兡杁䙁䅍党橂䡁䅕杣灂䡁䅑入湁䍁䅅䅊䙂䍁䅑兏睁䑁䅯䅊奂䍁䅑兏睁䅁䅁杬䅕䝁䄴䅁湁䙁䅳䅕祂䝁䄸条求䝁䅍䅤杁䙁䅁入あ䝁䅧睢畂䍁䅁杤硁䑁䅕杌㑂䝁䅷督㑂䙁䄰睕療䝁䄴杣桂䝁䅫䅉呂䝁䅕睙ㅂ䡁䅉兡あ䡁䅫睊桁䍁䅑兒歁䑁䅫免㙁䍁䅑䅗歁䑁䅫免䅁䩁䙣䅁坂䅁䅁睊扂䙁䅁杣療䝁䅯党橂䡁䅑䅉卂䡁䅕杢㍂䝁䅅入杁䡁䅙李畁䡁䅧䅢穂䡁䅧兘䑂䝁䅅杣湂䝁䄸兢桂䡁䅑兡橂䍁䅣光歁䕁䅑䅊㍁䑁䅅䅁㡁杂䅁杙䅁䍁䅣睗兂䡁䅉睢煂䝁䅕睙あ䍁䅁杕ㅂ䝁䄴睤桂䡁䅫䅉㉂䑁䅙杌㑂䝁䅷督㑂䙁䄰睑桂䡁䅉睚療䝁䄰兙あ䝁䅫睙湁䍁䅅䅊䕂䍁䅑睎穁䑁䅯䅊䕂䍁䅑睎㕁䅁䅁児䅙䙁䅙䅁湁䙁䅳䅕祂䝁䄸条求䝁䅍䅤杁䙁䅉兤畂䡁䅣兙㕂䍁䅁杤㉁䍁䄴䅥獂䡁䅍䅥摂䕁䅍兙祂䝁䅣睢瑂䝁䅅䅤灂䝁䅍睊桁䍁䅑䅒歁䑁䅫免䅁䕁䝁䅁歂䅁䅁睊扂䙁䅁杣療䝁䅯党橂䡁䅑䅉卂䡁䅕杢㍂䝁䅅入杁䡁䅙李畁䡁䅧䅢穂䡁䅧兘䑂䝁䅅杣湂䝁䄸兢桂䡁䅑兡橂䍁䅣光歁䕁䅑䅊㕁䑁䅑杏歁䕁䅑䅊硁䑁䅁䅍䅁䕁䝅䅁歂䅁䅁睊扂䙁䅁杣療䝁䅯党橂䡁䅑䅉卂䡁䅕杢㍂䝁䅅入杁䡁䅙李畁䡁䅧䅢穂䡁䅧兘䑂䝁䅅杣湂䝁䄸兢桂䡁䅑兡橂䍁䅣光歁䕁䅕䅊㍁䑁䅅杏歁䕁䅅兓歁䑁䅣免䅁䑁䜴䅁歂䅁䅁睊扂䙁䅁杣療䝁䅯党橂䡁䅑䅉卂䡁䅕杢㍂䝁䅅入杁䡁䅙李畁䡁䅧䅢穂䡁䅧兘䑂䝁䅅杣湂䝁䄸兢桂䡁䅑兡橂䍁䅣光歁䕁䅕䅊㍁䑁䅅杏歁䕁䅅兔歁䑁䅣免䅁䕁䝑䅁歂䅁䅁睊扂䙁䅁杣療䝁䅯党橂䡁䅑䅉卂䡁䅕杢㍂䝁䅅入杁䡁䅙李畁䡁䅧䅢穂䡁䅧兘䑂䝁䅅杣湂䝁䄸兢桂䡁䅑兡橂䍁䅣光歁䕁䅕䅊㍁䑁䅉杏歁䕁䅅兓歁䑁䅣杍䅁䑁䜸䅁歂䅁䅁睊扂䙁䅁杣療䝁䅯党橂䡁䅑䅉卂䡁䅕杢㍂䝁䅅入杁䡁䅙李畁䡁䅧䅢穂䡁䅧兘䑂䝁䅅杣湂䝁䄸兢桂䡁䅑兡橂䍁䅣光歁䕁䅕䅊㍁䑁䅉杏歁䕁䅅兔歁䑁䅣杍䅁䕁䝕䅁楂䅁䅁睊扂䙁䅁杣療䝁䅯党橂䡁䅑䅉卂䡁䅕杢㍂䝁䅅入杁䡁䅙李畁䡁䅧䅢穂䡁䅧兘䑂䝁䅅杣湂䝁䄸兢桂䡁䅑兡橂䍁䅣光歁䕁䅕䅊㕁䑁䅅杏歁䙁䅧䅊㕁䑁䅅䅁䍂杂䅁杙䅁䍁䅣睗兂䡁䅉睢煂䝁䅕睙あ䍁䅁杕ㅂ䝁䄴睤桂䡁䅫䅉㉂䑁䅙杌㑂䝁䅷督㑂䙁䄰睑桂䡁䅉睚療䝁䄰兙あ䝁䅫睙湁䍁䅅䅊䙂䍁䅑兏祁䑁䅯䅊奂䍁䅑兏祁䅁䅁睑䅙䙁䅉䅁湁䙁䅳䅕祂䝁䄸条求䝁䅍䅤杁䙁䅉兤畂䡁䅣兙㕂䍁䅁杤㉁䍁䄴䅥獂䡁䅍䅥摂䙁䅍兙獂䡁䅑兢灂䝁䄴党湁䍁䅅䅊䕂䍁䅑睎硁䅁䅁兤䅙䙁䄴䅁湁䙁䅳䅕祂䝁䄸条求䝁䅍䅤杁䙁䅉兤畂䡁䅣兙㕂䍁䅁杤㉁䍁䄴䅥獂䡁䅍䅥摂䙁䅍兙獂䡁䅑兢灂䝁䄴党湁䍁䅅䅊䕂䍁䅑睎穁䑁䅯䅊䕂䍁䅑睎㍁䅁䅁杤䅙䙁䅉䅁湁䙁䅳䅕祂䝁䄸条求䝁䅍䅤杁䙁䅉兤畂䡁䅣兙㕂䍁䅁杤㉁䍁䄴䅥獂䡁䅍䅥摂䙁䅍兙獂䡁䅑兢灂䝁䄴党湁䍁䅅䅊䕂䍁䅑䅏㕁䅁䅁入䅙䙁䄴䅁湁䙁䅳䅕祂䝁䄸条求䝁䅍䅤杁䙁䅉兤畂䡁䅣兙㕂䍁䅁杤㉁䍁䄴䅥獂䡁䅍䅥摂䙁䅍兙獂䡁䅑兢灂䝁䄴党湁䍁䅅䅊䕂䍁䅑兏祁䑁䅯䅊䕂䍁䅑兏㑁䅁䅁来䅙䝁䅁䅁湁䙁䅳䅕祂䝁䄸条求䝁䅍䅤杁䙁䅉兤畂䡁䅣兙㕂䍁䅁杤㉁䍁䄴䅥獂䡁䅍䅥摂䙁䅍兙獂䡁䅑兢灂䝁䄴党湁䍁䅅䅊䙂䍁䅑睎硁䑁䅯䅊䉂䕁䄰䅊㍁䑁䅅䅁㍂杂䅁䅙䅁䍁䅣睗兂䡁䅉睢煂䝁䅕睙あ䍁䅁杕ㅂ䝁䄴睤桂䡁䅫䅉㉂䑁䅙杌㑂䝁䅷督㑂䙁䄰睕桂䝁䅷䅤瑂䝁䅫杢求䍁䅣光歁䕁䅕䅊㍁䑁䅉杏歁䕁䅅兔歁䑁䅣杍䅁䡁䝧䅁敂䅁䅁睊扂䙁䅁杣療䝁䅯党橂䡁䅑䅉卂䡁䅕杢㍂䝁䅅入杁䡁䅙李畁䡁䅧䅢穂䡁䅧兘呂䝁䅅䅢あ䝁䄰兡畂䝁䅕睊桁䍁䅑兒歁䑁䅧兏㙁䍁䅑䅗歁䑁䅧兏䅁䡁䝳䅁敂䅁䅁睊扂䙁䅁杣療䝁䅯党橂䡁䅑䅉卂䡁䅕杢㍂䝁䅅入杁䡁䅙李畁䡁䅧䅢穂䡁䅧兘呂䝁䅅䅢あ䝁䄰兡畂䝁䅕睊桁䍁䅑兒歁䑁䅫䅍㙁䍁䅑䅗歁䑁䅫䅍䅁䡁䝷䅁坂䅁䅁睊扂䙁䅁杣療䝁䅯党橂䡁䅑䅉卂䡁䅕杢㍂䝁䅅入杁䡁䅙䅏畁䡁䅧䅢穂䡁䅧兘䑂䝁䅅杣湂䝁䄸兢桂䡁䅑兡橂䍁䅣光歁䕁䅑䅊㍁䑁䅅䅁䭁睂䅁杙䅁䍁䅣睗兂䡁䅉睢煂䝁䅕睙あ䍁䅁杕ㅂ䝁䄴睤桂䡁䅫䅉㉂䑁䅧杌㑂䝁䅷督㑂䙁䄰睑桂䡁䅉睚療䝁䄰兙あ䝁䅫睙湁䍁䅅䅊䕂䍁䅑睎穁䑁䅯䅊䕂䍁䅑睎㕁䅁䅁睃䅣䙁䅙䅁湁䙁䅳䅕祂䝁䄸条求䝁䅍䅤杁䙁䅉兤畂䡁䅣兙㕂䍁䅁杤㑁䍁䄴䅥獂䡁䅍䅥摂䕁䅍兙祂䝁䅣睢瑂䝁䅅䅤灂䝁䅍睊桁䍁䅑䅒歁䑁䅫免䅁偁䜴䅁歂䅁䅁睊扂䙁䅁杣療䝁䅯党橂䡁䅑䅉卂䡁䅕杢㍂䝁䅅入杁䡁䅙䅏畁䡁䅧䅢穂䡁䅧兘䑂䝁䅅杣湂䝁䄸兢桂䡁䅑兡橂䍁䅣光歁䕁䅑䅊㕁䑁䅑杏歁䕁䅑䅊硁䑁䅁䅍䅁偁䜸䅁歂䅁䅁睊扂䙁䅁杣療䝁䅯党橂䡁䅑䅉卂䡁䅕杢㍂䝁䅅入杁䡁䅙䅏畁䡁䅧䅢穂䡁䅧兘䑂䝁䅅杣湂䝁䄸兢桂䡁䅑兡橂䍁䅣光歁䕁䅕䅊㍁䑁䅅杏歁䕁䅅兔歁䑁䅣免䅁䅁䡷䅁歂䅁䅁睊扂䙁䅁杣療䝁䅯党橂䡁䅑䅉卂䡁䅕杢㍂䝁䅅入杁䡁䅙䅏畁䡁䅧䅢穂䡁䅧兘䑂䝁䅅杣湂䝁䄸兢桂䡁䅑兡橂䍁䅣光歁䕁䅕䅊㍁䑁䅉杏歁䕁䅅兔歁䑁䅣杍䅁䅁䠰䅁楂䅁䅁睊扂䙁䅁杣療䝁䅯党橂䡁䅑䅉卂䡁䅕杢㍂䝁䅅入杁䡁䅙䅏畁䡁䅧䅢穂䡁䅧兘䑂䝁䅅杣湂䝁䄸兢桂䡁䅑兡橂䍁䅣光歁䕁䅕䅊㕁䑁䅅杏歁䙁䅧䅊㕁䑁䅅䅁䅁睂䅁杙䅁䍁䅣睗兂䡁䅉睢煂䝁䅕睙あ䍁䅁杕ㅂ䝁䄴睤桂䡁䅫䅉㉂䑁䅧杌㑂䝁䅷督㑂䙁䄰睑桂䡁䅉睚療䝁䄰兙あ䝁䅫睙湁䍁䅅䅊䙂䍁䅑兏祁䑁䅯䅊奂䍁䅑兏祁䅁䅁允䅣䙁䅑䅁湁䙁䅳䅕祂䝁䄸条求䝁䅍䅤杁䙁䅉兤畂䡁䅣兙㕂䍁䅁杤㑁䍁䄴䅥獂䡁䅍䅥摂䕁䅍䅢療䡁䅕䅚䑂䝁䅅䅢獂䍁䅣光歁䕁䅑䅊㍁䑁䅅䅁㙁睂䅁䅙䅁䍁䅣睗兂䡁䅉睢煂䝁䅕睙あ䍁䅁杕ㅂ䝁䄴睤桂䡁䅫䅉㉂䑁䅧杌㑂䝁䅷督㑂䙁䄰睑獂䝁䄸兤歂䕁䅍兙獂䝁䅷睊桁䍁䅑䅒歁䑁䅣睍㙁䍁䅑䅒歁䑁䅣睎䅁䑁䡳䅁啂䅁䅁睊扂䙁䅁杣療䝁䅯党橂䡁䅑䅉卂䡁䅕杢㍂䝁䅅入杁䡁䅙䅏畁䡁䅧䅢穂䡁䅧兘䑂䝁䅷睢ㅂ䝁䅑睑桂䝁䅷䅢湁䍁䅅䅊䕂䍁䅑䅏㕁䅁䅁杁䅣䝁䅁䅁湁䙁䅳䅕祂䝁䄸条求䝁䅍䅤杁䙁䅉兤畂䡁䅣兙㕂䍁䅁杤㑁䍁䄴䅥獂䡁䅍䅥摂䕁䅍䅢療䡁䅕䅚䑂䝁䅅䅢獂䍁䅣光歁䕁䅑䅊㕁䑁䅉杏歁䕁䅑䅊㕁䑁䅧䅁䑁睂䅁杙䅁䍁䅣睗兂䡁䅉睢煂䝁䅕睙あ䍁䅁杕ㅂ䝁䄴睤桂䡁䅫䅉㉂䑁䅧杌㑂䝁䅷督㑂䙁䄰睑獂䝁䄸兤歂䕁䅍兙獂䝁䅷睊桁䍁䅑兒歁䑁䅣免㙁䍁䅑兑䩂䍁䅑睎硁䅁䅁䅐䅣䝁䅉䅁湁䙁䅳䅕祂䝁䄸条求䝁䅍䅤杁䙁䅉兤畂䡁䅣兙㕂䍁䅁杤㑁䍁䄴䅥獂䡁䅍䅥摂䕁䅍䅢療䡁䅕䅚䑂䝁䅅䅢獂䍁䅣光歁䕁䅕䅊㍁䑁䅉杏歁䕁䅅兓歁䑁䅣杍䅁䑁䠰䅁杂䅁䅁睊扂䙁䅁杣療䝁䅯党橂䡁䅑䅉卂䡁䅕杢㍂䝁䅅入杁䡁䅙䅏畁䡁䅧䅢穂䡁䅧兘䑂䝁䅷睢ㅂ䝁䅑睑桂䝁䅷䅢湁䍁䅅䅊䙂䍁䅑䅏㕁䑁䅯䅊奂䍁䅑䅏㕁䅁䅁䅂䅣䝁䅁䅁湁䙁䅳䅕祂䝁䄸条求䝁䅍䅤杁䙁䅉兤畂䡁䅣兙㕂䍁䅁杤㑁䍁䄴䅥獂䡁䅍䅥摂䕁䅍䅢療䡁䅕䅚䑂䝁䅅䅢獂䍁䅣光歁䕁䅕䅊㕁䑁䅁杏歁䙁䅧䅊㕁䑁䅁䅁䙁睂䅁杕䅁䍁䅣睗兂䡁䅉睢煂䝁䅕睙あ䍁䅁杕ㅂ䝁䄴睤桂䡁䅫䅉㉂䑁䅧杌㑂䝁䅷督㑂䙁䄰䅒灂䝁䅣兡穂䡁䅕杣求䍁䅣光歁䕁䅑䅊㍁䑁䅅䅁䝁睂䅁杘䅁䍁䅣睗兂䡁䅉睢煂䝁䅕睙あ䍁䅁杕ㅂ䝁䄴睤桂䡁䅫䅉㉂䑁䅧杌㑂䝁䅷督㑂䙁䄰䅒灂䝁䅣兡穂䡁䅕杣求䍁䅣光歁䕁䅑䅊㍁䑁䅍杏歁䕁䅑䅊㍁䑁䅣䅁䡁睂䅁杕䅁䍁䅣睗兂䡁䅉睢煂䝁䅕睙あ䍁䅁杕ㅂ䝁䄴睤桂䡁䅫䅉㉂䑁䅧杌㑂䝁䅷督㑂䙁䄰䅒灂䝁䅣兡穂䡁䅕杣求䍁䅣光歁䕁䅑䅊㑁䑁䅫䅁慁睂䅁杘䅁䍁䅣睗兂䡁䅉睢煂䝁䅕睙あ䍁䅁杕ㅂ䝁䄴睤桂䡁䅫䅉㉂䑁䅧杌㑂䝁䅷督㑂䙁䄰䅒灂䝁䅣兡穂䡁䅕杣求䍁䅣光歁䕁䅑䅊㕁䑁䅉杏歁䕁䅑䅊㕁䑁䅧䅁扁睂䅁䅙䅁䍁䅣睗兂䡁䅉睢煂䝁䅕睙あ䍁䅁杕ㅂ䝁䄴睤桂䡁䅫䅉㉂䑁䅧杌㑂䝁䅷督㑂䙁䄰䅒灂䝁䅣兡穂䡁䅕杣求䍁䅣光歁䕁䅕䅊㍁䑁䅅杏歁䕁䅅兓歁䑁䅣免䅁䅁䡧䅁杂䅁䅁睊扂䙁䅁杣療䝁䅯党橂䡁䅑䅉卂䡁䅕杢㍂䝁䅅入杁䡁䅙䅏畁䡁䅧䅢穂䡁䅧兘䕂䝁䅫睚灂䡁䅍兤祂䝁䅕睊桁䍁䅑兒歁䑁䅣杍㙁䍁䅑兑䩂䍁䅑睎祁䅁䅁元䅣䙁䄴䅁湁䙁䅳䅕祂䝁䄸条求䝁䅍䅤杁䙁䅉兤畂䡁䅣兙㕂䍁䅁杤㑁䍁䄴䅥獂䡁䅍䅥摂䕁䅑兡湂䝁䅫督ㅂ䡁䅉党湁䍁䅅䅊䙂䍁䅑䅏㕁䑁䅯䅊奂䍁䅑䅏㕁䅁䅁䅈䅣䙁䄴䅁湁䙁䅳䅕祂䝁䄸条求䝁䅍䅤杁䙁䅉兤畂䡁䅣兙㕂䍁䅁杤㑁䍁䄴䅥獂䡁䅍䅥摂䕁䅑兡湂䝁䅫督ㅂ䡁䅉党湁䍁䅅䅊䙂䍁䅑兏睁䑁䅯䅊奂䍁䅑兏睁䅁䅁先䅣䙁䅙䅁湁䙁䅳䅕祂䝁䄸条求䝁䅍䅤杁䙁䅉兤畂䡁䅣兙㕂䍁䅁杤㑁䍁䄴䅥獂䡁䅍䅥摂䕁䅕䅚灂䝁䅙入杁䕁䅷兙楂䡁䅍睊桁䍁䅑䅒歁䑁䅣免䅁䍁䡙䅁楂䅁䅁睊扂䙁䅁杣療䝁䅯党橂䡁䅑䅉卂䡁䅕杢㍂䝁䅅入杁䡁䅙䅏畁䡁䅧䅢穂䡁䅧兘䙂䝁䅑兡浂䡁䅫䅉䵂䝁䅅杙穂䍁䅣光歁䕁䅑䅊㍁䑁䅍杏歁䕁䅑䅊㍁䑁䅣䅁湁睂䅁杖䅁䍁䅣睗兂䡁䅉睢煂䝁䅕睙あ䍁䅁杕ㅂ䝁䄴睤桂䡁䅫䅉㉂䑁䅧杌㑂䝁䅷督㑂䙁䄰兒歂䝁䅫杚㕂䍁䅁䅔桂䝁䅉督湁䍁䅅䅊䕂䍁䅑䅏㕁䅁䅁杋䅣䝁䅉䅁湁䙁䅳䅕祂䝁䄸条求䝁䅍䅤杁䙁䅉兤畂䡁䅣兙㕂䍁䅁杤㑁䍁䄴䅥獂䡁䅍䅥摂䕁䅕䅚灂䝁䅙入杁䕁䅷兙楂䡁䅍睊桁䍁䅑䅒歁䑁䅫杍㙁䍁䅑䅒歁䑁䅫䅏䅁䍁䡳䅁歂䅁䅁睊扂䙁䅁杣療䝁䅯党橂䡁䅑䅉卂䡁䅕杢㍂䝁䅅入杁䡁䅙䅏畁䡁䅧䅢穂䡁䅧兘䙂䝁䅑兡浂䡁䅫䅉䵂䝁䅅杙穂䍁䅣光歁䕁䅕䅊㍁䑁䅅杏歁䕁䅅兓歁䑁䅣免䅁䍁䡧䅁歂䅁䅁睊扂䙁䅁杣療䝁䅯党橂䡁䅑䅉卂䡁䅕杢㍂䝁䅅入杁䡁䅙䅏畁䡁䅧䅢穂䡁䅧兘䙂䝁䅑兡浂䡁䅫䅉䵂䝁䅅杙穂䍁䅣光歁䕁䅕䅊㍁䑁䅉杏歁䕁䅅兓歁䑁䅣杍䅁䍁䡫䅁楂䅁䅁睊扂䙁䅁杣療䝁䅯党橂䡁䅑䅉卂䡁䅕杢㍂䝁䅅入杁䡁䅙䅏畁䡁䅧䅢穂䡁䅧兘䙂䝁䅑兡浂䡁䅫䅉䵂䝁䅅杙穂䍁䅣光歁䕁䅕䅊㑁䑁䅫杏歁䙁䅧䅊㑁䑁䅫䅁獁睂䅁杙䅁䍁䅣睗兂䡁䅉睢煂䝁䅕睙あ䍁䅁杕ㅂ䝁䄴睤桂䡁䅫䅉㉂䑁䅧杌㑂䝁䅷督㑂䙁䄰兒歂䝁䅫杚㕂䍁䅁䅔桂䝁䅉督湁䍁䅅䅊䙂䍁䅑兏睁䑁䅯䅊奂䍁䅑兏睁䅁䅁兌䅣䙁䅯䅁湁䙁䅳䅕祂䝁䄸条求䝁䅍䅤杁䙁䅉兤畂䡁䅣兙㕂䍁䅁杤㑁䍁䄴䅥獂䡁䅍䅥摂䕁䅕杤求䡁䅉党穂䡁䅑䅉䵂䝁䅅杙穂䍁䅣光歁䕁䅑䅊㍁䑁䅅䅁佂睂䅁杚䅁䍁䅣睗兂䡁䅉睢煂䝁䅕睙あ䍁䅁杕ㅂ䝁䄴睤桂䡁䅫䅉㉂䑁䅧杌㑂䝁䅷督㑂䙁䄰兒㉂䝁䅕杣求䡁䅍䅤杁䕁䅷兙楂䡁䅍睊桁䍁䅑䅒歁䑁䅣睍㙁䍁䅑䅒歁䑁䅣睎䅁䕁䠸䅁慂䅁䅁睊扂䙁䅁杣療䝁䅯党橂䡁䅑䅉卂䡁䅕杢㍂䝁䅅入杁䡁䅙䅏畁䡁䅧䅢穂䡁䅧兘䙂䡁䅙党祂䝁䅕督あ䍁䅁䅔桂䝁䅉督湁䍁䅅䅊䕂䍁䅑䅏㕁䅁䅁杕䅣䝁䅙䅁湁䙁䅳䅕祂䝁䄸条求䝁䅍䅤杁䙁䅉兤畂䡁䅣兙㕂䍁䅁杤㑁䍁䄴䅥獂䡁䅍䅥摂䕁䅕杤求䡁䅉党穂䡁䅑䅉䵂䝁䅅杙穂䍁䅣光歁䕁䅑䅊㕁䑁䅉杏歁䕁䅑䅊㕁䑁䅧䅁呂睂䅁䅡䅁䍁䅣睗兂䡁䅉睢煂䝁䅕睙あ䍁䅁杕ㅂ䝁䄴睤桂䡁䅫䅉㉂䑁䅧杌㑂䝁䅷督㑂䙁䄰兒㉂䝁䅕杣求䡁䅍䅤杁䕁䅷兙楂䡁䅍睊桁䍁䅑兒歁䑁䅣免㙁䍁䅑兑䩂䍁䅑睎硁䅁䅁䅕䅣䝁䅧䅁湁䙁䅳䅕祂䝁䄸条求䝁䅍䅤杁䙁䅉兤畂䡁䅣兙㕂䍁䅁杤㑁䍁䄴䅥獂䡁䅍䅥摂䕁䅕杤求䡁䅉党穂䡁䅑䅉䵂䝁䅅杙穂䍁䅣光歁䕁䅕䅊㍁䑁䅉杏歁䕁䅅兓歁䑁䅣杍䅁䙁䡅䅁浂䅁䅁睊扂䙁䅁杣療䝁䅯党橂䡁䅑䅉卂䡁䅕杢㍂䝁䅅入杁䡁䅙䅏畁䡁䅧䅢穂䡁䅧兘䙂䡁䅙党祂䝁䅕督あ䍁䅁䅔桂䝁䅉督湁䍁䅅䅊䙂䍁䅑䅏㕁䑁䅯䅊奂䍁䅑䅏㕁䅁䅁䅖䅣䝁䅙䅁湁䙁䅳䅕祂䝁䄸条求䝁䅍䅤杁䙁䅉兤畂䡁䅣兙㕂䍁䅁杤㑁䍁䄴䅥獂䡁䅍䅥摂䕁䅕杤求䡁䅉党穂䡁䅑䅉䵂䝁䅅杙穂䍁䅣光歁䕁䅕䅊㕁䑁䅁杏歁䙁䅧䅊㕁䑁䅁䅁噂睂䅁杔䅁䍁䅣睗兂䡁䅉睢煂䝁䅕睙あ䍁䅁杕ㅂ䝁䄴睤桂䡁䅫䅉㉂䑁䅧杌㑂䝁䅷督㑂䙁䄰杒求䡁䅕兡獂䑁䅅睊桁䍁䅑䅒歁䑁䅣免䅁䕁䡙䅁慂䅁䅁睊扂䙁䅁杣療䝁䅯党橂䡁䅑䅉卂䡁䅕杢㍂䝁䅅入杁䡁䅙䅏畁䡁䅧䅢穂䡁䅧兘䝂䝁䅕兤灂䝁䅷免湁䍁䅅䅊䕂䍁䅑睎穁䑁䅯䅊䕂䍁䅑睎㍁䅁䅁睒䅣䕁䄴䅁湁䙁䅳䅕祂䝁䄸条求䝁䅍䅤杁䙁䅉兤畂䡁䅣兙㕂䍁䅁杤㑁䍁䄴䅥獂䡁䅍䅥摂䕁䅙党ㅂ䝁䅫䅢硁䍁䅣光歁䕁䅑䅊㑁䑁䅫䅁䭂睂䅁杗䅁䍁䅣睗兂䡁䅉睢煂䝁䅕睙あ䍁䅁杕ㅂ䝁䄴睤桂䡁䅫䅉㉂䑁䅧杌㑂䝁䅷督㑂䙁䄰杒求䡁䅕兡獂䑁䅅睊桁䍁䅑䅒歁䑁䅫杍㙁䍁䅑䅒歁䑁䅫䅏䅁䕁䡳䅁捂䅁䅁睊扂䙁䅁杣療䝁䅯党橂䡁䅑䅉卂䡁䅕杢㍂䝁䅅入杁䡁䅙䅏畁䡁䅧䅢穂䡁䅧兘䝂䝁䅕兤灂䝁䅷免湁䍁䅅䅊䙂䍁䅑睎硁䑁䅯䅊䉂䕁䅫䅊㍁䑁䅅䅁䥂睂䅁䅘䅁䍁䅣睗兂䡁䅉睢煂䝁䅕睙あ䍁䅁杕ㅂ䝁䄴睤桂䡁䅫䅉㉂䑁䅧杌㑂䝁䅷督㑂䙁䄰杒求䡁䅕兡獂䑁䅅睊桁䍁䅑兒歁䑁䅣杍㙁䍁䅑兑䩂䍁䅑睎祁䅁䅁兓䅣䙁䅯䅁湁䙁䅳䅕祂䝁䄸条求䝁䅍䅤杁䙁䅉兤畂䡁䅣兙㕂䍁䅁杤㑁䍁䄴䅥獂䡁䅍䅥摂䕁䅙党ㅂ䝁䅫䅢硁䍁䅣光歁䕁䅕䅊㑁䑁䅫杏歁䙁䅧䅊㑁䑁䅫䅁䵂睂䅁杗䅁䍁䅣睗兂䡁䅉睢煂䝁䅕睙あ䍁䅁杕ㅂ䝁䄴睤桂䡁䅫䅉㉂䑁䅧杌㑂䝁䅷督㑂䙁䄰杒求䡁䅕兡獂䑁䅅睊桁䍁䅑兒歁䑁䅫䅍㙁䍁䅑䅗歁䑁䅫䅍䅁䕁䠰䅁坂䅁䅁睊扂䙁䅁杣療䝁䅯党橂䡁䅑䅉卂䡁䅕杢㍂䝁䅅入杁䡁䅙䅏畁䡁䅧䅢穂䡁䅧兘䝂䝁䅷党求䡁䅑杕療䡁䅙党祂䍁䅣光歁䕁䅑䅊㍁䑁䅅䅁畁睂䅁杙䅁䍁䅣睗兂䡁䅉睢煂䝁䅕睙あ䍁䅁杕ㅂ䝁䄴睤桂䡁䅫䅉㉂䑁䅧杌㑂䝁䅷督㑂䙁䄰杒獂䝁䅕党あ䙁䅉睢㉂䝁䅕杣湁䍁䅅䅊䕂䍁䅑睎穁䑁䅯䅊䕂䍁䅑睎㍁䅁䅁睌䅣䙁䅙䅁湁䙁䅳䅕祂䝁䄸条求䝁䅍䅤杁䙁䅉兤畂䡁䅣兙㕂䍁䅁杤㑁䍁䄴䅥獂䡁䅍䅥摂䕁䅙䅢求䝁䅕䅤卂䝁䄸杤求䡁䅉睊桁䍁䅑䅒歁䑁䅧兏䅁䑁䡉䅁楂䅁䅁睊扂䙁䅁杣療䝁䅯党橂䡁䅑䅉卂䡁䅕杢㍂䝁䅅入杁䡁䅙䅏畁䡁䅧䅢穂䡁䅧兘䝂䝁䅷党求䡁䅑杕療䡁䅙党祂䍁䅣光歁䕁䅑䅊㕁䑁䅉杏歁䕁䅑䅊㕁䑁䅧䅁穁睂䅁䅚䅁䍁䅣睗兂䡁䅉睢煂䝁䅕睙あ䍁䅁杕ㅂ䝁䄴睤桂䡁䅫䅉㉂䑁䅧杌㑂䝁䅷督㑂䙁䄰杒獂䝁䅕党あ䙁䅉睢㉂䝁䅕杣湁䍁䅅䅊䙂䍁䅑睎硁䑁䅯䅊䉂䕁䅫䅊㍁䑁䅅䅁睁睂䅁䅚䅁䍁䅣睗兂䡁䅉睢煂䝁䅕睙あ䍁䅁杕ㅂ䝁䄴睤桂䡁䅫䅉㉂䑁䅧杌㑂䝁䅷督㑂䙁䄰杒獂䝁䅕党あ䙁䅉睢㉂䝁䅕杣湁䍁䅅䅊䙂䍁䅑睎祁䑁䅯䅊䉂䕁䅫䅊㍁䑁䅉䅁硁睂䅁杙䅁䍁䅣睗兂䡁䅉睢煂䝁䅕睙あ䍁䅁杕ㅂ䝁䄴睤桂䡁䅫䅉㉂䑁䅧杌㑂䝁䅷督㑂䙁䄰杒獂䝁䅕党あ䙁䅉睢㉂䝁䅕杣湁䍁䅅䅊䙂䍁䅑䅏㕁䑁䅯䅊奂䍁䅑䅏㕁䅁䅁䅎䅣䝁䅉䅁湁䙁䅳䅕祂䝁䄸条求䝁䅍䅤杁䙁䅉兤畂䡁䅣兙㕂䍁䅁杤㑁䍁䄴䅥獂䡁䅍䅥摂䕁䅙䅢求䝁䅕䅤卂䝁䄸杤求䡁䅉睊桁䍁䅑兒歁䑁䅫䅍㙁䍁䅑䅗歁䑁䅫䅍䅁䑁䡕䅁啂䅁䅁睊扂䙁䅁杣療䝁䅯党橂䡁䅑䅉卂䡁䅕杢㍂䝁䅅入杁䡁䅙䅏畁䡁䅧䅢穂䡁䅧兘䡂䝁䅅䅤潂䝁䅕杣杁䕁䅅兓湁䍁䅅䅊䕂䍁䅑睎硁䅁䅁材䅣䝁䅁䅁湁䙁䅳䅕祂䝁䄸条求䝁䅍䅤杁䙁䅉兤畂䡁䅣兙㕂䍁䅁杤㑁䍁䄴䅥獂䡁䅍䅥摂䕁䅣兙あ䝁䅧党祂䍁䅁兑䩂䍁䅣光歁䕁䅑䅊㍁䑁䅍杏歁䕁䅑䅊㍁䑁䅣䅁⽁睂䅁䅖䅁䍁䅣睗兂䡁䅉睢煂䝁䅕睙あ䍁䅁杕ㅂ䝁䄴睤桂䡁䅫䅉㉂䑁䅧杌㑂䝁䅷督㑂䙁䄰睒桂䡁䅑䅡求䡁䅉䅉䉂䕁䅫睊桁䍁䅑䅒歁䑁䅧兏䅁䕁䡉䅁杂䅁䅁睊扂䙁䅁杣療䝁䅯党橂䡁䅑䅉卂䡁䅕杢㍂䝁䅅入杁䡁䅙䅏畁䡁䅧䅢穂䡁䅧兘䡂䝁䅅䅤潂䝁䅕杣杁䕁䅅兓湁䍁䅅䅊䕂䍁䅑兏祁䑁䅯䅊䕂䍁䅑兏㑁䅁䅁睑䅣䝁䅉䅁湁䙁䅳䅕祂䝁䄸条求䝁䅍䅤杁䙁䅉兤畂䡁䅣兙㕂䍁䅁杤㑁䍁䄴䅥獂䡁䅍䅥摂䕁䅣兙あ䝁䅧党祂䍁䅁兑䩂䍁䅣光歁䕁䅕䅊㍁䑁䅅杏歁䕁䅅兓歁䑁䅣免䅁䕁䡁䅁楂䅁䅁睊扂䙁䅁杣療䝁䅯党橂䡁䅑䅉卂䡁䅕杢㍂䝁䅅入杁䡁䅙䅏畁䡁䅧䅢穂䡁䅧兘䡂䝁䅅䅤潂䝁䅕杣杁䕁䅅兓湁䍁䅅䅊䙂䍁䅑睎祁䑁䅯䅊䉂䕁䅫䅊㍁䑁䅉䅁䉂睂䅁䅙䅁䍁䅣睗兂䡁䅉睢煂䝁䅕睙あ䍁䅁杕ㅂ䝁䄴睤桂䡁䅫䅉㉂䑁䅧杌㑂䝁䅷督㑂䙁䄰睒桂䡁䅑䅡求䡁䅉䅉䉂䕁䅫睊桁䍁䅑兒歁䑁䅧兏㙁䍁䅑䅗歁䑁䅧兏䅁䕁䡑䅁杂䅁䅁睊扂䙁䅁杣療䝁䅯党橂䡁䅑䅉卂䡁䅕杢㍂䝁䅅入杁䡁䅙䅏畁䡁䅧䅢穂䡁䅧兘䡂䝁䅅䅤潂䝁䅕杣杁䕁䅅兓湁䍁䅅䅊䙂䍁䅑兏睁䑁䅯䅊奂䍁䅑兏睁䅁䅁兒䅣䙁䅯䅁湁䙁䅳䅕祂䝁䄸条求䝁䅍䅤杁䙁䅉兤畂䡁䅣兙㕂䍁䅁杤㑁䍁䄴䅥獂䡁䅍䅥摂䙁䅁兙あ䡁䅑党祂䝁䄴䅉䵂䝁䅅杙穂䍁䅣光歁䕁䅑䅊㍁䑁䅅䅁敁睂䅁杚䅁䍁䅣睗兂䡁䅉睢煂䝁䅕睙あ䍁䅁杕ㅂ䝁䄴睤桂䡁䅫䅉㉂䑁䅧杌㑂䝁䅷督㑂䙁䄰䅕桂䡁䅑䅤求䡁䅉杢杁䕁䅷兙楂䡁䅍睊桁䍁䅑䅒歁䑁䅣睍㙁䍁䅑䅒歁䑁䅣睎䅁䉁䠸䅁慂䅁䅁睊扂䙁䅁杣療䝁䅯党橂䡁䅑䅉卂䡁䅕杢㍂䝁䅅入杁䡁䅙䅏畁䡁䅧䅢穂䡁䅧兘兂䝁䅅䅤あ䝁䅕杣畂䍁䅁䅔桂䝁䅉督湁䍁䅅䅊䕂䍁䅑䅏㕁䅁䅁李䅣䝁䅙䅁湁䙁䅳䅕祂䝁䄸条求䝁䅍䅤杁䙁䅉兤畂䡁䅣兙㕂䍁䅁杤㑁䍁䄴䅥獂䡁䅍䅥摂䙁䅁兙あ䡁䅑党祂䝁䄴䅉䵂䝁䅅杙穂䍁䅣光歁䕁䅑䅊㕁䑁䅉杏歁䕁䅑䅊㕁䑁䅧䅁㍁睂䅁䅡䅁䍁䅣睗兂䡁䅉睢煂䝁䅕睙あ䍁䅁杕ㅂ䝁䄴睤桂䡁䅫䅉㉂䑁䅧杌㑂䝁䅷督㑂䙁䄰䅕桂䡁䅑䅤求䡁䅉杢杁䕁䅷兙楂䡁䅍睊桁䍁䅑兒歁䑁䅣免㙁䍁䅑兑䩂䍁䅑睎硁䅁䅁䅉䅣䝁䅧䅁湁䙁䅳䅕祂䝁䄸条求䝁䅍䅤杁䙁䅉兤畂䡁䅣兙㕂䍁䅁杤㑁䍁䄴䅥獂䡁䅍䅥摂䙁䅁兙あ䡁䅑党祂䝁䄴䅉䵂䝁䅅杙穂䍁䅣光歁䕁䅕䅊㍁䑁䅉杏歁䕁䅅兓歁䑁䅣杍䅁䍁䡅䅁浂䅁䅁睊扂䙁䅁杣療䝁䅯党橂䡁䅑䅉卂䡁䅕杢㍂䝁䅅入杁䡁䅙䅏畁䡁䅧䅢穂䡁䅧兘兂䝁䅅䅤あ䝁䅕杣畂䍁䅁䅔桂䝁䅉督湁䍁䅅䅊䙂䍁䅑䅏㕁䑁䅯䅊奂䍁䅑䅏㕁䅁䅁䅏䅣䝁䅙䅁湁䙁䅳䅕祂䝁䄸条求䝁䅍䅤杁䙁䅉兤畂䡁䅣兙㕂䍁䅁杤㑁䍁䄴䅥獂䡁䅍䅥摂䙁䅁兙あ䡁䅑党祂䝁䄴䅉䵂䝁䅅杙穂䍁䅣光歁䕁䅕䅊㕁䑁䅁杏歁䙁䅧䅊㕁䑁䅁䅁㕁睂䅁杕䅁䍁䅣睗兂䡁䅉睢煂䝁䅕睙あ䍁䅁杕ㅂ䝁䄴睤桂䡁䅫䅉㉂䑁䅧杌㑂䝁䅷督㑂䙁䄰睕桂䝁䅷䅤瑂䝁䅫杢求䍁䅣光歁䕁䅑䅊㍁䑁䅅䅁佁睂䅁杘䅁䍁䅣睗兂䡁䅉睢煂䝁䅕睙あ䍁䅁杕ㅂ䝁䄴睤桂䡁䅫䅉㉂䑁䅧杌㑂䝁䅷督㑂䙁䄰睕桂䝁䅷䅤瑂䝁䅫杢求䍁䅣光歁䕁䅑䅊㍁䑁䅍杏歁䕁䅑䅊㍁䑁䅣䅁偁睂䅁杕䅁䍁䅣睗兂䡁䅉睢煂䝁䅕睙あ䍁䅁杕ㅂ䝁䄴睤桂䡁䅫䅉㉂䑁䅧杌㑂䝁䅷督㑂䙁䄰睕桂䝁䅷䅤瑂䝁䅫杢求䍁䅣光歁䕁䅑䅊㑁䑁䅫䅁十睂䅁杘䅁䍁䅣睗兂䡁䅉睢煂䝁䅕睙あ䍁䅁杕ㅂ䝁䄴睤桂䡁䅫䅉㉂䑁䅧杌㑂䝁䅷督㑂䙁䄰睕桂䝁䅷䅤瑂䝁䅫杢求䍁䅣光歁䕁䅑䅊㕁䑁䅉杏歁䕁䅑䅊㕁䑁䅧䅁呁睂䅁䅙䅁䍁䅣睗兂䡁䅉睢煂䝁䅕睙あ䍁䅁杕ㅂ䝁䄴睤桂䡁䅫䅉㉂䑁䅧杌㑂䝁䅷督㑂䙁䄰睕桂䝁䅷䅤瑂䝁䅫杢求䍁䅣光歁䕁䅕䅊㍁䑁䅅杏歁䕁䅅兔歁䑁䅣免䅁䉁䡁䅁杂䅁䅁睊扂䙁䅁杣療䝁䅯党橂䡁䅑䅉卂䡁䅕杢㍂䝁䅅入杁䡁䅙䅏畁䡁䅧䅢穂䡁䅧兘呂䝁䅅䅢あ䝁䄰兡畂䝁䅕睊桁䍁䅑兒歁䑁䅣杍㙁䍁䅑兑乂䍁䅑睎祁䅁䅁充䅣䙁䄴䅁湁䙁䅳䅕祂䝁䄸条求䝁䅍䅤杁䙁䅉兤畂䡁䅣兙㕂䍁䅁杤㑁䍁䄴䅥獂䡁䅍䅥摂䙁䅍兙獂䡁䅑兢灂䝁䄴党湁䍁䅅䅊䙂䍁䅑䅏㕁䑁䅯䅊奂䍁䅑䅏㕁䅁䅁䅆䅣䙁䄴䅁湁䙁䅳䅕祂䝁䄸条求䝁䅍䅤杁䙁䅉兤畂䡁䅣兙㕂䍁䅁杤㑁䍁䄴䅥獂䡁䅍䅥摂䙁䅍兙獂䡁䅑兢灂䝁䄴党湁䍁䅅䅊䙂䍁䅑兏睁䑁䅯䅊奂䍁䅑兏睁䅁䅁兆䅣䙁䅙䅁湁䙁䅳䅕祂䝁䄸条求䝁䅍䅤杁䙁䅉兤畂䡁䅣兙㕂䍁䅁杤㑁䍁䄴䅥獂䡁䅍䅥摂䙁䅣兡畂䝁䅣睙療䡁䅁䅤求䡁䅉睊桁䍁䅑䅒歁䑁䅣免䅁䉁䡙䅁楂䅁䅁睊扂䙁䅁杣療䝁䅯党橂䡁䅑䅉卂䡁䅕杢㍂䝁䅅入杁䡁䅙䅏畁䡁䅧䅢穂䡁䅧兘塂䝁䅫杢湂䝁䅍睢睂䡁䅑党祂䍁䅣光歁䕁䅑䅊㍁䑁䅍杏歁䕁䅑䅊㍁䑁䅣䅁塁睂䅁杖䅁䍁䅣睗兂䡁䅉睢煂䝁䅕睙あ䍁䅁杕ㅂ䝁䄴睤桂䡁䅫䅉㉂䑁䅧杌㑂䝁䅷督㑂䙁䄰睖灂䝁䄴睚橂䝁䄸䅣あ䝁䅕杣湁䍁䅅䅊䕂䍁䅑䅏㕁䅁䅁杉䅣䝁䅉䅁湁䙁䅳䅕祂䝁䄸条求䝁䅍䅤杁䙁䅉兤畂䡁䅣兙㕂䍁䅁杤㑁䍁䄴䅥獂䡁䅍䅥摂䙁䅣兡畂䝁䅣睙療䡁䅁䅤求䡁䅉睊桁䍁䅑䅒歁䑁䅫杍㙁䍁䅑䅒歁䑁䅫䅏䅁䍁䡍䅁歂䅁䅁睊扂䙁䅁杣療䝁䅯党橂䡁䅑䅉卂䡁䅕杢㍂䝁䅅入杁䡁䅙䅏畁䡁䅧䅢穂䡁䅧兘塂䝁䅫杢湂䝁䅍睢睂䡁䅑党祂䍁䅣光歁䕁䅕䅊㍁䑁䅅杏歁䕁䅅兓歁䑁䅣免䅁䉁䡧䅁歂䅁䅁睊扂䙁䅁杣療䝁䅯党橂䡁䅑䅉卂䡁䅕杢㍂䝁䅅入杁䡁䅙䅏畁䡁䅧䅢穂䡁䅧兘塂䝁䅫杢湂䝁䅍睢睂䡁䅑党祂䍁䅣光歁䕁䅕䅊㍁䑁䅉杏歁䕁䅅兓歁䑁䅣杍䅁䉁䡫䅁楂䅁䅁睊扂䙁䅁杣療䝁䅯党橂䡁䅑䅉卂䡁䅕杢㍂䝁䅅入杁䡁䅙䅏畁䡁䅧䅢穂䡁䅧兘塂䝁䅫杢湂䝁䅍睢睂䡁䅑党祂䍁䅣光歁䕁䅕䅊㑁䑁䅫杏歁䙁䅧䅊㑁䑁䅫䅁歁睂䅁杙䅁䍁䅣睗兂䡁䅉睢煂䝁䅕睙あ䍁䅁杕ㅂ䝁䄴睤桂䡁䅫䅉㉂䑁䅧杌㑂䝁䅷督㑂䙁䄰睖灂䝁䄴睚橂䝁䄸䅣あ䝁䅕杣湁䍁䅅䅊䙂䍁䅑兏睁䑁䅯䅊奂䍁䅑兏睁䅁䅁兊䅣䙁䅙䅁湁䙁䅳䅕祂䝁䄸条求䝁䅍䅤杁䙁䅉兤畂䡁䅣兙㕂䍁䅁杤㕁䍁䄴䅥獂䡁䅍䅥摂䕁䅍兙祂䝁䅣睢瑂䝁䅅䅤灂䝁䅍睊桁䍁䅑䅒歁䑁䅣免䅁䙁䡙䅁楂䅁䅁睊扂䙁䅁杣療䝁䅯党橂䡁䅑䅉卂䡁䅕杢㍂䝁䅅入杁䡁䅙兏畁䡁䅧䅢穂䡁䅧兘䑂䝁䅅杣湂䝁䄸兢桂䡁䅑兡橂䍁䅣光歁䕁䅑䅊㍁䑁䅍杏歁䕁䅑䅊㍁䑁䅫䅁塂睂䅁杖䅁䍁䅣睗兂䡁䅉睢煂䝁䅕睙あ䍁䅁杕ㅂ䝁䄴睤桂䡁䅫䅉㉂䑁䅫杌㑂䝁䅷督㑂䙁䄰睑桂䡁䅉睚療䝁䄰兙あ䝁䅫睙湁䍁䅅䅊䕂䍁䅑兏硁䅁䅁杘䅣䝁䅑䅁湁䙁䅳䅕祂䝁䄸条求䝁䅍䅤杁䙁䅉兤畂䡁䅣兙㕂䍁䅁杤㕁䍁䄴䅥獂䡁䅍䅥摂䕁䅍兙祂䝁䅣睢瑂䝁䅅䅤灂䝁䅍睊桁䍁䅑䅒歁䑁䅫䅎㙁䍁䅑䅒歁䑁䅅䅍睁䅁䅁睘䅣䝁䅑䅁湁䙁䅳䅕祂䝁䄸条求䝁䅍䅤杁䙁䅉兤畂䡁䅣兙㕂䍁䅁杤㕁䍁䄴䅥獂䡁䅍䅥摂䕁䅍兙祂䝁䅣睢瑂䝁䅅䅤灂䝁䅍睊桁䍁䅑兒歁䑁䅣免㙁䍁䅑兑乂䍁䅑睎硁䅁䅁䅗䅣䝁䅑䅁湁䙁䅳䅕祂䝁䄸条求䝁䅍䅤杁䙁䅉兤畂䡁䅣兙㕂䍁䅁杤㕁䍁䄴䅥獂䡁䅍䅥摂䕁䅍兙祂䝁䅣睢瑂䝁䅅䅤灂䝁䅍睊桁䍁䅑兒歁䑁䅣杍㙁䍁䅑兑乂䍁䅑睎祁䅁䅁兗䅣䝁䅉䅁湁䙁䅳䅕祂䝁䄸条求䝁䅍䅤杁䙁䅉兤畂䡁䅣兙㕂䍁䅁杤㕁䍁䄴䅥獂䡁䅍䅥摂䕁䅍兙祂䝁䅣睢瑂䝁䅅䅤灂䝁䅍睊桁䍁䅑兒歁䑁䅫免㙁䍁䅑䅗歁䑁䅫免䅁䝁䡁䅁楂䅁䅁睊扂䙁䅁杣療䝁䅯党橂䡁䅑䅉卂䡁䅕杢㍂䝁䅅入杁䡁䅙兏畁䡁䅧䅢穂䡁䅧兘䑂䝁䅅杣湂䝁䄸兢桂䡁䅑兡橂䍁䅣光歁䕁䅕䅊㕁䑁䅉杏歁䙁䅧䅊㕁䑁䅉䅁桂睂䅁䅖䅁䍁䅣睗兂䡁䅉睢煂䝁䅕睙あ䍁䅁杕ㅂ䝁䄴睤桂䡁䅫䅉㉂䑁䅫杌㑂䝁䅷督㑂䙁䄰睑獂䝁䄸兤歂䕁䅍兙獂䝁䅷睊桁䍁䅑䅒歁䑁䅣免䅁䩁䡉䅁杂䅁䅁睊扂䙁䅁杣療䝁䅯党橂䡁䅑䅉卂䡁䅕杢㍂䝁䅅入杁䡁䅙兏畁䡁䅧䅢穂䡁䅧兘䑂䝁䅷睢ㅂ䝁䅑睑桂䝁䅷䅢湁䍁䅅䅊䕂䍁䅑睎穁䑁䅯䅊䕂䍁䅑睎㍁䅁䅁睫䅣䙁䅑䅁湁䙁䅳䅕祂䝁䄸条求䝁䅍䅤杁䙁䅉兤畂䡁䅣兙㕂䍁䅁杤㕁䍁䄴䅥獂䡁䅍䅥摂䕁䅍䅢療䡁䅕䅚䑂䝁䅅䅢獂䍁䅣光歁䕁䅑䅊㑁䑁䅫䅁坃睂䅁䅙䅁䍁䅣睗兂䡁䅉睢煂䝁䅕睙あ䍁䅁杕ㅂ䝁䄴睤桂䡁䅫䅉㉂䑁䅫杌㑂䝁䅷督㑂䙁䄰睑獂䝁䄸兤歂䕁䅍兙獂䝁䅷睊桁䍁䅑䅒歁䑁䅫杍㙁䍁䅑䅒歁䑁䅫䅏䅁䩁䡣䅁楂䅁䅁睊扂䙁䅁杣療䝁䅯党橂䡁䅑䅉卂䡁䅕杢㍂䝁䅅入杁䡁䅙兏畁䡁䅧䅢穂䡁䅧兘䑂䝁䅷睢ㅂ䝁䅑睑桂䝁䅷䅢湁䍁䅅䅊䙂䍁䅑睎硁䑁䅯䅊䉂䕁䅫䅊㍁䑁䅅䅁啃睂䅁杙䅁䍁䅣睗兂䡁䅉睢煂䝁䅕睙あ䍁䅁杕ㅂ䝁䄴睤桂䡁䅫䅉㉂䑁䅫杌㑂䝁䅷督㑂䙁䄰睑獂䝁䄸兤歂䕁䅍兙獂䝁䅷睊桁䍁䅑兒歁䑁䅣杍㙁䍁䅑兑䩂䍁䅑睎祁䅁䅁公䅣䝁䅁䅁湁䙁䅳䅕祂䝁䄸条求䝁䅍䅤杁䙁䅉兤畂䡁䅣兙㕂䍁䅁杤㕁䍁䄴䅥獂䡁䅍䅥摂䕁䅍䅢療䡁䅕䅚䑂䝁䅅䅢獂䍁䅣光歁䕁䅕䅊㑁䑁䅫杏歁䙁䅧䅊㑁䑁䅫䅁奃睂䅁䅙䅁䍁䅣睗兂䡁䅉睢煂䝁䅕睙あ䍁䅁杕ㅂ䝁䄴睤桂䡁䅫䅉㉂䑁䅫杌㑂䝁䅷督㑂䙁䄰睑獂䝁䄸兤歂䕁䅍兙獂䝁䅷睊桁䍁䅑兒歁䑁䅫䅍㙁䍁䅑䅗歁䑁䅫䅍䅁䩁䡫䅁卂䅁䅁睊扂䙁䅁杣療䝁䅯党橂䡁䅑䅉卂䡁䅕杢㍂䝁䅅入杁䡁䅙兏畁䡁䅧䅢穂䡁䅧兘䕂䝁䅫睚灂䡁䅍兤祂䝁䅕睊桁䍁䅑䅒歁䑁䅣免䅁䝁䡉䅁敂䅁䅁睊扂䙁䅁杣療䝁䅯党橂䡁䅑䅉卂䡁䅕杢㍂䝁䅅入杁䡁䅙兏畁䡁䅧䅢穂䡁䅧兘䕂䝁䅫睚灂䡁䅍兤祂䝁䅕睊桁䍁䅑䅒歁䑁䅣睍㙁䍁䅑䅒歁䑁䅣睎䅁䝁䡍䅁卂䅁䅁睊扂䙁䅁杣療䝁䅯党橂䡁䅑䅉卂䡁䅕杢㍂䝁䅅入杁䡁䅙兏畁䡁䅧䅢穂䡁䅧兘䕂䝁䅫睚灂䡁䅍兤祂䝁䅕睊桁䍁䅑䅒歁䑁䅧兏䅁䡁䡉䅁敂䅁䅁睊扂䙁䅁杣療䝁䅯党橂䡁䅑䅉卂䡁䅕杢㍂䝁䅅入杁䡁䅙兏畁䡁䅧䅢穂䡁䅧兘䕂䝁䅫睚灂䡁䅍兤祂䝁䅕睊桁䍁䅑䅒歁䑁䅫杍㙁䍁䅑䅒歁䑁䅫䅏䅁䡁䡍䅁杂䅁䅁睊扂䙁䅁杣療䝁䅯党橂䡁䅑䅉卂䡁䅕杢㍂䝁䅅入杁䡁䅙兏畁䡁䅧䅢穂䡁䅧兘䕂䝁䅫睚灂䡁䅍兤祂䝁䅕睊桁䍁䅑兒歁䑁䅣免㙁䍁䅑兑䩂䍁䅑睎硁䅁䅁䅚䅣䝁䅁䅁湁䙁䅳䅕祂䝁䄸条求䝁䅍䅤杁䙁䅉兤畂䡁䅣兙㕂䍁䅁杤㕁䍁䄴䅥獂䡁䅍䅥摂䕁䅑兡湂䝁䅫督ㅂ䡁䅉党湁䍁䅅䅊䙂䍁䅑睎祁䑁䅯䅊䉂䕁䅫䅊㍁䑁䅉䅁求睂䅁杘䅁䍁䅣睗兂䡁䅉睢煂䝁䅕睙あ䍁䅁杕ㅂ䝁䄴睤桂䡁䅫䅉㉂䑁䅫杌㑂䝁䅷督㑂䙁䄰䅒灂䝁䅣兡穂䡁䅕杣求䍁䅣光歁䕁䅕䅊㑁䑁䅫杏歁䙁䅧䅊㑁䑁䅫䅁あ睂䅁杘䅁䍁䅣睗兂䡁䅉睢煂䝁䅕睙あ䍁䅁杕ㅂ䝁䄴睤桂䡁䅫䅉㉂䑁䅫杌㑂䝁䅷督㑂䙁䄰䅒灂䝁䅣兡穂䡁䅕杣求䍁䅣光歁䕁䅕䅊㕁䑁䅁杏歁䙁䅧䅊㕁䑁䅁䅁ㅂ睂䅁杖䅁䍁䅣睗兂䡁䅉睢煂䝁䅕睙あ䍁䅁杕ㅂ䝁䄴睤桂䡁䅫䅉㉂䑁䅫杌㑂䝁䅷督㑂䙁䄰兒歂䝁䅫杚㕂䍁䅁䅔桂䝁䅉督湁䍁䅅䅊䕂䍁䅑睎硁䅁䅁来䅣䝁䅉䅁湁䙁䅳䅕祂䝁䄸条求䝁䅍䅤杁䙁䅉兤畂䡁䅣兙㕂䍁䅁杤㕁䍁䄴䅥獂䡁䅍䅥摂䕁䅕䅚灂䝁䅙入杁䕁䅷兙楂䡁䅍睊桁䍁䅑䅒歁䑁䅣睍㙁䍁䅑䅒歁䑁䅣睎䅁䡁䡳䅁坂䅁䅁睊扂䙁䅁杣療䝁䅯党橂䡁䅑䅉卂䡁䅕杢㍂䝁䅅入杁䡁䅙兏畁䡁䅧䅢穂䡁䅧兘䙂䝁䅑兡浂䡁䅫䅉䵂䝁䅅杙穂䍁䅣光歁䕁䅑䅊㑁䑁䅫䅁䍃睂䅁杙䅁䍁䅣睗兂䡁䅉睢煂䝁䅕睙あ䍁䅁杕ㅂ䝁䄴睤桂䡁䅫䅉㉂䑁䅫杌㑂䝁䅷督㑂䙁䄰兒歂䝁䅫杚㕂䍁䅁䅔桂䝁䅉督湁䍁䅅䅊䕂䍁䅑兏祁䑁䅯䅊䕂䍁䅑兏㑁䅁䅁睧䅣䝁䅑䅁湁䙁䅳䅕祂䝁䄸条求䝁䅍䅤杁䙁䅉兤畂䡁䅣兙㕂䍁䅁杤㕁䍁䄴䅥獂䡁䅍䅥摂䕁䅕䅚灂䝁䅙入杁䕁䅷兙楂䡁䅍睊桁䍁䅑兒歁䑁䅣免㙁䍁䅑兑䩂䍁䅑睎硁䅁䅁䅦䅣䝁䅑䅁湁䙁䅳䅕祂䝁䄸条求䝁䅍䅤杁䙁䅉兤畂䡁䅣兙㕂䍁䅁杤㕁䍁䄴䅥獂䡁䅍䅥摂䕁䅕䅚灂䝁䅙入杁䕁䅷兙楂䡁䅍睊桁䍁䅑兒歁䑁䅣杍㙁䍁䅑兑䩂䍁䅑睎祁䅁䅁兦䅣䝁䅉䅁湁䙁䅳䅕祂䝁䄸条求䝁䅍䅤杁䙁䅉兤畂䡁䅣兙㕂䍁䅁杤㕁䍁䄴䅥獂䡁䅍䅥摂䕁䅕䅚灂䝁䅙入杁䕁䅷兙楂䡁䅍睊桁䍁䅑兒歁䑁䅧兏㙁䍁䅑䅗歁䑁䅧兏䅁䥁䡑䅁楂䅁䅁睊扂䙁䅁杣療䝁䅯党橂䡁䅑䅉卂䡁䅕杢㍂䝁䅅入杁䡁䅙兏畁䡁䅧䅢穂䡁䅧兘䙂䝁䅑兡浂䡁䅫䅉䵂䝁䅅杙穂䍁䅣光歁䕁䅕䅊㕁䑁䅁杏歁䙁䅧䅊㕁䑁䅁䅁䙃睂䅁杗䅁䍁䅣睗兂䡁䅉睢煂䝁䅕睙あ䍁䅁杕ㅂ䝁䄴睤桂䡁䅫䅉㉂䑁䅫杌㑂䝁䅷督㑂䙁䄰兒㉂䝁䅕杣求䡁䅍䅤杁䕁䅷兙楂䡁䅍睊桁䍁䅑䅒歁䑁䅣免䅁䡁䠴䅁浂䅁䅁睊扂䙁䅁杣療䝁䅯党橂䡁䅑䅉卂䡁䅕杢㍂䝁䅅入杁䡁䅙兏畁䡁䅧䅢穂䡁䅧兘䙂䡁䅙党祂䝁䅕督あ䍁䅁䅔桂䝁䅉督湁䍁䅅䅊䕂䍁䅑睎穁䑁䅯䅊䕂䍁䅑睎㍁䅁䅁睦䅣䙁䅯䅁湁䙁䅳䅕祂䝁䄸条求䝁䅍䅤杁䙁䅉兤畂䡁䅣兙㕂䍁䅁杤㕁䍁䄴䅥獂䡁䅍䅥摂䕁䅕杤求䡁䅉党穂䡁䅑䅉䵂䝁䅅杙穂䍁䅣光歁䕁䅑䅊㑁䑁䅫䅁楃睂䅁杚䅁䍁䅣睗兂䡁䅉睢煂䝁䅕睙あ䍁䅁杕ㅂ䝁䄴睤桂䡁䅫䅉㉂䑁䅫杌㑂䝁䅷督㑂䙁䄰兒㉂䝁䅕杣求䡁䅍䅤杁䕁䅷兙楂䡁䅍睊桁䍁䅑䅒歁䑁䅫杍㙁䍁䅑䅒歁䑁䅫䅏䅁䭁䡍䅁潂䅁䅁睊扂䙁䅁杣療䝁䅯党橂䡁䅑䅉卂䡁䅕杢㍂䝁䅅入杁䡁䅙兏畁䡁䅧䅢穂䡁䅧兘䙂䡁䅙党祂䝁䅕督あ䍁䅁䅔桂䝁䅉督湁䍁䅅䅊䙂䍁䅑睎硁䑁䅯䅊䉂䕁䅫䅊㍁䑁䅅䅁䅃睂䅁䅡䅁䍁䅣睗兂䡁䅉睢煂䝁䅕睙あ䍁䅁杕ㅂ䝁䄴睤桂䡁䅫䅉㉂䑁䅫杌㑂䝁䅷督㑂䙁䄰兒㉂䝁䅕杣求䡁䅍䅤杁䕁䅷兙楂䡁䅍睊桁䍁䅑兒歁䑁䅣杍㙁䍁䅑兑䩂䍁䅑睎祁䅁䅁內䅣䝁䅙䅁湁䙁䅳䅕祂䝁䄸条求䝁䅍䅤杁䙁䅉兤畂䡁䅣兙㕂䍁䅁杤㕁䍁䄴䅥獂䡁䅍䅥摂䕁䅕杤求䡁䅉党穂䡁䅑䅉䵂䝁䅅杙穂䍁䅣光歁䕁䅕䅊㑁䑁䅫杏歁䙁䅧䅊㑁䑁䅫䅁歃睂䅁杚䅁䍁䅣睗兂䡁䅉睢煂䝁䅕睙あ䍁䅁杕ㅂ䝁䄴睤桂䡁䅫䅉㉂䑁䅫杌㑂䝁䅷督㑂䙁䄰兒㉂䝁䅕杣求䡁䅍䅤杁䕁䅷兙楂䡁䅍睊桁䍁䅑兒歁䑁䅫䅍㙁䍁䅑䅗歁䑁䅫䅍䅁䭁䡕䅁坂䅁䅁睊扂䙁䅁杣療䝁䅯党橂䡁䅑䅉卂䡁䅕杢㍂䝁䅅入杁䡁䅙兏畁䡁䅧䅢穂䡁䅧兘䝂䝁䅷党求䡁䅑杕療䡁䅙党祂䍁䅣光歁䕁䅑䅊㍁䑁䅅䅁煂睂䅁杙䅁䍁䅣睗兂䡁䅉睢煂䝁䅕睙あ䍁䅁杕ㅂ䝁䄴睤桂䡁䅫䅉㉂䑁䅫杌㑂䝁䅷督㑂䙁䄰杒獂䝁䅕党あ䙁䅉睢㉂䝁䅕杣湁䍁䅅䅊䕂䍁䅑睎穁䑁䅯䅊䕂䍁䅑睎㍁䅁䅁睡䅣䙁䅙䅁湁䙁䅳䅕祂䝁䄸条求䝁䅍䅤杁䙁䅉兤畂䡁䅣兙㕂䍁䅁杤㕁䍁䄴䅥獂䡁䅍䅥摂䕁䅙䅢求䝁䅕䅤卂䝁䄸杤求䡁䅉睊桁䍁䅑䅒歁䑁䅧兏䅁䥁䡙䅁楂䅁䅁睊扂䙁䅁杣療䝁䅯党橂䡁䅑䅉卂䡁䅕杢㍂䝁䅅入杁䡁䅙兏畁䡁䅧䅢穂䡁䅧兘䝂䝁䅷党求䡁䅑杕療䡁䅙党祂䍁䅣光歁䕁䅑䅊㕁䑁䅉杏歁䕁䅑䅊㕁䑁䅧䅁䡃睂䅁䅚䅁䍁䅣睗兂䡁䅉睢煂䝁䅕睙あ䍁䅁杕ㅂ䝁䄴睤桂䡁䅫䅉㉂䑁䅫杌㑂䝁䅷督㑂䙁䄰杒獂䝁䅕党あ䙁䅉睢㉂䝁䅕杣湁䍁䅅䅊䙂䍁䅑睎硁䑁䅯䅊䉂䕁䅫䅊㍁䑁䅅䅁獂睂䅁䅚䅁䍁䅣睗兂䡁䅉睢煂䝁䅕睙あ䍁䅁杕ㅂ䝁䄴睤桂䡁䅫䅉㉂䑁䅫杌㑂䝁䅷督㑂䙁䄰杒獂䝁䅕党あ䙁䅉睢㉂䝁䅕杣湁䍁䅅䅊䙂䍁䅑睎祁䑁䅯䅊䉂䕁䅫䅊㍁䑁䅉䅁瑂睂䅁杙䅁䍁䅣睗兂䡁䅉睢煂䝁䅕睙あ䍁䅁杕ㅂ䝁䄴睤桂䡁䅫䅉㉂䑁䅫杌㑂䝁䅷督㑂䙁䄰杒獂䝁䅕党あ䙁䅉睢㉂䝁䅕杣湁䍁䅅䅊䙂䍁䅑䅏㕁䑁䅯䅊奂䍁䅑䅏㕁䅁䅁䅩䅣䝁䅉䅁湁䙁䅳䅕祂䝁䄸条求䝁䅍䅤杁䙁䅉兤畂䡁䅣兙㕂䍁䅁杤㕁䍁䄴䅥獂䡁䅍䅥摂䕁䅙䅢求䝁䅕䅤卂䝁䄸杤求䡁䅉睊桁䍁䅑兒歁䑁䅫䅍㙁䍁䅑䅗歁䑁䅫䅍䅁䥁䡫䅁啂䅁䅁睊扂䙁䅁杣療䝁䅯党橂䡁䅑䅉卂䡁䅕杢㍂䝁䅅入杁䡁䅙兏畁䡁䅧䅢穂䡁䅧兘䡂䝁䅅䅤潂䝁䅕杣杁䕁䅅兓湁䍁䅅䅊䕂䍁䅑睎硁䅁䅁杭䅣䝁䅁䅁湁䙁䅳䅕祂䝁䄸条求䝁䅍䅤杁䙁䅉兤畂䡁䅣兙㕂䍁䅁杤㕁䍁䄴䅥獂䡁䅍䅥摂䕁䅣兙あ䝁䅧党祂䍁䅁兑䩂䍁䅣光歁䕁䅑䅊㍁䑁䅍杏歁䕁䅑䅊㍁䑁䅣䅁扃睂䅁䅖䅁䍁䅣睗兂䡁䅉睢煂䝁䅕睙あ䍁䅁杕ㅂ䝁䄴睤桂䡁䅫䅉㉂䑁䅫杌㑂䝁䅷督㑂䙁䄰睒桂䡁䅑䅡求䡁䅉䅉䉂䕁䅫睊桁䍁䅑䅒歁䑁䅧兏䅁䩁䠴䅁杂䅁䅁睊扂䙁䅁杣療䝁䅯党橂䡁䅑䅉卂䡁䅕杢㍂䝁䅅入杁䡁䅙兏畁䡁䅧䅢穂䡁䅧兘䡂䝁䅅䅤潂䝁䅕杣杁䕁䅅兓湁䍁䅅䅊䕂䍁䅑兏祁䑁䅯䅊䕂䍁䅑兏㑁䅁䅁睮䅣䝁䅉䅁湁䙁䅳䅕祂䝁䄸条求䝁䅍䅤杁䙁䅉兤畂䡁䅣兙㕂䍁䅁杤㕁䍁䄴䅥獂䡁䅍䅥摂䕁䅣兙あ䝁䅧党祂䍁䅁兑䩂䍁䅣光歁䕁䅕䅊㍁䑁䅅杏歁䕁䅅兓歁䑁䅣免䅁䩁䡷䅁楂䅁䅁睊扂䙁䅁杣療䝁䅯党橂䡁䅑䅉卂䡁䅕杢㍂䝁䅅入杁䡁䅙兏畁䡁䅧䅢穂䡁䅧兘䡂䝁䅅䅤潂䝁䅕杣杁䕁䅅兓湁䍁䅅䅊䙂䍁䅑睎祁䑁䅯䅊䉂䕁䅫䅊㍁䑁䅉䅁摃睂䅁䅙䅁䍁䅣睗兂䡁䅉睢煂䝁䅕睙あ䍁䅁杕ㅂ䝁䄴睤桂䡁䅫䅉㉂䑁䅫杌㑂䝁䅷督㑂䙁䄰睒桂䡁䅑䅡求䡁䅉䅉䉂䕁䅫睊桁䍁䅑兒歁䑁䅧兏㙁䍁䅑䅗歁䑁䅧兏䅁䭁䡁䅁杂䅁䅁睊扂䙁䅁杣療䝁䅯党橂䡁䅑䅉卂䡁䅕杢㍂䝁䅅入杁䡁䅙兏畁䡁䅧䅢穂䡁䅧兘䡂䝁䅅䅤潂䝁䅕杣杁䕁䅅兓湁䍁䅅䅊䙂䍁䅑兏睁䑁䅯䅊奂䍁䅑兏睁䅁䅁兯䅣䙁䅯䅁湁䙁䅳䅕祂䝁䄸条求䝁䅍䅤杁䙁䅉兤畂䡁䅣兙㕂䍁䅁杤㕁䍁䄴䅥獂䡁䅍䅥摂䙁䅁兙あ䡁䅑党祂䝁䄴䅉䵂䝁䅅杙穂䍁䅣光歁䕁䅑䅊㍁䑁䅅䅁䭃睂䅁杚䅁䍁䅣睗兂䡁䅉睢煂䝁䅕睙あ䍁䅁杕ㅂ䝁䄴睤桂䡁䅫䅉㉂䑁䅫杌㑂䝁䅷督㑂䙁䄰䅕桂䡁䅑䅤求䡁䅉杢杁䕁䅷兙楂䡁䅍睊桁䍁䅑䅒歁䑁䅣睍㙁䍁䅑䅒歁䑁䅣睎䅁䥁䡳䅁慂䅁䅁睊扂䙁䅁杣療䝁䅯党橂䡁䅑䅉卂䡁䅕杢㍂䝁䅅入杁䡁䅙兏畁䡁䅧䅢穂䡁䅧兘兂䝁䅅䅤あ䝁䅕杣畂䍁䅁䅔桂䝁䅉督湁䍁䅅䅊䕂䍁䅑䅏㕁䅁䅁杪䅣䝁䅙䅁湁䙁䅳䅕祂䝁䄸条求䝁䅍䅤杁䙁䅉兤畂䡁䅣兙㕂䍁䅁杤㕁䍁䄴䅥獂䡁䅍䅥摂䙁䅁兙あ䡁䅑党祂䝁䄴䅉䵂䝁䅅杙穂䍁䅣光歁䕁䅑䅊㕁䑁䅉杏歁䕁䅑䅊㕁䑁䅧䅁偃睂䅁䅡䅁䍁䅣睗兂䡁䅉睢煂䝁䅕睙あ䍁䅁杕ㅂ䝁䄴睤桂䡁䅫䅉㉂䑁䅫杌㑂䝁䅷督㑂䙁䄰䅕桂䡁䅑䅤求䡁䅉杢杁䕁䅷兙楂䡁䅍睊桁䍁䅑兒歁䑁䅣免㙁䍁䅑兑䩂䍁䅑睎硁䅁䅁䅪䅣䝁䅧䅁湁䙁䅳䅕祂䝁䄸条求䝁䅍䅤杁䙁䅉兤畂䡁䅣兙㕂䍁䅁杤㕁䍁䄴䅥獂䡁䅍䅥摂䙁䅁兙あ䡁䅑党祂䝁䄴䅉䵂䝁䅅杙穂䍁䅣光歁䕁䅕䅊㍁䑁䅉杏歁䕁䅅兓歁䑁䅣杍䅁䥁䠰䅁浂䅁䅁睊扂䙁䅁杣療䝁䅯党橂䡁䅑䅉卂䡁䅕杢㍂䝁䅅入杁䡁䅙兏畁䡁䅧䅢穂䡁䅧兘兂䝁䅅䅤あ䝁䅕杣畂䍁䅁䅔桂䝁䅉督湁䍁䅅䅊䙂䍁䅑䅏㕁䑁䅯䅊奂䍁䅑䅏㕁䅁䅁䅫䅣䝁䅙䅁湁䙁䅳䅕祂䝁䄸条求䝁䅍䅤杁䙁䅉兤畂䡁䅣兙㕂䍁䅁杤㕁䍁䄴䅥獂䡁䅍䅥摂䙁䅁兙あ䡁䅑党祂䝁䄴䅉䵂䝁䅅杙穂䍁䅣光歁䕁䅕䅊㕁䑁䅁杏歁䙁䅧䅊㕁䑁䅁䅁剃睂䅁杕䅁䍁䅣睗兂䡁䅉睢煂䝁䅕睙あ䍁䅁杕ㅂ䝁䄴睤桂䡁䅫䅉㉂䑁䅫杌㑂䝁䅷督㑂䙁䄰睕桂䝁䅷䅤瑂䝁䅫杢求䍁䅣光歁䕁䅑䅊㍁䑁䅅䅁慂睂䅁杘䅁䍁䅣睗兂䡁䅉睢煂䝁䅕睙あ䍁䅁杕ㅂ䝁䄴睤桂䡁䅫䅉㉂䑁䅫杌㑂䝁䅷督㑂䙁䄰睕桂䝁䅷䅤瑂䝁䅫杢求䍁䅣光歁䕁䅑䅊㍁䑁䅍杏歁䕁䅑䅊㍁䑁䅣䅁扂睂䅁杕䅁䍁䅣睗兂䡁䅉睢煂䝁䅕睙あ䍁䅁杕ㅂ䝁䄴睤桂䡁䅫䅉㉂䑁䅫杌㑂䝁䅷督㑂䙁䄰睕桂䝁䅷䅤瑂䝁䅫杢求䍁䅣光歁䕁䅑䅊㑁䑁䅫䅁畂睂䅁杘䅁䍁䅣睗兂䡁䅉睢煂䝁䅕睙あ䍁䅁杕ㅂ䝁䄴睤桂䡁䅫䅉㉂䑁䅫杌㑂䝁䅷督㑂䙁䄰睕桂䝁䅷䅤瑂䝁䅫杢求䍁䅣光歁䕁䅑䅊㕁䑁䅉杏歁䕁䅑䅊㕁䑁䅧䅁療睂䅁䅙䅁䍁䅣睗兂䡁䅉睢煂䝁䅕睙あ䍁䅁杕ㅂ䝁䄴睤桂䡁䅫䅉㉂䑁䅫杌㑂䝁䅷督㑂䙁䄰睕桂䝁䅷䅤瑂䝁䅫杢求䍁䅣光歁䕁䅕䅊㍁䑁䅅杏歁䕁䅅兔歁䑁䅣免䅁䙁䡷䅁杂䅁䅁睊扂䙁䅁杣療䝁䅯党橂䡁䅑䅉卂䡁䅕杢㍂䝁䅅入杁䡁䅙兏畁䡁䅧䅢穂䡁䅧兘呂䝁䅅䅢あ䝁䄰兡畂䝁䅕睊桁䍁䅑兒歁䑁䅣杍㙁䍁䅑兑乂䍁䅑睎祁䅁䅁兘䅣䙁䄴䅁湁䙁䅳䅕祂䝁䄸条求䝁䅍䅤杁䙁䅉兤畂䡁䅣兙㕂䍁䅁杤㕁䍁䄴䅥獂䡁䅍䅥摂䙁䅍兙獂䡁䅑兢灂䝁䄴党湁䍁䅅䅊䙂䍁䅑䅏㕁䑁䅯䅊奂䍁䅑䅏㕁䅁䅁䅣䅣䙁䄴䅁湁䙁䅳䅕祂䝁䄸条求䝁䅍䅤杁䙁䅉兤畂䡁䅣兙㕂䍁䅁杤㕁䍁䄴䅥獂䡁䅍䅥摂䙁䅍兙獂䡁䅑兢灂䝁䄴党湁䍁䅅䅊䙂䍁䅑兏睁䑁䅯䅊奂䍁䅑兏睁䅁䅁兣䅣䙁䅙䅁湁䙁䅳䅕祂䝁䄸条求䝁䅍䅤杁䙁䅉兤畂䡁䅣兙㕂䍁䅁杤㕁䍁䄴䅥獂䡁䅍䅥摂䙁䅣兡畂䝁䅣睙療䡁䅁䅤求䡁䅉睊桁䍁䅑䅒歁䑁䅣免䅁䡁䡙䅁楂䅁䅁睊扂䙁䅁杣療䝁䅯党橂䡁䅑䅉卂䡁䅕杢㍂䝁䅅入杁䡁䅙兏畁䡁䅧䅢穂䡁䅧兘塂䝁䅫杢湂䝁䅍睢睂䡁䅑党祂䍁䅣光歁䕁䅑䅊㍁䑁䅍杏歁䕁䅑䅊㍁䑁䅣䅁㍂睂䅁杖䅁䍁䅣睗兂䡁䅉睢煂䝁䅕睙あ䍁䅁杕ㅂ䝁䄴睤桂䡁䅫䅉㉂䑁䅫杌㑂䝁䅷督㑂䙁䄰睖灂䝁䄴睚橂䝁䄸䅣あ䝁䅕杣湁䍁䅅䅊䕂䍁䅑䅏㕁䅁䅁杚䅣䝁䅉䅁湁䙁䅳䅕祂䝁䄸条求䝁䅍䅤杁䙁䅉兤畂䡁䅣兙㕂䍁䅁杤㕁䍁䄴䅥獂䡁䅍䅥摂䙁䅣兡畂䝁䅣睙療䡁䅁䅤求䡁䅉睊桁䍁䅑䅒歁䑁䅫杍㙁䍁䅑䅒歁䑁䅫䅏䅁䝁䡣䅁歂䅁䅁睊扂䙁䅁杣療䝁䅯党橂䡁䅑䅉卂䡁䅕杢㍂䝁䅅入杁䡁䅙兏畁䡁䅧䅢穂䡁䅧兘塂䝁䅫杢湂䝁䅍睢睂䡁䅑党祂䍁䅣光歁䕁䅕䅊㍁䑁䅅杏歁䕁䅅兓歁䑁䅣免䅁䡁䡧䅁歂䅁䅁睊扂䙁䅁杣療䝁䅯党橂䡁䅑䅉卂䡁䅕杢㍂䝁䅅入杁䡁䅙兏畁䡁䅧䅢穂䡁䅧兘塂䝁䅫杢湂䝁䅍睢睂䡁䅑党祂䍁䅣光歁䕁䅕䅊㍁䑁䅉杏歁䕁䅅兓歁䑁䅣杍䅁䡁䡫䅁楂䅁䅁睊扂䙁䅁杣療䝁䅯党橂䡁䅑䅉卂䡁䅕杢㍂䝁䅅入杁䡁䅙兏畁䡁䅧䅢穂䡁䅧兘塂䝁䅫杢湂䝁䅍睢睂䡁䅑党祂䍁䅣光歁䕁䅕䅊㑁䑁䅫杏歁䙁䅧䅊㑁䑁䅫䅁潂睂䅁杙䅁䍁䅣睗兂䡁䅉睢煂䝁䅕睙あ䍁䅁杕ㅂ䝁䄴睤桂䡁䅫䅉㉂䑁䅫杌㑂䝁䅷督㑂䙁䄰睖灂䝁䄴睚橂䝁䄸䅣あ䝁䅕杣湁䍁䅅䅊䙂䍁䅑兏睁䑁䅯䅊奂䍁䅑兏睁䅁䅁兡䅣䙁䄴䅁湁䙁䅳䅕祂䝁䄸条求䝁䅍䅤杁䙁䅍兙祂䡁䅕䅉㉂䑁䅅杌㑂䝁䅷督㑂䙁䄰兑偂䕁䅫䅉啂䙁䅫睔杁䕁䅧睢獂䝁䅑兡畂䝁䅣督湁䍁䅅䅊䕂䍁䅑睎睁䅁䅁杅䅍䝁䅯䅁湁䙁䅳䅕祂䝁䄸条求䝁䅍䅤杁䙁䅍兙祂䡁䅕䅉㉂䑁䅅杌㑂䝁䅷督㑂䙁䄰兑偂䕁䅫䅉啂䙁䅫睔杁䕁䅧睢獂䝁䅑兡畂䝁䅣督湁䍁䅅䅊䕂䍁䅑睎穁䑁䅯䅊䕂䍁䅑睎㕁䅁䅁睅䅍䙁䄴䅁湁䙁䅳䅕祂䝁䄸条求䝁䅍䅤杁䙁䅍兙祂䡁䅕䅉㉂䑁䅅杌㑂䝁䅷督㑂䙁䄰兑偂䕁䅫䅉啂䙁䅫睔杁䕁䅧睢獂䝁䅑兡畂䝁䅣督湁䍁䅅䅊䕂䍁䅑兏祁䅁䅁杆䅍䝁䅷䅁湁䙁䅳䅕祂䝁䄸条求䝁䅍䅤杁䙁䅍兙祂䡁䅕䅉㉂䑁䅅杌㑂䝁䅷督㑂䙁䄰兑偂䕁䅫䅉啂䙁䅫睔杁䕁䅧睢獂䝁䅑兡畂䝁䅣督湁䍁䅅䅊䕂䍁䅑兏ㅁ䑁䅯䅊䕂䍁䅑免睁䑁䅅䅁塁睁䅁䅢䅁䍁䅣睗兂䡁䅉睢煂䝁䅕睙あ䍁䅁睕桂䡁䅉</t>
  </si>
  <si>
    <t>兤杁䡁䅙免畁䡁䅧䅢穂䡁䅧兘䉂䕁䄸兓杁䙁䅑兗偂䍁䅁䅓療䝁䅷䅚灂䝁䄴睚穂䍁䅣光歁䕁䅕䅊㍁䑁䅁杏歁䕁䅅兓歁䑁䅣䅍䅁䉁䑑䅁獂䅁䅁睊扂䙁䅁杣療䝁䅯党橂䡁䅑䅉呂䝁䅅杣ㅂ䍁䅁杤硁䍁䄴䅥獂䡁䅍䅥摂䕁䅅睔䩂䍁䅁䅖婂䕁䄸䅉䥂䝁䄸䅢歂䝁䅫杢湂䡁䅍睊桁䍁䅑兒歁䑁䅣免㙁䍁䅑兑䩂䍁䅑睎硁䅁䅁兆䅍䝁䅯䅁湁䙁䅳䅕祂䝁䄸条求䝁䅍䅤杁䙁䅍兙祂䡁䅕䅉㉂䑁䅅杌㑂䝁䅷督㑂䙁䄰兑偂䕁䅫䅉啂䙁䅫睔杁䕁䅧睢獂䝁䅑兡畂䝁䅣督湁䍁䅅䅊䙂䍁䅑兏祁䑁䅯䅊奂䍁䅑兏祁䅁䅁䅇䅍䝁䅯䅁湁䙁䅳䅕祂䝁䄸条求䝁䅍䅤杁䙁䅍兙祂䡁䅕䅉㉂䑁䅅杌㑂䝁䅷督㑂䙁䄰兑偂䕁䅫䅉啂䙁䅫睔杁䕁䅧睢獂䝁䅑兡畂䝁䅣督湁䍁䅅䅊䙂䍁䅑兏穁䑁䅯䅊奂䍁䅑兏穁䅁䅁兇䅍䕁䄴䅁湁䙁䅳䅕祂䝁䄸条求䝁䅍䅤杁䙁䅍兙祂䡁䅕䅉㉂䑁䅅杌㑂䝁䅷督㑂䙁䄰兑ㅂ䡁䅑睢䝂䝁䄸杣瑂䍁䅣光歁䕁䅑䅊㍁䑁䅉䅁⭁睁䅁杗䅁䍁䅣睗兂䡁䅉睢煂䝁䅕睙あ䍁䅁睕桂䡁䅉兤杁䡁䅙免畁䡁䅧䅢穂䡁䅧兘䉂䡁䅕䅤療䕁䅙睢祂䝁䄰睊桁䍁䅑䅒歁䑁䅣兎㙁䍁䅑䅒歁䑁䅧免䅁䑁䐸䅁佂䅁䅁睊扂䙁䅁杣療䝁䅯党橂䡁䅑䅉呂䝁䅅杣ㅂ䍁䅁杤硁䍁䄴䅥獂䡁䅍䅥摂䕁䅅兤あ䝁䄸杒療䡁䅉兢湁䍁䅅䅊䕂䍁䅑兏ぁ䅁䅁杊䅍䙁䅷䅁湁䙁䅳䅕祂䝁䄸条求䝁䅍䅤杁䙁䅍兙祂䡁䅕䅉㉂䑁䅅杌㑂䝁䅷督㑂䙁䄰兑ㅂ䡁䅑睢䝂䝁䄸杣瑂䍁䅣光歁䕁䅑䅊㕁䑁䅣杏歁䕁䅑䅊硁䑁䅁睍䅁䍁䑣䅁捂䅁䅁睊扂䙁䅁杣療䝁䅯党橂䡁䅑䅉呂䝁䅅杣ㅂ䍁䅁杤硁䍁䄴䅥獂䡁䅍䅥摂䕁䅅兤あ䝁䄸杒療䡁䅉兢湁䍁䅅䅊䙂䍁䅑睎祁䑁䅯䅊䉂䕁䅫䅊㍁䑁䅉䅁䅂睁䅁䅘䅁䍁䅣睗兂䡁䅉睢煂䝁䅕睙あ䍁䅁睕桂䡁䅉兤杁䡁䅙免畁䡁䅧䅢穂䡁䅧兘䉂䡁䅕䅤療䕁䅙睢祂䝁䄰睊桁䍁䅑兒歁䑁䅣睍㙁䍁䅑兑䩂䍁䅑睎穁䅁䅁兑䅍䙁䅯䅁湁䙁䅳䅕祂䝁䄸条求䝁䅍䅤杁䙁䅍兙祂䡁䅕䅉㉂䑁䅅杌㑂䝁䅷督㑂䙁䄰兑ㅂ䡁䅑睢䝂䝁䄸杣瑂䍁䅣光歁䕁䅕䅊㕁䑁䅑杏歁䙁䅧䅊㕁䑁䅑䅁潁睁䅁杗䅁䍁䅣睗兂䡁䅉睢煂䝁䅕睙あ䍁䅁睕桂䡁䅉兤杁䡁䅙免畁䡁䅧䅢穂䡁䅧兘䉂䡁䅕䅤療䕁䅙睢祂䝁䄰睊桁䍁䅑兒歁䑁䅫兎㙁䍁䅑䅗歁䑁䅫兎䅁䍁䑫䅁䵂䅁䅁睊扂䙁䅁杣療䝁䅯党橂䡁䅑䅉呂䝁䅅杣ㅂ䍁䅁杤硁䍁䄴䅥獂䡁䅍䅥摂䕁䅕杢求䡁䅣兡獂䝁䅷睊桁䍁䅑䅒歁䑁䅣䅍䅁䑁䑉䅁奂䅁䅁睊扂䙁䅁杣療䝁䅯党橂䡁䅑䅉呂䝁䅅杣ㅂ䍁䅁杤硁䍁䄴䅥獂䡁䅍䅥摂䕁䅕杢求䡁䅣兡獂䝁䅷睊桁䍁䅑䅒歁䑁䅣睍㙁䍁䅑䅒歁䑁䅧䅍䅁䑁䑍䅁䵂䅁䅁睊扂䙁䅁杣療䝁䅯党橂䡁䅑䅉呂䝁䅅杣ㅂ䍁䅁杤硁䍁䄴䅥獂䡁䅍䅥摂䕁䅕杢求䡁䅣兡獂䝁䅷睊桁䍁䅑䅒歁䑁䅫睍䅁䑁䑙䅁慂䅁䅁睊扂䙁䅁杣療䝁䅯党橂䡁䅑䅉呂䝁䅅杣ㅂ䍁䅁杤硁䍁䄴䅥獂䡁䅍䅥摂䕁䅕杢求䡁䅣兡獂䝁䅷睊桁䍁䅑䅒歁䑁䅫李㙁䍁䅑䅒歁䑁䅅䅍祁䅁䅁睎䅍䙁䅯䅁湁䙁䅳䅕祂䝁䄸条求䝁䅍䅤杁䙁䅍兙祂䡁䅕䅉㉂䑁䅅杌㑂䝁䅷督㑂䙁䄰兒畂䝁䅕睤灂䝁䅷䅢湁䍁䅅䅊䙂䍁䅑睎睁䑁䅯䅊䉂䕁䅫䅊㍁䑁䅁䅁ぁ睁䅁杗䅁䍁䅣睗兂䡁䅉睢煂䝁䅕睙あ䍁䅁睕桂䡁䅉兤杁䡁䅙免畁䡁䅧䅢穂䡁䅧兘䙂䝁䄴党㍂䝁䅫䅢獂䍁䅣光歁䕁䅕䅊㍁䑁䅅杏歁䕁䅅兓歁䑁䅣免䅁䑁䑕䅁奂䅁䅁睊扂䙁䅁杣療䝁䅯党橂䡁䅑䅉呂䝁䅅杣ㅂ䍁䅁杤硁䍁䄴䅥獂䡁䅍䅥摂䕁䅕杢求䡁䅣兡獂䝁䅷睊桁䍁䅑兒歁䑁䅫睍㙁䍁䅑䅗歁䑁䅫睍䅁䑁䑧䅁奂䅁䅁睊扂䙁䅁杣療䝁䅯党橂䡁䅑䅉呂䝁䅅杣ㅂ䍁䅁杤硁䍁䄴䅥獂䡁䅍䅥摂䕁䅕杢求䡁䅣兡獂䝁䅷睊桁䍁䅑兒歁䑁䅫䅎㙁䍁䅑䅗歁䑁䅫䅎䅁䑁䑫䅁敂䅁䅁睊扂䙁䅁杣療䝁䅯党橂䡁䅑䅉呂䝁䅅杣ㅂ䍁䅁杤硁䍁䄴䅥獂䡁䅍䅥摂䕁䅫睤桂䡁䅍兙牂䝁䅫䅉䙂䝁䅷党橂䡁䅑杣灂䝁䅍睊桁䍁䅑䅒歁䑁䅣䅍䅁䍁䑉䅁煂䅁䅁睊扂䙁䅁杣療䝁䅯党橂䡁䅑䅉呂䝁䅅杣ㅂ䍁䅁杤硁䍁䄴䅥獂䡁䅍䅥摂䕁䅫睤桂䡁䅍兙牂䝁䅫䅉䙂䝁䅷党橂䡁䅑杣灂䝁䅍睊桁䍁䅑䅒歁䑁䅣睍㙁䍁䅑䅒歁䑁䅣兏䅁䍁䑍䅁敂䅁䅁睊扂䙁䅁杣療䝁䅯党橂䡁䅑䅉呂䝁䅅杣ㅂ䍁䅁杤硁䍁䄴䅥獂䡁䅍䅥摂䕁䅫睤桂䡁䅍兙牂䝁䅫䅉䙂䝁䅷党橂䡁䅑杣灂䝁䅍睊桁䍁䅑䅒歁䑁䅫杍䅁䕁䑉䅁獂䅁䅁睊扂䙁䅁杣療䝁䅯党橂䡁䅑䅉呂䝁䅅杣ㅂ䍁䅁杤硁䍁䄴䅥獂䡁䅍䅥摂䕁䅫睤桂䡁䅍兙牂䝁䅫䅉䙂䝁䅷党橂䡁䅑杣灂䝁䅍睊桁䍁䅑䅒歁䑁䅫兎㙁䍁䅑䅒歁䑁䅅䅍硁䅁䅁睑䅍䝁䅷䅁湁䙁䅳䅕祂䝁䄸条求䝁䅍䅤杁䙁䅍兙祂䡁䅕䅉㉂䑁䅅杌㑂䝁䅷督㑂䙁䄰兓㍂䝁䅅督桂䝁䅳兡杁䕁䅕䅢求䝁䅍䅤祂䝁䅫睙湁䍁䅅䅊䙂䍁䅑睎睁䑁䅯䅊䉂䕁䅫䅊㍁䑁䅁䅁歁睁䅁䅢䅁䍁䅣睗兂䡁䅉睢煂䝁䅕睙あ䍁䅁睕桂䡁䅉兤杁䡁䅙免畁䡁䅧䅢穂䡁䅧兘䩂䡁䅣兙穂䝁䅅睡灂䍁䅁兒獂䝁䅕睙あ䡁䅉兡橂䍁䅣光歁䕁䅕䅊㍁䑁䅅杏歁䕁䅅兓歁䑁䅣免䅁䍁䑕䅁煂䅁䅁睊扂䙁䅁杣療䝁䅯党橂䡁䅑䅉呂䝁䅅杣ㅂ䍁䅁杤硁䍁䄴䅥獂䡁䅍䅥摂䕁䅫睤桂䡁䅍兙牂䝁䅫䅉䙂䝁䅷党橂䡁䅑杣灂䝁䅍睊桁䍁䅑兒歁䑁䅫杍㙁䍁䅑䅗歁䑁䅫杍䅁䕁䑑䅁煂䅁䅁睊扂䙁䅁杣療䝁䅯党橂䡁䅑䅉呂䝁䅅杣ㅂ䍁䅁杤硁䍁䄴䅥獂䡁䅍䅥摂䕁䅫睤桂䡁䅍兙牂䝁䅫䅉䙂䝁䅷党橂䡁䅑杣灂䝁䅍睊桁䍁䅑兒歁䑁䅫睍㙁䍁䅑䅗歁䑁䅫睍䅁䕁䑕䅁奂䅁䅁睊扂䙁䅁杣療䝁䅯党橂䡁䅑䅉呂䝁䅅杣ㅂ䍁䅁杤硁䍁䄴䅥獂䡁䅍䅥摂䕁䅳睢牂䡁䅕督桂䝁䅫䅉䱂䝁䄸睚㕂䝁䄸睊桁䍁䅑䅒歁䑁䅣䅍䅁䑁䑯䅁歂䅁䅁睊扂䙁䅁杣療䝁䅯党橂䡁䅑䅉呂䝁䅅杣ㅂ䍁䅁杤硁䍁䄴䅥獂䡁䅍䅥摂䕁䅳睢牂䡁䅕督桂䝁䅫䅉䱂䝁䄸睚㕂䝁䄸睊桁䍁䅑䅒歁䑁䅣睍㙁䍁䅑䅒歁䑁䅣兏䅁䑁䑳䅁奂䅁䅁睊扂䙁䅁杣療䝁䅯党橂䡁䅑䅉呂䝁䅅杣ㅂ䍁䅁杤硁䍁䄴䅥獂䡁䅍䅥摂䕁䅳睢牂䡁䅕督桂䝁䅫䅉䱂䝁䄸睚㕂䝁䄸睊桁䍁䅑䅒歁䑁䅫杍䅁䉁䑯䅁浂䅁䅁睊扂䙁䅁杣療䝁䅯党橂䡁䅑䅉呂䝁䅅杣ㅂ䍁䅁杤硁䍁䄴䅥獂䡁䅍䅥摂䕁䅳睢牂䡁䅕督桂䝁䅫䅉䱂䝁䄸睚㕂䝁䄸睊桁䍁䅑䅒歁䑁䅫兎㙁䍁䅑䅒歁䑁䅅䅍硁䅁䅁睇䅍䝁䅙䅁湁䙁䅳䅕祂䝁䄸条求䝁䅍䅤杁䙁䅍兙祂䡁䅕䅉㉂䑁䅅杌㑂䝁䅷督㑂䙁䄰睓療䝁䅳兤穂䝁䅅兡杁䕁䅳睢湂䡁䅫睢湁䍁䅅䅊䙂䍁䅑睎睁䑁䅯䅊䉂䕁䅫䅊㍁䑁䅁䅁㡁睁䅁杚䅁䍁䅣睗兂䡁䅉睢煂䝁䅕睙あ䍁䅁睕桂䡁䅉兤杁䡁䅙免畁䡁䅧䅢穂䡁䅧兘䱂䝁䄸睡ㅂ䡁䅍兙灂䍁䅁睓療䝁䅣入療䍁䅣光歁䕁䅕䅊㍁䑁䅅杏歁䕁䅅兓歁䑁䅣免䅁䑁䐰䅁歂䅁䅁睊扂䙁䅁杣療䝁䅯党橂䡁䅑䅉呂䝁䅅杣ㅂ䍁䅁杤硁䍁䄴䅥獂䡁䅍䅥摂䕁䅳睢牂䡁䅕督桂䝁䅫䅉䱂䝁䄸睚㕂䝁䄸睊桁䍁䅑兒歁䑁䅫杍㙁䍁䅑䅗歁䑁䅫杍䅁䉁䑷䅁歂䅁䅁睊扂䙁䅁杣療䝁䅯党橂䡁䅑䅉呂䝁䅅杣ㅂ䍁䅁杤硁䍁䄴䅥獂䡁䅍䅥摂䕁䅳睢牂䡁䅕督桂䝁䅫䅉䱂䝁䄸睚㕂䝁䄸睊桁䍁䅑兒歁䑁䅫睍㙁䍁䅑䅗歁䑁䅫睍䅁䉁䐰䅁楂䅁䅁睊扂䙁䅁杣療䝁䅯党橂䡁䅑䅉呂䝁䅅杣ㅂ䍁䅁杤硁䍁䄴䅥獂䡁䅍䅥摂䙁䅉兡湂䝁䅅睡ㅂ䍁䅁睑療䡁䅉䅣療䡁䅉兙あ䝁䅫睢畂䍁䅣光歁䕁䅑䅊㍁䑁䅁䅁煁睁䅁杢䅁䍁䅣睗兂䡁䅉睢煂䝁䅕睙あ䍁䅁睕桂䡁䅉兤杁䡁䅙免畁䡁䅧䅢穂䡁䅧兘卂䝁䅫睚桂䝁䅳兤杁䕁䅍睢祂䡁䅁睢祂䝁䅅䅤灂䝁䄸杢湁䍁䅅䅊䕂䍁䅑睎穁䑁䅯䅊䕂䍁䅑睎㕁䅁䅁睋䅍䝁䅉䅁湁䙁䅳䅕祂䝁䄸条求䝁䅍䅤杁䙁䅍兙祂䡁䅕䅉㉂䑁䅅杌㑂䝁䅷督㑂䙁䄰杕灂䝁䅣兙牂䡁䅕䅉䑂䝁䄸杣睂䝁䄸杣桂䡁䅑兡療䝁䄴睊桁䍁䅑䅒歁䑁䅫杍䅁䍁䐴䅁睂䅁䅁睊扂䙁䅁杣療䝁䅯党橂䡁䅑䅉呂䝁䅅杣ㅂ䍁䅁杤硁䍁䄴䅥獂䡁䅍䅥摂䙁䅉兡湂䝁䅅睡ㅂ䍁䅁睑療䡁䅉䅣療䡁䅉兙あ䝁䅫睢畂䍁䅣光歁䕁䅑䅊㕁䑁䅕杏歁䕁䅑䅊硁䑁䅁免䅁䍁䐸䅁畂䅁䅁睊扂䙁䅁杣療䝁䅯党橂䡁䅑䅉呂䝁䅅杣ㅂ䍁䅁杤硁䍁䄴䅥獂䡁䅍䅥摂䙁䅉兡湂䝁䅅睡ㅂ䍁䅁睑療䡁䅉䅣療䡁䅉兙あ䝁䅫睢畂䍁䅣光歁䕁䅕䅊㍁䑁䅁杏歁䙁䅧䅊㍁䑁䅁䅁獁睁䅁杢䅁䍁䅣睗兂䡁䅉睢煂䝁䅕睙あ䍁䅁睕桂䡁䅉兤杁䡁䅙免畁䡁䅧䅢穂䡁䅧兘卂䝁䅫睚桂䝁䅳兤杁䕁䅍睢祂䡁䅁睢祂䝁䅅䅤灂䝁䄸杢湁䍁䅅䅊䙂䍁䅑睎硁䑁䅯䅊奂䍁䅑睎硁䅁䅁兌䅍䝁䄴䅁湁䙁䅳䅕祂䝁䄸条求䝁䅍䅤杁䙁䅍兙祂䡁䅕䅉㉂䑁䅅杌㑂䝁䅷督㑂䙁䄰杕灂䝁䅣兙牂䡁䅕䅉䑂䝁䄸杣睂䝁䄸杣桂䡁䅑兡療䝁䄴睊桁䍁䅑兒歁䑁䅫杍㙁䍁䅑䅗歁䑁䅫杍䅁䑁䑁䅁畂䅁䅁睊扂䙁䅁杣療䝁䅯党橂䡁䅑䅉呂䝁䅅杣ㅂ䍁䅁杤硁䍁䄴䅥獂䡁䅍䅥摂䙁䅉兡湂䝁䅅睡ㅂ䍁䅁睑療䡁䅉䅣療䡁䅉兙あ䝁䅫睢畂䍁䅣光歁䕁䅕䅊㕁䑁䅍杏歁䙁䅧䅊㕁䑁䅍䅁硁睁䅁杓䅁䍁䅣睗兂䡁䅉睢煂䝁䅕睙あ䍁䅁睕桂䡁䅉兤杁䡁䅙免畁䡁䅧䅢穂䡁䅧兘啂䝁䄸䅤療䝁䅳兤湁䍁䅅䅊䕂䍁䅑睎睁䅁䅁杈䅍䙁䅙䅁湁䙁䅳䅕祂䝁䄸条求䝁䅍䅤杁䙁䅍兙祂䡁䅕䅉㉂䑁䅅杌㑂䝁䅷督㑂䙁䄰䅖療䡁䅑睢牂䡁䅕睊桁䍁䅑䅒歁䑁䅣睍㙁䍁䅑䅒歁䑁䅣兏䅁䉁䐸䅁䭂䅁䅁睊扂䙁䅁杣療䝁䅯党橂䡁䅑䅉呂䝁䅅杣ㅂ䍁䅁杤硁䍁䄴䅥獂䡁䅍䅥摂䙁䅑睢あ䝁䄸睡ㅂ䍁䅣光歁䕁䅑䅊㕁䑁䅉䅁䝂睁䅁䅗䅁䍁䅣睗兂䡁䅉睢煂䝁䅕睙あ䍁䅁睕桂䡁䅉兤杁䡁䅙免畁䡁䅧䅢穂䡁䅧兘啂䝁䄸䅤療䝁䅳兤湁䍁䅅䅊䕂䍁䅑兏ㅁ䑁䅯䅊䕂䍁䅑免睁䑁䅅䅁䡂睁䅁䅗䅁䍁䅣睗兂䡁䅉睢煂䝁䅕睙あ䍁䅁睕桂䡁䅉兤杁䡁䅙免畁䡁䅧䅢穂䡁䅧兘啂䝁䄸䅤療䝁䅳兤湁䍁䅅䅊䙂䍁䅑睎睁䑁䅯䅊䉂䕁䅫䅊㍁䑁䅁䅁杁睁䅁䅗䅁䍁䅣睗兂䡁䅉睢煂䝁䅕睙あ䍁䅁睕桂䡁䅉兤杁䡁䅙免畁䡁䅧䅢穂䡁䅧兘啂䝁䄸䅤療䝁䅳兤湁䍁䅅䅊䙂䍁䅑睎硁䑁䅯䅊䉂䕁䅫䅊㍁䑁䅅䅁桁睁䅁杖䅁䍁䅣睗兂䡁䅉睢煂䝁䅕睙あ䍁䅁睕桂䡁䅉兤杁䡁䅙免畁䡁䅧䅢穂䡁䅧兘啂䝁䄸䅤療䝁䅳兤湁䍁䅅䅊䙂䍁䅑兏祁䑁䅯䅊奂䍁䅑兏祁䅁䅁䅓䅍䙁䅙䅁湁䙁䅳䅕祂䝁䄸条求䝁䅍䅤杁䙁䅍兙祂䡁䅕䅉㉂䑁䅅杌㑂䝁䅷督㑂䙁䄰䅖療䡁䅑睢牂䡁䅕睊桁䍁䅑兒歁䑁䅫睍㙁䍁䅑䅗歁䑁䅫睍䅁䕁䑫䅁䵂䅁䅁睊扂䙁䅁杣療䝁䅯党橂䡁䅑䅉呂䝁䅅杣ㅂ䍁䅁杤硁䍁䄴䅥獂䡁䅍䅥摂䙁䅕来桂䝁䅉兙穂䝁䅕睊桁䍁䅑䅒歁䑁䅣䅍䅁䅁䑧䅁奂䅁䅁睊扂䙁䅁杣療䝁䅯党橂䡁䅑䅉呂䝁䅅杣ㅂ䍁䅁杤硁䍁䄴䅥獂䡁䅍䅥摂䙁䅕来桂䝁䅉兙穂䝁䅕睊桁䍁䅑䅒歁䑁䅣睍㙁䍁䅑䅒歁䑁䅣兏䅁䅁䑫䅁䵂䅁䅁睊扂䙁䅁杣療䝁䅯党橂䡁䅑䅉呂䝁䅅杣ㅂ䍁䅁杤硁䍁䄴䅥獂䡁䅍䅥摂䙁䅕来桂䝁䅉兙穂䝁䅕睊桁䍁䅑䅒歁䑁䅫杍䅁䅁䐴䅁慂䅁䅁睊扂䙁䅁杣療䝁䅯党橂䡁䅑䅉呂䝁䅅杣ㅂ䍁䅁杤硁䍁䄴䅥獂䡁䅍䅥摂䙁䅕来桂䝁䅉兙穂䝁䅕睊桁䍁䅑䅒歁䑁䅫兎㙁䍁䅑䅒歁䑁䅅䅍硁䅁䅁睄䅍䙁䅯䅁湁䙁䅳䅕祂䝁䄸条求䝁䅍䅤杁䙁䅍兙祂䡁䅕䅉㉂䑁䅅杌㑂䝁䅷督㑂䙁䄰兖㙂䝁䅅杙桂䡁䅍党湁䍁䅅䅊䙂䍁䅑睎睁䑁䅯䅊䉂䕁䅫䅊㍁䑁䅁䅁䭁睁䅁杗䅁䍁䅣睗兂䡁䅉睢煂䝁䅕睙あ䍁䅁睕桂䡁䅉兤杁䡁䅙免畁䡁䅧䅢穂䡁䅧兘噂䡁䅯兙楂䝁䅅督求䍁䅣光歁䕁䅕䅊㍁䑁䅅杏歁䕁䅅兓歁䑁䅣免䅁䅁䑳䅁奂䅁䅁睊扂䙁䅁杣療䝁䅯党橂䡁䅑䅉呂䝁䅅杣ㅂ䍁䅁杤硁䍁䄴䅥獂䡁䅍䅥摂䙁䅕来桂䝁䅉兙穂䝁䅕睊桁䍁䅑兒歁䑁䅫杍㙁䍁䅑䅗歁䑁䅫杍䅁䉁䑁䅁奂䅁䅁睊扂䙁䅁杣療䝁䅯党橂䡁䅑䅉呂䝁䅅杣ㅂ䍁䅁杤硁䍁䄴䅥獂䡁䅍䅥摂䙁䅕来桂䝁䅉兙穂䝁䅕睊桁䍁䅑兒歁䑁䅫睍㙁䍁䅑䅗歁䑁䅫睍䅁䉁䑅䅁奂䅁䅁睊扂䙁䅁杣療䝁䅯党橂䡁䅑䅉呂䝁䅅杣ㅂ䍁䅁杤祁䍁䄴䅥獂䡁䅍䅥摂䕁䅳睢牂䡁䅕督桂䝁䅫䅉䱂䝁䄸睚㕂䝁䄸睊桁䍁䅑䅒歁䑁䅣䅍䅁䕁䐰䅁歂䅁䅁睊扂䙁䅁杣療䝁䅯党橂䡁䅑䅉呂䝁䅅杣ㅂ䍁䅁杤祁䍁䄴䅥獂䡁䅍䅥摂䕁䅳睢牂䡁䅕督桂䝁䅫䅉䱂䝁䄸睚㕂䝁䄸睊桁䍁䅑䅒歁䑁䅣睍㙁䍁䅑䅒歁䑁䅣兏䅁䕁䐴䅁奂䅁䅁睊扂䙁䅁杣療䝁䅯党橂䡁䅑䅉呂䝁䅅杣ㅂ䍁䅁杤祁䍁䄴䅥獂䡁䅍䅥摂䕁䅳睢牂䡁䅕督桂䝁䅫䅉䱂䝁䄸睚㕂䝁䄸睊桁䍁䅑䅒歁䑁䅫杍䅁䙁䑅䅁浂䅁䅁睊扂䙁䅁杣療䝁䅯党橂䡁䅑䅉呂䝁䅅杣ㅂ䍁䅁杤祁䍁䄴䅥獂䡁䅍䅥摂䕁䅳睢牂䡁䅕督桂䝁䅫䅉䱂䝁䄸睚㕂䝁䄸睊桁䍁䅑䅒歁䑁䅫兎㙁䍁䅑䅒歁䑁䅅䅍硁䅁䅁杕䅍䝁䅙䅁湁䙁䅳䅕祂䝁䄸条求䝁䅍䅤杁䙁䅍兙祂䡁䅕䅉㉂䑁䅉杌㑂䝁䅷督㑂䙁䄰睓療䝁䅳兤穂䝁䅅兡杁䕁䅳睢湂䡁䅫睢湁䍁䅅䅊䙂䍁䅑睎睁䑁䅯䅊䉂䕁䅫䅊㍁䑁䅁䅁偂睁䅁杚䅁䍁䅣睗兂䡁䅉睢煂䝁䅕睙あ䍁䅁睕桂䡁䅉兤杁䡁䅙杍畁䡁䅧䅢穂䡁䅧兘䱂䝁䄸睡ㅂ䡁䅍兙灂䍁䅁睓療䝁䅣入療䍁䅣光歁䕁䅕䅊㍁䑁䅅杏歁䕁䅅兓歁䑁䅣免䅁䙁䑁䅁歂䅁䅁睊扂䙁䅁杣療䝁䅯党橂䡁䅑䅉呂䝁䅅杣ㅂ䍁䅁杤祁䍁䄴䅥獂䡁䅍䅥摂䕁䅳睢牂䡁䅕督桂䝁䅫䅉䱂䝁䄸睚㕂䝁䄸睊桁䍁䅑兒歁䑁䅫杍㙁䍁䅑䅗歁䑁䅫杍䅁䙁䑍䅁歂䅁䅁睊扂䙁䅁杣療䝁䅯党橂䡁䅑䅉呂䝁䅅杣ㅂ䍁䅁杤祁䍁䄴䅥獂䡁䅍䅥摂䕁䅳睢牂䡁䅕督桂䝁䅫䅉䱂䝁䄸睚㕂䝁䄸睊桁䍁䅑兒歁䑁䅫睍㙁䍁䅑䅗歁䑁䅫睍䅁䙁䑑䅁祂䅁䅁睊扂䙁䅁杣療䝁䅯党橂䡁䅑䅉呂䝁䅍䅡桂䝁䅅䅢杁䍁䄰䅉䑂䝁䄸䅣灂䝁䅕杌㑂䝁䅷督㑂䙁䄰䅖潂䝁䅕䅉乂䝁䄸杙灂䝁䅷兡あ䡁䅫䅉䥂䝁䄸兤穂䝁䅕睊桁䍁䅑䅒歁䑁䅅䅍㉁䅁䅁末䅙䥁䅁䅁湁䙁䅳䅕祂䝁䄸条求䝁䅍䅤杁䙁䅍睙潂䝁䅅兙獂䍁䅁兌杁䕁䅍睢睂䝁䅫党畁䡁䅧䅢穂䡁䅧兘啂䝁䅧党杁䕁䄰睢楂䝁䅫䅢灂䡁䅑入杁䕁䅧睢ㅂ䡁䅍党湁䍁䅅䅊䕂䍁䅑免睁䑁䅫杏歁䕁䅑䅊硁䑁䅅兎䅁偁䝳䅁睂䅁䅁睊扂䙁䅁杣療䝁䅯党橂䡁䅑䅉呂䝁䅍䅡桂䝁䅅䅢杁䍁䄰䅉䑂䝁䄸䅣灂䝁䅕杌㑂䝁䅷督㑂䙁䄰䅖潂䝁䅕䅉乂䝁䄸杙灂䝁䅷兡あ䡁䅫䅉䥂䝁䄸兤穂䝁䅕睊桁䍁䅑䅒歁䑁䅧免䅁偁䝙䅁㡂䅁䅁睊扂䙁䅁杣療䝁䅯党橂䡁䅑䅉呂䝁䅍䅡桂䝁䅅䅢杁䍁䄰䅉䑂䝁䄸䅣灂䝁䅕杌㑂䝁䅷督㑂䙁䄰䅖潂䝁䅕䅉乂䝁䄸杙灂䝁䅷兡あ䡁䅫䅉䥂䝁䄸兤穂䝁䅕睊桁䍁䅑䅒歁䑁䅧睍㙁䍁䅑䅒歁䑁䅫䅎䅁偁䝣䅁䅃䅁䅁睊扂䙁䅁杣療䝁䅯党橂䡁䅑䅉呂䝁䅍䅡桂䝁䅅䅢杁䍁䄰䅉䑂䝁䄸䅣灂䝁䅕杌㑂䝁䅷督㑂䙁䄰䅖潂䝁䅕䅉乂䝁䄸杙灂䝁䅷兡あ䡁䅫䅉䥂䝁䄸兤穂䝁䅕睊桁䍁䅑兒歁䑁䅅䅍㉁䑁䅯䅊奂䍁䅑免睁䑁䅙䅁㡄杂䅁䅧䅁䍁䅣睗兂䡁䅉睢煂䝁䅕睙あ䍁䅁睕橂䝁䅧兙桂䝁䅷䅉瑁䍁䅁睑療䡁䅁兡求䍁䄴䅥獂䡁䅍䅥摂䙁䅑䅡求䍁䅁兔療䝁䅉兡獂䝁䅫䅤㕂䍁䅁䅓療䡁䅕督求䍁䅣光歁䕁䅕䅊硁䑁䅁睎㙁䍁䅑䅗歁䑁䅅䅍㍁䅁䅁儯䅙䡁䄴䅁湁䙁䅳䅕祂䝁䄸条求䝁䅍䅤杁䙁䅍睙潂䝁䅅兙獂䍁䅁兌杁䕁䅍睢睂䝁䅫党畁䡁䅧䅢穂䡁䅧兘啂䝁䅧党杁䕁䄰睢楂䝁䅫䅢灂䡁䅑入杁䕁䅧睢ㅂ䡁䅍党湁䍁䅅䅊䙂䍁䅑䅏硁䑁䅯䅊䉂䕁䅫䅊㑁䑁䅅䅁㑄杂䅁杦䅁䍁䅣睗兂䡁䅉睢煂䝁䅕睙あ䍁䅁睕橂䝁䅧兙桂䝁䅷䅉瑁䍁䅁睑療䡁䅁兡求䍁䄴䅥獂䡁䅍䅥摂䙁䅑䅡求䍁䅁兔療䝁䅉兡獂䝁䅫䅤㕂䍁䅁䅓療䡁䅕督求䍁䅣光歁䕁䅕䅊㑁䑁䅉杏歁䕁䅅兓歁䑁䅧杍䅁偁䝫䅁䭂䅁䅁睊扂䙁䅁杣療䝁䅯党橂䡁䅑䅉呂䝁䅍䅡桂䝁䅅䅢畁䡁䅧䅢穂䡁䅧兘䑂䝁䄸兢睂䝁䅅杢㕂䍁䅣光歁䕁䅑䅊㍁䑁䅅䅁浄杂䅁杖䅁䍁䅣睗兂䡁䅉睢煂䝁䅕睙あ䍁䅁睕橂䝁䅧兙桂䝁䅷杌㑂䝁䅷督㑂䙁䄰睑療䝁䄰䅣桂䝁䄴入湁䍁䅅䅊䕂䍁䅑睎穁䑁䅯䅊䕂䍁䅑睎㍁䅁䅁眵䅙䕁䅯䅁湁䙁䅳䅕祂䝁䄸条求䝁䅍䅤杁䙁䅍睙潂䝁䅅兙獂䍁䄴䅥獂䡁䅍䅥摂䕁䅍睢瑂䡁䅁兙畂䡁䅫睊桁䍁䅑䅒歁䑁䅧兏䅁佁䝯䅁坂䅁䅁睊扂䙁䅁杣療䝁䅯党橂䡁䅑䅉呂䝁䅍䅡桂䝁䅅䅢畁䡁䅧䅢穂䡁䅧兘䑂䝁䄸兢睂䝁䅅杢㕂䍁䅣光歁䕁䅑䅊㕁䑁䅉杏歁䕁䅑䅊㕁䑁䅧䅁牄杂䅁䅗䅁䍁䅣睗兂䡁䅉睢煂䝁䅕睙あ䍁䅁睕橂䝁䅧兙桂䝁䅷杌㑂䝁䅷督㑂䙁䄰睑療䝁䄰䅣桂䝁䄴入湁䍁䅅䅊䙂䍁䅑睎硁䑁䅯䅊䉂䕁䅫䅊㍁䑁䅅䅁潄杂䅁䅗䅁䍁䅣睗兂䡁䅉睢煂䝁䅕睙あ䍁䅁睕橂䝁䅧兙桂䝁䅷杌㑂䝁䅷督㑂䙁䄰睑療䝁䄰䅣桂䝁䄴入湁䍁䅅䅊䙂䍁䅑睎祁䑁䅯䅊䉂䕁䅫䅊㍁䑁䅉䅁灄杂䅁杖䅁䍁䅣睗兂䡁䅉睢煂䝁䅕睙あ䍁䅁睕橂䝁䅧兙桂䝁䅷杌㑂䝁䅷督㑂䙁䄰睑療䝁䄰䅣桂䝁䄴入湁䍁䅅䅊䙂䍁䅑䅏㕁䑁䅯䅊奂䍁䅑䅏㕁䅁䅁䄷䅙䙁䅙䅁湁䙁䅳䅕祂䝁䄸条求䝁䅍䅤杁䙁䅍睙潂䝁䅅兙獂䍁䄴䅥獂䡁䅍䅥摂䕁䅍睢瑂䡁䅁兙畂䡁䅫睊桁䍁䅑兒歁䑁䅫䅍㙁䍁䅑䅗歁䑁䅫䅍䅁佁䜰䅁楂䅁䅁睊扂䙁䅁杣療䝁䅯党橂䡁䅑䅉呂䝁䅍䅡桂䝁䅅䅢畁䡁䅧䅢穂䡁䅧兘啂䝁䅧党杁䕁䄰睢楂䝁䅫䅢灂䡁䅑入杁䕁䅧睢ㅂ䡁䅍党湁䍁䅅䅊䕂䍁䅑免睁䑁䅣䅁畄杂䅁䅣䅁䍁䅣睗兂䡁䅉睢煂䝁䅕睙あ䍁䅁睕橂䝁䅧兙桂䝁䅷杌㑂䝁䅷督㑂䙁䄰䅖潂䝁䅕䅉乂䝁䄸杙灂䝁䅷兡あ䡁䅫䅉䥂䝁䄸兤穂䝁䅕睊桁䍁䅑䅒歁䑁䅅免睁䑁䅯䅊䕂䍁䅑免硁䑁䅙䅁癄杂䅁䅙䅁䍁䅣睗兂䡁䅉睢煂䝁䅕睙あ䍁䅁睕橂䝁䅧兙桂䝁䅷杌㑂䝁䅷督㑂䙁䄰䅖潂䝁䅕䅉乂䝁䄸杙灂䝁䅷兡あ䡁䅫䅉䥂䝁䄸兤穂䝁䅕睊桁䍁䅑䅒歁䑁䅧免䅁偁䝉䅁獂䅁䅁睊扂䙁䅁杣療䝁䅯党橂䡁䅑䅉呂䝁䅍䅡桂䝁䅅䅢畁䡁䅧䅢穂䡁䅧兘啂䝁䅧党杁䕁䄰睢楂䝁䅫䅢灂䡁䅑入杁䕁䅧睢ㅂ䡁䅍党湁䍁䅅䅊䕂䍁䅑䅏穁䑁䅯䅊䕂䍁䅑兏ㅁ䅁䅁眸䅙䡁䅁䅁湁䙁䅳䅕祂䝁䄸条求䝁䅍䅤杁䙁䅍睙潂䝁䅅兙獂䍁䄴䅥獂䡁䅍䅥摂䙁䅑䅡求䍁䅁兔療䝁䅉兡獂䝁䅫䅤㕂䍁䅁䅓療䡁䅕督求䍁䅣光歁䕁䅕䅊硁䑁䅁睎㙁䍁䅑䅗歁䑁䅅䅍㍁䅁䅁䄸䅙䡁䅁䅁湁䙁䅳䅕祂䝁䄸条求䝁䅍䅤杁䙁䅍睙潂䝁䅅兙獂䍁䄴䅥獂䡁䅍䅥摂䙁䅑䅡求䍁䅁兔療䝁䅉兡獂䝁䅫䅤㕂䍁䅁䅓療䡁䅕督求䍁䅣光歁䕁䅕䅊硁䑁䅁䅏㙁䍁䅑䅗歁䑁䅅䅍㑁䅁䅁儸䅙䝁䄴䅁湁䙁䅳䅕祂䝁䄸条求䝁䅍䅤杁䙁䅍睙潂䝁䅅兙獂䍁䄴䅥獂䡁䅍䅥摂䙁䅑䅡求䍁䅁兔療䝁䅉兡獂䝁䅫䅤㕂䍁䅁䅓療䡁䅕督求䍁䅣光歁䕁䅕䅊㑁䑁䅅杏歁䕁䅅兓歁䑁䅧免䅁偁䝑䅁畂䅁䅁睊扂䙁䅁杣療䝁䅯党橂䡁䅑䅉呂䝁䅍䅡桂䝁䅅䅢畁䡁䅧䅢穂䡁䅧兘啂䝁䅧党杁䕁䄰睢楂䝁䅫䅢灂䡁䅑入杁䕁䅧睢ㅂ䡁䅍党湁䍁䅅䅊䙂䍁䅑䅏祁䑁䅯䅊䉂䕁䅫䅊㑁䑁䅉䅁ㅄ杂䅁杖䅁䍁䅣睗兂䡁䅉睢煂䝁䅕睙あ䍁䅁睕灂䡁䅉党畂䍁䅁兌杁䑁䅉䅍祁䑁䅍杌㑂䝁䅷督㑂䙁䄰睑療䝁䄰䅣桂䝁䄴入湁䍁䅅䅊䕂䍁䅑睎硁䅁䅁兘䅍䝁䅉䅁湁䙁䅳䅕祂䝁䄸条求䝁䅍䅤杁䙁䅍兡祂䝁䅕杢杁䍁䄰䅉祁䑁䅁杍穁䍁䄴䅥獂䡁䅍䅥摂䕁䅍睢瑂䡁䅁兙畂䡁䅫睊桁䍁䅑䅒歁䑁䅣睍㙁䍁䅑䅒歁䑁䅣睎䅁䙁䐴䅁坂䅁䅁睊扂䙁䅁杣療䝁䅯党橂䡁䅑䅉呂䝁䅫杣求䝁䄴䅉瑁䍁䅁杍睁䑁䅉睍畁䡁䅧䅢穂䡁䅧兘䑂䝁䄸兢睂䝁䅅杢㕂䍁䅣光歁䕁䅑䅊㑁䑁䅫䅁桂睁䅁杙䅁䍁䅣睗兂䡁䅉睢煂䝁䅕睙あ䍁䅁睕灂䡁䅉党畂䍁䅁兌杁䑁䅉䅍祁䑁䅍杌㑂䝁䅷督㑂䙁䄰睑療䝁䄰䅣桂䝁䄴入湁䍁䅅䅊䕂䍁䅑兏祁䑁䅯䅊䕂䍁䅑兏㑁䅁䅁杙䅍䝁䅉䅁湁䙁䅳䅕祂䝁䄸条求䝁䅍䅤杁䙁䅍兡祂䝁䅕杢杁䍁䄰䅉祁䑁䅁杍穁䍁䄴䅥獂䡁䅍䅥摂䕁䅍睢瑂䡁䅁兙畂䡁䅫睊桁䍁䅑兒歁䑁䅣免㙁䍁䅑䅗歁䑁䅣免䅁䙁䐸䅁楂䅁䅁睊扂䙁䅁杣療䝁䅯党橂䡁䅑䅉呂䝁䅫杣求䝁䄴䅉瑁䍁䅁杍睁䑁䅉睍畁䡁䅧䅢穂䡁䅧兘䑂䝁䄸兢睂䝁䅅杢㕂䍁䅣光歁䕁䅕䅊㍁䑁䅉杏歁䙁䅧䅊㍁䑁䅉䅁杂睁䅁杙䅁䍁䅣睗兂䡁䅉睢煂䝁䅕睙あ䍁䅁睕灂䡁䅉党畂䍁䅁兌杁䑁䅉䅍祁䑁䅍杌㑂䝁䅷督㑂䙁䄰睑療䝁䄰䅣桂䝁䄴入湁䍁䅅䅊䙂䍁䅑䅏㕁䑁䅯䅊奂䍁䅑䅏㕁䅁䅁睙䅍䝁䅉䅁湁䙁䅳䅕祂䝁䄸条求䝁䅍䅤杁䙁䅍兡祂䝁䅕杢杁䍁䄰䅉祁䑁䅁杍穁䍁䄴䅥獂䡁䅍䅥摂䕁䅍睢瑂䡁䅁兙畂䡁䅫睊桁䍁䅑兒歁䑁䅫䅍㙁䍁䅑䅗歁䑁䅫䅍䅁䝁䑑䅁煁䅁䅁䅋䩂䝁䄴杤桂䝁䅷兡歂䍁䅁兓歂䝁䅕杢あ䝁䅫杚灂䝁䅕杣灁䅁䅁兊䅁䑁䅉䅁潁䕁䅫杢㉂䝁䅅䅢灂䝁䅑䅉啂䡁䅉兙畂䡁䅍兙橂䡁䅑兡療䝁䄴䅉䩂䝁䅑克䅁偁䅧䅁坁䅁䅁免祁䍁䄸杍硁䍁䄸杍睁䑁䅉睍䅁䥁䙫䅁慂䅁䅁杍杁䕁䅣党桂䝁䄴䅤杁䕁䅧入睂䝁䅕杣瑂䝁䅅杣牂䝁䅕䅤穂䍁䅁兡畂䍁䅁兔療䝁䄴䅤桂䡁䅕杙桂䝁䄴䅉桂䝁䄴䅚杁䕁䄴党㉂䝁䅕杣穂䅁䅁关䅉䱁䅯䅁祁䍁䅁睒灄䝁䅅杢あ䍁䅁䅓㕂䡁䅁党祂䝁䄰兙祂䝁䅳党あ䡁䅍䅉桂䝁䄴䅚杁䑁䅉䅉䵂䝁䅕兙歂䝁䅕杣杁䙁䅁杣灂䝁䅍党杁䙁䅍䅤療䡁䅉党穂䍁䅁睢浂䍁䅁睑桂䡁䅍兡畂䝁䄸䅌杁䕁䅣兤灂䝁䅍䅡桂䡁䅉䅚瑁䙁䅁党祂䡁䅉兙橂䝁䅧睢畂䍁䅁睕療䝁䅍兡灄䡁䅑儶杁䕁䅅杢療䝁䄴入瑂䝁䅕䅁穃杁䅁杔䅅䑁䅉䅉䡂佁䅫兙畂䡁䅑䅉䥂䡁䅫䅣求䡁䅉兢桂䡁䅉睡求䡁䅑督杁䝁䅅杢歂䍁䅁杍杁䕁䅷党桂䝁䅑党祂䍁䅁䅕祂䝁䅫睙求䍁䅁睕あ䝁䄸杣求䡁䅍䅉療䝁䅙䅉䑂䝁䅅督灂䝁䄴睢獁䍁䅁睒ㅂ䝁䅫睙潂䝁䅅杣歂䍁䄰䅕求䡁䅉杣桂䝁䅍䅡療䝁䄴䅉呂䝁䄸睙灂佁䅫䅤灄䍁䅁兑畂䝁䄸杢㕂䝁䄰党杁䝁䅍睢瑂䡁䅁杣灂䡁䅍党穂䍁䅁䅡㕂䡁䅁党祂䍁䅁兢桂䡁䅉睡求䡁䅑督杁䝁䅅杢歂䍁䅁䅣祂䝁䅫睙求䍁䅁督あ䝁䄸杣求䡁䅍杌杁䙁䅑䅡求䍁䅁兙穂䡁䅍党あ䍁䅁兡穂䍁䅁䅢療䝁䅍兙あ䝁䅕䅚杁䝁䅫杢杁䕁䅙杣桂䝁䄴睙求䍁䄴䅁㕃杁䅁䅤䅁䑁䅍兔杁䕁䅅䅤あ䝁䅕杢あ䝁䅫䅉䵂䡁䅑䅚畁䍁䅁䅋畂䝁䅳兙㙁䕁䅅䅤あ䝁䅕杢あ䝁䅫䅉䙂䝁䅷党橂䡁䅑杣療䝁䄴兡橂䍁䅁兔療䝁䄴兡あ䝁䄸杣灂䝁䄴睚獁䍁䅁䅔あ䝁䅑杌灁䅁䅁兄䅅䉁䅑䅁ぁ䑁䅍杍㑁䑁䅁睍㍁䑁䅣免䅁䍁䉉䅁啁䅁䅁李癁䑁䅍䅍癁䑁䅉䅍祁䑁䅍䅁㝂兂䅁杕䅁䕁䅅䅒啂䙁䅉兑佂䍁䅷䅉䩂䝁䄴睙畁䍁䅁䅋畂䝁䅳兙㙁䕁䅅䅒啂䙁䅉兑佂䍁䅁䅓療䝁䅷䅚灂䝁䄴睚穂䍁䅷䅉䩂䝁䄴睙畁䍁䅫䅁㡁允䅁䅡䅁䕁䅅䅒坂䕁䅅䅉偂䡁䅁䅤灂䝁䅍兙獂䍁䅁杔求䡁䅑睤療䡁䅉睡灂䝁䄴睚杁䙁䅍兒杁䍁䅧杢牂䝁䅅杏䉂䝁䅑䅤祂䝁䅅杢杁䕁䄴党あ䡁䅣睢祂䝁䅳督杁䙁䅍兒灁䅁䅁䅋䅅䉁䅉䅁䉂䕁䅫兔㙁䕁䅑兑啂䕁䅅䅁瑂睁䅁杅䅁䕁䅅兓乂䑁䅯兔奂䕁䅍䅖䅁䱁䝍䅁十䅁䅁兑䩂䕁䄰杏卂䕁䅕䅒奂䅁䅁入䅕䉁䅯䅁䉂䕁䄰兒啂䕁䅕睓獁䍁䅁兓畂䝁䅍杌䅁䑁䉅䅁慁䅁䅁兑乂䕁䅫兔偂䕁䄴䅌杁䕁䅫杢橂䍁䄴䅁汁允䅁䅇䅍䕁䅅兔䩂䕁䄰睔佂䍁䅷䅉䩂䝁䄴睙畁䍁䅁䅚求䡁䅙党獂䝁䄸䅣穂䍁䅁兙畂䝁䅑䅉瑂䝁䅅杢ㅂ䝁䅙兙橂䡁䅑兤祂䝁䅕督杁䡁䅣兡祂䝁䅕䅢求䡁䅍督杁䡁䅙兡歂䝁䅕睢杁䝁䄰睢歂䝁䅕兢穂䍁䅁杚療䡁䅉䅉あ䝁䅧党杁䝁䄰党歂䝁䅫睙桂䝁䅷䅌杁䡁䅁杣療䝁䅙党穂䡁䅍兡療䝁䄴兙獂䍁䅁睙桂䝁䄰党祂䝁䅅䅌杁䝁䅅杢歂䍁䅁兙ㅂ䝁䅑兡療䍁䄸杤灂䝁䅑党療䍁䅁兡畂䡁䅍䅤桂䝁䅷䅢桂䡁䅑兡療䝁䄴䅉瑂䝁䅅杣牂䝁䅕䅤穂䍁䄴䅉啂䝁䅧党杁䝁䅍睢瑂䡁䅁兙畂䡁䅫䅉㍂䝁䅅督杁䝁䅙睢ㅂ䝁䄴䅚求䝁䅑䅉灂䝁䄴䅉祁䑁䅁䅍ぁ䍁䅁兙畂䝁䅑䅉灂䡁䅍䅉楂䝁䅅督求䝁䅑䅉灂䝁䄴䅉呂䝁䅅杢杁䕁䅯睢穂䝁䅕䅌杁䕁䅍兙獂䝁䅫杚療䡁䅉杢灂䝁䅅䅉㍂䝁䅫䅤潂䍁䅁兙歂䝁䅑兡あ䝁䅫睢畂䝁䅅䅢杁䝁䄸杚浂䝁䅫睙求䡁䅍䅉灂䝁䄴䅉䡂䡁䅕兙畂䝁䅣来潂䝁䄸兤獁䍁䅁睑潂䝁䅫杢桂䑁䅳䅉桂䝁䄴䅚杁䙁䅑睢牂䡁䅫睢獁䍁䅁杓桂䡁䅁兙畂䍁䄴䅉䩂䡁䅑䅉潂䝁䅅督杁䝁䅅䅉卂䍁䅙䅒杁䝁䅍党畂䡁䅑杣求䍁䅁兡畂䍁䅁杕桂䉁杫兙畂䝁䅅杢桂䍁䅷䅉䩂䡁䅍杣桂䝁䅕䅢畁䍁䅁兑穂䍁䅁睢浂䍁䅁杔療䡁䅙党瑂䝁䅉党祂䍁䅁䅏獁䍁䅁杍睁䑁䅅䅏獁䍁䅁兑乂䕁䅫兔偂䕁䄴䅌杁䕁䅫杢橂䍁䄴䅉療䡁䅁党祂䝁䅅䅤求䡁䅍䅉桂䡁䅍䅉桂䍁䅁督ㅂ䝁䅉督灂䝁䅑兡桂䡁䅉入杁䝁䄸杚杁䙁䅑䅡求䍁䅁杖灂䡁䅑党橂䍁䅁睒祂䝁䄸兤睂䍁䅁䅣獂䝁䅍杌䅁䙁䉕䅁允䅁䅁兑呂䙁䅧杏䉂䕁䅙睒䅁䉁䍕䅁十䅁䅁兑呂䙁䅧杏䍂䙁䅧村杁䅁䅁䅺䅉䅁䅧䅁䉂䙁䅕䅒䅁佁䉑䅁祁䅁䅁兑桂䡁䅙兙穂䍁䅁杒灂䝁䄴兙畂䝁䅍兡求䡁䅉督杁䕁䅷兡瑂䝁䅫䅤求䝁䅑䅁敁杁䅁䅏䅁䕁䅅睙桂䝁䅍兡桂䍁䅁睑療䝁䄰兢ㅂ䝁䄴兡橂䝁䅅䅤灂䝁䄸杢穂䍁䅷䅉䩂䝁䄴睙畁䅁䅁睊䅅䵁䡑䅁䉂䝁䅍兙橂䝁䅫兙杁䕁䅍睢瑂䝁䄰兤畂䝁䅫睙桂䡁䅑兡療䝁䄴督獁䍁䅁兓畂䝁䅍杌杁䝁䅑党㉂䝁䅕䅢療䡁䅁督獁䍁䅁兢桂䝁䄴兤浂䝁䅅睙あ䡁䅕杣求䡁䅍䅌杁䝁䅅杢歂䍁䅁杣求䡁䅑兙灂䝁䅷督杁䡁䅍兡獂䝁䅫睙療䝁䄴兌楂䝁䅅督求䝁䅑䅉潂䝁䅫睚潂䍁䄰督睂䝁䅕党歂䍁䅁睢睂䡁䅑兡橂䝁䅅䅢杁䝁䅫杢あ䝁䅕杣橂䝁䄸杢畂䝁䅕睙あ䍁䅁䅣祂䝁䄸䅚ㅂ䝁䅍䅤穂䍁䄴䅉啂䝁䅧党杁䝁䅍睢瑂䡁䅁兙畂䡁䅫睊穂䍁䅁䅣祂䝁䄸䅚ㅂ䝁䅍䅤穂䍁䅁兡畂䝁䅍䅢ㅂ䝁䅑党杁䝁䄰兤獂䡁䅑兡瑁䝁䅧兙ㅂ䝁䅷䅉瑂䝁䄸䅚ㅂ䝁䅷党穂䍁䅷䅉穂䡁䅕睙潂䍁䅁兙穂䍁䅁兑䑂䍁䅁免祁䑁䅁䅍獁䍁䅁兑䑂䍁䅁䅎睁䑁䅁䅉浂䝁䅷党㑂䍁䅷䅉桂䝁䄴䅚杁䕁䅍兓乂䍁䅁䅏㝁䍁䅁兔呂䕁䅅䅉睂䝁䅷兤湂䝁䅣兙楂䝁䅷党杁䝁䄰睢歂䡁䅕䅢求䡁䅍䅉あ䝁䅧兙あ䍁䅁兡畂䝁䅍䅢ㅂ䝁䅑党杁䕁䅍兒兂䍁䄰䅒䑂䕁䄸䅌杁䕁䅍杒兂䑁䅉䅌杁䕁䄸睕䝂䙁䅁䅌杁䝁䅅杢歂䍁䅁兕呂䕁䅙䅕瑁䕁䅑䅒㝁䍁䅁督求䝁䄰兡橂䝁䄸杢歂䡁䅕睙あ䝁䄸杣杁䡁䅁杣療䝁䅑兤橂䡁䅑督杁䡁䅑䅡桂䡁䅑䅉灂䝁䄴睙獂䡁䅕䅚求䍁䅁䅒呂䙁䅁䅉䉂䙁䅍兓䑂䍁䅁䅣祂䝁䄸䅚ㅂ䝁䅍䅤穂䍁䅁兙畂䝁䅑䅉穂䝁䅫䅢灂䝁䅍睢畂䍁䅁䅣潂䝁䄸䅤療䝁䄴兡橂䍁䅁兡畂䡁䅑党湂䡁䅉兙あ䝁䅕䅚杁䝁䅍兡祂䝁䅍兤灂䡁䅑督㝁䍁䅁兙畂䝁䅑䅉睂䝁䅷兤湂䝁䅣兙楂䝁䅷党杁䝁䄰睢歂䡁䅕䅢求䡁䅍䅌杁䝁䄸䅣あ䝁䅫睙桂䝁䅷䅉灂䝁䄴䅤求䡁䅉睙療䝁䄴杢求䝁䅍䅤求䝁䅑䅉睂䡁䅉睢歂䡁䅕睙あ䡁䅍䅌杁䝁䄸䅣あ䝁䅫睙桂䝁䅷䅉あ䡁䅉兙畂䡁䅍兢灂䡁䅍督灂䝁䄸杢杁䡁䅁杣療䝁䅑兤橂䡁䅑督獁䍁䅁兙畂䝁䅑䅉穂䝁䅕兢灂䝁䅍睢畂䝁䅑兤橂䡁䅑睢祂䡁䅍杌杁䕁䅫䅤穂䍁䅁兙睂䡁䅁䅢灂䝁䅍兙あ䝁䅫睢畂䡁䅍䅉灂䝁䄴睙獂䡁䅕䅚求䍁䅁睙獂䝁䄸兤歂䍁䄸䅒䑂䕁䅫䅌杁䝁䄰党あ䡁䅉睢杁䝁䅍兙祂䡁䅉兡求䡁䅉䅌杁䝁䅷睢畂䝁䅣䅉潂䝁䅅兤獂䍁䅷䅉橂䝁䅅杙獂䝁䅕䅉桂䝁䅍睙求䡁䅍督杁䝁䅅杢歂䍁䅁杣求䝁䄰睢あ䝁䅕䅉兂䕁䅧兗獁䍁䅁督ㅂ䝁䅉兢桂䡁䅉兡畂䝁䅕䅌杁䡁䅣兡祂䝁䅕䅢求䡁䅍督杁䝁䅅睙橂䝁䅕督穂䍁䅷䅉桂䝁䄴䅚杁䡁䅣兡祂䝁䅕䅚杁䝁䅅睙橂䝁䅕督穂䍁䄴䅉啂䝁䅧党杁䝁䅍睢瑂䡁䅁兙畂䡁䅫䅉穂䝁䅕䅢獂䡁䅍䅉灂䡁䅑督杁䡁䅁杣療䝁䅑兤橂䡁䅑督杁䡁䅑䅡祂䝁䄸兤湂䝁䅧䅉求䡁䅅兤灂䡁䅁兢求䝁䄴䅤杁䝁䄰兙畂䡁䅕杚桂䝁䅍䅤ㅂ䡁䅉党祂䡁䅍䅌杁䝁䄴党あ䡁䅣睢祂䝁䅳䅉療䡁䅁党祂䝁䅅䅤療䡁䅉督獁䍁䅁兙畂䝁䅑䅉橂䝁䅷睢ㅂ䝁䅑䅉穂䝁䅕杣㉂䝁䅫睙求䍁䅁䅣祂䝁䄸杤灂䝁䅑党祂䡁䅍杌杁䕁䅅睙桂䝁䅍兡桂䍁䅁睑療䝁䄰兢ㅂ䝁䄴兡橂䝁䅅䅤灂䝁䄸杢穂䍁䅷䅉䩂䝁䄴睙畁䍁䅁睤桂䡁䅍䅉灂䝁䄴睙療䡁䅉䅣療䡁䅉兙あ䝁䅕䅚杁䝁䅫杢杁䑁䅉䅍睁䑁䅫䅉桂䝁䄴䅚杁䝁䅫督杁䝁䅉兙穂䝁䅕䅚杁䝁䅫杢杁䕁䄰兙㕂䝁䄴兙祂䝁䅑䅌杁䕁䄰兙穂䡁䅍兙橂䝁䅧兤穂䝁䅕䅤あ䡁䅍䅉㍂䝁䅫䅤潂䍁䅁兙歂䝁䅑兡あ䝁䅫睢畂䝁䅅䅢杁䝁䄸杚浂䝁䅫睙求䡁䅍䅉灂䝁䄴䅉佂䝁䄸杣あ䝁䅧䅉䉂䝁䄰党祂䝁䅫睙桂䍁䅷䅉䙂䡁䅕杣療䡁䅁党獁䍁䅁兙畂䝁䅑䅉あ䝁䅧党杁䕁䅅督灂䝁䅅䅉兂䝁䅅睙灂䝁䅙兡橂䍁䄴䅉䉂䡁䅍䅉療䝁䅙䅉乂䝁䅅杣橂䝁䅧䅉硁䍁䅷䅉祁䑁䅁杍硁䍁䅷䅉䉂䝁䅍兙橂䝁䅫兙杁䕁䅍睢瑂䝁䄰兤畂䝁䅫睙桂䡁䅑兡療䝁䄴督獁䍁䅁兓畂䝁䅍杌杁䝁䄸䅣求䡁䅉兙あ䝁䅕督杁䝁䅅督杁䝁䅅䅉穂䡁䅕杙穂䝁䅫䅚灂䝁䅅杣㕂䍁䅁睢浂䍁䅁睑灂䡁䅍睙療䍁䅁睕㕂䡁䅍䅤求䝁䄰督獁䍁䅁兓畂䝁䅍杌䅁䙁䉑䅁ぁ䅁䅁兑橂䡁䅑兡㉂䝁䅫督灂䝁䄸杢杁䕁䅉䅢灂䡁䅯来桂䡁䅉䅚獁䍁䅁兓畂䝁䅍杌䅁䕁䍯䅁䍂䅁䅁兑歂䝁䅅䅣あ䝁䅫杤求䍁䅁兔療䝁䅉兡獂䝁䅕䅉呂䝁䅕睙ㅂ䡁䅉兡あ䡁䅫䅉䵂䝁䅫兢灂䡁䅑党歂䅁䅁睆䅑䅁䭙䅁䉂䝁䅑兙睂䡁䅑兡㉂䝁䅕䅉乂䝁䄸杙灂䝁䅷党杁䙁䅍党橂䡁䅕杣灂䡁䅑入杁䕁䅷兡瑂䝁䅫䅤求䝁䅑䅉睂䡁䅉睢㉂䝁䅫䅚求䡁䅍䅉瑂䝁䄸杙灂䝁䅷党杁䡁䅍兙浂䝁䅕睚ㅂ䝁䅅杣歂䍁䅁兙畂䝁䅑䅉穂䝁䅕睙ㅂ䡁䅉兡あ䡁䅫䅉穂䝁䄸䅢ㅂ䡁䅑兡療䝁䄴督杁䡁䅑睢杁䡁䅁杣療䡁䅑党橂䡁䅑䅉穂䝁䅕杣㉂䝁䅫睙求䡁䅍䅉療䝁䄴䅉浂䝁䅫䅥求䝁䅑䅉桂䝁䄴䅚杁䝁䄰睢楂䝁䅫䅢求䍁䅁杢求䡁䅑睤療䡁䅉睡穂䍁䅁䅤潂䡁䅉睢ㅂ䝁䅣䅡杁䝁䅫杢瑁䝁䄴党あ䡁䅣睢祂䝁䅳䅉桂䝁䄴䅚杁䝁䅍䅢療䡁䅕䅚杁䡁䅍睢獂䡁䅕䅤灂䝁䄸杢穂䍁䄴䅉䩂䡁䅑䅉療䝁䅙杚求䡁䅉督杁䡁䅁杣療䝁䅑兤橂䡁䅑督獁䍁䅁睤潂䝁䅫睙潂䍁䅁兡畂䝁䅍䅢ㅂ䝁䅑党穂䍁䅁督灂䝁䅣杢桂䝁䅷兡畂䝁䅣䅉穂䝁䅕睙ㅂ䡁䅉兡あ䡁䅫䅌杁䝁䅫杢橂䝁䅷兤歂䝁䅫杢湂䍁䅁睕䩂䕁䅣兓䵂䍁䅷䅉穂䝁䅫睚畂䝁䅅䅢灂䝁䄴睚杁䡁䅁杣療䡁䅑党橂䡁䅑兡療䝁䄴䅌杁䝁䅅杢歂䍁䅁兎䡂䍁䅁督求䝁䅍兤祂䝁䅫䅤㕂䑁䅳䅉瑂䝁䅕督穂䝁䅅睚灂䝁䄴睚杁䡁䅍党橂䡁䅕杣灂䡁䅑入獁䍁䅁督ㅂ䝁䅍䅡杁䝁䅅督杁䝁䄰党穂䡁䅍兙湂䝁䅫杢湂䍁䅁䅣祂䝁䄸䅤求䝁䅍䅤灂䝁䄸杢獁䍁䅁杣求䡁䅙党畂䡁䅕党杁䡁䅁杣療䡁䅑党橂䡁䅑兡療䝁䄴䅌杁䙁䅍兒䑂䝁䅅兙呂䍁䅷䅉桂䝁䄴䅚杁䝁䅍睢瑂䝁䄰党祂䝁䅍兡桂䝁䅷䅉あ䡁䅉兙浂䝁䅙兡橂䍁䅁兢桂䝁䄴兙湂䝁䅕兢求䝁䄴䅤㝁䍁䅁兙畂䝁䅑䅉あ䝁䅧杣求䝁䅅䅤杁䝁䅫杢あ䝁䅕䅢獂䝁䅫睚求䝁䄴睙求䍁䅷䅉㍂䝁䅧兡橂䝁䅧䅉灂䝁䄴睙獂䡁䅕䅚求䡁䅍䅉穂䝁䅫睚畂䝁䅅䅢灂䝁䄴睚杁䝁䅫杢あ䝁䅕䅢獂䝁䅫睚求䝁䄴睙求䍁䅁兙畂䝁䅑䅉瑂䝁䅕督穂䝁䅅睚灂䝁䄴睚杁䝁䅫杢あ䝁䅕䅢獂䝁䅫睚求䝁䄴睙求䍁䄴䅉啂䝁䅧党杁䝁䅍睢瑂䡁䅁兙畂䡁䅫䅉睂䡁䅉睢㉂䝁䅫䅚求䡁䅍䅉灂䡁䅑督杁䡁䅍党祂䡁䅙兡橂䝁䅕督杁䝁䅙睢祂䍁䅁睤求䝁䅉䅉睂䡁䅉睢あ䝁䅕睙あ䝁䅫睢畂䍁䅷䅉あ䡁䅉兙浂䝁䅙兡橂䍁䅁杣求䡁䅑党畂䡁䅑兡療䝁䄴䅌杁䝁䅕杢あ䝁䅕杣睂䡁䅉兡穂䝁䅕䅉瑂䝁䄸杙灂䝁䅷党杁䡁䅍党橂䡁䅕杣灂䡁䅑入杁䝁䄰兙畂䝁䅅睚求䝁䄰党畂䡁䅑䅌杁䡁䅁党祂䡁䅍睢畂䝁䅅䅢杁䝁䅅杢歂䍁䅁䅣桂䡁䅉党畂䡁䅑兙獂䍁䅁睙療䝁䄴䅤祂䝁䄸䅢穂䍁䅷䅉桂䝁䄴䅚杁䙁䅍睕㍁䍁䅁䅣祂䝁䄸䅤求䝁䅍䅤灂䝁䄸杢㝁䍁䅁兙畂䝁䅑䅉呂䕁䅫睒䩂䕁䅷䅌杁䝁䅅䅉穂䝁䅕睙ㅂ䡁䅉兡あ䡁䅫䅉穂䝁䅕杣㉂䝁䅫睙求䍁䅁䅤潂䝁䅅䅤杁䝁䅕杢桂䝁䅉䅢求䍁䅁兢療䝁䅉兡獂䝁䅕䅉療䡁䅁党祂䝁䅅䅤療䡁䅉督杁䡁䅑睢杁䝁䄰兙㑂䝁䅫兢灂䡁䅯党杁䝁䅑党浂䝁䅕杢穂䝁䅕督杁䝁䅅睚桂䝁䅫杢穂䡁䅑䅉穂䝁䅫睚畂䝁䅅䅢灂䝁䄴睚杁䝁䅅䅤あ䝁䅅睙牂䡁䅍䅉浂䡁䅉睢瑂䍁䅁兙歂䡁䅙党祂䡁䅍兙祂䝁䅫党穂䍁䄴䅉啂䝁䅧党杁䝁䅍睢瑂䡁䅁兙畂䡁䅫䅉桂䝁䅷督療䍁䅁䅣祂䝁䄸杤灂䝁䅑党穂䍁䅁兢求䡁䅍督桂䝁䅣兡畂䝁䅣䅉桂䝁䅉兤穂䝁䅕䅉睂䡁䅉党㉂䝁䅕杢あ䝁䅫睢畂䍁䅷䅉穂䝁䅕杣㉂䝁䅫睙求䍁䅁睚桂䡁䅑党㍂䝁䅅入杁䡁䅁杣求䡁䅙党畂䡁䅑兡療䝁䄴䅌杁䝁䅅杢歂䍁䅁睚祂䝁䅕入杁䡁䅉睢ㅂ䡁䅑党杁䝁䅍睢畂䡁䅑杣療䝁䅷督杁䝁䄰兙畂䝁䅅睚求䝁䅑䅉穂䝁䅕杣㉂䝁䅫睙求䡁䅍杌杁䕁䅫䅤杁䡁䅍党祂䡁䅙党穂䍁䅁兢療䝁䅉兡獂䝁䅕䅉畂䝁䅕䅤㍂䝁䄸杣牂䍁䅁睢睂䝁䅕杣桂䡁䅑睢祂䡁䅍䅌杁䑁䅕睒杁䝁䄴党あ䡁䅣睢祂䝁䅳督獁䍁䅁兢求䡁䅍督桂䝁䅣兡畂䝁䅣䅉潂䡁䅕杙穂䍁䅁兙畂䝁䅑䅉桂䝁䅣睚祂䝁䅕睚桂䡁䅑睢祂䡁䅍䅌杁䕁䅍䅕桂䝁䅅睕獁䍁䅁兙畂䝁䅑䅉湂䝁䄸杤求䡁䅉杢瑂䝁䅕杢あ䡁䅍䅉桂䝁䄴䅚杁䡁䅉党湂䡁䅕䅢桂䡁䅑睢祂䡁䅍杌杁䙁䅑䅡求䍁䅁睙療䝁䄰䅣桂䝁䄴入杁䡁䅣兙穂䍁䅁兡畂䝁䅍睢祂䡁䅁睢祂䝁䅅䅤求䝁䅑䅉灂䝁䄴䅉祁䑁䅁䅍穁䍁䅁兙畂䝁䅑䅉灂䡁䅍䅉楂䝁䅅督求䝁䅑䅉灂䝁䄴䅉䕂䡁䅕杙獂䝁䅫杢獁䍁䅁兓祂䝁䅕䅢桂䝁䄴䅚畁䍁䅁兓あ䍁䅁䅡桂䡁䅍䅉桂䝁䅑䅚灂䡁䅑兡療䝁䄴兙獂䍁䅁睢浂䝁䅙兡橂䝁䅕督杁䝁䅫杢杁䕁䄴睢祂䡁䅑䅡杁䕁䅅兢求䡁䅉兡橂䝁䅅䅌杁䕁䅕兤祂䝁䄸䅣求䍁䅷䅉呂䝁䄸兤あ䝁䅧䅉䉂䝁䅙杣灂䝁䅍兙獁䍁䅁兔灂䝁䅑䅚獂䝁䅕䅉䙂䝁䅅督あ䍁䅷䅉桂䝁䄴䅚杁䕁䅅督灂䝁䅅䅉兂䝁䅅睙灂䝁䅙兡橂䍁䄴䅉䉂䡁䅍䅉療䝁䅙䅉䭂䡁䅕䅢㕂䍁䅁免㍁䍁䅷䅉祁䑁䅁杍硁䍁䅷䅉䉂䝁䅑兙睂䡁䅑兡㉂䝁䅕䅉乂䝁䄸杙灂䝁䅷党杁䙁䅍党橂䡁䅕杣灂䡁䅑入杁䕁䅷兡瑂䝁䅫䅤求䝁䅑䅉療䡁䅁党祂䝁䅅䅤求䡁䅍䅉桂䡁䅍䅉桂䍁䅁督ㅂ䝁䅉督灂䝁䅑兡桂䡁䅉入杁䝁䄸杚杁䕁䅕杢求䝁䅅䅉䉂䕁䅉䅉潁䡁䅁兤楂䝁䅷克畁䅁䅁睊䅑䑁䅑䅁䉂䝁䅑䅚㉂䝁䅅䅢ㅂ䝁䅕䅉啂䝁䅕睙潂䝁䄴睢獂䝁䄸睚灂䝁䅕督杁䕁䅷䅤歂䅁䅁睎䅁䵁䴴䅁䉂䝁䅑䅤祂䝁䅅杢杁䕁䄴党あ䡁䅣睢祂䝁䅳督杁䙁䅍兒杁䝁䅕杢湂䝁䅅睚求䡁䅍䅉灂䝁䄴䅉あ䝁䅧党杁䝁䅑党㉂䝁䅕䅢療䡁䅁兢求䝁䄴䅤獁䍁䅁兢桂䝁䄴兤浂䝁䅅睙あ䡁䅕杣求䍁䅷䅉桂䝁䄴䅚杁䡁䅍兙獂䝁䅕䅉療䡁䅁䅤灂䝁䅍兙獂䍁䅁兙畂䝁䅑䅉䙂䡁䅑䅡求䡁䅉杢求䡁䅑兌楂䝁䅅督求䝁䅑䅉畂䝁䅕䅤㍂䝁䄸杣牂䝁䅫杢湂䍁䅁督療䝁䅷兤あ䝁䅫睢畂䡁䅍䅉浂䝁䄸杣杁䡁䅑党獂䝁䅕睙療䝁䄰兢ㅂ䝁䄴兡橂䝁䅅䅤灂䝁䄸杢穂䍁䅁睙桂䡁䅉杣灂䝁䅕杣穂䍁䅁兙畂䝁䅑䅉求䝁䄴䅤求䡁䅉䅣祂䝁䅫督求䡁䅍䅉あ䝁䄸䅉歂䝁䅕䅢灂䡁䅙党祂䍁䅁䅚桂䡁䅑兙獁䍁䅁督あ䝁䄸杣桂䝁䅣党獁䍁䅁杤療䝁䅫睙求䍁䅷䅉桂䝁䄴䅚杁䡁䅙兡歂䝁䅕睢杁䡁䅍党祂䡁䅙兡橂䝁䅕督杁䡁䅣睢祂䝁䅷䅚㍂䝁䅫䅚求䍁䄴䅉䩂䡁䅑䅉療䝁䅙杚求䡁䅉督杁䝁䄸䅣求䝁䄴䅉療䡁䅁䅤灂䝁䅍兙獂䍁䅁䅤祂䝁䅅杢穂䡁䅁睢祂䡁䅑䅉穂䝁䄸䅢ㅂ䡁䅑兡療䝁䄴督獁䍁䅁督ㅂ䝁䅍䅡杁䝁䅅督杁䕁䅙睕兂䍁䅁睍睁䑁䅁䅍杁䝁䄸䅣求䝁䄴䅉あ䝁䅕杣瑂䝁䅫杢桂䝁䅷督獁䍁䅁杒呂䙁䅁䅉穁䑁䅁䅍睁䍁䅁睢睂䝁䅕杢杁䝁䅷兡畂䝁䅕䅉穂䡁䅫督あ䝁䅕兢穂䍁䅷䅉睂䝁䅷兤湂䝁䅣兙楂䝁䅷党穂䍁䅁兙畂䝁䅑䅉穂䡁䅕杙穂䡁䅫督あ䝁䅕兢穂䍁䅷䅉桂䝁䄴䅚杁䝁䄸䅣あ䝁䅫睙桂䝁䅷䅉桂䝁䅍睙求䡁䅍督杁䡁䅍睢獂䡁䅕䅤灂䝁䄸杢穂䑁䅳䅉睂䝁䅅睙牂䝁䅕䅤杁䝁䅕䅚湂䝁䅕䅉桂䝁䄴䅚杁䝁䅅睚湂䡁䅉党湂䝁䅅䅤灂䝁䄸杢杁䡁䅁杣療䝁䅑兤橂䡁䅑督獁䍁䅁兡畂䝁䅍䅢ㅂ䝁䅑兡畂䝁䅣䅉橂䝁䅅杣祂䝁䅫党祂䍁䅁兒あ䝁䅧党祂䝁䄴党あ䍁䅁兙畂䝁䅑䅉睂䡁䅉睢湂䡁䅉兙瑂䝁䄰兙楂䝁䅷党杁䝁䄰兤獂䡁䅑兡獂䝁䅅入求䡁䅉䅉求䝁䅑睚求䍁䅷䅉瑂䝁䅕䅤祂䝁䄸䅉桂䝁䅣睚祂䝁䅕睚桂䡁䅑兡療䝁䄴䅌杁䝁䅅杢歂䍁䅁党歂䝁䅣党杁䝁䅍睢瑂䡁䅁兤あ䝁䅫杢湂䍁䅁䅣祂䝁䄸䅚ㅂ䝁䅍䅤穂䑁䅳䅉歂䝁䅫督桂䝁䅣睚祂䝁䅕睚桂䡁䅑党歂䍁䅁杢求䡁䅑睤療䡁䅉睡灂䝁䄴睚獁䍁䅁督ㅂ䝁䅍䅡杁䝁䅅督杁䡁䅁兙橂䝁䅳党あ䍁䅁睢睂䡁䅑兡橂䝁䅅䅢杁䡁䅑党祂䝁䄰兡畂䝁䅅䅢穂䍁䅁兙畂䝁䅑䅉求䝁䄴督求䝁䄰杙獂䝁䅕䅉桂䝁䅍䅤灂䡁䅙兙あ䝁䄸杣穂䍁䄴䅉啂䝁䅧党杁䝁䅍睢瑂䡁䅁兙畂䡁䅫䅉桂䝁䅷督療䍁䅁䅣祂䝁䄸杤灂䝁䅑党穂䍁䅁杢求䡁䅑睤療䡁䅉睡杁䡁䅙兡祂䡁䅑兤桂䝁䅷兡㙂䝁䅅䅤灂䝁䄸杢杁䡁䅁杣療䝁䅑兤橂䡁䅑督杁䝁䅍睢瑂䡁䅁杣灂䡁䅍兡畂䝁䅣䅉求䝁䄴督求䝁䄰杙獂䝁䅕䅉橂䝁䄸杢畂䝁䅕睙あ䝁䄸杣穂䍁䅷䅉療䡁䅉睙潂䝁䅕督あ䡁䅉兙あ䝁䄸杣穂䍁䅷䅉桂䝁䄴䅚杁䝁䅧兙祂䝁䄰睢畂䡁䅫䅉求䝁䅍睢穂䡁䅫督あ䝁䅕兢穂䍁䅷䅉桂䡁䅍䅉㍂䝁䅕䅢獂䍁䅁兙穂䍁䅁睢睂䝁䅕杣桂䡁䅑党穂䍁䅁党畂䡁䅍党瑂䝁䅉䅢求䍁䅁杤灂䡁䅉䅤ㅂ䝁䅅䅢灂䡁䅯兙あ䝁䅫睢畂䍁䅁䅚灂䡁䅉党橂䡁䅑睢祂䍁䅷䅉桂䍁䅁兢桂䝁䄴兙湂䝁䅕兢求䝁䄴䅤杁䡁䅁䅢桂䡁䅑杚療䡁䅉兢杁䝁䅙睢祂䍁䅁䅤潂䝁䅕䅉橂䡁䅉党桂䡁䅑兡療䝁䄴䅉桂䝁䄴䅚杁䝁䅑党睂䝁䅷睢㕂䝁䄰党畂䡁䅑䅉療䝁䅙䅉㉂䝁䅫杣あ䡁䅕兙獂䝁䅫来求䝁䅑䅉穂䝁䅕杣㉂䝁䅫睙求䡁䅍睏杁䝁䄴党あ䡁䅣睢祂䝁䅳䅉灂䝁䄴杚祂䝁䅅督あ䡁䅉兤橂䡁䅑兤祂䝁䅕䅉桂䡁䅍督ㅂ䡁䅉兙畂䝁䅍党杁䡁䅁杣療䝁䅑兤橂䡁䅑督㝁䍁䅁䅤灂䝁䄰兡畂䝁䅣䅉桂䝁䄴䅚杁䡁䅍入畂䝁䅍䅡祂䝁䄸杢灂䡁䅯兙あ䝁䅫睢畂䍁䅁䅣祂䝁䄸䅚ㅂ䝁䅍䅤穂䑁䅳䅉桂䝁䄴䅚杁䝁䅅兤あ䝁䄸兢桂䡁䅑党歂䍁䅁杢求䡁䅑睤療䡁䅉睡杁䝁䄰兙畂䝁䅅睚求䝁䄰党畂䡁䅑䅉睂䡁䅉睢歂䡁䅕睙あ䡁䅍䅌杁䡁䅍兤橂䝁䅧䅉桂䡁䅍䅉求䝁䄴督求䝁䄰杙獂䝁䅕䅉療䡁䅁䅤灂䝁䅍兙獂䍁䅷䅉穂䡁䅫杢橂䍁䅷䅉浂䝁䅫杙求䡁䅉䅌杁䝁䅅杢歂䍁䅁䅣桂䝁䅍睡求䡁䅑䅉歂䝁䅫杣求䝁䅍䅤療䡁䅉䅌杁䝁䅅杢歂䍁䅁党畂䡁䅍党瑂䝁䅉䅢求䍁䅁睙療䝁䄴䅤祂䝁䄸䅢獂䝁䅕杣穂䍁䄴䅉䩂䝁䄴䅉桂䝁䅑䅚灂䡁䅑兡療䝁䄴䅌杁䝁䅫䅤杁䝁䄸杚浂䝁䅕杣穂䍁䅁䅣祂䝁䄸杚求䡁䅍督灂䝁䄸杢桂䝁䅷䅉穂䝁䅕杣㉂䝁䅫睙求䡁䅍䅉あ䝁䄸䅉楂䡁䅕兡獂䝁䅑䅌杁䝁䅍兙祂䝁䅕䅌杁䝁䅅杢歂䍁䅁党畂䝁䅅杙獂䝁䅕䅉あ䝁䅧党杁䝁䄴党あ䡁䅣睢祂䝁䅳督畁䍁䅁兑歂䡁䅑杣桂䝁䄴䅉佂䝁䅕䅤㍂䝁䄸杣牂䡁䅍䅉呂䕁䅕䅉穂䝁䅕䅢獂䡁䅍䅉灂䡁䅑督杁䡁䅁杣療䝁䅑兤橂䡁䅑督杁䡁䅑睢杁䡁䅑党獂䝁䅕睙療䝁䄰兢ㅂ䝁䄴兡橂䝁䅅䅤灂䝁䄸杢穂䍁䅁督求䡁䅉杤灂䝁䅍党杁䡁䅁杣療䡁䅙兡歂䝁䅕杣穂䍁䅷䅉睂䡁䅉兡㉂䝁䅅䅤求䍁䅁睙療䝁䄰䅣桂䝁䄴兡求䡁䅍䅌杁䡁䅕杢灂䡁䅙党祂䡁䅍兡あ䝁䅫党穂䍁䅷䅉桂䝁䄴䅚杁䝁䅣睢㉂䝁䅕杣畂䝁䄰党畂䡁䅑䅉桂䝁䅣党畂䝁䅍兡求䡁䅍䅉歂䝁䅫杣求䝁䅍䅤獂䡁䅫䅌杁䝁䅅督杁䡁䅣党獂䝁䅷䅉桂䡁䅍䅉あ䝁䅧杣療䡁䅕睚潂䍁䅁兙杁䝁䄴党あ䡁䅣睢祂䝁䅳䅉療䝁䅙䅉歂䝁䅫督あ䡁䅉兡楂䡁䅕䅤灂䝁䄸杢杁䡁䅁兙祂䡁䅑杢求䡁䅉督畁䍁䅁䅖潂䝁䅕䅉橂䝁䄸兢睂䝁䅅杢㕂䍁䅁睤桂䡁䅍䅉浂䝁䄸杣瑂䝁䅕杣獂䡁䅫䅉牂䝁䄴睢㍂䝁䄴䅉桂䡁䅍䅉䉂䕁䅑杖䉂䍁䅁睔睂䡁䅑兡橂䝁䅅䅢杁䕁䄴党あ䡁䅣睢祂䝁䅳兡畂䝁䅣䅉呂䕁䅕䅉桂䝁䄴䅚杁䝁䅍䅡桂䝁䄴睚求䝁䅑䅉灂䡁䅑督杁䝁䄴兙瑂䝁䅕䅉あ䝁䄸䅉䉂䝁䅑䅤祂䝁䅅杢杁䕁䄴党あ䡁䅣睢祂䝁䅳督杁䙁䅍兒杁䝁䅫杢杁䕁䅯兤畂䝁䅕䅉祁䑁䅁杍穁䍁䄴䅉啂䝁䅧党杁䝁䅍睢瑂䡁䅁兙畂䡁䅫䅉㍂䝁䅅督杁䝁䅙睢ㅂ䝁䄴䅚求䝁䅑䅉灂䝁䄴䅉硁䑁䅫兏ぁ䍁䅁兙畂䝁䅑䅉灂䡁䅍䅉潂䝁䅕兙歂䡁䅅兤桂䡁䅉䅤求䡁䅉党歂䍁䅁兡畂䍁䅁兔ㅂ䝁䄴兡橂䝁䅧䅌杁䕁䅣党祂䝁䄰兙畂䡁䅫杌杁䕁䅅䅚あ䡁䅉兙畂䍁䅁杔求䡁䅑睤療䡁䅉睡穂䍁䅁睕䙂䍁䅁睢睂䝁䅕杣桂䡁䅑党穂䍁䅁兙穂䍁䅁兙杁䡁䅍兤楂䡁䅍兡歂䝁䅫兙祂䡁䅫䅉療䝁䅙䅉䉂䕁䅑䅖卂䕁䅅杔杁䕁䅧睢獂䝁䅑兡畂䝁䅣督獁䍁䅁兓畂䝁䅍杌䅁䙁䉙䅁睁䅁䅁兑求䡁䅉睢潂䝁䅫杤求䍁䅁杔求䡁䅑睤療䡁䅉睡穂䍁䅷䅉䩂䝁䄴睙畁䅁䅁杋䅅䩁䍉䅁䉂䝁䅕杣療䝁䅧兡㉂䝁䅕䅉佂䝁䅕䅤㍂䝁䄸杣牂䡁䅍䅌杁䕁䅫杢橂䍁䄴䅉療䡁䅁党祂䝁䅅䅤求䡁䅍䅉灂䝁䄴䅉あ䝁䅧党杁䝁䅍睢瑂䝁䄰兤畂䝁䅫睙桂䡁䅑兡療䝁䄴督杁䝁䅕兣ㅂ䝁䅫䅣瑂䝁䅕杢あ䍁䅁兡畂䝁䅑兤穂䡁䅑杣㕂䍁䅷䅉灂䡁䅑督杁䡁䅁杣療䝁䅑兤橂䡁䅑䅉灂䝁䄴睙獂䡁䅕䅚求䡁䅍䅉畂䝁䅕䅤㍂䝁䄸杣牂䍁䅁兢桂䝁䄴兙湂䝁䅕兢求䝁䄴䅤獁䍁䅁睙獂䝁䄸兤歂䍁䄰兢桂䝁䄴兙湂䝁䅕䅚杁䕁䄴兑䑂䍁䅷䅉桂䝁䅍睙求䡁䅍督杁䡁䅁睢灂䝁䄴䅤獁䍁䅁杙祂䝁䅅杢橂䝁䅧䅉祂䝁䄸兤あ䝁䅕杣穂䍁䅷䅉桂䝁䄴䅚杁䡁䅍睤灂䡁䅑睙潂䝁䅕督畁䍁䅁䅖潂䝁䅕䅉橂䝁䄸兢睂䝁䅅杢㕂䍁䅁睤桂䡁䅍䅉灂䝁䄴睙療䡁䅉䅣療䡁䅉兙あ䝁䅕䅚杁䝁䅫杢杁䑁䅉䅍睁䑁䅙䅉桂䝁䄴䅚杁䝁䅫督杁䝁䅉兙穂䝁䅕䅚杁䝁䅫杢杁䕁䄰兡獂䡁䅁兡あ䝁䅅督獁䍁䅁睑桂䝁䅷兡浂䝁䄸杣畂䝁䅫兙畁䍁䅁兑求䡁䅉睢潂䝁䅫杤求䍁䅁杔求䡁䅑睤療䡁䅉睡穂䍁䅷䅉䩂䝁䄴睙畁䍁䅁睢睂䝁䅕杣桂䡁䅑党穂䍁䅁兙穂䍁䅁兙杁䡁䅍兤楂䡁䅍兡歂䝁䅫兙祂䡁䅫䅉療䝁䅙䅉䙂䡁䅧䅤祂䝁䅕兢求䍁䅁杔求䡁䅑睤療䡁䅉睡穂䍁䅷䅉䩂䝁䄴睙畁䅁䅁兗䅅䉁䅯䅁䉂䝁䅙杚灂䝁䄰党歂䍁䅁杔畁䙁䅙杌䅁䵁䘸䅁䭄睃䅁兑浂䝁䅙兡瑂䝁䅕䅚杁䕁䄴杌坂䍁䄴䅌杁䝁䅅䅉橂䝁䅷兡畂䝁䅫睙桂䝁䅷兌穂䡁䅑兙湂䝁䅕䅉楂䝁䅫睢睂䝁䅧兙祂䝁䄰兙橂䝁䅕兤あ䝁䅫睙桂䝁䅷䅉橂䝁䄸兢睂䝁䅅杢㕂䍁䅷䅉浂䝁䄸睙ㅂ䡁䅍党穂䍁䅁睢畂䍁䅁䅚灂䡁䅍睙療䡁䅙党祂䝁䅫杢湂䍁䅁兙畂䝁䅑䅉歂䝁䅕杤求䝁䅷睢睂䝁䅫杢湂䍁䅁睙桂䝁䄴睙求䡁䅉䅉灂䝁䄰兢ㅂ䝁䄴睢あ䝁䅧党祂䝁䅅䅣灂䝁䅕督杁䝁䅫杢杁䡁䅑䅡求䍁䅁兖畂䝁䅫䅤求䝁䅑䅉呂䡁䅑兙あ䝁䅕督獁䍁䅁睒求䡁䅉兢桂䝁䄴入獁䍁䅁兙畂䝁䅑䅉䙂䡁䅕杣療䡁䅁党畁䍁䅁兓あ䡁䅍䅉獂䝁䅕兙歂䍁䅁䅣祂䝁䄸䅚ㅂ䝁䅍䅤杁䝁䅍兙畂䝁䅑兡歂䝁䅅䅤求䡁䅍䅉灂䝁䄴睙獂䡁䅕䅚求䍁䅁兑䝂䕁䄰免穁䍁䅁䅤潂䝁䅅䅤杁䝁䅧兙穂䍁䅁睙療䝁䄰䅣獂䝁䅕䅤求䝁䅑䅉兂䝁䅧兙穂䝁䅕䅉祁䍁䅁睙獂䝁䅫杢灂䝁䅍兙獂䍁䅁䅤祂䝁䅫兙獂䍁䅁杚療䡁䅉䅉䑂䕁䅑睍睁䍁䄰䅣療䡁䅍兡あ䝁䅫杤求䍁䅁䅢㕂䝁䄰䅣潂䝁䄸兢桂䍁䅷䅉兂䝁䅧兙穂䝁䅕䅉䩂䕁䅫䅉橂䝁䅷兡畂䝁䅫睙桂䝁䅷䅉あ䡁䅉兡桂䝁䅷䅉浂䝁䄸杣杁䝁䅧睢歂䝁䅣睡灂䝁䄴䅉獂䡁䅫兢睂䝁䅧睢瑂䝁䅅䅌杁䝁䅅杢歂䍁䅁睙療䝁䄰䅣獂䝁䅕䅤求䝁䅑䅉兂䝁䅧兙穂䝁䅕䅉䩂䕁䅫䅉橂䝁䅷兡畂䝁䅫睙桂䝁䅷䅉穂䡁䅑兤歂䡁䅫䅉浂䝁䄸杣杁䡁䅁党祂䝁䅫䅣潂䝁䅕杣桂䝁䅷䅉啂䍁䄰睙求䝁䅷䅢杁䝁䅷入瑂䡁䅁䅡療䝁䄰兙㝁䍁䅁兑䝂䕁䄰杍ぁ䍁䅷䅉桂䍁䅁䅤求䡁䅑杣桂䡁䅙兙獂䝁䅕杢あ䍁䅷䅉楂䝁䅫督睂䝁䅕睙灂䝁䅙兡橂䍁䅁党睂䝁䅫䅚求䡁䅉兢桂䝁䅷䅉湂䡁䅉睢㍂䡁䅑䅡杁䝁䅙兙橂䡁䅑睢祂䍁䅁杣求䝁䅍党睂䡁䅑睢祂䍁䅷䅉桂䝁䄴䅚杁䕁䅍䅒硁䑁䅙兑瑁䝁䅉兡畂䝁䅑兡畂䝁䅣䅉灂䝁䄴杢桂䡁䅑党杁䝁䅍党獂䝁䅷䅉求䝁䄴睚桂䝁䅣党祂䍁䅷䅉㍂䝁䅧兡橂䝁䅧䅉灂䡁䅍䅉灂䝁䄴䅉兂䝁䅧兙穂䝁䅕䅉䩂䕁䅫兙杁䝁䅍䅢灂䝁䄴兡橂䝁䅅䅢杁䡁䅑杣灂䝁䅅䅢杁䝁䅙睢祂䍁䅁䅤潂䝁䅕䅉あ䡁䅉党桂䡁䅑兢求䝁䄴䅤杁䝁䄸杚杁䝁䅅䅚㉂䝁䅅杢橂䝁䅕䅚杁䝁䅍兙畂䝁䅍党祂䡁䅍睏杁䝁䅅杢歂䍁䅁兑䝂䕁䄰杍㑁䍁䅷䅉桂䝁䄴䅉灂䝁䄴杢桂䡁䅑党杁䝁䅍党獂䝁䅷䅉求䝁䄴睚桂䝁䅣党祂䍁䅁䅋䩂䕁䅍兒灁䍁䅷䅉㍂䝁䅧兡橂䝁䅧䅉灂䡁䅍䅉灂䝁䄴䅉睂䡁䅉党橂䝁䅷兡畂䝁䅫睙桂䝁䅷䅉歂䝁䅕杤求䝁䅷睢睂䝁䄰党畂䡁䅑䅉あ䝁䄸䅉あ䡁䅉党桂䡁䅑䅉桂䝁䅍兤あ䝁䅕䅉瑂䡁䅫党獂䝁䄸兡歂䍁䅁䅢求䡁䅕睡求䝁䄰兡桂䍁䄴䅉啂䝁䅧党杁䝁䅍睢瑂䡁䅁兙畂䡁䅫䅉桂䝁䅷督療䍁䅁䅚求䡁䅙党獂䝁䄸䅣穂䍁䅁兑䝂䕁䄰睍祁䍁䅷䅉桂䝁䄴䅉䩂䕁䅍兒杁䝁䅍兙畂䝁䅑兡歂䝁䅅䅤求䍁䅁䅤潂䝁䅅䅤杁䝁䅫督杁䝁䅫杢杁䡁䅁杣求䝁䅍䅢灂䝁䄴兡橂䝁䅅䅢杁䝁䅑党㉂䝁䅕䅢療䡁䅁兢求䝁䄴䅤杁䝁䅙睢祂䍁䅁䅤潂䝁䅕䅉あ䡁䅉党桂䡁䅑兢求䝁䄴䅤杁䝁䄸杚杁䡁䅍睢獂䝁䅫䅚杁䡁䅑兤瑂䝁䄸杣穂䍁䄴䅉䩂䝁䄴䅉桂䝁䅑䅚灂䡁䅑兡療䝁䄴䅌杁䝁䅫䅤杁䝁䅧兙穂䍁䅁睙療䝁䅷䅢桂䝁䅉睢祂䝁䅅䅤灂䝁䄸杢杁䡁䅣兡あ䝁䅧䅉䉂䡁䅉䅤灂䡁䅙兙杁䕁䅉兡療䡁䅑䅡求䡁䅉兙睂䝁䅕兤あ䝁䅫睙穂䍁䅁䅤療䍁䅁䅚求䡁䅙党獂䝁䄸䅣杁䡁䅑䅡求䍁䅁睙療䝁䄰杙灂䝁䄴兙あ䝁䅫睢畂䍁䅁睢浂䍁䅁兑䝂䕁䄰免穁䍁䅁睤灂䡁䅑䅡杁䕁䅅杣あ䝁䅫杤桂䉁杫督杁䕁䅅村瑁䑁䅅䅍硁䍁䅁杔䱂䍁䅁睙求䝁䅷䅢杁䡁䅑䅡求䡁䅉兙睂䡁䅫睏杁䝁䅷兡橂䝁䅕杢穂䝁䅕䅉桂䝁䄴䅚杁䡁䅍䅤祂䝁䅅䅤求䝁䅣兡橂䍁䅁睙療䝁䅷䅢桂䝁䅉睢祂䝁䅅䅤灂䝁䄸杢杁䝁䅅睚祂䝁䅕党瑂䝁䅕杢あ䍁䅁睤灂䡁䅑䅡杁䙁䅉睢灂䡁䅙兙畂䡁䅑䅉呂䝁䅍兡求䝁䄴睙求䡁䅍䅉䵂䡁䅑䅚畁䍁䅁䅤療䍁䅁䅚求䡁䅙党獂䝁䄸䅣杁䝁䅅杢歂䍁䅁睙療䝁䄰兢求䡁䅉睙灂䝁䅅䅢灂䡁䅯党杁䝁䄴睢㉂䝁䅕䅢杁䕁䅫睑䙂䍁䅁兢療䝁䅷党橂䡁䅕䅢求䡁䅍䅌杁䝁䅫杢橂䝁䅷兤歂䝁䅫杢湂䍁䅁兑䝂䕁䄰睍祁䍁䅷䅉灂䝁䄴䅉療䝁䄴睙療䝁䅷睢湂䡁䅫睏杁䝁䅅杢歂䍁䅁杣求䡁䅍党桂䡁䅉睙潂䍁䅁睙療䝁䅷䅢桂䝁䅉睢祂䝁䅅䅤灂䝁䄸杢杁䝁䅅杢歂䍁䅁䅢灂䝁䅍党畂䡁䅍党杁䝁䅅睚祂䝁䅕党瑂䝁䅕杢あ䍁䅁睤灂䡁䅑䅡杁䕁䅣党畂䝁䅕杢あ䝁䅕睙潂䍁䅁杚療䡁䅉䅉あ䝁䅧党杁䝁䅑党㉂䝁䅕䅢療䡁䅁兢求䝁䄴䅤杁䝁䅅杢歂䍁䅁睙療䝁䄰兢求䡁䅉睙灂䝁䅅䅢灂䡁䅯兙あ䝁䅫睢畂䍁䅁睢浂䍁䅁睙求䡁䅉䅤桂䝁䅫杢杁䡁䅁杣療䝁䅑兤橂䡁䅑䅉橂䝁䅅杢歂䝁䅫䅚桂䡁䅑党穂䍁䅷䅉㍂䝁䅧兡橂䝁䅧䅉灂䝁䄴睙獂䡁䅕䅚求䡁䅍䅉畂䝁䄸杤求䝁䅷䅉佂䕁䅳䅉橂䝁䅕䅢獂䍁䅁党畂䝁䅣兙湂䝁䅕杣瑁䝁䅉兙穂䝁䅕䅚杁䝁䅫兢瑂䡁䅕杢療䡁䅑䅡求䡁䅉兙睂䝁䅕兤あ䝁䅫睙穂䍁䅁䅤療䍁䅁䅤祂䝁䅕兙あ䍁䅁兢ㅂ䝁䅷䅤灂䡁䅁䅢求䍁䅁睙桂䝁䄴睙求䡁䅉督畁䍁䅁䅖潂䝁䅕䅉橂䝁䄸兢睂䝁䅅杢㕂䍁䅁睤桂䡁䅍䅉浂䝁䄸杣瑂䝁䅕杣獂䡁䅫䅉牂䝁䄴睢㍂䝁䄴䅉桂䡁䅍䅉䉂䝁䅙杚灂䝁䄰党歂䍁䅁䅖潂䝁䅕杣桂䡁䅁党ㅂ䡁䅑兡橂䡁䅍䅉䍂䍁䄴杖畁䍁䅁兙畂䝁䅑䅉橂䝁䅧兙畂䝁䅣党歂䍁䅁兡あ䡁䅍䅉畂䝁䅅兢求䍁䅁䅤療䍁䅁兑浂䝁䅙兡瑂䝁䅕䅚杁䕁䄴杌坂䍁䄴䅉灂䝁䄴䅉偂䝁䅍䅤療䝁䅉党祂䍁䅁杍睁䑁䅅䅎畁䍁䅁兑浂䝁䅙兡瑂䝁䅕䅚杁䕁䄴杌坂䍁䄴䅉㍂䝁䅅督杁䝁䅙睢ㅂ䝁䄴䅚求䝁䅑䅉灂䝁䄴䅉祁䑁䅁䅍睁䍁䅁兙畂䝁䅑䅉灂䡁䅍䅉潂䝁䅕兙歂䡁䅅兤桂䡁䅉䅤求䡁䅉党歂䍁䅁兡畂䍁䅁䅓求䝁䅫䅚求䝁䅷杙求䡁䅉睚獁䍁䅁睒求䡁䅉兢桂䝁䄴入畁䅁䅁睯䅕䑁䅷䅁䉂䝁䅙杚獂䝁䅕䅉䩂䝁䄴䅤求䡁䅉杢桂䡁䅑兡療䝁䄴兙獂䍁䅁䅕あ䝁䅕杌杁䕁䅷䅤歂䍁䄴䅁䱁杁䅁䅐䅁䕁䅅睚求䝁䄴䅤杁䙁䅙兡歂䝁䅕睢杁䕁䅫杢あ䝁䅕䅢獂䝁䅫睚求䝁䄴睙求䍁䅁䅔あ䝁䅑杌䅁䙁䅑䅁流睃䅁兑湂䝁䅕杢あ䍁䅁杖灂䝁䅑党療䍁䅁兓畂䡁䅑党獂䝁䅷兡湂䝁䅕杢橂䝁䅕䅉䵂䡁䅑䅚畁䍁䅁䅚求䡁䅙党獂䝁䄸䅣穂䍁䅁兙祂䡁䅑兡浂䝁䅫睙灂䝁䅅䅢杁䝁䅫杢あ䝁䅕䅢獂䝁䅫睚求䝁䄴睙求䍁䅁䅋䉂䕁䅫克杁䡁䅁睢㍂䝁䅕杣求䝁䅑䅉桂䝁䄴兙獂䡁䅫䅤灂䝁䅍督杁䡁䅍睢浂䡁䅑睤桂䡁䅉党杁䡁䅍睢獂䡁䅕䅤灂䝁䄸杢穂䍁䅁杚療䡁䅉䅉穂䝁䅕睙ㅂ䡁䅉兡あ䡁䅫䅉桂䝁䄴䅚杁䡁䅍兙浂䝁䅕䅤㕂䍁䅁杚療䡁䅉䅉療䡁䅉睚桂䝁䄴兡㙂䝁䅅䅤灂䝁䄸杢穂䍁䅁睤療䡁䅉䅢歂䡁䅣兡歂䝁䅕杌杁䙁䅑䅡求䍁䅁睙療䝁䄰䅣桂䝁䄴入杁䝁䄸杚浂䝁䅕杣穂䍁䅁兡畂䝁䄴睢坂䝁䅫䅌杁䝁䅅杢杁䕁䅅兓瑁䡁䅁睢㍂䝁䅕杣求䝁䅑䅉㉂䝁䅫䅚求䝁䄸䅉桂䝁䄴兙獂䡁䅫䅤灂䝁䅍督杁䡁䅍睢浂䡁䅑睤桂䡁䅉党杁䡁䅁䅢桂䡁䅑杚療䡁䅉兢杁䝁䅙睢祂䍁䅁督ㅂ䡁䅉杤求䝁䅫䅢獂䝁䅅杢橂䝁䅕䅉畂䝁䅕䅤㍂䝁䄸杣牂䡁䅍䅉睂䡁䅉睢㉂䝁䅫䅚求䝁䅑䅉桂䡁䅍䅉桂䍁䅁睙獂䝁䄸兤歂䍁䄰杙桂䡁䅍党歂䍁䅁睕桂䝁䅅睕杁䝁䄸杣杁䝁䄸杢瑁䡁䅁杣求䝁䄰兡穂䝁䅕䅉穂䝁䄸杚あ䡁䅣兙祂䝁䅕䅉浂䝁䄸杣杁䝁䅫杢穂䡁䅑兙獂䝁䅷兙あ䝁䅫睢畂䍁䅁兡畂䍁䅁睙ㅂ䡁䅍䅤療䝁䄰党祂䡁䅍升杁䝁䅫杢あ䝁䅕杣畂䝁䅅䅢杁䝁䄴党あ䡁䅣睢祂䝁䅳杌杁䙁䅑䅡求䍁䅁睙療䝁䄰䅣桂䝁䄴入杁䡁䅁杣療䡁䅙兡歂䝁䅕督杁䝁䅫杢畂䝁䄸杖灂䍁䅁杕求䝁䄰睢あ䝁䅕䅉䡂䡁䅕兙祂䝁䅑兡畂䝁䅣䅌杁䝁䅅杢杁䕁䅅兓瑁䍁䅁䅣療䡁䅣党祂䝁䅕䅚杁䡁䅙兡歂䝁䅕睢杁䝁䅅杢桂䝁䅷入あ䝁䅫睙穂䍁䅁䅣獂䝁䅅䅤浂䝁䄸杣瑂䍁䅁䅤潂䝁䅅䅤杁䝁䅅兤あ䝁䄸兢桂䡁䅑兡橂䝁䅅䅢獂䡁䅫䅉歂䝁䅕䅤求䝁䅍䅤穂䍁䅁督求䝁䅍兤祂䝁䅫䅤㕂䍁䅁杙祂䝁䅕兙橂䝁䅧党穂䍁䅷䅉穂䡁䅕睙潂䍁䅁兙穂䍁䅁䅣求䡁䅉兡瑂䝁䅕䅤求䡁䅉䅉灂䝁䄴䅤祂䡁䅕督灂䝁䄸杢杁䝁䅅杢歂䍁䅁兤畂䝁䅅兤あ䝁䅧睢祂䝁䅫来求䝁䅑䅉桂䝁䅍睙求䡁䅍督杁䡁䅑睢杁䝁䅙兙橂䝁䅫䅢灂䡁䅑兡求䡁䅍䅉桂䝁䄴䅚杁䝁䅣党畂䝁䅕杣桂䡁䅑兡畂䝁䅣䅉桂䝁䅷党祂䡁䅑督杁䝁䅫杢杁䡁䅉党桂䝁䅷兌あ䝁䅫兢求䑁䅳䅉灂䝁䄴杢療䙁䅙兡杁䕁䅫杢㉂䝁䅕督あ䝁䅫睚桂䡁䅑兡療䝁䄴䅌杁䝁䅅杢杁䕁䅅兓瑁䝁䅑杣灂䡁䅙党畂䍁䅁督求䝁䅅杣橂䝁䅧䅉求䝁䄴睚灂䝁䄴党杁䝁䅙睢祂䍁䅁杣求䝁䅍睢祂䝁䅑党歂䍁䅁杤灂䝁䅑党療䑁䅳䅉桂䝁䄴䅚杁䝁䅫杢畂䝁䄸杖灂䍁䅁兒畂䡁䅑党祂䡁䅁杣灂䡁䅍党獁䍁䅁兙畂䍁䅁兑䩂䍁䄰䅣療䡁䅣党祂䝁䅕䅚杁䡁䅙兡歂䝁䅕睢杁䝁䅅杢桂䝁䅷入あ䝁䅫睙穂䍁䅁䅣獂䝁䅅䅤浂䝁䄸杣瑂䍁䅁睙療䝁䄰杙灂䝁䄴党穂䍁䅁杣求䝁䅅䅢杁䡁䅑兡瑂䝁䅕䅉求䡁䅙党畂䡁䅑䅉歂䝁䅕䅤求䝁䅍䅤灂䝁䄸杢獁䍁䅁杤灂䝁䅑党療䍁䅁督求䝁䅅杣橂䝁䅧䅌杁䝁䅉兤穂䝁䅫杢求䡁䅍督杁䝁䅫杢あ䝁䅕䅢獂䝁䅫睚求䝁䄴睙求䍁䅁睙桂䡁䅁兙楂䝁䅫䅢灂䡁䅑兡求䡁䅍䅌杁䝁䅅杢療䝁䄰兙獂䡁䅫䅉歂䝁䅕䅤求䝁䅍䅤灂䝁䄸杢獁䍁䅁兙畂䝁䅑䅉瑂䝁䅅䅣瑁䝁䅉兙穂䝁䅕䅚杁䝁䅣党療䡁䅍䅣桂䡁䅑兡桂䝁䅷䅉灂䝁䄴䅤求䡁䅉杚桂䝁䅍党畁䍁䅁兓あ䍁䅁督求䡁䅉杤求䡁䅍䅉橂䝁䅫䅤㕂䍁䅁督ㅂ䡁䅉杤求䝁䅫䅢獂䝁䅅杢橂䝁䅕䅌杁䝁䅍杣灂䡁䅑兡橂䝁䅅䅢杁䝁䅫杢浂䡁䅉兙穂䡁䅑杣ㅂ䝁䅍䅤ㅂ䡁䅉党獁䍁䅁党歂䡁䅕睙桂䡁䅑兡療䝁䄴䅌杁䝁䅕杢あ䝁䅕杣睂䡁䅉兡穂䝁䅕䅉桂䝁䄴䅚杁䝁䅫杢歂䡁䅕督あ䡁䅉入獁䍁䅁睙求䝁䄴䅤祂䝁䅅䅢杁䝁䄰睢畂䝁䅫䅤療䡁䅉兡畂䝁䅣䅌杁䝁䅕杢あ䝁䅕杣あ䝁䅅兡畂䝁䄰党畂䡁䅑䅉桂䝁䄴䅚杁䝁䅧睢穂䡁䅁兡あ䝁䅅䅢灂䡁䅑入獁䍁䅁䅡灂䝁䅣䅡㍂䝁䅅入杁䡁䅍兤祂䡁䅙党灂䝁䅷䅢桂䝁䄴睙求䍁䅷䅉獂䝁䅅睤杁䝁䅕杢浂䝁䄸杣橂䝁䅕兢求䝁䄴䅤杁䝁䅅杢歂䍁䅁䅣療䝁䅷兡橂䝁䅕䅌杁䡁䅉党あ䝁䅅兡獂䍁䅷䅉桂䝁䄴䅚杁䡁䅑杣桂䝁䄴督睂䝁䄸杣あ䝁䅅䅤灂䝁䄸杢杁䝁䄰兙祂䝁䅳党あ䡁䅍䅉あ䝁䅧睢ㅂ䝁䅣䅡杁䡁䅍兙獂䝁䅕督杁䡁䅉党睂䡁䅉党穂䝁䅕杢あ䝁䅅䅤灂䡁䅙党穂䍁䄴䅉䉂䝁䅣党畂䡁䅑䅉坂䝁䅫䅚求䝁䄸䅉䩂䝁䄴䅤求䝁䅷䅢灂䝁䅣党畂䝁䅍党杁䕁䅷䅤歂䍁䄴䅉㍂䝁䅅督杁䝁䅙睢祂䝁䄰党祂䝁䅷入杁䝁䅳杢療䡁䅣杢杁䝁䅅督杁䕁䅅督睂䝁䅕睙あ䡁䅕督杁䙁䅙兡歂䝁䅕睢杁䕁䅫杢あ䝁䅕䅢獂䝁䅫睚求䝁䄴睙求䍁䅁䅔あ䝁䅑杌杁䝁䅅杢歂䍁䅁睙潂䝁䅅杢湂䝁䅕䅚杁䝁䅫䅤穂䍁䅁杢桂䝁䄰党杁䡁䅑睢杁䕁䅅睚求䝁䄴䅤杁䙁䅙兡歂䝁䅕睢杁䕁䅫杢あ䝁䅕䅢獂䝁䅫睚求䝁䄴睙求䍁䅁䅔あ䝁䅑杌杁䝁䅫杢杁䙁䅍党睂䡁䅑党瑂䝁䅉党祂䍁䅁杍睁䑁䅁李畁䍁䅁䅖潂䝁䅕䅉橂䝁䄸兢睂䝁䅅杢㕂䍁䅁睤桂䡁䅍䅉浂䝁䄸兤畂䝁䅑党歂䍁䅁兡畂䍁䅁杍睁䑁䅁睍杁䝁䅅杢歂䍁䅁兡穂䍁䅁杙桂䡁䅍党歂䍁䅁兡畂䍁䅁杕療䡁䅍䅡杁䕁䅧兙䉂䡁䅫兡畂䍁䅷䅉䩂䡁䅍杣桂䝁䅕䅢畁䍁䅁兑湂䝁䅕杢あ䍁䅁杖灂䝁䅑党療䍁䅁兓畂䡁䅑党獂䝁䅷兡湂䝁䅕杢橂䝁䅕䅉䵂䡁䅑䅚畁䍁䅁睢睂䝁䅕杣桂䡁䅑党穂䍁䅁兙穂䍁䅁兙杁䡁䅍兤楂䡁䅍兡歂䝁䅫兙祂䡁䅫䅉療䝁䅙䅉䩂䡁䅉兡穂䝁䅫䅤㕂䍁䅁兑䍂䍁䅁䅋睂䡁䅕杙獂䍁䅫杌䅁䝁䅁䅁慁䅁䅁兑灂䡁䅉杙畂䝁䅉䅌杁䕁䅫杢橂䍁䄴䅁い杁䅁䅎䅁䕁䅅睡桂䝁䄰兙灂䍁䅁䅖求䝁䅍䅡畂䝁䄸䅢療䝁䅣兡求䡁䅍䅌杁䕁䅫杢橂䍁䄴䅁瑂䅁䅁䅈䅁䕁䅅䅢求䝁䅍䅤療䡁䅉䅌杁䕁䅫杢橂䍁䄴䅁呁杂䅁杓䅧䕁䅅䅢求䝁䅍䅤療䡁䅉䅌杁䕁䅫杢橂䍁䄴䅌杁䝁䅅䅉橂䝁䅷兡畂䝁䅫睙桂䝁䅷䅉穂䡁䅑兙湂䝁䅕䅉楂䝁䅫睢睂䝁䅧兙祂䝁䄰兙橂䝁䅕兤あ䝁䅫睙桂䝁䅷䅉橂䝁䄸兢睂䝁䅅杢㕂䍁䅷䅉歂䝁䅕杤求䝁䅷睢睂䡁䅍䅉あ䝁䅧党祂䝁䅅䅣灂䝁䅕督杁䝁䅙睢祂䍁䅁䅤潂䝁䅕䅉あ䡁䅉党桂䡁䅑兢求䝁䄴䅤杁䝁䄸杚杁䝁䄴党ㅂ䡁䅉睢歂䝁䅕睚求䝁䄴党祂䝁䅅䅤灂䝁䄸杢杁䝁䅑兡穂䝁䅕兙穂䝁䅕督畁䍁䅁兓あ䡁䅍䅉睂䡁䅉睢歂䡁䅕睙あ䡁䅍䅉灂䝁䄴睙獂䡁䅕䅚求䍁䅁兑䵂䑁䅁䅍硁䍁䅷䅉桂䝁䄴䅉灂䝁䄰兢ㅂ䝁䄴党杁䝁䅅睙あ䝁䅫杤灂䡁䅑入杁䝁䅫杢杁䡁䅑䅡求䍁䅁杙祂䝁䅅兡畂䍁䅁睤灂䡁䅑䅡杁䝁䅣党畂䝁䅕䅤灂䝁䅍䅉獂䝁䅫杢牂䡁䅍䅉あ䝁䄸䅉瑂䡁䅕䅢あ䝁䅫䅣獂䝁䅕䅉畂䝁䅕兤祂䝁䄸䅚求䝁䅣党畂䝁䅕杣桂䡁䅑兡㉂䝁䅕䅉歂䝁䅫督療䡁䅉䅚求䡁䅉督獁䍁䅁睤潂䝁䅫睙潂䍁䅁兡穂䍁䅁兡畂䍁䅁䅕潂䝁䅅督求䍁䅁兓䩂䕁䅫䅉橂䝁䅷兡畂䝁䅫睙桂䝁䅷䅉あ䡁䅉兡桂䝁䅷䅉浂䝁䄸杣杁䡁䅑䅡求䍁䅁䅤祂䝁䅕兙あ䝁䄰党畂䡁䅑䅉療䝁䅙䅉浂䡁䅉睢畂䡁䅑睢あ䝁䅕兢睂䝁䄸杣桂䝁䅷䅉歂䝁䅕兢求䝁䄴䅤灂䝁䅅䅌杁䕁䅅䅢㙂䝁䅧党灂䝁䄰党祂䉁杫督獁䍁䅁䅕桂䡁䅉睡灂䝁䄴督療䝁䄴升穂䍁䅷䅉桂䝁䄴䅚杁䝁䅅兢㕂䝁䄸䅤祂䝁䄸䅣潂䝁䅫睙杁䝁䅷兙あ䝁䅕杣桂䝁䅷䅉穂䝁䅍䅢求䡁䅉睢穂䝁䅫督杁䝁䅑兡穂䝁䅕兙穂䝁䅕督㝁䍁䅁兙畂䝁䅑䅉䉂䕁䅷免睁䑁䅅䅉あ䝁䅧兙あ䍁䅁兡穂䍁䅁兡畂䍁䅁䅕潂䝁䅅督求䍁䅁兓杁䝁䅍䅢灂䝁䄴兡橂䝁䅅䅢杁䡁䅑杣灂䝁䅅䅢杁䝁䅙睢祂䍁䅁䅤潂䝁䅕䅉あ䡁䅉党桂䡁䅑兢求䝁䄴䅤杁䝁䄸杚杁䝁䄴党ㅂ䡁䅉睢歂䝁䅕睚求䝁䄴党祂䝁䅅䅤灂䡁䅙党杁䝁䅑兡穂䝁䅕兙穂䝁䅕督獁䍁䅁兡畂䝁䅍䅢ㅂ䝁䅑兡畂䝁䅣䅉䉂䝁䅷来潂䝁䅕兡瑂䝁䅕杣婁䡉䅍䅉桂䝁䄴䅚杁䙁䅁兙祂䝁䅳兡畂䡁䅍睢畂䉁杫督杁䝁䅑兡穂䝁䅕兙穂䝁䅕督畁䍁䅁䅖潂䝁䅕䅉橂䝁䄸兢睂䝁䅅杢㕂䍁䅁兙獂䡁䅍睢杁䝁䄸杚浂䝁䅕杣穂䍁䅁兑䵂䑁䅁䅍祁䍁䅷䅉桂䍁䅁䅣祂䝁䄸䅚ㅂ䝁䅍䅤杁䝁䅍兙畂䝁䅑兡歂䝁䅅䅤求䍁䅁䅤潂䝁䅅䅤杁䝁䅫督杁䝁䅫杢杁䙁䅁䅡桂䡁䅍党杁䕁䅫兓杁䝁䅍䅢灂䝁䄴兡橂䝁䅅䅢杁䡁䅑杣灂䝁䅅䅢杁䝁䅙睢祂䍁䅁䅤潂䝁䅕䅉あ䡁䅉党桂䡁䅑兢求䝁䄴䅤杁䝁䄸杚杁䕁䅅䅢㙂䝁䅧党灂䝁䄰党祂䉁杫督杁䝁䅑兡穂䝁䅕兙穂䝁䅕杌杁䕁䅅䅢求䝁䅍䅤療䡁䅉䅌杁䕁䅫杢橂䍁䄴䅉潂䝁䅅督杁䝁䅅䅉橂䝁䄸䅢獂䝁䅅杙療䡁䅉兙あ䝁䅫睢畂䍁䅁兙湂䡁䅉党求䝁䄰党畂䡁䅑䅉㍂䝁䅫䅤潂䍁䅁兑歂䝁䅫兢桂䝁䅉䅌杁䕁䅷䅔䑂䍁䅁杚療䡁䅉䅉あ䝁䅧党杁䡁䅉党穂䝁䅕兙祂䝁䅍䅡杁䝁䅅杢歂䍁䅁䅚求䡁䅙党獂䝁䄸䅣瑂䝁䅕杢あ䍁䅁睢浂䍁䅁兙畂䡁䅑兡楂䝁䄸䅚灂䝁䅕督㝁䍁䅁兙畂䝁䅑䅉桂䍁䅁督あ䡁䅉兙あ䝁䅕睚灂䝁䅍䅉橂䝁䄸䅢獂䝁䅅杙療䡁䅉兙あ䝁䅫睢畂䍁䅁兙湂䡁䅉党求䝁䄰党畂䡁䅑䅉㍂䝁䅫䅤潂䍁䅁睒獂䝁䅅䅥療䙁䅍兢灂䡁䅑䅡䱂䝁䅷兡畂䝁䅕䅉睂䝁䅷睙杁䝁䅙睢祂䍁䅁䅤潂䝁䅕䅉歂䝁䅕杤求䝁䅷睢睂䝁䄰党畂䡁䅑䅉桂䝁䄴䅚杁䝁䅍睢瑂䝁䄰党祂䝁䅍兡桂䝁䅷兡㙂䝁䅅䅤灂䝁䄸杢杁䝁䄸杚杁䝁䄰睢畂䝁䄸睙獂䝁䄸杢桂䝁䅷䅉桂䝁䄴䅤灂䝁䅉睢歂䝁䅫党穂䍁䅷䅉穂䡁䅕睙潂䍁䅁兙穂䍁䅁兑䵂䑁䅁䅍硁䍁䅁兙畂䝁䅑䅉䉂䕁䅷免睁䑁䅅䅉あ䝁䄸䅉あ䡁䅉党桂䡁䅑䅉畂䝁䅕兤祂䝁䄸䅚求䝁䅣党畂䝁䅕杣桂䡁䅑兡㉂䝁䅕䅉歂䝁䅫督求䝁䅅督求䡁䅍杌杁䙁䅑䅡求䍁䅁睙療䝁䄰䅣桂䝁䄴入杁䡁䅣兙穂䍁䅁杚療䡁䅕杢歂䝁䅕䅚杁䝁䅫杢杁䑁䅉䅍硁䑁䅍䅉桂䝁䄴䅚杁䝁䅫督杁䝁䅧党桂䝁䅑兣ㅂ䝁䅅杣あ䝁䅕杣求䝁䅑䅉灂䝁䄴䅉呂䝁䄸兤あ䝁䅧䅉呂䝁䅅杢杁䕁䅙杣桂䝁䄴睙灂䡁䅍睙療䍁䅷䅉䑂䝁䅅䅢灂䝁䅙睢祂䝁䄴兡桂䍁䄴䅁卂杂䅁杹䅫䕁䅅䅢求䝁䅍䅤療䡁䅉䅌杁䕁䅫杢橂䍁䄴䅌杁䝁䅅䅉橂䝁䅷兡畂䝁䅫睙桂䝁䅷䅉穂䡁䅑兙湂䝁䅕䅉楂䝁䅫睢睂䝁䅧兙祂䝁䄰兙橂䝁䅕兤あ䝁䅫睙桂䝁䅷䅉橂䝁䄸兢睂䝁䅅杢㕂䍁䅷䅉歂䝁䅕杤求䝁䅷睢睂䡁䅍䅉あ䝁䅧党祂䝁䅅䅣灂䝁䅕督杁䝁䅙睢祂䍁䅁䅤潂䝁䅕䅉あ䡁䅉党桂䡁䅑兢求䝁䄴䅤杁䝁䄸杚杁䝁䄴党ㅂ䡁䅉睢歂䝁䅕睚求䝁䄴党祂䝁䅅䅤灂䝁䄸杢杁䝁䅑兡穂䝁䅕兙穂䝁䅕督畁䍁䅁兓あ䡁䅍䅉睂䡁䅉睢歂䡁䅕睙あ䡁䅍䅉灂䝁䄴睙獂䡁䅕䅚求䍁䅁兑䵂䑁䅁䅍硁䍁䅷䅉桂䝁䄴䅉灂䝁䄰兢ㅂ䝁䄴党杁䝁䅅睙あ䝁䅫杤灂䡁䅑入杁䝁䅫杢杁䡁䅑䅡求䍁䅁杙祂䝁䅅兡畂䍁䅁睤灂䡁䅑䅡杁䝁䅣党畂䝁䅕䅤灂䝁䅍䅉獂䝁䅫杢牂䡁䅍䅉あ䝁䄸䅉瑂䡁䅕䅢あ䝁䅫䅣獂䝁䅕䅉畂䝁䅕兤祂䝁䄸䅚求䝁䅣党畂䝁䅕杣桂䡁䅑兡㉂䝁䅕䅉歂䝁䅫督療䡁䅉䅚求䡁䅉督獁䍁䅁睤潂䝁䅫睙潂䍁䅁兡穂䍁䅁兡畂䍁䅁䅕潂䝁䅅督求䍁䅁兓䩂䕁䅫䅉橂䝁䅷兡畂䝁䅫睙桂䝁䅷䅉あ䡁䅉兡桂䝁䅷䅉浂䝁䄸杣杁䡁䅑䅡求䍁䅁䅤祂䝁䅕兙あ䝁䄰党畂䡁䅑䅉療䝁䅙䅉浂䡁䅉睢畂䡁䅑睢あ䝁䅕兢睂䝁䄸杣桂䝁䅷䅉歂䝁䅕兢求䝁䄴䅤灂䝁䅅䅌杁䕁䅅䅢㙂䝁䅧党灂䝁䄰党祂䉁杫督獁䍁䅁䅕桂䡁䅉睡灂䝁䄴督療䝁䄴升穂䍁䅷䅉桂䝁䄴䅚杁䝁䅅兢㕂䝁䄸䅤祂䝁䄸䅣潂䝁䅫睙杁䝁䅷兙あ䝁䅕杣桂䝁䅷䅉穂䝁䅍䅢求䡁䅉睢穂䝁䅫督杁䝁䅑兡穂䝁䅕兙穂䝁䅕督㝁䍁䅁兙畂䝁䅑䅉䉂䕁䅷免睁䑁䅅䅉あ䝁䅧兙あ䍁䅁兡穂䍁䅁兡畂䍁䅁䅕潂䝁䅅督求䍁䅁兓杁䝁䅍䅢灂䝁䄴兡橂䝁䅅䅢杁䡁䅑杣灂䝁䅅䅢杁䝁䅙睢祂䍁䅁䅤潂䝁䅕䅉あ䡁䅉党桂䡁䅑兢求䝁䄴䅤杁䝁䄸杚杁䝁䄴党ㅂ䡁䅉睢歂䝁䅕睚求䝁䄴党祂䝁䅅䅤灂䡁䅙党杁䝁䅑兡穂䝁䅕兙穂䝁䅕督獁䍁䅁兡畂䝁䅍䅢ㅂ䝁䅑兡畂䝁䅣䅉䉂䝁䅷来潂䝁䅕兡瑂䝁䅕杣婁䡉䅍䅉桂䝁䄴䅚杁䙁䅁兙祂䝁䅳兡畂䡁䅍睢畂䉁杫督杁䝁䅑兡穂䝁䅕兙穂䝁䅕督畁䍁䅁䅖潂䝁䅕䅉橂䝁䄸兢睂䝁䅅杢㕂䍁䅁兙獂䡁䅍睢杁䝁䄸杚浂䝁䅕杣穂䍁䅁兑䵂䑁䅁䅍祁䍁䅷䅉桂䍁䅁䅣祂䝁䄸䅚ㅂ䝁䅍䅤杁䝁䅍兙畂䝁䅑兡歂䝁䅅䅤求䍁䅁䅤潂䝁䅅䅤杁䝁䅫督杁䝁䅫杢杁䙁䅁䅡桂䡁䅍党杁䕁䅫兓杁䝁䅍䅢灂䝁䄴兡橂䝁䅅䅢杁䡁䅑杣灂䝁䅅䅢杁䝁䅙睢祂䍁䅁䅤潂䝁䅕䅉あ䡁䅉党桂䡁䅑兢求䝁䄴䅤杁䝁䄸杚杁䕁䅅䅢㙂䝁䅧党灂䝁䄰党祂䉁杫督杁䝁䅑兡穂䝁䅕兙穂䝁䅕睏杁䝁䅅杢歂䍁䅁兑䵂䑁䅁䅍穁䍁䅷䅉㍂䝁䅧兡橂䝁䅧䅉灂䡁䅍䅉灂䝁䄴䅉兂䝁䅧兙穂䝁䅕䅉䩂䍁䅁睙獂䝁䅫杢灂䝁䅍兙獂䍁䅁䅤祂䝁䅫兙獂䍁䅁杚療䡁䅉䅉あ䝁䅧党杁䡁䅑杣求䝁䅅䅤瑂䝁䅕杢あ䍁䅁睢浂䍁䅁兑獂䡁䅯䅡求䝁䅫兢求䡁䅉升穂䍁䅁䅚灂䡁䅍党桂䡁䅍党畁䍁䅁兓あ䡁䅍䅉睂䝁䅫䅣求䝁䅷兡畂䝁䅕䅉睂䡁䅉睢歂䡁䅕睙あ䡁䅍䅉灂䝁䄴睙獂䡁䅕䅚求䍁䅁兑䵂䑁䅁䅎ぁ䍁䅁䅤潂䝁䅅䅤杁䡁䅑兙祂䝁䅣党あ䡁䅍䅉乂䙁䅍䅎䉂䑁䅑兑獁䍁䅁兙杁䡁䅉兡穂䝁䅳䅉湂䝁䅕杢求䍁䅁杚療䡁䅉䅉䉂䝁䅷来潂䝁䅕兡瑂䝁䅕杣婁䡉䅍䅉歂䝁䅫督求䝁䅅督求䍁䄴䅉䉂䝁䅷党橂䡁䅑睢祂䍁䅷䅉䩂䝁䄴睙畁䍁䅁䅡桂䡁䅍䅉桂䍁䅁睙療䝁䅷䅢桂䝁䅉睢祂䝁䅅䅤灂䝁䄸杢杁䝁䅅睚祂䝁䅕党瑂䝁䅕杢あ䍁䅁睤灂䡁䅑䅡杁䕁䅅䅚灂䝁䄰兙楂䍁䅷䅉䵂䕁䅷睑杁䝁䅙睢祂䍁䅁䅤潂䝁䅕䅉祂䝁䅕督求䝁䅅杣橂䝁䅧䅉桂䝁䄴䅚杁䝁䅑党㉂䝁䅕䅢療䡁䅁兢求䝁䄴䅤杁䝁䄸杚杁䝁䅅杢あ䝁䅫杙療䝁䅑兡求䡁䅍睏杁䝁䅅杢歂䍁䅁兙杁䡁䅍䅤祂䝁䅅䅤求䝁䅣兡橂䍁䅁睙療䝁䅷䅢桂䝁䅉睢祂䝁䅅䅤灂䝁䄸杢杁䝁䅅睚祂䝁䅕党瑂䝁䅕杢あ䍁䅁睤灂䡁䅑䅡杁䕁䅣䅢桂䡁䅧睢呂䝁䄰兡あ䝁䅧睓獂䝁䅫杢求䍁䅁䅣獂䝁䅍䅉浂䝁䄸杣杁䡁䅑䅡求䍁䅁䅚求䡁䅙党獂䝁䄸䅣瑂䝁䅕杢あ䍁䅁兙畂䝁䅑䅉橂䝁䄸兢瑂䝁䅕杣橂䝁䅫兙獂䝁䅫来桂䡁䅑兡療䝁䄴䅉療䝁䅙䅉瑂䝁䄸杢療䝁䅍䅢療䝁䄴兙獂䍁䅁兙畂䡁䅑兡楂䝁䄸䅚灂䝁䅕督獁䍁䅁督ㅂ䝁䅍䅡杁䝁䅅督杁䕁䅅䅔睁䑁䅁免獁䍁䅁兑䵂䑁䅁䅍祁䍁䅷䅉桂䝁䄴䅚杁䕁䅅䅔硁䑁䅁免杁䡁䅑睢杁䡁䅑杣求䝁䅅䅤杁䝁䄴党ㅂ䡁䅉睢歂䝁䅕睚求䝁䄴党祂䝁䅅䅤灂䡁䅙党杁䝁䅑兡穂䝁䅕兙穂䝁䅕督畁䍁䅁兑獂䝁䅕睙あ䝁䄸杣獁䍁䅁兓畂䝁䅍杌杁䡁䅣兙穂䍁䅁杚療䡁䅕杢歂䝁䅕䅚杁䝁䅫杢杁䑁䅉䅍硁䑁䅍䅉桂䝁䄴䅚杁䝁䅫督杁䝁䅧党桂䝁䅑兣ㅂ䝁䅅杣あ䝁䅕杣求䝁䅑䅉灂䝁䄴䅉呂䝁䄸兤あ䝁䅧䅉呂䝁䅅杢杁䕁䅙杣桂䝁䄴睙灂䡁䅍睙療䍁䅷䅉䑂䝁䅅䅢灂䝁䅙睢祂䝁䄴兡桂䍁䄴䅁允杂䅁杌䅁䕁䅅䅢獂䝁䄸睚湂䝁䅫睢杁䕁䅣杣療䡁䅕䅣杁䕁䅷兡瑂䝁䅫䅤求䝁䅑䅁㥄杁䅁䅈䅁䕁䅅䅢あ䝁䅕杣㕂䡁䅧䅌杁䕁䅫杢橂䍁䄴䅁睂睁䅁䅏䅁䕁䅅兢楂䝁䅅睙杁䕁䅙兡畂䝁䅅杢橂䝁䅫兙獂䍁䅁睒祂䝁䄸兤睂䍁䅷䅉䩂䝁䄴睙畁䅁䅁睚䅍䑁䅯䅁䉂䝁䄰党祂䝁䅫睙療䝁䅷䅚杁䙁䅉党桂䝁䅷䅤㕂䍁䅁䅖祂䡁䅕督あ䍁䅷䅉䩂䝁䄴睙畁䅁䅁兹䅉䑁䅯䅁䉂䝁䄰入獂䡁䅫䅥杁䙁䅁䅡桂䡁䅉兢桂䝁䅍党ㅂ䡁䅑兡橂䝁䅅䅢穂䍁䅷䅉䩂䝁䄴睙畁䅁䅁內䅕䵁䕉䅁䉂䝁䄰入獂䡁䅫䅥杁䙁䅁䅡桂䡁䅉兢桂䝁䅍党ㅂ䡁䅑兡橂䝁䅅䅢穂䍁䅷䅉䩂䝁䄴睙畁䍁䅷䅉桂䍁䅁睙療䝁䄰兢求䡁䅉睙灂䝁䅅䅢瑁䡁䅍䅤桂䝁䅣党杁䝁䅉兡療䡁䅑党橂䝁䅧杢療䝁䅷睢湂䡁䅫䅉橂䝁䄸兢睂䝁䅅杢㕂䍁䅷䅉求䝁䄴睚桂䝁䅣党穂䍁䅁兡畂䍁䅁䅤潂䝁䅕䅉歂䝁䅫督橂䝁䄸杤求䡁䅉入杁䝁䅅杢歂䍁䅁䅚求䡁䅙党獂䝁䄸䅣瑂䝁䅕杢あ䍁䅁睢浂䍁䅁䅤祂䝁䅕兙あ䝁䄰党畂䡁䅑䅉浂䝁䄸杣杁䝁䅅兢㕂䝁䄸䅤祂䝁䄸䅣潂䝁䅫睙杁䝁䅷兙あ䝁䅕杣桂䝁䅷䅉穂䝁䅍䅢求䡁䅉睢穂䝁䅫督杁䍁䅧兑䵂䙁䅍克杁䝁䅅杢歂䍁䅁杢求䡁䅕杣療䝁䅑党湂䝁䅕杢求䡁䅉兙あ䝁䅫杤求䍁䅁䅚灂䡁䅍党桂䡁䅍党穂䍁䄴䅉啂䝁䅧党杁䝁䅍睢瑂䡁䅁兙畂䡁䅫升穂䍁䅁䅣祂䝁䄸䅚ㅂ䝁䅍䅤穂䍁䅁兡畂䝁䅍䅢ㅂ䝁䅑党杁䙁䅉兒䵂䙁䅫杖卂䕁䅫睔獁䍁䅁兙杁䝁䅑兤桂䝁䅷䅉噂䙁䅁杕瑁䕁䅉兙㑂䍁䅁兙睂䝁䄸䅣あ䝁䄸督灂䡁䅍䅉灂䝁䄴䅡灂䝁䅉兡あ䝁䄸杣杁䝁䅍睢瑂䡁䅁睢穂䝁䅕䅚杁䝁䄸杚杁䡁䅍睢歂䝁䅫兤瑂䍁䅁䅣潂䝁䅕杢㕂䝁䅷杙ㅂ䡁䅑入祂䝁䅅䅤求䍁䅁兙畂䝁䅑䅉あ䝁䅅兤祂䡁䅕杣穂䝁䄸䅚灂䝁䄸䅢杁䝁䅙睢祂䍁䅁䅤潂䝁䅕䅉あ䡁䅉党桂䡁䅑兢求䝁䄴䅤杁䝁䄸杚杁䕁䅅䅔呂䍁䅁兡畂䍁䅁兙歂䡁䅕䅢あ䡁䅍䅉灂䝁䄴䅉あ䝁䅧党杁䙁䅕杢灂䡁䅑党歂䍁䅁睕あ䝁䅅䅤求䡁䅍䅉桂䝁䄴䅚杁䝁䄰兙祂䝁䅳党あ䝁䅕䅚杁䝁䅅督杁䕁䅅䅔䍂䙁䅉兓偂䙁䅯兑杁䝁䅙睢祂䍁䅁䅤潂䝁䅕䅉あ䡁䅉党桂䡁䅑兢求䝁䄴䅤杁䝁䄸杚杁䕁䅅䅔呂䍁䅁兡畂䍁䅁睑桂䝁䄴兙歂䝁䅅杌杁䕁䅫䅤杁䝁䅫督杁䝁䅅䅢穂䝁䄸䅉歂䝁䅕杤求䝁䅷睢睂䝁䅫杢湂䍁䅁兑乂䙁䅧䅍硁䑁䅅䅎杁䝁䅙睢祂䍁䅁睢あ䝁䅧党祂䍁䅁杢求䡁䅕杣療䝁䅑党湂䝁䅕杢求䡁䅉兙あ䝁䅫杤求䍁䅁䅚灂䡁䅍党桂䡁䅍党穂䍁䄴䅉䉂䝁䄰入獂䡁䅫䅥杁䙁䅁䅡桂䡁䅉兢桂䝁䅍党ㅂ䡁䅑兡橂䝁䅅䅢穂䍁䅷䅉䩂䝁䄴睙畁䍁䅁睤桂䡁䅍䅉浂䝁䄸兤畂䝁䅑党歂䍁䅁兡畂䍁䅁杍睁䑁䅅睍杁䝁䅅杢歂䍁䅁兡穂䍁䅁䅡求䝁䅅䅚硂䡁䅕兙祂䡁䅑党祂䝁䅕䅚杁䝁䅫杢杁䕁䅍兙瑂䝁䅉杣灂䝁䅑睚求䍁䅷䅉乂䝁䅅督穂䝁䅅睙潂䡁䅕督求䡁䅑䅤穂䍁䄴䅁呂杂䅁䅯䅑䕁䅅兢㕂䝁䅷入㑂䍁䅁䅕潂䝁䅅杣瑂䝁䅅睙求䡁䅕䅤灂䝁䅍兙獂䡁䅍䅌杁䕁䅫杢橂䍁䄴䅌杁䝁䅅䅉橂䝁䄸兢瑂䝁䅕杣橂䝁䅫兙獂䍁䄰督あ䝁䅅睚求䍁䅁杙灂䝁䄸䅤求䝁䅍䅡畂䝁䄸䅢療䝁䅣入杁䝁䅍睢瑂䡁䅁兙畂䡁䅫䅌杁䝁䅕杢湂䝁䅅睚求䡁䅍䅉灂䝁䄴䅉あ䝁䅧党杁䝁䅑兡穂䝁䅍睢㉂䝁䅕杣㕂䍁䅁兙畂䝁䅑䅉歂䝁䅕杤求䝁䅷睢睂䝁䄰党畂䡁䅑䅉療䝁䅙䅉あ䡁䅉党桂䡁䅑兢求䝁䄴䅤杁䝁䅙睢祂䍁䅁兙瑂䡁䅫睢あ䡁䅉睢睂䝁䅧兡橂䍁䅁䅢桂䡁䅑党祂䝁䅅䅢杁䡁䅍睙獂䝁䅕杣療䡁䅍兡穂䍁䅁䅋䉂䕁䅷睕灁䍁䅁兙畂䝁䅑䅉畂䝁䅕兤祂䝁䄸䅚求䝁䅣党畂䝁䅕杣桂䡁䅑兡㉂䝁䅕䅉歂䝁䅫督求䝁䅅督求䡁䅍杌杁䙁䅑䅡求䍁䅁睙療䝁䄰䅣桂䝁䄴入婁䡉䅍䅉睂䡁䅉睢歂䡁䅕睙あ䡁䅍䅉灂䝁䄴睙獂䡁䅕䅚求䍁䅁杕䙂䕁䅷兗坂䙁䅉兓偂䍁䅷䅉桂䍁䅁䅚ㅂ䝁䅅䅢杁䙁䅕䅕卂䍁䄰村桂䡁䅧䅉桂䡁䅁睢睂䡁䅑睢穂䝁䅫督杁䝁䅫杢潂䝁䅫杙灂䡁䅑睢祂䍁䅁睙療䝁䄰䅣療䡁䅍党歂䍁䅁睢浂䍁䅁督療䝁䅑兡ㅂ䝁䄰䅉睂䝁䅧党畂䡁䅫䅢楂䡁䅕䅤㕂䡁䅉兙あ䝁䅕䅉桂䝁䄴䅚杁䡁䅑兙ㅂ䡁䅉兤祂䡁䅍睢歂䝁䅫睢獂䍁䅁杚療䡁䅉䅉あ䝁䅧党杁䡁䅑杣求䝁䅅䅤瑂䝁䅕杢あ䍁䅁睢浂䍁䅁兑䵂䙁䅍䅉灂䝁䄴䅉桂䝁䅑兤獂䡁䅑督杁䝁䅫杢杁䡁䅑䅡求䍁䅁兖畂䝁䅫䅤求䝁䅑䅉呂䡁䅑兙あ䝁䅕督杁䝁䅅杢歂䍁䅁兢桂䡁䅉睡求䡁䅑党歂䍁䅁兙穂䍁䅁兑䵂䕁䅉杕䩂䕁䄸杗䉂䍁䅁杚療䡁䅉䅉あ䝁䅧党杁䡁䅑杣求䝁䅅䅤瑂䝁䅕杢あ䍁䅁睢浂䍁䅁兑䵂䙁䅍䅉灂䝁䄴䅉䑂䝁䅅杢桂䝁䅑兙畁䍁䅁兓あ䍁䅁兡穂䍁䅁兙獂䡁䅍睢杁䝁䅑党㉂䝁䅕䅢療䡁䅁兡畂䝁䅣䅉䉂䕁䄰䅗睁䑁䅅免ぁ䍁䅁杚療䡁䅉䅉療䡁䅑䅡求䡁䅉䅉畂䝁䅕兤祂䝁䄸䅚求䝁䅣党畂䝁䅕杣桂䡁䅑兡㉂䝁䅕䅉歂䝁䅫督求䝁䅅督求䡁䅍杌杁䙁䅑䅡求䍁䅁睙療䝁䄰䅣桂䝁䄴入杁䡁䅣兙穂䍁䅁杚療䡁䅕杢歂䝁䅕䅚杁䝁䅫杢杁䑁䅉䅍硁䑁䅍䅉桂䝁䄴䅚杁䝁䅫督杁䝁䅧党桂䝁䅑兣ㅂ䝁䅅杣あ䝁䅕杣求䝁䅑䅉灂䝁䄴䅉䑂䝁䅅兢楂䡁䅉兡歂䝁䅣党獁䍁䅁兔桂䡁䅍督桂䝁䅍䅡ㅂ䡁䅍党あ䡁䅑督畁䅁䅁充䅙䑁䄴䅁䉂䝁䄴䅚獂䝁䅅兤求䡁䅉䅉䥂䝁䅕兙獂䡁䅑䅡橂䝁䅅杣求䍁䅁睒祂䝁䄸兤睂䍁䅁兓畂䝁䅍杌䅁䵁䍳䅁潁䅁䅁兑畂䝁䅣兡療䕁䅑入畂䝁䅅兢灂䝁䅍督獁䍁䅁兓畂䝁䅍杌䅁佁䙳䅁䕁睄䅁兑畂䝁䅣兡療䕁䅑入畂䝁䅅兢灂䝁䅍督獁䍁䅁兓畂䝁䅍杌杁䡁䅁杣療䡁䅙兡歂䝁䅕督杁䝁䅫杢㉂䝁䅅督灂䡁䅙党杁䝁䄰党歂䝁䅫睙桂䝁䅷䅉歂䝁䅕杤灂䝁䅍党穂䍁䅁兤穂䝁䅕䅚杁䝁䅉入杁䡁䅁杣療䝁䅙党穂䡁䅍兡療䝁䄴兙獂䍁䅁䅡求䝁䅅䅢あ䝁䅧睙桂䡁䅉党杁䡁䅁杣療䡁䅙兡歂䝁䅕杣穂䍁䅁杚療䡁䅉䅉㉂䝁䅅督橂䡁䅕䅢桂䡁䅉䅉桂䝁䅍睙求䡁䅍督獁䍁䅁督ㅂ䡁䅉睚求䡁䅉入獁䍁䅁䅣求䡁䅉兡睂䝁䅧党祂䝁䅅䅢杁䡁䅙兙穂䝁䅍兤獂䝁䅅杣杁䝁䅑兡穂䝁䅕兙穂䝁䅕䅉桂䝁䄴䅚杁䝁䄸杢橂䝁䄸䅢療䝁䅣入杁䝁䅫杢杁䡁䅑䅡求䍁䅁兖畂䝁䅫䅤求䝁䅑䅉呂䡁䅑兙あ䝁䅕督杁䝁䅅杢歂䍁䅁兡畂䡁䅑党祂䝁䄴兙あ䝁䅫睢畂䝁䅅䅢獂䡁䅫杌杁䕁䅫䅤杁䝁䄸杚浂䝁䅕杣穂䍁䅁兑ㅂ䡁䅉入療䝁䄴䅉䉂䡁䅑䅡求䡁䅉党橂䡁䅑睢瑂䡁䅫䅉穂䡁䅫督あ䝁䅕兢杁䡁䅑䅡桂䡁䅑䅉灂䡁䅍䅉歂䝁䅕督灂䝁䅣杢求䝁䅑䅉あ䝁䄸䅉歂䝁䅕䅢灂䡁䅙党祂䍁䅁兙畂䍁䅁睢睂䡁䅑兡瑂䝁䅫来求䝁䅑䅉㍂䝁䅅杤求䝁䅷党畂䝁䅣䅤潂䍁䅷䅉睂䡁䅕䅢穂䝁䅕䅉㍂䝁䅫䅚あ䝁䅧䅌杁䝁䅅杢歂䍁䅁兙瑂䡁䅁䅢灂䡁䅑兤歂䝁䅕䅉あ䝁䄸䅉祂䝁䅕兢療䡁䅙党杁䝁䅷党穂䝁䅫睢畂䡁䅍䅉㍂䝁䅧兡獂䝁䅕䅉睂䡁䅉党穂䝁䅕杣㉂䝁䅫杢湂䍁䅁杤求䡁䅍督求䝁䅷䅉㍂䝁䅅䅢獂䍁䅁党畂䝁䅑睢あ䝁䅧党獂䝁䅫兤瑂䍁䅁杚療䡁䅉䅉あ䡁䅉党桂䡁䅑兢求䝁䄴䅤杁䝁䄸杚杁䡁䅁党祂䝁䅫䅣潂䝁䅕杣桂䝁䅷䅉桂䡁䅉䅤求䡁䅉兡桂䝁䅷䅉歂䝁䅫督求䝁䅅督求䍁䄴䅉啂䝁䅧党杁䝁䅍睢瑂䡁䅁兙畂䡁䅫升穂䍁䅁䅤潂䡁䅉睢瑂䝁䅉兤穂䍁䅁兢桂䝁䄴兙湂䝁䅕兢求䝁䄴䅤杁䡁䅁睢祂䡁䅑杚療䝁䅷兡療䍁䅁兡畂䝁䅍䅢ㅂ䝁䅑党穂䍁䅁兑獂䡁䅁䅡桂䙁䅙兙橂䍁䅁督㕂䡁䅍䅤求䝁䄰䅌杁䝁䅅杢杁䝁䅕兢求䡁䅉睚求䝁䄴䅤杁䝁䄰党橂䝁䅧兙畂䝁䅫睙桂䝁䅷䅉桂䡁䅍䅣灂䡁䅉兙あ䝁䅫睢畂䍁䅁䅚求䡁䅙兡橂䝁䅕䅉あ䝁䅧兙あ䍁䅁党獂䝁䅫兢灂䝁䄴兙あ䝁䅕督杁䡁䅑䅡求䍁䅁杢求䝁䅕䅚杁䝁䅙睢祂䍁䅁䅣求䡁䅉杚ㅂ䡁䅍兡療䝁䄴兡穂䡁䅑䅉穂䡁䅕䅣睂䝁䄸杣あ䑁䅳䅉あ䝁䅧杣療䝁䄰杙療䝁䅷入あ䝁䅫睙杁䝁䅍兙あ䝁䅧党あ䝁䅕杣穂䍁䅁䅤潂䝁䅅䅤杁䝁䅅杣求䍁䅁兤穂䝁䅕䅚杁䡁䅑睢杁䝁䅑党獂䝁䅫杤求䡁䅉䅉あ䝁䅧杣療䝁䄰杙療䝁䅷入あ䝁䅫睙杁䝁䅅睚求䝁䄴䅤穂䍁䅷䅉㍂䝁䅧兡橂䝁䅧䅉桂䡁䅉党杁䝁䅑杣ㅂ䝁䅣督杁䡁䅑睢杁䝁䅑兡穂䡁䅍睢獂䡁䅙党杁䝁䅉䅢療䝁䄸䅚杁䝁䅍䅢療䡁䅑督杁䝁䅫杢杁䝁䅧党瑂䝁䄸䅚灂䝁䅅䅢㕂䡁䅍兡穂䍁䅁兙橂䝁䅍党穂䡁䅍䅉湂䡁䅉兙浂䡁䅑督獁䍁䅁兙祂䡁䅑党祂䝁䅫党穂䍁䅷䅉㉂䝁䅕兡畂䡁䅍䅌杁䝁䅅杢歂䍁䅁督ㅂ䡁䅉睚灂䝁䅍兙獂䍁䅁杙㕂䡁䅁兙穂䡁䅍䅉湂䡁䅉兙浂䡁䅑督㝁䍁䅁兙畂䝁䅑䅉䉂䝁䄴睚灂䝁䄸杖桂䝁䅍䅉橂䝁䅫杣橂䡁䅕兡あ䍁䅁兡穂䍁䅁兡畂䝁䅑兡橂䝁䅅䅤求䝁䅑䅉浂䝁䄸杣杁䝁䅕䅥あ䡁䅉兙橂䝁䄸杣睂䝁䄸杣求䝁䅅䅢杁䝁䅍兡祂䝁䅍兤獂䝁䅅䅤療䡁䅉入杁䡁䅍兤睂䡁䅁睢祂䡁䅑䅉浂䝁䄸杣杁䡁䅁党祂䝁䅫睢歂䡁䅍䅉療䝁䅙䅉ㅂ䡁䅁䅉あ䝁䄸䅉穂䝁䅫䅥杁䝁䅧睢ㅂ䡁䅉督杁䝁䅫杢橂䝁䅷兤歂䝁䅫杢湂䍁䅁睢浂䝁䅙兌あ䝁䅧党瑁䡁䅍䅡求䝁䅷杚杁䡁䅁兤瑂䡁䅁䅌杁䝁䅙兡獂䡁䅑党祂䍁䅷䅉桂䝁䄴䅚杁䡁䅉党灂䝁䄴杚ㅂ䡁䅍兡療䝁䄴䅉橂䝁䅅杢畂䡁䅕䅢桂䍁䅷䅉あ䝁䄸䅉浂䝁䅅睙灂䝁䅷兡あ䝁䅅䅤求䍁䅁杤求䝁䄴睢ㅂ䡁䅍䅉歂䡁䅉兙灂䝁䄴兙湂䝁䅕䅉桂䡁䅍䅉睂䝁䅅杣あ䍁䅁睢浂䍁䅁兙畂䍁䅁党㑂䡁䅑杣桂䝁䅍睢祂䡁䅁睢祂䝁䅕兙獂䍁䅁杙㕂䡁䅁兙穂䡁䅍䅉睂䡁䅉睢橂䝁䅕䅚ㅂ䡁䅉党畁䍁䅁兓畂䍁䅁兙歂䝁䅑兡あ䝁䅫睢畂䍁䅷䅉灂䡁䅑䅉療䝁䅙杚求䡁䅉督杁䕁䄴兙畂䝁䄸睓畂䝁䅫杚求䍁䅁兓卂䕁䅕䅉䉂䝁䅉䅢桂䡁䅑兡療䝁䄴䅉呂䡁䅫督あ䝁䅕兢獁䍁䅁兙畂䍁䅁兙獂䡁䅑党祂䝁䄴兙あ䝁䅫杤求䍁䅁䅤療䍁䅁䅤祂䝁䅅䅚灂䡁䅑兡療䝁䄴兙獂䍁䅁䅤潂䝁䅕杣瑂䝁䅅䅢杁䝁䅅杙獂䝁䅅䅤灂䝁䄸杢杁䝁䅙睢祂䍁䅁䅤潂䝁䅕䅉穂䡁䅕杣湂䝁䅫睙桂䝁䅷䅉桂䝁䅉䅢桂䡁䅑兡療䝁䄴䅉療䝁䅙䅉穂䝁䄸杚あ䍁䅁䅤灂䡁䅍督ㅂ䝁䅕睏杁䝁䅅杢歂䍁䅁䅣求䡁䅉兡睂䝁䅧党祂䝁䅅䅢杁䡁䅁杣療䝁䅑兤橂䡁䅑督獁䍁䅁睤潂䝁䅫睙潂䍁䅁兡畂䝁䅍䅢ㅂ䝁䅑党穂䍁䅁兙畂䝁䅣兡療䝁䅣杣桂䡁䅁䅡灂䝁䅍䅉橂䝁䅅䅤潂䝁䅕䅤求䡁䅉督杁䝁䅅杢歂䍁䅁䅚灂䝁䅅睚畂䝁䄸督あ䝁䅫睙杁䝁䅅杢歂䍁䅁兡畂䡁䅑党祂䡁䅙党畂䡁䅑兡療䝁䄴兙獂䍁䅁睚ㅂ䝁䅫䅚求䡁䅣兡祂䝁䅕督獁䍁䅁䅣求䡁䅉睙ㅂ䡁䅑兙畂䝁䅕睢ㅂ䡁䅍䅉歂䡁䅉兙灂䝁䄴兙湂䝁䅕䅉橂䝁䅅䅤潂䝁䅕䅤求䡁䅉督獁䍁䅁兙畂䝁䅑䅉橂䝁䄸兙㑂䝁䅫兙獂䍁䅁兢灂䝁䅍杣療䍁䄰兡畂䡁䅑杣療䝁䅑兤橂䝁䅕杣杁䝁䅳兡あ䡁䅍䅉ㅂ䡁䅍党歂䍁䅁䅚ㅂ䡁䅉兡畂䝁䅣䅉睂䝁䅕杣灂䡁䅁䅡求䡁䅉兙獂䍁䅁䅚灂䝁䅅睚畂䝁䄸督あ䝁䅫睙杁䝁䅅杢歂䍁䅁兡畂䡁䅑党祂䡁䅙党畂䡁䅑兡療䝁䄴兙獂䍁䅁䅣祂䝁䄸睙求䝁䅑兤祂䝁䅕督畁䍁䅁䅖潂䝁䅕䅉橂䝁䄸兢睂䝁䅅杢㕂䍁䅁兙獂䡁䅍睢杁䡁䅁杣療䡁䅙兡歂䝁䅕督杁䝁䅑杣桂䝁䅫杢桂䝁䅣党杁䝁䅍兙あ䝁䅧党あ䝁䅕杣穂䍁䅁杚療䡁䅉䅉瑂䡁䅕䅢あ䝁䅫兌睂䡁䅕杣睂䝁䄸督求䍁䄸睚求䝁䄴党祂䝁䅅䅢獁䍁䅁杢求䡁䅁䅡祂䝁䄸督あ䝁䄸兢㕂䍁䅷䅉桂䝁䄴䅚杁䝁䅉兡獂䝁䅫兙祂䡁䅫䅉歂䡁䅉兙灂䝁䄴兙湂䝁䅕睏杁䝁䄰兡橂䡁䅉睢杁䕁䅅睙橂䝁䅕督穂䍁䅁睡灂䡁䅑督杁䡁䅁杣療䡁䅙兡歂䝁䅕督杁䝁䅫杢あ䝁䅕杣㉂䝁䅕杢あ䝁䅫睢畂䝁䅅䅢杁䡁䅁䅡㕂䡁䅍兡橂䝁䅫兙畂䡁䅍䅉桂䍁䅁督瑂䝁䅅䅢獂䝁䅕杣杁䝁䅫杢あ䡁䅉睢歂䡁䅕睙求䡁䅉䅉穂䡁䅫督あ䝁䅕兢杁䝁䅙睢祂䍁䅁兢灂䝁䄴兡瑂䝁䅅䅢獂䡁䅫䅉灂䝁䄴杤桂䡁䅍兡㉂䝁䅕䅉睂䡁䅉睢橂䝁䅕䅚ㅂ䡁䅉党穂䑁䅳䅉坂䝁䅕杢桂䕁䅍兤祂䝁䅕䅉䙂䙁䅙䅔啂䍁䅁督㕂䡁䅍䅤求䝁䄰䅉あ䝁䅧兙あ䍁䅁兙祂䝁䅕䅉ㅂ䡁䅍党歂䍁䅁兡畂䍁䅁党畂䝁䅑睢㉂䝁䅅督橂䡁䅕䅢桂䡁䅉䅉獂䝁䅅督求䡁䅉䅉睂䡁䅉睢橂䝁䅕䅚ㅂ䡁䅉党穂䍁䅁䅤療䍁䅁䅤祂䝁䅕兙あ䍁䅁督ㅂ䡁䅁党祂䝁䅙兡橂䝁䅫兙獂䍁䅁杤求䝁䄴睢ㅂ䡁䅍䅉歂䝁䅫督求䝁䅅督求䑁䅳䅉桂䝁䄴䅚杁䙁䅍睢獂䝁䅕杣療䍁䅁兔啂䕁䅅䅉呂䡁䅫督あ䝁䅕兢杁䝁䅫杢橂䝁䅷兤歂䝁䅕督杁䡁䅍睢獂䝁䅕杣療䍁䅁兢灂䝁䅍杣療䡁䅣兙㉂䝁䅕䅉湂䝁䅕杢求䡁䅉兙あ䝁䄸杣杁䝁䅅杢歂䍁䅁䅤潂䝁䅕䅉穂䡁䅁党橂䝁䅫兙獂䝁䅷入杁䝁䅑党穂䝁䅫睚畂䝁䅕䅚杁䡁䅍睢獂䝁䅕杣療䍁䅁兔塂䍁䅁兙睂䡁䅁䅢灂䝁䅍兙あ䝁䄸杣穂䍁䄴䅉䉂䝁䄴睚灂䝁䄸䅒㕂䝁䄴兙瑂䝁䅫睙穂䍁䅷䅉䩂䝁䄴睙畁䍁䅁睤桂䡁䅍䅉浂䝁䄸兤畂䝁䅑党歂䍁䅁兡畂䍁䅁免㕁䑁䅧䅏杁䝁䅅杢歂䍁䅁兡穂䍁䅁䅡求䝁䅅䅚硂䡁䅕兙祂䡁䅑党祂䝁䅕䅚杁䝁䅫杢杁䕁䅷兙あ䝁䅧兙瑂䍁䅷䅉佂䝁䅕睤杁䙁䅫睢祂䝁䅳杌䅁偁䙁䅁歁䅁䅁兑畂䝁䄴睢㉂䝁䅫督杁䕁䅉兡療䍁䅷䅉䩂䝁䄴睙畁䅁䅁䅷䅕䭁䕧䅁䉂䝁䄴杢療䡁䅙兡穂䍁䅁村灂䝁䄸䅌杁䕁䅫杢橂䍁䄴䅌杁䝁䅅䅉橂䝁䅷兡畂䝁䅫睙桂䝁䅷䅉穂䡁䅑兙湂䝁䅕䅉歂䡁䅉兤湂䍁䅁䅣獂䝁䅅䅤浂䝁䄸杣瑂䍁䅁睙療䝁䄰䅣桂䝁䄴入獁䍁䅁䅚求䡁䅙党獂䝁䄸䅣穂䍁䅁䅚祂䡁䅕睚穂䍁䅁䅤療䍁䅁䅤祂䝁䅕兙あ䍁䅁杢求䡁䅕杣療䝁䅑党湂䝁䅕杢求䡁䅉兙あ䝁䅫睢畂䍁䄴䅉啂䝁䅧党杁䝁䅍睢瑂䡁䅁兙畂䡁䅫升穂䍁䅁䅢求䝁䅅䅚杁䡁䅁杣療䝁䅑兤橂䡁䅑䅉橂䝁䅅杢歂䝁䅫䅚桂䡁䅑党杁䝁䅫督杁䕁䅉兤畂䡁䅑兙畂䝁䅕䅤桂䡁䅁䅌杁䡁䅣䅡灂䝁䅍䅡杁䝁䅫督杁䝁䅫杢杁䙁䅁䅡桂䡁䅍党杁䑁䅍䅉橂䝁䅷兡畂䝁䅫睙桂䝁䅷䅉あ䡁䅉兡桂䝁䅷督杁䝁䅙睢祂䍁䅁䅤潂䝁䅕䅉あ䡁䅉党桂䡁䅑兢求䝁䄴䅤杁䝁䄸杚杁䕁䅅䅢㙂䝁䅧党灂䝁䄰党祂䉁杫督杁䝁䅑兡穂䝁䅕兙穂䝁䅕䅉潁䕁䅅䅒灁䍁䅷䅉兂䝁䅅杣牂䝁䅫杢穂䝁䄸杢婁䡉䅍䅉歂䝁䅫督求䝁䅅督求䍁䅷䅉桂䝁䄴䅚杁䝁䄸䅤潂䝁䅕杣杁䝁䅍䅡祂䝁䄸杢灂䝁䅍䅉畂䝁䅕兤祂䝁䄸䅚求䝁䅣党畂䝁䅕杣桂䡁䅑兡㉂䝁䅕䅉歂䝁䅫督求䝁䅅督求䡁䅍杌杁䕁䅫䅤杁䝁䅫督杁䝁䅅䅢穂䝁䄸䅉歂䝁䅕杤求䝁䅷睢睂䝁䅫杢湂䍁䅁兑佂䙁䅙睕ぁ䑁䅁兎杁䝁䅙睢祂䍁䅁䅣祂䝁䄸䅤求䝁䅍䅤灂䝁䄴睚杁䡁䅑䅡求䍁䅁杙祂䝁䅅兡畂䍁䅁兙浂䡁䅑党祂䍁䅁䅤祂䝁䅅兤瑂䝁䅅䅤灂䝁䅍䅉楂䡁䅉兙灂䝁䄴䅉灂䝁䄴条ㅂ䡁䅉入杁䝁䅅杢歂䍁䄸睢祂䍁䅁督あ䡁䅉睢牂䝁䅕睏杁䝁䅅杢歂䍁䅁兑佂䙁䅙睕穁䑁䅁免獁䍁䅁睤潂䝁䅫睙潂䍁䅁兡穂䍁䅁兡畂䍁䅁䅕潂䝁䅅督求䍁䅁兓杁䝁䅍䅢灂䝁䄴兡橂䝁䅅䅢杁䡁䅑杣灂䝁䅅䅢穂䍁䅁䅤療䍁䅁兡畂䝁䅍杣求䝁䅅督求䍁䅁睙療䝁䅣杢灂䡁䅑兡㉂䝁䅕䅉橂䝁䅅䅣桂䝁䅉兡獂䝁䅫䅤㕂䍁䅁兡畂䍁䅁䅢桂䡁䅑党祂䍁䅁督あ䝁䅅睚求䡁䅍䅉療䝁䅙䅉䉂䕁䅑䅉桂䝁䄴䅚杁䝁䅑党瑂䝁䅕杢あ䝁䅫兙畁䍁䅁䅖潂䝁䅕䅉橂䝁䄸兢睂䝁䅅杢㕂䍁䅁睤桂䡁䅍䅉灂䝁䄴睙療䡁䅉䅣療䡁䅉兙あ䝁䅕䅚杁䝁䅫杢杁䑁䅉䅍睁䑁䅧䅉桂䝁䄴䅚杁䝁䅫督杁䝁䅉兙穂䝁䅕䅚杁䝁䅫杢杁䕁䅉党祂䡁䅣入畂䍁䅷䅉兂䝁䅕杢畂䡁䅍入獂䡁䅙兙畂䝁䅫兙畁䅁䅁朹䅕䍁䅑䅁䉂䡁䅁兙㑂䍁䅁䅕桂䡁䅉䅤畂䝁䅕杣穂䍁䅁䅔䵂䙁䅁䅁佁允䅁杨䅁䕁䅅䅣療䝁䅷䅢療䍁䅁睒獂䝁䄸杙桂䝁䅷䅉乂䝁䅅杢桂䝁䅣党瑂䝁䅕杢あ䍁䅷䅉䵂䕁䅷睑杁䍁䅧杢牂䝁䅅杏䉂䡁䅁睢獂䝁䅷睢杁䕁䅣䅢療䝁䅉兙獂䍁䅁兔桂䝁䄴兙湂䝁䅕兢求䝁䄴䅤獁䍁䅁兓畂䝁䅍杌灁䅁䅁䄹䅅䍁䅉䅁䉂䡁䅁䅣あ䝁䅧睢祂䝁䅫䅤㕂䍁䅷䅉䩂䝁䄴睙畁䅁䅁睯䅅䙁䅑䅁䉂䡁䅁䅤ㅂ䡁䅍䅉坂䝁䅅䅢ㅂ䝁䅕䅉䥂䝁䄸兤穂䝁䅫杢湂䍁䅁杒灂䝁䄴兙畂䝁䅍党杁䕁䅫杢歂䝁䅫兙杁䕁䅷兡瑂䝁䅫䅤求䝁䅑䅁杁杁䅁䅇䅁䕁䅅杣瑂䝁䅫督獁䍁䅁兓畂䝁䅍杌䅁䭁䉧䅁敁䅁䅁兑祂䡁䅑兡㉂䝁䅫睢畂䍁䅷䅉䩂䝁䄴睙畁䅁䅁儶䅕䭁䉯䅁䉂䡁䅍䅉療䝁䅙䅉䭂䡁䅕杢求䍁䅁杍㍁䍁䅷䅉祁䑁䅁免㕁䍁䅷䅉祁䍁䅁睒求䝁䅅杢あ䍁䅁䅓㕂䡁䅁党祂䝁䄰兙祂䝁䅳党あ䡁䅍䅉灂䝁䄴䅉乂䝁䄸杢あ䝁䅅兤楂䝁䅅杢杁䝁䅅杢歂䍁䅁杔求䡁䅙党祂䡁䅍䅉㍂䝁䅅督杁䝁䅅睙硂䡁䅕兡祂䝁䅕䅚杁䝁䅉入杁䕁䅣杣療䡁䅕䅣求䝁䄰党畂䡁䅑䅉䵂䝁䅕督杁䕁䄰睢ㅂ䡁䅍兣ㅂ䝁䅕䅤桂䝁䅫杣求䡁䅍杌杁䑁䅉䅉䡂䝁䅕兙畂䡁䅑䅉䥂䡁䅫䅣求䡁䅉兢桂䡁䅉睡求䡁䅑督杁䝁䅫杢杁䕁䄰睢畂䡁䅑兙ㅂ䝁䅉兙畂䍁䅁兙畂䝁䅑䅉佂䝁䅕杤求䡁䅉督杁䝁䅍睢瑂䡁䅁杣灂䡁䅍党穂䍁䅁䅡㕂䡁䅁党祂䝁䄰兙祂䝁䅳党あ䡁䅍杌杁䙁䅑䅡求䍁䅁兙穂䡁䅍党あ䍁䅁兡穂䍁䅁䅢療䝁䅍兙あ䝁䅕䅚杁䝁䅫杢杁䕁䅙杣桂䝁䄴睙求䍁䄴䅁㑃杁䅁䅌䅁䕁䅅督穂䡁䅕杣求䝁䅑䅉䡂䡁䅕兙祂䝁䅅杢あ䡁䅫䅉䵂䡁䅑䅚畁䅁䅁兡䅍䑁䅧䅁䉂䡁䅑兙祂䝁䅅䅉䍂䝁䅫睢あ䝁䅧党祂䝁䅅䅣求䡁䅕䅤灂䝁䅍督獁䍁䅁兓畂䝁䅍杌䅁乁䙣䅁畃睂䅁兑あ䝁䅅杣桂䍁䅁村灂䝁䄸䅤潂䝁䅕杣桂䡁䅁党ㅂ䡁䅑兡橂䡁䅍䅌杁䕁䅫杢橂䍁䄴䅉歂䝁䅕杤求䝁䅷睢睂䡁䅍䅉あ䝁䅧党祂䝁䅅䅣灂䝁䅕督杁䝁䅙睢祂䍁䅁䅣桂䡁䅑兡求䝁䄴䅤穂䍁䅁睤灂䡁䅑䅡杁䡁䅍睢獂䝁䅫䅚杁䡁䅑兤瑂䝁䄸杣穂䍁䅷䅉潂䝁䅕兢桂䡁䅑睢獂䝁䄸睚灂䝁䅍䅉橂䝁䅅杢橂䝁䅕杣穂䍁䅷䅉桂䝁䄴䅚杁䝁䅅兤あ䝁䄸兡瑂䝁䄰兤畂䝁䅕䅉歂䝁䅫督求䝁䅅督求䡁䅍䅉灂䝁䄴䅉あ䝁䅧党杁䙁䅕杢灂䡁䅑党歂䍁䅁睕あ䝁䅅䅤求䡁䅍杌杁䕁䅫䅤穂䍁䅁䅢求䝁䅅䅚杁䡁䅁杣療䝁䅑兤橂䡁䅑䅉灂䝁䄴睙獂䡁䅕䅚求䡁䅍䅉啂䝁䅅杙瑁䝁䅍党獂䍁䅁䅋あ䝁䅅杙求䝁䅷党橂䝁䅷党ㅂ䝁䅍党獂䍁䅫䅌杁䝁䅅䅉啂䍁䄰睙求䝁䅷䅢杁䝁䅫兢瑂䡁䅕杢療䡁䅑䅡求䡁䅉兙睂䡁䅫䅉睂䡁䅉睢湂䡁䅉兙瑂䍁䅁䅤潂䝁䅅䅤杁䝁䅫督杁䝁䅫杢杁䙁䅁䅡桂䡁䅍党杁䑁䅍䅉橂䝁䅷兡畂䝁䅫睙桂䝁䅷䅉あ䡁䅉兡桂䝁䅷督杁䝁䅙睢祂䍁䅁䅤潂䝁䅕䅉あ䡁䅉党桂䡁䅑兢求䝁䄴䅤杁䝁䄸杚杁䝁䅕䅣穂䡁䅑党灂䝁䄴兌楂䝁䅅杣祂䍁䅁杤灂䡁䅉兤穂䍁䅁䅋䙂䕁䅉杖灁䍁䅁䅚祂䝁䅫杤求䝁䄴䅉睂䝁䄸督あ䍁䄰䅤祂䝁䅅杢穂䡁䅁䅢桂䝁䄴䅤杁䝁䅷入瑂䡁䅁䅡療䡁䅁杣療䝁䅷兡浂䝁䅕杣桂䡁䅑兡㉂䝁䅕䅉歂䝁䅫督求䝁䅅督求䍁䅷䅉桂䡁䅍䅉㍂䝁䅕䅢獂䍁䅁兙穂䍁䅁杢桂䡁䅍睢睂䝁䅧兙祂䡁䅫杢湂䝁䅕兙獂䍁䅁睙桂䡁䅉睙灂䝁䄴睢瑂䝁䅅杌杁䕁䅫䅤穂䍁䅁睑䉂䙁䅉䅉啂䍁䅁兡瑂䝁䄰兤畂䝁䄸䅤潂䝁䅕杣桂䡁䅁入杁䡁䅁兡睂䝁䅕䅢灂䝁䄴党杁䡁䅁杣療䝁䅑兤橂䡁䅑督杁䝁䅫杢橂䝁䅷兤歂䝁䅕䅉䉂䙁䅑兑祁䑁䅉睎硁䍁䅁兙畂䝁䅑䅉䉂䙁䅑兑穁䑁䅉睎硁䍁䅁䅤療䍁䅁䅤祂䝁䅕兙あ䍁䅁兢求䡁䅍睢あ䝁䅧党獂䝁䅫杢㝁䍁䅁兙畂䝁䅑䅉䉂䙁䅑兑穁䑁䅉免㕁䍁䅁杚療䡁䅉䅉あ䝁䅧党杁䡁䅑杣求䝁䅅䅤瑂䝁䅕杢あ䍁䅁睢浂䍁䅁村瑁䝁䅍党獂䝁䅷䅉瑂䝁䅅䅢灂䝁䅣杢桂䝁䄴睙灂䝁䅕督獁䍁䅁兙穂䍁䅁睤求䝁䅷䅢杁䝁䅅督杁䕁䅅䅖䉂䑁䅅䅏㑁䍁䅁䅤潂䝁䅅䅤杁䝁䅫督杁䝁䅫杢杁䙁䅁䅡桂䡁䅍党杁䑁䅉䅉橂䝁䅷兡畂䝁䅫睙桂䝁䅷䅉あ䡁䅉兡桂䝁䅷督杁䡁䅑睢杁䡁䅑杣求䝁䅅䅤杁䝁䄰兤獂䡁䅑兡睂䝁䅷党杁䡁䅍睙獂䝁䅕杣療䡁䅍兡穂䍁䄴䅉䉂䡁䅑兙祂䝁䅅䅉䍂䝁䅫睢あ䝁䅧党祂䝁䅅䅣求䡁䅕䅤灂䝁䅍督獁䍁䅁兓畂䝁䅍杌杁䝁䅧兙穂䍁䅁兙杁䝁䅷兡橂䝁䅕杢穂䝁䅕䅉桂䝁䅣杣求䝁䅕兢求䝁䄴䅤杁䡁䅣兡あ䝁䅧䅉乂䝁䅕兢療䡁䅉兡桂䝁䅷䅉呂䝁䅷睢桂䝁䄴䅉䱂䝁䅕䅤あ䝁䅕杣灂䝁䄴睚杁䕁䅍兙畂䝁䅍党祂䍁䅁睑求䝁䄴䅤求䡁䅉睏杁䝁䅷兡橂䝁䅕杢穂䝁䅕䅌杁䝁䅅杢歂䍁䅁杣求䡁䅍党桂䡁䅉睙潂䍁䅁兙畂䝁䅑䅉歂䝁䅕杤求䝁䅷睢睂䝁䄰党畂䡁䅑䅉橂䝁䄸䅢獂䝁䅅杙療䡁䅉兙あ䝁䅫睢畂䍁䅁兙湂䡁䅉党求䝁䄰党畂䡁䅑䅉㍂䝁䅫䅤潂䍁䅁兕䩂䕁䄰杕杁䕁䅉党祂䝁䅣䅡療䝁䅙党祂䍁䅁兔求䝁䅑兡橂䝁䅅䅢杁䙁䅉党穂䝁䅕兙祂䝁䅍䅡杁䕁䅫杢穂䡁䅑兡あ䡁䅕䅤求䑁䅳䅉桂䝁䄴䅚杁䡁䅍䅤祂䝁䅅䅤求䝁䅣兡橂䍁䅁睙療䝁䅷䅢桂䝁䅉睢祂䝁䅅䅤灂䝁䄸杢杁䡁䅣兡あ䝁䅧䅉䥂䍁䄴䅉䵂䝁䅕党杁䕁䄰睢浂䝁䅙兡あ䡁䅑䅉䑂䝁䅅杢橂䝁䅕杣杁䕁䅍党畂䡁䅑党祂䍁䄴䅉啂䝁䅧党杁䝁䅍睢瑂䡁䅁兙畂䡁䅫䅉㍂䝁䅅督杁䝁䅫杢橂䝁䄸杣睂䝁䄸杣桂䡁䅑党歂䍁䅁兡畂䍁䅁杍睁䑁䅅杍杁䝁䅅杢歂䍁䅁兡穂䍁䅁䅡求䝁䅅䅚硂䡁䅕兙祂䡁䅑党祂䝁䅕䅚杁䝁䅫杢杁䙁䅑䅡療䡁䅕督桂䝁䄴䅚杁䕁䄸兙牂䡁䅍䅌杁䕁䅍兙獂䝁䅫杚療䡁䅉杢灂䝁䅅杌䅁䱁䙧䅁潁䅁䅁兑あ䝁䅧兡祂䝁䅅䅉兂䝁䅧兙祂䝁䄰兙獁䍁䅁兓畂䝁䅍杌䅁乁䙙䅁楄睃䅁兑あ䝁䅧兡祂䝁䅅䅉兂䝁䅧兙祂䝁䄰兙獁䍁䅁兓畂䝁䅍杌獁䍁䅁兙杁䝁䅷兙あ䝁䅕䅉橂䝁䅷兡畂䝁䅫睙桂䝁䅷兌穂䡁䅑兙湂䝁䅕䅉楂䝁䅫睢睂䝁䅧兙祂䝁䄰兙橂䝁䅕兤あ䝁䅫睙桂䝁䅷䅉橂䝁䄸兢睂䝁䅅杢㕂䍁䅷䅉浂䝁䄸睙ㅂ䡁䅍党穂䍁䅁睢畂䍁䅁䅚求䡁䅙党獂䝁䄸䅣灂䝁䄴睚杁䡁䅍兢桂䝁䅷䅢杁䝁䄰睢獂䝁䅕睙ㅂ䝁䅷党穂䍁䅁䅤療䍁䅁杣求䡁䅍䅤療䡁䅉党杁䝁䄴党ㅂ䡁䅉睢畂䝁䅅䅢杁䝁䅧党桂䝁䅷䅤潂䍁䅁兙畂䝁䅑䅉穂䝁䅷睢㍂䍁䅁杢求䡁䅕杣療䝁䅑党湂䡁䅉兙歂䝁䅅䅤灂䝁䄸杢畁䍁䅁兓あ䡁䅍䅉獂䝁䅕兙歂䍁䅁䅣祂䝁䄸䅚ㅂ䝁䅍䅤杁䝁䅍兙畂䝁䅑兡歂䝁䅅䅤求䍁䅁兡穂䍁䅁兑啂䕁䅧兌硁䑁䅁免㍁䍁䅁杒療䡁䅍睚療䝁䄴兡瑂䝁䅕䅤療䝁䄴䅌杁䝁䅅䅉穂䝁䄰兙獂䝁䅷䅉瑂䝁䄸䅢求䝁䅍兤獂䝁䅕䅉歂䝁䅕督灂䝁䅣杢求䝁䅑䅉あ䝁䄸䅉求䝁䄴䅡桂䝁䄴睙求䍁䅁䅤潂䝁䅕䅉桂䝁䅍䅤灂䡁䅙兡あ䡁䅫䅉療䝁䅙䅉潂䝁䅕䅣桂䡁䅑睢橂䡁䅫䅤求䍁䅁睚祂䝁䄸睤あ䝁䅧䅉浂䝁䅅睙あ䝁䄸杣杁䍁䅧䅓䡂䕁䅙克杁䝁䅅杢歂䍁䅁兡あ䡁䅍䅉祂䝁䅕睙求䡁䅁䅤療䡁䅉䅌杁䕁䄰兒啂䍁䅷䅉浂䝁䄸杣杁䝁䅅䅉潂䝁䅕兙獂䡁䅑䅡㕂䍁䅁杢求䡁䅉杤療䡁䅕督杁䡁䅍入穂䡁䅑党瑂䍁䅁䅤潂䝁䅅䅤杁䝁䅫督杁䝁䅫杢杁䕁䅷兓䝂䙁䅑兌䉂䕁䅑䅉兂䝁䅧兙穂䝁䅕䅉祁䍁䄸睍杁䝁䅅杢歂䍁䅁兑䑂䙁䅑兌䉂䕁䅑䅉兂䝁䅧兙穂䝁䅕䅉祁䍁䅁睙獂䝁䅫杢灂䝁䅍兙獂䍁䅁䅤祂䝁䅫兙獂䡁䅍䅉浂䝁䄸杣杁䡁䅑䅡求䍁䅁䅤祂䝁䅕兙あ䝁䄰党畂䡁䅑䅉療䝁䅙䅉䉂䝁䅷来潂䝁䅕兡瑂䝁䅕杣婁䡉䅍䅉歂䝁䅫督求䝁䅅督求䍁䅷䅉桂䡁䅍䅉㍂䝁䅕䅢獂䍁䅁兙穂䍁䅁兡穂䍁䅁兡畂䍁䅁䅕潂䝁䅅督求䍁䅁杍杁䝁䅍䅢灂䝁䄴兡橂䝁䅅䅢杁䡁䅑杣灂䝁䅅䅢穂䍁䅁䅤療䍁䅁䅤祂䝁䅕兙あ䍁䅁䅕桂䡁䅉睡灂䝁䄴督療䝁䄴升穂䍁䅁䅚灂䡁䅍党桂䡁䅍党畁䍁䅁䅖潂䝁䅕䅉橂䝁䄸兢睂䝁䅅杢㕂䉁杫督杁䡁䅁杣療䝁䅑兤橂䡁䅑䅉睂䝁䅫䅣求䝁䅷兡畂䝁䅕䅉灂䝁䄴睙獂䡁䅕䅚求䡁䅍䅉䉂䙁䅑䅓瑁䑁䅅䅍祁䑁䅁䅌杁䝁䅅杢杁䝁䄸杣桂䝁䅷䅢㕂䍁䅁兙㉂䝁䅅兡獂䝁䅅杙獂䝁䅕䅉楂䡁䅉兙灂䝁䄴兌睂䝁䅕杢求䡁䅑杣桂䝁䄴䅤杁䡁䅍兢桂䝁䅷䅢杁䝁䄰睢獂䝁䅕睙ㅂ䝁䅷党杁䝁䅑党穂䝁䅫睚畂䝁䅕䅚杁䡁䅑睢杁䝁䅕杢潂䝁䅅杢橂䝁䅕䅉あ䝁䅧党杁䕁䅧睒䝂䍁䄸兔䙂䙁䅑䅉穂䡁䅫督あ䝁䅕兢杁䡁䅑䅡桂䡁䅑䅉灂䡁䅍䅉灂䝁䄴䅉兂䝁䅧兙穂䝁䅕䅉硁䍁䅁睙獂䝁䅫杢灂䝁䅍兙獂䍁䅁䅤祂䝁䅫兙獂䡁䅍䅉あ䝁䄸䅉あ䡁䅉党桂䡁䅑䅉畂䝁䅕兤祂䝁䄸䅣桂䡁䅑䅡灂䝁䅍䅉睂䝁䅅兡畂䍁䅁兙畂䝁䅑䅉畂䝁䅕兤祂䝁䄸䅚求䝁䅣党畂䝁䅕杣桂䡁䅑兡㉂䝁䅕䅉歂䝁䅫督求䝁䅅督求䡁䅍睏杁䝁䅅杢歂䍁䅁兑啂䕁䅧兌硁䑁䅅䅍ㅁ䍁䅷䅉桂䝁䄴䅉療䡁䅉兙獂䝁䅷入杁䝁䅅杤桂䝁䅫䅢桂䝁䅉䅢求䍁䅷䅉楂䡁䅉兙灂䝁䄴兌睂䝁䅕杢求䡁䅑杣桂䝁䄴䅤杁䡁䅍兢桂䝁䅷䅢杁䝁䄰睢獂䝁䅕睙ㅂ䝁䅷党杁䡁䅁睢穂䝁䅫䅤灂䡁䅙党杁䝁䄰睢歂䡁䅕䅢桂䡁䅑睢祂䍁䅁睢浂䍁䅁䅓䡂䕁䅙睌乂䕁䅕䅖杁䡁䅣䅡灂䝁䅍䅡杁䝁䅫督杁䝁䅅䅉睂䡁䅉党橂䝁䅷兡畂䝁䅫睙桂䝁䅷䅉瑂䝁䄸䅚求䝁䅷䅉浂䝁䄸杣杁䡁䅑䅡求䍁䅁䅤祂䝁䅕兙あ䝁䄰党畂䡁䅑䅉療䝁䅙䅉䉂䝁䄰入療䡁䅑杣療䡁䅁䅡灂䝁䅍䅉䵂䝁䅅䅤求䡁䅉兙獂䍁䅁睕橂䝁䅷党祂䝁䄸督灂䡁䅍杌杁䕁䅫杢杁䝁䅅䅚歂䝁䅫䅤灂䝁䄸杢獁䍁䅁兡あ䍁䅁䅡桂䡁䅍䅉桂䍁䅁䅢灂䝁䅍党畂䡁䅍党杁䝁䅅睚祂䝁䅕党瑂䝁䅕杢あ䍁䅁睤灂䡁䅑䅡杁䙁䅣兙穂䝁䅧兡畂䝁䅣䅤療䝁䄴䅉呂䡁䅑兙あ䝁䅕䅉噂䝁䄴兡㉂䝁䅕杣穂䝁䅫䅤㕂䍁䅁䅤療䍁䅁睢浂䝁䅙党祂䍁䅁杚療䡁䅉䅉穂䝁䅅䅢求䍁䅁䅣祂䝁䄸䅚ㅂ䝁䅍䅤穂䍁䅁睙療䡁䅙党祂䝁䅕䅚杁䝁䅉入杁䝁䅍党祂䡁䅑兙灂䝁䄴䅉獂䝁䅫睙求䝁䄴督求䝁䅑䅉睂䝁䅅䅤求䝁䄴䅤穂䍁䅷䅉灂䝁䄴睙獂䡁䅕䅚灂䝁䄴睚杁䝁䅑兡潂䝁䅕䅥桂䍁䅷䅉あ䝁䅧党杁䝁䅍䅡求䝁䄰兡橂䝁䅅䅢杁䝁䅍睢瑂䡁䅁睢ㅂ䝁䄴䅚杁䝁䅫杢あ䝁䄸䅉㍂䝁䅧兡橂䝁䅧䅉浂䝁䄸督湂䝁䄸杢灂䝁䄰党あ䝁䄸杢杁䝁䄰党あ䝁䅅杙療䝁䅷兡㙂䝁䅕督杁䝁䅙睢獂䝁䅷睢㍂䝁䅫杢湂䍁䅁兙歂䝁䄰兡畂䝁䅫督あ䡁䅉兙あ䝁䅫睢畂䑁䅳䅉桂䝁䄴䅚杁䝁䅍睢獂䝁䅷兙楂䝁䄸杣桂䡁䅑兡療䝁䄴䅉桂䝁䄴䅚杁䝁䅣杣桂䝁䄴䅤杁䝁䅅睚祂䝁䅕党瑂䝁䅕杢あ䍁䅁睤灂䡁䅑䅡杁䕁䄴兙あ䝁䅫睢畂䝁䅅䅢杁䕁䅫杢穂䡁䅑兡あ䡁䅕䅤求䡁䅍䅉療䝁䅙䅉䥂䝁䅕兙獂䡁䅑䅡杁䕁䅣杣桂䝁䄴䅤杁䡁䅑睢杁䡁䅍兤睂䡁䅁睢祂䡁䅑䅉䉂䕁䅍䅖瑁䕁䅅䅒杁䙁䅁䅡桂䡁䅍党杁䑁䅉䅉橂䝁䅷兡畂䝁䅫睙桂䝁䅷䅉あ䡁䅉兡桂䝁䅷䅉浂䝁䄸杣杁䝁䅙睢穂䝁䅣睢畂䝁䅫兢求䡁䅑睢畂䍁䄴䅉䉂䡁䅑䅡灂䡁䅉兙杁䙁䅁䅡桂䡁䅉兢桂䍁䅷䅉䩂䝁䄴睙畁䍁䅁睤桂䡁䅍䅉浂䝁䄸杣瑂䝁䅕杣獂䡁䅫䅉牂䝁䄴睢㍂䝁䄴䅉桂䡁䅍䅉乂䑁䅍䅉䍂䝁䅫睢あ䝁䅕睙潂䝁䄴睢獂䝁䄸睚㕂䍁䅷䅉䩂䝁䄴睙畁䍁䅁兙畂䝁䅑䅉橂䝁䅧兙畂䝁䅣党歂䍁䅁兡あ䡁䅍䅉畂䝁䅅兢求䍁䅁䅤療䍁䅁兑あ䝁䅧兡祂䝁䅅䅉兂䝁䅧兙祂䝁䄰兙獁䍁䅁兓畂䝁䅍杌杁䝁䅫杢杁䕁䅅䅣祂䝁䅫䅢杁䑁䅉䅍硁䑁䅫杌杁䙁䅑䅡求䍁䅁睙療䝁䄰䅣桂䝁䄴入杁䡁䅣兙穂䍁䅁兡畂䝁䅍睢祂䡁䅁睢祂䝁䅅䅤求䝁䅑䅉灂䝁䄴䅉祁䑁䅁免硁䍁䅁兙畂䝁䅑䅉灂䡁䅍䅉潂䝁䅕兙歂䡁䅅兤桂䡁䅉䅤求䡁䅉党歂䍁䅁兡畂䍁䅁村療䡁䅑䅡求䝁䅷䅢獁䍁䅁睖桂䡁䅍䅡灂䝁䄴睚あ䝁䄸杢畁䅁䅁杴䅕偁䱁䅁䉂䡁䅑䅡灂䡁䅉兙杁䙁䅁䅡桂䡁䅉兢桂䍁䅷䅉䩂䝁䄴睙畁䍁䅷䅉桂䍁䅁䅢桂䡁䅑党杁䝁䅍䅢灂䝁䄴兡橂䝁䅅䅢瑁䡁䅍䅤桂䝁䅣党杁䝁䅉兡療䡁䅁䅡桂䡁䅉兢桂䝁䅍党ㅂ䡁䅑兡橂䝁䅅䅢杁䝁䅍睢瑂䡁䅁兙畂䡁䅫䅌杁䝁䅙睢橂䡁䅕督求䡁䅍䅉療䝁䄴䅉歂䝁䅕杤求䝁䅷睢睂䝁䅫杢湂䍁䅁督瑂䝁䅅䅢獂䍁䅁兢療䝁䅷党橂䡁䅕䅢求䡁䅍䅉あ䝁䄸䅉祂䝁䅕督あ䝁䄸杣求䍁䅁杢求䡁䅕杣療䝁䄴兙獂䍁䅁䅡求䝁䅅䅢あ䝁䅧䅉桂䝁䄴䅚杁䡁䅍䅢療䡁䅣䅉畂䝁䅕兤祂䝁䄸䅚求䝁䅣杣桂䝁䅑兙あ䝁䅫睢畂䍁䄴䅉䩂䡁䅑督杁䝁䅷党桂䝁䅑䅉睂䡁䅉睢歂䡁䅕睙あ䍁䅁睙桂䝁䄴䅚灂䝁䅑兙あ䝁䅕䅉灂䡁䅍䅉䝂䝁䄸督湂䝁䄸杢灂䝁䄰党あ䝁䄸杢杁䍁䅧兑啂䕁䅧兌硁䑁䅁免㍁䍁䅫䅌杁䝁䅅䅉穂䝁䄰兙獂䝁䅷䅉瑂䝁䄸䅢求䝁䅍兤獂䝁䅕䅉歂䝁䅕督灂䝁䅣杢求䝁䅑䅉あ䝁䄸䅉瑂䝁䄸䅚ㅂ䝁䅷兙あ䝁䅕䅉あ䝁䅧党杁䝁䄴党ㅂ䡁䅉睢あ䡁䅉睢睂䝁䅧兡橂䍁䅁䅡求䡁䅁兙あ䝁䄸睙㕂䡁䅑党杁䝁䅣杣療䡁䅣䅤潂䍁䅁杚桂䝁䅍䅤療䡁䅉䅉潁䕁䅧睒䝂䍁䅫䅉穂䡁䅫督あ䝁䅕兢杁䝁䅅杢歂䍁䅁兡あ䡁䅍䅉祂䝁䅕睙求䡁䅁䅤療䡁䅉䅌杁䕁䄰兒啂䍁䅷䅉浂䝁䄸杣杁䝁䅅䅉潂䝁䅕兙獂䡁䅑䅡㕂䍁䅁杢求䡁䅉杤療䡁䅕督杁䡁䅍入穂䡁䅑党瑂䍁䅁䅤潂䝁䅅䅤杁䝁䅫督杁䝁䅫杢杁䕁䅷兓䝂䙁䅑兌䉂䕁䅑䅉兂䝁䅧兙穂䝁䅕䅉祁䍁䄸睍杁䝁䅅杢歂䍁䅁兑䑂䙁䅑兌䉂䕁䅑䅉兂䝁䅧兙穂䝁䅕䅉祁䍁䅁睙獂䝁䅫杢灂䝁䅍兙獂䍁䅁䅤祂䝁䅫兙獂䡁䅍䅉浂䝁䄸杣杁䡁䅑䅡求䍁䅁䅤祂䝁䅕兙あ䝁䄰党畂䡁䅑䅉療䝁䅙䅉䉂䝁䅷来潂䝁䅕兡瑂䝁䅕杣婁䡉䅍䅉歂䝁䅫督求䝁䅅督求䍁䅷䅉桂䡁䅍䅉㍂䝁䅕䅢獂䍁䅁兙穂䍁䅁兡穂䍁䅁兡畂䍁䅁䅕潂䝁䅅督求䍁䅁杍杁䝁䅍䅢灂䝁䄴兡橂䝁䅅䅢杁䡁䅑杣灂䝁䅅䅢穂䍁䅁䅤療䍁䅁䅤祂䝁䅕兙あ䍁䅁䅕桂䡁䅉睡灂䝁䄴督療䝁䄴升穂䍁䅁䅚灂䡁䅍党桂䡁䅍党杁䝁䅑党瑂䝁䅕杢あ䝁䅫兙杁䝁䅅杢歂䍁䅁䅒求䝁䄰党畂䡁䅑兡桂䍁䅁睤灂䡁䅑䅡杁䕁䅷党㍂䡁䅫䅉楂䝁䄸䅚灂䝁䅕督畁䍁䅁䅖潂䝁䅕䅉橂䝁䄸兢睂䝁䅅杢㕂䉁杫督杁䡁䅁杣療䝁䅑兤橂䡁䅑䅉睂䝁䅫䅣求䝁䅷兡畂䝁䅕䅉灂䝁䄴睙獂䡁䅕䅚求䡁䅍䅉䉂䙁䅑䅓瑁䑁䅅䅍祁䑁䅁䅌杁䝁䅅杢杁䝁䄸杣桂䝁䅷䅢㕂䍁䅁兙㉂䝁䅅兡獂䝁䅅杙獂䝁䅕䅉楂䡁䅉兙灂䝁䄴兌睂䝁䅕杢求䡁䅑杣桂䝁䄴䅤杁䡁䅍兢桂䝁䅷䅢杁䝁䄰睢獂䝁䅕睙ㅂ䝁䅷党杁䝁䅑党穂䝁䅫睚畂䝁䅕䅚杁䡁䅑睢杁䝁䅕杢潂䝁䅅杢橂䝁䅕䅉あ䝁䅧党杁䕁䅧睒䝂䍁䄸兔䙂䙁䅑䅉穂䡁䅫督あ䝁䅕兢杁䡁䅑䅡桂䡁䅑䅉灂䡁䅍䅉灂䝁䄴䅉兂䝁䅧兙穂䝁䅕䅉硁䍁䅁睙獂䝁䅫杢灂䝁䅍兙獂䍁䅁䅤祂䝁䅫兙獂䡁䅍䅉あ䝁䄸䅉あ䡁䅉党桂䡁䅑䅉畂䝁䅕兤祂䝁䄸䅣桂䡁䅑䅡灂䝁䅍䅉睂䝁䅅兡畂䍁䅁兙畂䝁䅑䅉畂䝁䅕兤祂䝁䄸䅚求䝁䅣党畂䝁䅕杣桂䡁䅑兡㉂䝁䅕䅉歂䝁䅫督求䝁䅅督求䡁䅍睏杁䝁䅅杢歂䍁䅁兑啂䕁䅧兌硁䑁䅅䅍ㅁ䍁䅷䅉桂䝁䄴䅉療䡁䅉兙獂䍁䅁督瑂䝁䅅䅢獂䍁䅁兢療䝁䅷党橂䡁䅕䅢求䍁䅁䅚祂䡁䅕睚杁䝁䅍兙畂䝁䅑兡歂䝁䅅䅤求䍁䅷䅉㍂䝁䅧兡橂䝁䅧䅉灂䡁䅍䅉桂䍁䅁䅣祂䝁䅕睙獂䝁䅫杢灂䝁䅍兙獂䍁䅁兢療䝁䅑党獂䍁䅁杚療䡁䅉䅉あ䝁䅧党杁䡁䅑杣求䝁䅅䅤瑂䝁䅕杢あ䍁䅁睢浂䍁䅁兑瑂䡁䅫睢あ䡁䅉睢睂䝁䅧兡橂䍁䅁䅔桂䡁䅑党祂䝁䅅䅢杁䙁䅍睙獂䝁䅕杣療䡁䅍兡穂䍁䄴䅉䩂䝁䄴䅉桂䝁䅑䅚灂䡁䅑兡療䝁䄴䅌杁䝁䅫䅤杁䝁䅧兙穂䍁䅁兙杁䝁䅷兡橂䝁䅕杢穂䝁䅕䅉桂䝁䅣杣求䝁䅕兢求䝁䄴䅤杁䡁䅣兡あ䝁䅧䅉塂䝁䅅督潂䝁䅫杢湂䡁䅑睢畂䍁䅁睕あ䝁䅅䅤求䍁䅁兖畂䝁䅫杤求䡁䅉督灂䡁䅑入杁䡁䅑睢杁䝁䄸杚浂䝁䅕杣杁䝁䅙睢祂䍁䅁督桂䝁䅷党杁䡁䅁杣療䝁䅑兤橂䡁䅑督杁䝁䅍睢㉂䝁䅕杣求䝁䅑䅉楂䡁䅫䅉橂䝁䅕杣あ䝁䅅兡畂䍁䅁䅢灂䝁䅍党畂䡁䅍党歂䍁䅁䅣桂䡁䅑党畂䡁䅑督獁䍁䅁兡畂䝁䅍䅢ㅂ䝁䅑兡畂䝁䅣䅉歂䝁䅫䅡求䡁䅧兙獁䍁䅁䅤潂䝁䅕䅉橂䝁䅧党瑂䝁䅫睙桂䝁䅷䅉橂䝁䄸兢睂䝁䄸兤畂䝁䅑䅉灂䝁䄴䅤療䍁䅁睤潂䝁䅫睙潂䍁䅁杚療䡁䅍睚療䝁䄴兡瑂䝁䅕䅤療䝁䄴䅉瑂䝁䅕䅤桂䝁䅉睢獂䝁䅫来求䡁䅍䅉浂䝁䄸䅢獂䝁䄸睤灂䝁䄴睚杁䝁䅅䅚瑂䝁䅫杢灂䡁䅍䅤祂䝁䅅䅤灂䝁䄸杢㝁䍁䅁兙畂䝁䅑䅉橂䝁䄸䅢獂䝁䅅杙療䡁䅉兙あ䝁䅫睢畂䍁䅁兙畂䝁䅑䅉湂䡁䅉兙畂䡁䅑䅉桂䝁䅣杣求䝁䅕兢求䝁䄴䅤杁䡁䅣兡あ䝁䅧䅉佂䝁䅅䅤灂䝁䄸杢桂䝁䅷䅉䩂䝁䄴督あ䝁䅫䅤ㅂ䡁䅑党穂䍁䅁睢浂䍁䅁䅓求䝁䅅䅢あ䝁䅧䅉䡂䡁䅉兙畂䡁䅑䅉あ䝁䄸䅉穂䡁䅕䅣睂䝁䄸杣あ䍁䅁兑䑂䙁䅑兌䉂䕁䅑䅉兂䝁䅧兙穂䝁䅕䅉祁䍁䅁睙獂䝁䅫杢灂䝁䅍兙獂䍁䅁䅤祂䝁䅫兙獂䍁䅁杚療䡁䅉䅉浂䝁䄸督湂䝁䄸杢灂䝁䄰党あ䝁䄸杢畁䍁䅁䅖潂䝁䅕䅉橂䝁䄸兢睂䝁䅅杢㕂䍁䅁睤桂䡁䅍䅉浂䝁䄸杣瑂䝁䅕杣獂䡁䅫䅉牂䝁䄴睢㍂䝁䄴䅉桂䡁䅍䅉乂䑁䅍䅉䍂䝁䅫睢あ䝁䅕睙潂䝁䄴睢獂䝁䄸睚㕂䍁䅷䅉䩂䝁䄴睙畁䍁䅁兙畂䝁䅑䅉橂䝁䅧兙畂䝁䅣党歂䍁䅁兡あ䡁䅍䅉畂䝁䅅兢求䍁䅁䅤療䍁䅁兑あ䝁䅧兡祂䝁䅅䅉兂䝁䅧兙祂䝁䄰兙獁䍁䅁兓畂䝁䅍杌杁䝁䅫杢杁䕁䅅䅣祂</t>
  </si>
  <si>
    <t>䝁䅫䅢杁䑁䅉䅍硁䑁䅫杌杁䕁䅅䅤潂䝁䅫杣桂䍁䅁䅕潂䝁䅅杣瑂䝁䅅䅌杁䕁䅫杢橂䍁䄴䅉㍂䝁䅅督杁䝁䅫杢橂䝁䄸杣睂䝁䄸杣桂䡁䅑党歂䍁䅁兡畂䍁䅁杍睁䑁䅅免杁䝁䅅杢歂䍁䅁兡穂䍁䅁䅡求䝁䅅䅚硂䡁䅕兙祂䡁䅑党祂䝁䅕䅚杁䝁䅫杢杁䕁䅉睢あ䝁䅧党獂䝁䅷䅌杁䙁䅣兙穂䝁䅧兡畂䝁䅣䅤療䝁䄴杌䅁䱁䜰䅁浄杄䅁兑あ䡁䅑党畂䡁䅑兡杁䕁䅕䅢求䝁䅍䅤祂䝁䄸杢灂䝁䅍䅉乂䝁䄸杢灂䡁䅑睢祂䝁䅫杢湂䍁䅷䅉䵂䡁䅑䅚畁䍁䅁䅚求䡁䅙党獂䝁䄸䅣穂䍁䅷䅉瑂䝁䅅杢ㅂ䝁䅙兙橂䡁䅑兤祂䝁䅕督獁䍁䅁兙畂䝁䅑䅉穂䡁䅕䅣睂䝁䅷兡求䡁䅍䅉睂䡁䅉党穂䝁䅕杢橂䝁䅕䅉桂䝁䄴䅚杁䝁䅷睢橂䝁䅅䅤灂䝁䄸杢杁䡁䅙党祂䝁䅫杚灂䝁䅍兙あ䝁䅫睢畂䍁䅁䅤求䝁䅍䅡畂䝁䄸䅢療䝁䅣兡求䡁䅍䅉浂䝁䄸杣杁䡁䅑䅡求䍁䅁睙祂䝁䅫兢灂䝁䄴兙獂䍁䅁条ㅂ䡁䅍䅤灂䝁䅍党杁䝁䅫杢歂䡁䅕督あ䡁䅉入杁䝁䅅杢歂䍁䅁睤灂䡁䅉党獂䝁䅕督穂䍁䅁兢療䝁䄴兡あ䝁䄸杣灂䝁䄴睚杁䡁䅍睢獂䡁䅕䅤灂䝁䄸杢穂䍁䅁杚療䡁䅉䅉あ䝁䅧党杁䡁䅍党畂䝁䅫睢祂䍁䅁䅡療䡁䅕督灂䝁䄴睚杁䝁䄰兙祂䝁䅳党あ䍁䅁兡畂䍁䅁兓穂䡁䅉兙求䝁䅷䅉桂䝁䄴䅚杁䝁䅫杢あ䝁䅕杣畂䝁䅅䅤灂䝁䄸杢桂䝁䅷䅢㕂䍁䄴䅉䩂䡁䅑䅉療䝁䅙杚求䡁䅉督杁䝁䄸杢求䍁䄰䅣灂䝁䅕睙求䍁䅁睒兂䙁䅍䅉あ䡁䅉兙橂䝁䅳兡畂䝁䅣䅉歂䝁䅕杤灂䝁䅍党杁䡁䅑䅡桂䡁䅑䅉求䝁䄴兙楂䝁䅷党穂䍁䅁兤穂䝁䅕杣穂䍁䅁䅤療䍁䅁睙療䝁䄴䅤灂䝁䄴兤療䡁䅕督獂䡁䅫䅉瑂䝁䄸杢灂䡁䅑睢祂䍁䅁䅤潂䝁䅕䅉療䝁䅙杚求䝁䄴䅚求䡁䅉睊穂䍁䅁䅢療䝁䅍兙あ䝁䅫睢畂䍁䅁兙あ䍁䅁杤桂䡁䅉入灂䝁䄴睚杁䝁䅷党㉂䝁䅕䅢穂䍁䅁睢浂䍁䅁兡畂䡁䅑党畂䡁䅍兡あ䡁䅫睏杁䡁䅑睤療䍁䄰䅣灂䝁䅕睙求䍁䅁睒兂䙁䅍䅉療䝁䅙杚求䝁䄴䅚求䡁䅉䅉あ䡁䅉兙橂䝁䅳兡畂䝁䅣䅉ㅂ䝁䄴兡あ䍁䅷䅉桂䍁䅁䅣祂䝁䅕睙灂䡁䅍兡療䝁䄴䅉獂䝁䄸睙桂䡁䅑兡療䝁䄴䅉あ䡁䅉兙橂䝁䅳兡畂䝁䅣䅉穂䝁䄸䅢ㅂ䡁䅑兡療䝁䄴䅉浂䝁䄸杣杁䝁䅍睢畂䡁䅑兡畂䡁䅕睢ㅂ䡁䅍䅉療䝁䅙杚求䝁䄴䅚求䡁䅉䅉瑂䝁䄸杢灂䡁䅑睢祂䝁䅫杢湂䑁䅳䅉桂䝁䄴䅚杁䝁䅑兤桂䝁䅷䅉橂䝁䄸兢瑂䡁䅍䅉潂䝁䄸兢求䍁䅁睙ㅂ䡁䅉杚求䡁䅣䅉穂䝁䄸䅢ㅂ䡁䅑兡療䝁䄴䅉浂䝁䄸杣杁䝁䅍睢畂䡁䅑兡畂䡁䅕睢ㅂ䡁䅍䅉睂䡁䅉党穂䝁䅕杢橂䝁䅕䅉瑂䝁䄸杢灂䡁䅑睢祂䝁䅫杢湂䍁䅁睤灂䡁䅑䅡灂䝁䄴䅉桂䍁䅁䅚求䝁䅙兡畂䝁䅕䅚杁䡁䅁党祂䝁䅫兢求䡁䅑党祂䍁䄴䅉啂䝁䅧党杁䝁䅍睢瑂䡁䅁兙畂䡁䅫䅉桂䝁䅷督療䍁䅁睢浂䝁䅙党祂䡁䅍䅉歂䡁䅕兙獂䍁䅁睙療䝁䄰兢穂䍁䅁睙ㅂ䡁䅉杚求䡁䅣䅉卂䕁䅙䅉瑂䝁䄸杢灂䡁䅑睢祂䝁䅫杢湂䍁䅁杣求䝁䅍党灂䡁䅙党祂䍁䅷䅉桂䝁䄴䅉ㅂ䝁䄴兡あ䍁䅁睤灂䡁䅑䅡杁䝁䅫杢あ䝁䅕睚祂䝁䅅䅤求䝁䅑䅉橂䝁䅕䅢獂䡁䅕䅢桂䡁䅉䅉桂䝁䄴䅚杁䝁䅷兙畂䝁䅑䅢灂䝁䄴党杁䝁䄰睢歂䝁䅕兢穂䍁䅁兤穂䝁䅕䅚杁䝁䅙睢祂䍁䅁兢療䝁䄴兡あ䝁䄸杣灂䝁䄴睚杁䡁䅑䅡求䍁䅁䅣祂䝁䅕督求䝁䄴睙求䍁䅁睢浂䍁䅁兙杁䡁䅑杣桂䝁䄴督瑂䝁䅫䅤あ䝁䅕杣杁䡁䅣睢祂䝁䄴䅉楂䡁䅫䅉あ䝁䅧党杁䝁䄰睢畂䝁䅫䅤療䡁䅉党歂䍁䅁兡畂䝁䅑兡㉂䝁䅫䅚ㅂ䝁䅅䅢杁䡁䅣兡あ䝁䅧兡畂䍁䅁兙杁䝁䅑党浂䝁䅫杢求䝁䅑䅉睂䝁䅕杣灂䝁䄰党あ䝁䅕杣㝁䍁䅁兙畂䝁䅑䅉歂䝁䄸兢求䡁䅍䅤灂䝁䅍䅉㉂䝁䅫睢獂䝁䅕杢橂䝁䅕䅉䡂䙁䅁睕杁䡁䅁杣療䡁䅧兡瑂䝁䅫䅤㕂䍁䅁杢療䡁䅑兡浂䝁䅫睙桂䡁䅑兡療䝁䄴䅉穂䡁䅫督あ䝁䅕兢杁䡁䅑䅡桂䡁䅑䅉灂䡁䅍䅉ㅂ䡁䅍党歂䍁䅁䅤療䍁䅁睡求䝁䅕䅣杁䡁䅙兡橂䡁䅑兡瑂䡁䅍䅉療䝁䅙䅉歂䝁䄸兢求䡁䅍䅤灂䝁䅍䅉㉂䝁䅫睢獂䝁䅕杢橂䝁䅕䅉穂䝁䅅杚求䍁䅷䅉㍂䝁䅧党祂䝁䅕杤求䡁䅉䅉あ䝁䅧党㕂䍁䅁兙祂䝁䅕杌杁䕁䅫杢杁䝁䅅䅚歂䝁䅫䅤灂䝁䄸杢獁䍁䅁兡あ䍁䅁睢浂䝁䅙党祂䡁䅍䅉桂䡁䅣兙祂䝁䅕杌獁䍁䅁兙畂䍁䅁睢浂䝁䅙党畂䝁䅑党祂䍁䅁兢桂䝁䄴兙湂䝁䅕兢求䝁䄴䅤杁䡁䅍入穂䡁䅑党瑂䍁䅁䅋偂䕁䄰睕灁䍁䅁䅤潂䝁䅅䅤杁䝁䅕杢桂䝁䅉䅢求䡁䅍䅉あ䝁䅧党杁䝁䄰兙畂䝁䅅睚求䝁䄰党畂䡁䅑䅉療䝁䅙䅉穂䡁䅫督あ䝁䅕兢杁䝁䅕杢あ䝁䅫䅤灂䝁䅕督獁䍁䅁兡畂䝁䅍䅢ㅂ䝁䅑兡畂䝁䅣䅉睂䡁䅉睢楂䝁䅅䅤灂䝁䄸杢杁䝁䄸杚浂䝁䅫睙求䡁䅉督獁䍁䅁兢療䝁䄴兡あ䝁䄸杣灂䝁䄴睚杁䝁䅍党畂䡁䅑党祂䍁䅁督あ䝁䅅杚浂䍁䅷䅉あ䝁䅧党杁䡁䅁党療䡁䅁䅢求䍁䅁兢療䝁䄴兡あ䝁䄸杣求䝁䅑䅉楂䡁䅫䅉あ䝁䅧党杁䡁䅍入穂䡁䅑党瑂䍁䅷䅉求䡁䅅兤灂䡁䅁兢求䝁䄴䅤杁䝁䅫杢㉂䝁䅕杢あ䝁䄸杣㕂䍁䅷䅉桂䝁䄴䅚杁䝁䅕杤求䝁䄴䅤穂䍁䅁睚求䝁䄴党祂䝁䅅䅤求䝁䅑䅉楂䡁䅫䅉歂䝁䅕杤灂䝁䅍党穂䍁䅁兡畂䍁䅁䅤潂䝁䅕䅉浂䝁䅫党獂䝁䅑杌杁䕁䅙兤祂䡁䅑䅡求䡁䅉䅌杁䡁䅑䅡求䍁䅁睙療䝁䄰䅣桂䝁䄴入杁䡁䅁杣療䡁䅙兡歂䝁䅕督杁䝁䅅睤桂䡁䅉党畁䝁䄰睢楂䝁䅫䅢求䍁䅷䅉桂䍁䅁杣求䝁䅅䅢瑁䡁䅑兡瑂䝁䅕䅉求䝁䅷党橂䡁䅑杣療䝁䄴兡橂䍁䅁兢療䝁䄴兡あ䝁䄸杣灂䝁䄴睚杁䝁䅅䅣睂䝁䅷兡橂䝁䅅䅤灂䝁䄸杢杁䡁䅑䅡桂䡁䅑䅉求䝁䄰䅣療䡁䅣党祂䡁䅍䅉療䝁䅙杚灂䝁䅍党祂䡁䅍䅉灂䝁䄴䅉あ䝁䅧党杁䝁䅙兡求䝁䅷䅚杁䡁䅑睢杁䝁䄰兙畂䝁䅅睚求䍁䅁䅤潂䝁䅕兡祂䍁䅁睤療䡁䅉睡獂䝁䄸兙歂䍁䅁杚祂䝁䄸兢杁䝁䅅䅉瑂䝁䄸杙灂䝁䅷党杁䝁䅑党㉂䝁䅫睙求䍁䄴䅉䝂䡁䅕杣あ䝁䅧党祂䝁䄰睢祂䝁䅕䅌杁䝁䅫䅤杁䝁䄸杚浂䝁䅕杣穂䍁䅁䅤祂䝁䅅兡畂䝁䅫杢湂䍁䅁兙畂䝁䅑䅉灂䝁䄰䅣獂䝁䅕兢求䝁䄴䅤桂䡁䅑兡療䝁䄴䅉穂䝁䅕杣㉂䝁䅫睙求䡁䅍杌杁䕁䅅䅤あ䝁䅕杢あ䝁䅫䅉䙂䝁䅷党橂䡁䅑杣療䝁䄴兡橂䍁䅁兔療䝁䄴兡あ䝁䄸杣灂䝁䄴睚獁䍁䅁䅔あ䝁䅑杌杁䡁䅣兙穂䍁䅁杚療䡁䅉兢求䡁䅉䅢㕂䍁䅁睡畂䝁䄸睤畂䍁䅁兙穂䍁䅁睍乂䍁䅁兑あ䡁䅑党畂䡁䅑兡杁䕁䅷䅤歂䍁䄴䅉桂䝁䄴䅚杁䝁䅍䅡桂䝁䄴睚求䝁䅑䅉灂䡁䅑督杁䝁䄴兙瑂䝁䅕䅉あ䝁䄸䅉䉂䡁䅑䅤求䝁䄴䅤灂䍁䅁兒獂䝁䅕睙あ䡁䅉睢畂䝁䅫睙杁䕁䄰睢畂䝁䅫䅤療䡁䅉兡畂䝁䅣䅌杁䕁䅷䅤歂䍁䄴䅉灂䝁䄴䅉偂䝁䅍䅤療䝁䅉党祂䍁䅁杍睁䑁䅅睎畁䍁䅁䅖潂䝁䅕䅉橂䝁䄸兢睂䝁䅅杢㕂䍁䅁睤桂䡁䅍䅉灂䝁䄴睙療䡁䅉䅣療䡁䅉兙あ䝁䅕䅚杁䝁䅫杢杁䑁䅅兏㕁䑁䅑䅉桂䝁䄴䅚杁䝁䅫督杁䝁䅉兙穂䝁䅕䅚杁䝁䅫杢杁䙁䅑党獂䍁䅁兑㉂䝁䅫杤瑁䙁䅫兙浂䝁䄸䅌杁䕁䅫督祂䝁䅅党獂䍁䄴䅉䩂䡁䅑䅉潂䝁䅅督杁䝁䄸䅣求䡁䅉兙あ䝁䅫睢畂䡁䅍䅉灂䝁䄴䅉あ䝁䅧党杁䙁䅕杢灂䡁䅑党歂䍁䅁睕あ䝁䅅䅤求䡁䅍䅌杁䡁䅑䅡求䍁䅁兖畂䝁䅫䅤求䝁䅑䅉䱂䝁䅫杢湂䝁䅑睢瑂䍁䅷䅉䩂䡁䅍杣桂䝁䅕䅢獁䍁䅁兙畂䝁䅑䅉佂䝁䅕睤杁䙁䅯党桂䝁䅷兙畂䝁䅑杌杁䕁䅅督杁䝁䄸杚杁䕁䅅兤湂䡁䅕督あ䍁䅁杍獁䍁䅁杍睁䑁䅉杍獁䍁䅁兑あ䡁䅑党畂䡁䅑兡杁䕁䅕䅢求䝁䅍䅤祂䝁䄸杢灂䝁䅍䅉乂䝁䄸杢灂䡁䅑睢祂䝁䅫杢湂䍁䅷䅉䵂䡁䅑䅚畁䍁䅁睢睂䝁䅕杣桂䡁䅑党穂䍁䅁兙穂䍁䅁兙杁䡁䅍兤楂䡁䅍兡歂䝁䅫兙祂䡁䅫䅉療䝁䅙䅉䉂䝁䅷䅢灂䝁䅕䅚杁䙁䅕杢灂䡁䅙党祂䡁䅍兙獂䍁䅁睕求䝁䅍兤祂䝁䅫䅤㕂䍁䅁睕求䡁䅉杤灂䝁䅍党穂䍁䅁䅔䵂䕁䅍杌䅁䉁䉁䅁慁䅁䅁兑ㅂ䡁䅉兙杁䕁䅍睢瑂䡁䅁兙畂䡁䅫䅁ぃ允䅁杏䅁䕁䅅兤祂䝁䅫杢灂䝁䅅䅉兂䝁䅧兙祂䝁䄰兙橂䝁䅕兤あ䝁䅫睙桂䝁䅷督杁䕁䅫杢橂䍁䄴䅁䑁杂䅁来䅍䕁䅅兤祂䝁䅫杢灂䝁䅅䅉兂䝁䅧兙祂䝁䄰兙橂䝁䅕兤あ䝁䅫睙桂䝁䅷督杁䕁䅫杢橂䍁䄴䅌杁䝁䅅䅉橂䝁䄸兢瑂䝁䅕杣橂䝁䅫兙獂䍁䄰督あ䝁䅅睚求䍁䅁杙灂䝁䄸䅣潂䝁䅅杣瑂䝁䅅睙求䡁䅕䅤灂䝁䅍兙獂䍁䅁睙療䝁䄰䅣桂䝁䄴入獁䍁䅁杚療䝁䅍兤穂䝁䅕督杁䝁䄸杢杁䝁䅑党㉂䝁䅕䅢療䡁䅁兡畂䝁䅣䅉桂䝁䄴䅚杁䝁䅍睢瑂䝁䄰党祂䝁䅍兡桂䝁䅷兡㙂䝁䅫杢湂䍁䅁䅤潂䝁䅕杣桂䡁䅁兡求䡁䅍䅉あ䝁䄸䅉あ䡁䅉党桂䡁䅑䅉㉂䝁䅅杣灂䝁䄸兤穂䍁䅁䅚灂䡁䅍党桂䡁䅍党穂䍁䅁睤灂䡁䅑䅡杁䡁䅕杢瑂䝁䅕䅤杁䝁䄰党歂䝁䅫睙桂䝁䅷䅉畂䝁䅕党歂䍁䅁兡畂䍁䅁䅤潂䝁䅕䅉噂䝁䄴兡あ䝁䅕䅚杁䙁䅍䅤桂䡁䅑党穂䍁䄴䅉䩂䡁䅑䅉療䝁䅙杚求䡁䅉督杁䕁䅷兖兂䕁䅳兗佂䕁䅫睕杁䝁䅙睢祂䍁䅁䅤潂䝁䅕䅉あ䡁䅉党桂䡁䅑兢求䝁䄴䅤杁䝁䄸杚杁䝁䅅䅚ㅂ䝁䅷䅤杁䡁䅁兙あ䝁䅫党畂䡁䅑督杁䡁䅣兡あ䝁䅧䅉桂䝁䅍䅤灂䡁䅙党杁䝁䅷兤睂䡁䅕督杁䝁䄴党睂䝁䅧杣灂䡁䅑兡穂䍁䄴䅉䩂䡁䅑䅉潂䝁䅅督杁䝁䅅䅉橂䝁䄸䅢獂䝁䅅杙療䡁䅉兙あ䝁䅫睢畂䍁䅁兙畂䝁䅑䅉獂䝁䅫睙求䝁䄴督求䍁䅁兙湂䡁䅉党求䝁䄰党畂䡁䅑䅉㍂䝁䅫䅤潂䍁䅁睔あ䡁䅍兤牂䝁䅅䅉兂䝁䅧兙祂䝁䄰兙橂䝁䅕兤あ䝁䅫睙桂䝁䅷䅉䑂䝁䄸杌獁䍁䅁䅔あ䝁䅑杌杁䙁䅑䅡求䍁䅁睙療䝁䄰䅣桂䝁䄴入杁䡁䅣兙穂䍁䅁兡畂䝁䅍睢祂䡁䅁睢祂䝁䅅䅤求䝁䅑䅉灂䝁䄴䅉硁䑁䅫兏穁䍁䅁兙畂䝁䅑䅉灂䡁䅍䅉潂䝁䅕兙歂䡁䅅兤桂䡁䅉䅤求䡁䅉党歂䍁䅁兡畂䍁䅁兒歂䝁䄰睢畂䡁䅑睢畂䍁䅷䅉䑂䝁䅅杢桂䝁䅑兙畁䅁䅁兕䅙䡁䐴䅁䉂䡁䅕杣灂䝁䄴兡桂䍁䅁䅕潂䝁䅅杣瑂䝁䅅睙求䡁䅕䅤灂䝁䅍兙獂䡁䅍䅉䩂䝁䄴睙畁䍁䅷䅉桂䍁䅁睙療䝁䄰兢求䡁䅉睙灂䝁䅅䅢瑁䡁䅍䅤桂䝁䅣党杁䝁䅉兡療䡁䅁䅡桂䡁䅉兢桂䝁䅍党ㅂ䡁䅑兡橂䝁䅅䅢杁䝁䅍睢瑂䡁䅁兙畂䡁䅫䅌杁䝁䅙睢橂䡁䅕督求䡁䅍䅉療䝁䄴䅉歂䝁䅕杤求䝁䅷睢睂䝁䅫杢湂䍁䅁兙畂䝁䅑䅉橂䝁䄸兢瑂䝁䅕杣橂䝁䅫兙獂䝁䅫来灂䝁䄴睚杁䡁䅑䅡求䡁䅉兙睂䝁䅫党穂䍁䅁䅤療䍁䅁䅤祂䝁䅕兙あ䍁䅁杤桂䡁䅉兡療䡁䅕督杁䝁䅑兡穂䝁䅕兙穂䝁䅕督杁䡁䅣兡あ䝁䅧䅉ㅂ䝁䄴兢求䡁䅑䅉瑂䝁䅕䅚灂䝁䅍兙獂䍁䅁杢求䝁䅕䅚杁䝁䅫杢杁䡁䅑䅡求䍁䅁兖畂䝁䅫䅤求䝁䅑䅉呂䡁䅑兙あ䝁䅕督畁䍁䅁䅖潂䝁䅕䅉橂䝁䄸兢睂䝁䅅杢㕂䍁䅁兙獂䡁䅍睢杁䝁䄸杚浂䝁䅕杣穂䍁䅁䅔噂䙁䅁睓婂䕁䄴兓呂䍁䅁杚療䡁䅉䅉あ䝁䅧党杁䡁䅑杣求䝁䅅䅤瑂䝁䅕杢あ䍁䅁睢浂䍁䅁兙歂䡁䅕䅢あ䍁䅁䅣桂䡁䅑兡求䝁䄴䅤穂䍁䅁睤灂䡁䅑䅡杁䝁䅅睙あ䝁䅫杤求䍁䅁䅢ㅂ䡁䅁兤穂䍁䅁杢求䡁䅁䅡祂䝁䅫䅤灂䡁䅍杌杁䕁䅫䅤杁䝁䅧兙穂䍁䅁兙杁䝁䅍睢獂䝁䅷兙楂䝁䄸杣桂䡁䅑兡療䝁䄴䅉桂䝁䄴䅚杁䝁䅷兡橂䝁䅕杢穂䝁䅕䅉桂䝁䅣杣求䝁䅕兢求䝁䄴䅤杁䡁䅣兡あ䝁䅧䅉偂䡁䅑督ㅂ䝁䅳兙杁䙁䅁䅡桂䡁䅉兢桂䝁䅍党ㅂ䡁䅑兡橂䝁䅅䅢杁䕁䅍睢畁䍁䅷䅉䵂䡁䅑䅚畁䍁䅁兑ㅂ䡁䅉兡畂䝁䅫兙杁䙁䅁䅡桂䡁䅉兢桂䝁䅍党ㅂ䡁䅑兡橂䝁䅅䅢穂䍁䅁兓畂䝁䅍杌杁䝁䅫督杁䝁䅧党桂䝁䅑兣ㅂ䝁䅅杣あ䝁䅕杣求䝁䅑䅉灂䝁䄴䅉坂䝁䅫睙あ䝁䄸杣灂䝁䅅䅌杁䕁䅍兙畂䝁䅅䅚桂䍁䄴䅁䥁杂䅁䅆䅁䕁䅅兤穂䡁䅑杣桂䝁䅷兡桂䅁䅁䅈䅉䕁䅉䅁䉂䡁䅕督あ䡁䅉兙獂䝁䅫兙畂䍁䅁杒灂䝁䄴兙畂䝁䅍党杁䕁䅣杣療䡁䅕䅣杁䕁䅷兡瑂䝁䅫䅤求䝁䅑䅁楁杁䅁杈䅁䕁䅅兤あ䝁䅧兔灂䝁䄴䅚獁䍁䅁兓畂䝁䅍杌䅁䵁䉣䅁睁䅁䅁兑ㅂ䡁䅑睢呂䡁䅑睢祂䝁䅕䅉䥂䝁䄸䅢歂䝁䅫杢湂䡁䅍䅉䵂䡁䅑䅚畁䅁䅁杒䅁䑁䅉䅁䉂䡁䅕䅤療䝁䅷兤穂䍁䅁䅖潂䝁䅕杣桂䡁䅁党ㅂ䡁䅑兡橂䡁䅍䅉睂䝁䅷睙䅁乁䘴䅁⭃睂䅁兑ㅂ䡁䅑睢獂䡁䅕督杁䙁䅑䅡求䡁䅉兙睂䝁䅕兤あ䝁䅫睙穂䍁䅁䅣獂䝁䅍䅌杁䝁䅅䅉橂䝁䅷兡畂䝁䅫睙桂䝁䅷兌穂䡁䅑兙湂䝁䅕䅉楂䝁䅫睢睂䝁䅧兙祂䝁䄰兙橂䝁䅕兤あ䝁䅫睙桂䝁䅷䅉橂䝁䄸兢睂䝁䅅杢㕂䍁䅷䅉歂䝁䅕杤求䝁䅷睢睂䡁䅍䅉啂䍁䅁睙求䝁䅷䅢杁䡁䅑䅡求䡁䅉兙睂䝁䅫党穂䍁䅁杚療䡁䅉䅉あ䝁䅧党杁䡁䅑杣求䝁䅅䅤瑂䝁䅕杢あ䍁䅁睢浂䍁䅁睙桂䝁䄴睙求䡁䅉䅉桂䝁䄴䅚杁䝁䅅兤あ䝁䄸兡瑂䝁䄰兤畂䝁䅕䅉歂䝁䅫督求䝁䅅督求䡁䅍杌杁䙁䅑䅡求䍁䅁睙療䝁䄰䅣桂䝁䄴入婁䡉䅍䅉橂䝁䅷兡畂䝁䅫睙桂䝁䅷兌穂䡁䅑兙湂䝁䅕䅉睂䡁䅉睢湂䡁䅉兙瑂䡁䅍䅉灂䝁䄴睙獂䡁䅕䅚求䍁䅁睢楂䝁䅕睙桂䝁䅉䅤桂䝁䅣党畂䝁䅕䅉桂䡁䅕䅤療䝁䅷党ㅂ䝁䅍党獂䍁䅁䅋䉂䙁䅕䅖偂䑁䅅克獁䍁䅁兙杁䕁䅍䅒硁䑁䅫兌あ䝁䅅杣湂䝁䅕䅤灂䝁䄴睚杁䡁䅁杣療䝁䅣杣桂䝁䄰兢求䝁䅑䅉啂䍁䅁睙求䝁䅷䅢杁䝁䅫杢㉂䝁䅕督あ䝁䅫睚桂䡁䅑兡療䝁䄴兙獂䍁䅁䅤潂䝁䅕杣桂䡁䅁入杁䡁䅑䅡桂䡁䅑䅉灂䡁䅍䅉灂䝁䄴䅉兂䝁䅧兙穂䝁䅕䅉硁䝁䅉睌祁䍁䅁睙獂䝁䅫杢灂䝁䅍兙獂䍁䅁䅤祂䝁䅫兙獂䍁䅁杚療䡁䅉䅉あ䝁䅧党杁䡁䅑杣求䝁䅅䅤瑂䝁䅕杢あ䍁䅁睢浂䍁䅁兙歂䡁䅕䅢あ䍁䅁兑䵂䕁䅷睏杁䕁䅅兖啂䕁䄸免癁䑁䅉杍獁䍁䅁睤潂䝁䅫睙潂䍁䅁兡穂䍁䅁兡畂䍁䅁兙杁䙁䅁䅡桂䡁䅍党杁䑁䅅䅉橂䝁䅷兡畂䝁䅫睙桂䝁䅷䅉あ䡁䅉兡桂䝁䅷䅉灂䝁䄴䅉睂䝁䅕䅚灂䝁䅅䅤祂䝁䅫睙杁䡁䅁兙あ䝁䅫党畂䡁䅑督杁䡁䅣兡あ䝁䅧䅉祂䝁䅕䅢桂䡁䅁督求䝁䅑䅉療䡁䅉䅉祂䝁䅕杚祂䝁䅅睙あ䝁䄸杣㕂䍁䅁兑䵂䕁䅷睏杁䕁䅅兖啂䕁䄸䅎獁䍁䅁兙杁䡁䅁杣療䝁䅣杣桂䝁䄰兢求䝁䅑䅉啂䍁䅁睙求䝁䅷䅢杁䝁䅫杢㉂䝁䅕督あ䝁䅫睚桂䡁䅑兡療䝁䄴兙獂䍁䅁䅤潂䝁䅕杣桂䡁䅁入杁䝁䅙睢祂䍁䅁䅤潂䝁䅕䅉あ䡁䅉党桂䡁䅑兢求䝁䄴䅤杁䝁䄸杚杁䡁䅁党祂䝁䅫䅣潂䝁䅕杣桂䝁䅷䅉啂䍁䄰睙求䝁䅷䅢杁䝁䅷入瑂䡁䅁䅡療䝁䄰兙杁䡁䅑兙祂䝁䅣党あ䝁䅫杢湂䍁䅁䅖卂䕁䅉睑硁䍁䅁兙畂䝁䅑䅉啂䙁䅉村䑂䑁䅉睏杁䕁䅅兖啂䕁䄸李佂䕁䅣䅌杁䝁䅅䅉睂䡁䅉睢湂䡁䅉兙瑂䝁䄰党歂䍁䅁䅖杁䝁䅍党獂䝁䅷䅉灂䝁䄴杤求䡁䅍䅤灂䝁䅣兙あ䝁䅫睢畂䝁䅅䅢杁䡁䅑䅡求䡁䅉兙睂䡁䅫䅉あ䝁䅅杣湂䝁䅕䅤灂䝁䄴睚杁䕁䅣䅒祁䍁䅁兡畂䍁䅁䅚求䡁䅙党獂䝁䄸䅣瑂䝁䅕杢あ䍁䅁杚療䡁䅉䅉あ䝁䅧党杁䡁䅑杣求䝁䅅䅤瑂䝁䅕杢あ䍁䅁睢浂䍁䅁杢求䡁䅕杣療䝁䅉䅢桂䡁䅍䅤療䝁䄰兙㝁䍁䅁兙畂䝁䅑䅉䉂䙁䅕䅖偂䑁䅧䅌杁䝁䅅䅉睂䡁䅉睢歂䡁䅕睙あ䍁䅁睙桂䝁䄴䅚灂䝁䅑兙あ䝁䅕䅉あ䝁䄸䅉あ䡁䅉党桂䡁䅑䅉瑂䡁䅕䅢あ䝁䅫䅣獂䝁䅕䅉瑂䡁䅫党獂䝁䄸兢桂䍁䄴䅉䩂䡁䅑䅉桂䝁䅷督療䍁䅁杚療䝁䅍兤穂䝁䅕督杁䝁䄸杢杁䝁䅑党㉂䝁䅕䅢療䡁䅁兡畂䝁䅣䅉䉂䙁䅕䅖偂䑁䅕䅌杁䝁䅅䅉睂䡁䅉党橂䝁䅷兡畂䝁䅫睙桂䝁䅷䅉啂䙁䅉村䑂䑁䅉䅉睂䡁䅉睢湂䡁䅉兙瑂䝁䄰党歂䍁䅁䅖杁䝁䅍党獂䝁䅷䅉睂䡁䅉睢歂䡁䅕睙あ䍁䅁睙桂䝁䄴䅚灂䝁䅑兙あ䝁䅕䅉浂䝁䄸杣杁䡁䅑䅡求䍁䅁䅤祂䝁䅕兙あ䝁䄰党畂䡁䅑䅉療䝁䅙䅉睂䝁䅕杣灂䡁䅁䅡求䡁䅉兙獂䍁䅁䅖瑁䝁䅍党獂䝁䅷䅉獂䡁䅫兢睂䝁䅧睢瑂䝁䅅杌杁䙁䅑䅡求䍁䅁睙療䝁䄰䅣桂䝁䄴入杁䡁䅣兙穂䍁䅁兡畂䝁䅍睢祂䡁䅁睢祂䝁䅅䅤求䝁䅑䅉灂䝁䄴䅉祁䑁䅁免ぁ䍁䅁兙畂䝁䅑䅉灂䡁䅍䅉潂䝁䅕兙歂䡁䅅兤桂䡁䅉䅤求䡁䅉党歂䍁䅁兡畂䍁䅁䅔療䝁䄴䅚療䝁䄴䅌杁䡁䅑䅡求䍁䅁兖畂䝁䅫䅤求䝁䅑䅉䱂䝁䅫杢湂䝁䅑睢瑂䍁䄴䅁⽃杂䅁权䅧䕁䅅兤あ䝁䄸䅢ㅂ䡁䅍䅉啂䝁䅧党祂䝁䅅䅣求䡁䅕䅤灂䝁䅍督杁䡁䅁䅢橂䍁䅷䅉桂䍁䅁睙獂䝁䅫杢灂䝁䅍兙獂䍁䄰督あ䝁䅅睚求䍁䅁杙灂䝁䄸䅣潂䝁䅅杣瑂䝁䅅睙求䡁䅕䅤灂䝁䅍兙獂䍁䅁睙療䝁䄰䅣桂䝁䄴入獁䍁䅁䅚求䡁䅙党獂䝁䄸䅣穂䍁䅁䅖杁䝁䅍党獂䝁䅷䅉あ䝁䅧党祂䝁䅅䅣灂䝁䅕督杁䝁䅙睢祂䍁䅁䅤潂䝁䅕䅉あ䡁䅉党桂䡁䅑兢求䝁䄴䅤杁䝁䄸杚杁䝁䅍兙畂䝁䅍党祂䍁䄴䅉啂䝁䅧党杁䝁䅍睢瑂䡁䅁兙畂䡁䅫升穂䍁䅁睙獂䝁䅫杢灂䝁䅍兙獂䍁䄰督あ䝁䅅睚求䍁䅁䅣祂䝁䄸睚祂䝁䅅兢穂䍁䅁兡畂䝁䅍䅢ㅂ䝁䅑党杁䝁䄸杙求䝁䅍兙楂䡁䅑兙湂䝁䅕杢求䍁䅁兙ㅂ䡁䅑睢獂䝁䅕兤橂䝁䅕䅢杁䍁䅧兑噂䙁䅑睔硁䍁䅫䅌杁䝁䅅䅉䑂䕁䅑免㕁䍁䄰䅤桂䡁䅉睚求䡁䅑兡畂䝁䅣䅉睂䡁䅉睢湂䡁䅉兙瑂䝁䄰党歂䍁䅁䅖杁䝁䅍党獂䝁䅷䅉灂䝁䄴杤求䡁䅍䅤灂䝁䅣兙あ䝁䅫睢畂䝁䅅䅢杁䡁䅑䅡求䡁䅉兙睂䡁䅫䅉あ䝁䅧兙あ䍁䅁兡穂䍁䅁兡畂䍁䅁䅕潂䝁䅅督求䍁䅁免楂䍁䄸杍杁䝁䅍䅢灂䝁䄴兡橂䝁䅅䅢杁䡁䅑杣灂䝁䅅䅢杁䝁䅙睢祂䍁䅁䅤潂䝁䅕䅉あ䡁䅉党桂䡁䅑兢求䝁䄴䅤杁䝁䄸杚杁䝁䅅䅚ㅂ䝁䅷䅤杁䕁䅅䅔䵂䑁䅳䅉䉂䙁䅕䅖偂䑁䅅睌祁䑁䅉䅌杁䡁䅣䅡灂䝁䅍䅡杁䝁䅫督杁䝁䅫杢杁䝁䅅䅉兂䝁䅧兙穂䝁䅕䅉硁䍁䅁睙獂䝁䅫杢灂䝁䅍兙獂䍁䅁䅤祂䝁䅫兙獂䍁䅁兡畂䍁䅁䅣求䝁䅑兡桂䡁䅑杣灂䝁䅍䅉睂䝁䅅䅤灂䝁䅕杢あ䡁䅍䅉㍂䝁䅫䅤潂䍁䅁杣求䝁䅷兙睂䡁䅍党歂䍁䅁睢祂䍁䅁杣求䝁䅙杣桂䝁䅍䅤療䡁䅉入杁䕁䅅䅔䵂䑁䅳䅉䉂䙁䅕䅖偂䑁䅑䅌杁䝁䅅䅉睂䡁䅉睢湂䡁䅉兙瑂䝁䄰党歂䍁䅁䅖杁䝁䅍党獂䝁䅷䅉灂䝁䄴杤求䡁䅍䅤灂䝁䅣兙あ䝁䅫睢畂䝁䅅䅢杁䡁䅑䅡求䡁䅉兙睂䡁䅫䅉浂䝁䄸杣杁䡁䅑䅡求䍁䅁䅤祂䝁䅕兙あ䝁䄰党畂䡁䅑䅉療䝁䅙䅉睂䝁䅕杣灂䡁䅁䅡求䡁䅉兙獂䍁䅁䅖瑁䝁䅍党獂䝁䅷䅉獂䡁䅫兢睂䝁䅧睢瑂䝁䅅䅉あ䝁䅅杣湂䝁䅕䅤灂䝁䄴睚杁䙁䅑杕䍂䕁䅍免杁䝁䅅杢歂䍁䅁䅖卂䕁䅉睑祁䑁䅳䅉䉂䙁䅕䅖偂䑁䅙杔䡂䍁䅷䅉桂䍁䅁䅣祂䝁䄸睚祂䝁䅅兢瑂䝁䅕䅚杁䙁䅑䅉橂䝁䅕䅢獂䍁䅁兡畂䡁䅙党穂䡁䅑兡湂䝁䅅䅤灂䝁䄸杢桂䝁䅷䅉あ䝁䅧党祂䝁䅅䅣㕂䍁䅷䅉㍂䝁䅧兡橂䝁䅧䅉灂䡁䅍䅉灂䝁䄴䅉睂䡁䅉党橂䝁䅷兡畂䝁䅫睙桂䝁䅷䅉あ䡁䅉兙灂䝁䅷䅉あ䝁䅅杣湂䝁䅕䅤灂䝁䄴睚杁䕁䅣䅒祁䍁䅁兡畂䍁䅁䅚求䡁䅙党獂䝁䄸䅣瑂䝁䅕杢あ䍁䅁杚療䡁䅉䅉あ䝁䅧党杁䡁䅑杣求䝁䅅䅤瑂䝁䅕杢あ䍁䅁睢浂䍁䅁杢求䡁䅕杣療䝁䅉䅢桂䡁䅍䅤療䝁䄰兙㝁䍁䅁兙畂䝁䅑䅉䉂䙁䅕䅖偂䑁䅧䅌杁䝁䅅䅉睂䡁䅉睢歂䡁䅕睙あ䍁䅁睙桂䝁䄴䅚灂䝁䅑兙あ䝁䅕䅉あ䝁䅧兙あ䍁䅁兡穂䍁䅁兡畂䍁䅁兙杁䙁䅁䅡桂䡁䅍党杁䕁䅫䅉橂䝁䅷兡畂䝁䅫睙桂䝁䅷䅉あ䡁䅉兡桂䝁䅷䅉浂䝁䄸杣杁䝁䄰兤獂䡁䅑兡睂䝁䅷党杁䝁䄰入求䝁䅷睢瑂䝁䅅杌杁䕁䅫䅤杁䝁䅅䅢穂䝁䄸䅉浂䝁䄸睙ㅂ䡁䅍党穂䍁䅁睢畂䍁䅁䅚求䡁䅙党獂䝁䄸䅣灂䝁䄴睚杁䕁䅅兖啂䕁䄸兎獁䍁䅁兙杁䡁䅁杣求䝁䅍䅢灂䝁䄴兡橂䝁䅅䅢杁䙁䅑杕䍂䕁䅍杍杁䡁䅁杣療䝁䅣杣桂䝁䄰兢求䝁䅑䅉啂䍁䅁睙求䝁䅷䅢杁䡁䅁杣療䝁䅑兤橂䡁䅑䅉橂䝁䅅杢歂䝁䅫䅚桂䡁䅑党杁䝁䅙睢祂䍁䅁䅤潂䝁䅕䅉あ䡁䅉党桂䡁䅑兢求䝁䄴䅤杁䝁䄸杚杁䡁䅁党祂䝁䅫䅣潂䝁䅕杣桂䝁䅷䅉啂䍁䄰睙求䝁䅷䅢杁䝁䅷入瑂䡁䅁䅡療䝁䄰兙畁䍁䅁䅖潂䝁䅕䅉橂䝁䄸兢睂䝁䅅杢㕂䍁䅁睤桂䡁䅍䅉灂䝁䄴睙療䡁䅉䅣療䡁䅉兙あ䝁䅕䅚杁䝁䅫杢杁䑁䅉䅍硁䑁䅑䅉桂䝁䄴䅚杁䝁䅫督杁䝁䅧党桂䝁䅑兣ㅂ䝁䅅杣あ䝁䅕杣求䝁䅑䅉灂䝁䄴䅉䵂䝁䄸杢歂䝁䄸杢獁䍁䅁䅤潂䝁䅕䅉噂䝁䄴兡あ䝁䅕䅚杁䕁䅳兡畂䝁䅣䅚療䝁䄰杌䅁乁䙯䅁䅃睂䅁兑㉂䝁䅅督あ䍁䅁䅔灂䝁䄰兡あ䝁䅕䅚獁䍁䅁䅤療䝁䅣党あ䝁䅧党祂䍁䅁睤灂䡁䅑䅡杁䝁䅫䅤穂䍁䅁督ㅂ䝁䅉督灂䝁䅑兡桂䡁䅉兡求䡁䅍䅌杁䡁䅁杣療䡁䅙兡歂䝁䅕督杁䝁䅍入楂䝁䅕杣穂䝁䅕睙ㅂ䡁䅉兡あ䡁䅫䅉睂䡁䅉睢あ䝁䅕睙あ䝁䅫睢畂䍁䅁督療䝁䅷兤あ䝁䅫睢畂䡁䅍䅉ㅂ䝁䄴䅚求䡁䅉䅉あ䝁䅧党杁䕁䅅杤桂䡁䅍䅤杁䝁䅉杣桂䝁䄴䅚杁䝁䄴兙瑂䝁䅕䅉灂䝁䄴䅉あ䝁䅧党杁䙁䅕杢灂䡁䅑党歂䍁䅁睕あ䝁䅅䅤求䡁䅍䅌杁䡁䅑䅡求䍁䅁兖畂䝁䅫䅤求䝁䅑䅉䱂䝁䅫杢湂䝁䅑睢瑂䍁䅷䅉䝂䡁䅉兙畂䝁䅍党獁䍁䅁睒求䡁䅉兢桂䝁䄴入獁䍁䅁兙畂䝁䅑䅉灂䝁䄴䅤求䡁䅉杢桂䡁䅑兡療䝁䄴兙獂䝁䅷入畁䍁䅁兓あ䍁䅁睢浂䝁䅙党祂䡁䅍䅉歂䝁䅕督牂䡁䅑睢睂䍁䅁督求䝁䅍兤祂䝁䅫䅤㕂䍁䅁兙畂䝁䅑䅉瑂䝁䄸杙灂䝁䅷党杁䝁䅑党㉂䝁䅫睙求䍁䅁䅣祂䝁䄸䅤求䝁䅍䅤灂䝁䄸杢杁䡁䅁杣療䝁䅑兤橂䡁䅑督㝁䍁䅁杤桂䝁䅷兤求䍁䄰兙歂䝁䅑党歂䍁䅁督療䝁䅷兤あ䝁䅫睢畂䡁䅍䅉浂䝁䄸杣杁䡁䅁党祂䝁䅙睢祂䝁䄰兙畂䝁䅍党獁䍁䅁䅣祂䝁䅫杤桂䝁䅍入獁䍁䅁兙畂䝁䅑䅉療䡁䅑䅡求䡁䅉䅉あ䝁䄸睢獂䡁䅍睏杁䝁䅅杢歂䍁䅁睤求䝁䅉䅉楂䡁䅉睢㍂䡁䅍兡畂䝁䅣䅌杁䡁䅑䅡灂䡁䅉䅚瑁䡁䅁兙祂䡁䅑入杁䡁䅍睢浂䡁䅑睤桂䡁䅉党杁䝁䅑兡穂䡁䅑杣灂䝁䅉兤あ䝁䅫睢畂䍁䅷䅉求䍁䄰睙療䝁䄰兢求䡁䅉睙求䍁䅁䅤療䝁䄸䅢穂䍁䅷䅉瑂䝁䄸杙灂䝁䅷党杁䝁䅅䅚㉂䝁䅕杣あ䝁䅫督灂䝁䄴睚獁䍁䅁兙畂䝁䅑䅉療䡁䅑䅡求䡁䅉䅉䩂䙁䅑兌瑂䝁䅅杢桂䝁䅣党歂䍁䅁督療䝁䅷兤あ䝁䅫睢畂䡁䅍䅌杁䝁䅅督杁䡁䅣党獂䝁䅷䅉桂䡁䅍䅉穂䝁䅕睙ㅂ䡁䅉兡あ䡁䅫䅉桂䝁䄴䅚杁䡁䅁杣療䡁䅑党橂䡁䅑兡療䝁䄴䅉穂䝁䄸䅢ㅂ䡁䅑兡療䝁䄴督杁䝁䅙睢祂䍁䅁督瑂䝁䅅䅢獂䍁䅁兙畂䝁䅑䅉瑂䝁䅕䅚灂䡁䅕兢瑁䡁䅍兡㙂䝁䅕䅚杁䝁䅉兤穂䝁䅫杢求䡁䅍督杁䝁䅍兤穂䡁䅑睢瑂䝁䅕杣穂䍁䄴䅉啂䝁䅧党杁䝁䅍睢瑂䡁䅁兙畂䡁䅫䅉桂䝁䅷督療䍁䅁督求䝁䅷䅢穂䍁䅁督ㅂ䝁䅉督橂䡁䅉兡睂䡁䅑兡療䝁䄴䅉穂䝁䄸杚あ䡁䅣兙祂䝁䅕䅉獂䝁䅫睙求䝁䄴督求䡁䅍䅉あ䝁䅧杣療䡁䅕睚潂䍁䅁兙畂䍁䅁党瑁䡁䅍䅡療䡁䅁䅉歂䝁䅫杣求䝁䅍䅤獂䡁䅫䅉あ䝁䄸䅉求䝁䄴䅚杁䝁䅍兤穂䡁䅑睢瑂䝁䅕杣穂䍁䅁兡畂䍁䅁睙療䝁䄸䅣求䡁䅉兙あ䝁䅫睢畂䍁䅁睤灂䡁䅑䅡杁䡁䅁兙㕂䝁䄰党畂䡁䅑䅉湂䝁䅅䅤求䡁䅣兙㕂䍁䅁䅣祂䝁䄸杤灂䝁䅑党祂䡁䅍杌杁䕁䅫䅤杁䡁䅁杣灂䝁䄰兙祂䝁䅫䅢㕂䍁䅁督求䝁䅷䅢穂䍁䅁督療䝁䅙䅤㍂䝁䅅杣求䍁䅁䅢灂䝁䅍党畂䡁䅍党穂䍁䅁䅤潂䡁䅉睢ㅂ䝁䅣䅡杁䝁䅕兌橂䝁䄸兢瑂䝁䅕杣橂䝁䅕䅉穂䝁䅕杣㉂䝁䅫睙求䍁䅁䅣祂䝁䄸杤灂䝁䅑党祂䡁䅍䅌杁䡁䅉党あ䝁䅅兡獂䝁䅕杣穂䍁䅷䅉桂䝁䄴䅚杁䡁䅉党穂䝁䅕䅢獂䝁䅕杣穂䍁䄴䅉啂䝁䅧党杁䝁䅍睢瑂䡁䅁兙畂䡁䅫䅉㍂䝁䅅督杁䝁䅫杢橂䝁䄸杣睂䝁䄸杣桂䡁䅑党歂䍁䅁兡畂䍁䅁杍睁䑁䅅䅍杁䝁䅅杢歂䍁䅁兡穂䍁䅁䅡求䝁䅅䅚硂䡁䅕兙祂䡁䅑党祂䝁䅕䅚杁䝁䅫杢杁䕁䅷睢畂䝁䅑睢畂䍁䅷䅉噂䝁䄴兡あ䝁䅕䅚杁䕁䅳兡畂䝁䅣䅚療䝁䄰杌杁䕁䅅督杁䝁䄸杚杁䙁䅍党睂䡁䅑党瑂䝁䅉党祂䍁䅁免祁䍁䅷䅉祁䑁䅁杍祁䍁䅷䅉䉂䡁䅙兙穂䡁䅑䅉䵂䝁䅫兢灂䡁䅑党歂䍁䅁睢睂䝁䅕杣桂䡁䅑党穂䍁䅁兙穂䍁䅁兙杁䡁䅍兤楂䡁䅍兡歂䝁䅫兙祂䡁䅫䅉療䝁䅙䅉䡂䝁䅕杢杁䕁䅑兡湂䝁䅫䅤桂䝁䅷䅉䩂䝁䄴睙畁䅁䅁䅋䅑䑁䅷䅁䉂䡁䅙兙穂䡁䅑䅉睂䝁䅷睙杁䍁䅧杢牂䝁䅅杏䉂䡁䅙兙穂䡁䅑䅉䵂䝁䅫兢灂䡁䅑党歂䍁䅫䅁䉃䅁䅁杉䅁䕁䅅杤灂䝁䅅䅤杁䙁䅕杌呂䍁䄴䅌杁䕁䅫杢橂䍁䄴䅁䑂允䅁䅈䅁䕁䅅䅥療䝁䄴兡ㅂ䡁䅍䅌杁䕁䅫杢橂䍁䄴䅁㑃允䅁䅏䅁䕁䅉兓偂䍁䄰睡求䡁䅫䅉䩂䝁䄴䅤求䡁䅉杢桂䡁䅑兡療䝁䄴兙獂䍁䅷䅉䩂䝁䄴睙畁䅁䅁兮䅁䉁䅁䅁䍂䕁䅫䅖㙁䕁䅍兗ぁ䅁䅁儶䅁䉁䅉䅁䍂䕁䅫䅖㙁䙁䅑睒婂䕁䄰䅁獂杁䅁杌䅁䕁䅉睔杁䙁䅉党あ䝁䅅兡獂䍁䅁兓畂䡁䅙党穂䡁䅑䅉呂䍁䄴杕畁䕁䅷䅁汃杁䅁杆䅁䕁䅉睕䙂䑁䅯兎穁䑁䅅兎㕁䑁䅕䅁婁杁䅁䅆䅁䕁䅉杖䍂䑁䅯睕䉂䕁䅙兒杁䅁䅁杳䅁䕁䅁䅁䍂䝁䅅兡橂䝁䅕䅢獂䡁䅍䅉啂䝁䅕睙潂䝁䄴睢獂䝁䄸睚灂䝁䅕督杁䕁䅍睢畁䍁䅷䅉䵂䡁䅑䅚畁䅁䅁兌䅅乁䑉䅁䍂䝁䅅兡橂䝁䅕䅢獂䡁䅍䅉啂䝁䅕睙潂䝁䄴睢獂䝁䄸睚灂䝁䅕督杁䕁䅍睢畁䍁䅷䅉䵂䡁䅑䅚畁䍁䅁兢桂䝁䄴兤浂䝁䅅睙あ䡁䅕杣求䡁䅍䅉湂䝁䅷睢楂䝁䅅䅢杁䕁䅷䅖䙂䍁䄸兎䡂䍁䅁睤灂䡁䅉党獂䝁䅕督穂䍁䅁杙祂䝁䄸兙歂䝁䅉兙畂䝁䅑䅉桂䝁䅍睙求䡁䅍督杁䡁䅍睢獂䡁䅕䅤灂䝁䄸杢穂䍁䅁督ㅂ䡁䅁䅣療䡁䅉䅤灂䝁䄴睚杁䡁䅙兡祂䡁䅑兤桂䝁䅷兡㙂䝁䅕䅚杁䝁䅙兡㑂䝁䅕䅚杁䡁䅣兡祂䝁䅕䅢求䡁䅍督杁䝁䅅杢歂䍁䅁兢療䝁䅉兡獂䝁䅕䅉畂䝁䅕䅤㍂䝁䄸杣牂䡁䅍杌杁䕁䅫䅤杁䝁䄸杚浂䝁䅕杣穂䍁䅁䅔啂䕁䅕䅉楂䝁䅅督求䍁䅁督あ䝁䅅䅤灂䝁䄸杢穂䍁䅷䅉䵂䙁䅑兒杁䕁䅍䅕䙂䙁䅍䅌杁䑁䅕睒杁䝁䅉兙穂䝁䅕䅉穂䡁䅑兙あ䝁䅫睢畂䡁䅍䅌杁䑁䅕睒杁䕁䅍䅕䙂䍁䅷䅉桂䝁䄴䅚杁䡁䅉睢ㅂ䡁䅑党祂䡁䅍杌杁䕁䅫䅤杁䝁䅅䅢穂䝁䄸䅉療䝁䅙杚求䡁䅉督杁䡁䅉兤祂䝁䅅䅢杁䝁䅍睢畂䝁䄴党橂䡁䅑兡㉂䝁䅫䅤㕂䍁䅷䅉ㅂ䡁䅉杙桂䝁䄴䅉求䡁䅧䅣桂䝁䄴督灂䝁䄸杢穂䍁䅷䅉灂䝁䄴䅚療䝁䄸杣杁䝁䅍睢瑂䝁䄰党祂䝁䅍兡桂䝁䅷䅉橂䝁䄸杤求䡁䅉兙湂䝁䅕䅌杁䝁䅅杢歂䍁䅁睙ㅂ䡁䅍䅤療䝁䄰党祂䍁䅁督ㅂ䡁䅁䅣療䡁䅉䅤杁䡁䅍睢獂䡁䅕䅤灂䝁䄸杢穂䍁䄴䅉䍂䝁䅅兡橂䝁䅕䅢獂䡁䅍䅉啂䝁䅕睙潂䝁䄴睢獂䝁䄸睚灂䝁䅕督杁䕁䅍睢畁䍁䅷䅉䵂䡁䅑䅚畁䍁䅁睤桂䡁䅍䅉浂䝁䄸兤畂䝁䅑党歂䍁䅁兡畂䍁䅁杍睁䑁䅅䅎杁䝁䅅杢歂䍁䅁兡穂䍁䅁杙桂䡁䅍党歂䍁䅁兡畂䍁䅁䅕獂䝁䅅杢療䍁䅷䅉啂䝁䅕䅥桂䡁䅍䅉㍂䝁䅫䅤潂䍁䅁兙歂䝁䅑兡あ䝁䅫睢畂䝁䅅䅢杁䝁䅷睢橂䝁䅅䅤灂䝁䄸杢穂䍁䅁兡畂䍁䅁䅖療䝁䅳入療䍁䅷䅉䭂䝁䅅䅣桂䝁䄴䅌杁䝁䅅杢歂䍁䅁村求䝁䅫条灂䝁䄴睚獁䍁䅁睑潂䝁䅫杢桂䍁䄴䅁呂允䅁䅑䅁䕁䅉兙灂䝁䄴䅉䑂䝁䅅䅣灂䡁䅑兙獂䍁䅁䅕祂䝁䅫杤桂䡁䅑党杁䕁䅕兣ㅂ䝁䅫䅤㕂䍁䅷䅉䵂䙁䅁䅁㥂允䅁䅋䅁䕁䅉兙畂䝁䅑兤祂䝁䅅䅉䑂䡁䅫杙求䡁䅉䅌杁䕁䅫杢橂䍁䄴䅁呄允䅁杈䅁䕁䅉兙畂䝁䅑睤灂䝁䅑䅤潂䍁䅁兓畂䝁䅍杌䅁偁䉙䅁㡁䅁䅁村桂䡁䅉兡畂䡁䅑䅡ㅂ䡁䅍䅉䍂䝁䅫睢あ䝁䅧党祂䝁䅅䅣求䡁䅕䅤灂䝁䅍督杁䡁䅁䅢橂䅁䅁䅂䅙䭁䥁䅁䍂䝁䅅杣灂䝁䄴䅤潂䡁䅕督杁䕁䅉兡療䡁䅑䅡求䡁䅉兙睂䝁䅕兤あ䝁䅫睙穂䍁䅁䅣獂䝁䅍䅌杁䝁䅅䅉橂䝁䅷兡畂䝁䅫睙桂䝁䅷兌穂䡁䅑兙湂䝁䅕䅉楂䝁䅫睢睂䝁䅧兙祂䝁䄰兙橂䝁䅕兤あ䝁䅫睙桂䝁䅷䅉橂䝁䄸兢睂䝁䅅杢㕂䍁䅷䅉求䝁䄴睚桂䝁䅣党穂䍁䅁兡畂䍁䅁䅚求䡁䅙党獂䝁䄸䅣灂䝁䄴睚杁䝁䄴睢㉂䝁䅕䅢杁䙁䅑䅉橂䝁䅕䅢獂䍁䅁兡瑂䝁䄰兤畂䝁䄸䅤潂䝁䅕杣桂䡁䅁党ㅂ䡁䅑兡橂䡁䅍䅉あ䝁䄸䅉湂䡁䅕兡歂䝁䅕䅉あ䝁䅧党杁䝁䅫兢瑂䡁䅕杢求䍁䅁督㕂䡁䅍䅤求䝁䄰䅉あ䝁䄸䅉療䡁䅙党祂䝁䅍睢瑂䝁䅕䅉橂䝁䅧杣療䝁䄴兡橂䍁䅁兡畂䝁䅙党橂䡁䅑兡療䡁䅕督杁䝁䅑兡穂䝁䅕兙穂䝁䅕督獁䍁䅁兙ㅂ䡁䅑睢灂䝁䄰兢ㅂ䝁䄴兡あ䡁䅫䅌杁䝁䅅杢歂䍁䅁睙桂䝁䄴睙求䡁䅉杌杁䕁䅫䅤杁䝁䅫督杁䝁䅅䅚㉂䝁䅅杢橂䝁䅫杢湂䍁䅁兙杁䡁䅁兡睂䝁䅕䅢灂䝁䄴党杁䝁䄸杚杁䡁䅁杣療䝁䅑兤橂䡁䅑䅉橂䝁䅅杢歂䝁䅫䅚桂䡁䅑党穂䍁䅁兙橂䡁䅉睢穂䡁䅍䅉桂䍁䅁杣桂䝁䄴睚求䍁䅁睢浂䍁䅁䅤潂䝁䅕杣桂䡁䅁党ㅂ䡁䅑兡橂䍁䅁兙祂䝁䅕兙穂䍁䅷䅉灂䝁䄴睙獂䡁䅕䅚灂䝁䄴睚杁䙁䅙䅖兂䍁䄰睍睁䑁䅁䅌杁䝁䅅杢杁䝁䅫兢瑂䡁䅕杢療䡁䅑䅡求䡁䅉兙睂䝁䅕兤あ䝁䅫睙杁䝁䅍兙畂䝁䅑兡歂䝁䅅䅤求䍁䅁䅚求䡁䅍兡湂䝁䄴党歂䍁䅁兙穂䍁䅁兙杁䡁䅁睢あ䝁䅕杢あ䝁䅫兙獂䍁䅁睙療䝁䄰䅣療䝁䄴党畂䡁䅑䅉療䝁䅙䅉桂䍁䅁杚ㅂ䝁䄴睙あ䝁䅫睢畂䝁䅅䅢杁䝁䅍兤祂䝁䅕䅉浂䝁䄸杣杁䝁䅍䅡祂䝁䄸杢灂䝁䅍䅉䥂䕁䅉杖杁䝁䅫杢浂䝁䅕睙あ䝁䅫睢畂䑁䅳䅉坂䙁䅑䅕瑁䑁䅉䅍睁䍁䅷䅉桂䍁䅁杢療䝁䄴兌穂䡁䅕杣湂䝁䅫睙桂䝁䅷䅉睂䡁䅉睢歂䡁䅕睙あ䍁䅁睙桂䝁䄴䅚灂䝁䅑兙あ䝁䅕䅉浂䝁䄸杣杁䡁䅁党祂䡁䅍兡穂䡁䅑党畂䡁䅑䅉潂䝁䅫睚潂䍁䄰杣灂䡁䅍睡杁䝁䅧兤瑂䝁䅅杢杁䡁䅁兙睂䝁䅫䅢獂䝁䄸兢桂䡁䅙兡祂䡁䅕督杁䍁䅧䅓兂䙁䅙克㝁䍁䅁杖啂䙁䅁兌硁䑁䅁䅍睁䍁䅷䅉桂䝁䄴䅉桂䡁䅕䅤療䝁䅫兢瑂䡁䅕杢求䍁䅁睙桂䝁䄴䅚灂䝁䅑兙あ䝁䅕䅉歂䝁䅕督灂䝁䅣杢求䝁䅑䅉あ䝁䄸䅉ㅂ䡁䅑兡獂䝁䅫来求䍁䅁䅤潂䝁䅕䅉呂䕁䄴兑兂䍁䄰䅖䩂䍁䅁䅣獂䝁䅅䅤浂䝁䄸杣瑂䍁䅁䅤療䍁䅁䅤祂䝁䅕兙あ䍁䅁䅣桂䡁䅑兡求䝁䄴䅤穂䍁䅁睤灂䡁䅑䅡杁䝁䅍党獂䝁䅫兙橂䍁䅁䅚灂䡁䅍党桂䡁䅍党㝁䍁䅁杖啂䙁䅁兌㑁䑁䅕䅍獁䍁䅁兙杁䡁䅍党橂䝁䄸杢歂䍁䄰睚求䝁䄴党祂䝁䅅䅤灂䝁䄸杢杁䝁䅫兢瑂䡁䅕杢療䡁䅑䅡求䡁䅉兙睂䝁䅕兤あ䝁䅫睙杁䝁䅍兙畂䝁䅑兡歂䝁䅅䅤求䍁䅁䅚求䡁䅍兡湂䝁䄴党歂䍁䅁䅤療䍁䅁䅤祂䝁䅕兙あ䍁䅁杣求䝁䅍兤祂䡁䅉党畂䡁䅑䅉睂䡁䅉睢穂䡁䅑兙あ䝁䅕䅉橂䝁䅅杢橂䝁䅕杣㝁䍁䅁兙畂䝁䅑䅉坂䙁䅑䅕瑁䑁䅅免睁䑁䅁䅌杁䝁䅅䅉睂䡁䅉党橂䝁䅷兡畂䝁䅫睙桂䝁䅷䅉橂䝁䅅杢橂䝁䅕杣杁䝁䅍兙畂䝁䅑兡歂䝁䅅䅤求䍁䅁䅚求䡁䅍兡湂䝁䄴党歂䍁䅁䅤療䍁䅁兤あ䝁䅫䅢灂䡁䅯党杁䡁䅑䅡求䍁䅁睕佂䕁䅅䅕瑁䕁䅍兓杁䡁䅁䅢桂䡁䅑杚療䡁䅉兢杁䡁䅑睢杁䡁䅑杣求䝁䅅䅤杁䡁䅁兙あ䝁䅫党畂䡁䅑督杁䡁䅣兡あ䝁䅧䅉䥂䙁䅁杖瑁䡁䅉党獂䝁䅅䅤求䝁䅑䅉橂䝁䅅杢橂䝁䅕杣畁䍁䅁䅖潂䝁䅕䅉橂䝁䄸兢睂䝁䅅杢㕂䍁䅁睤桂䡁䅍䅉浂䝁䄸杣瑂䝁䅕杣獂䡁䅫䅉牂䝁䄴睢㍂䝁䄴䅉桂䡁䅍䅉坂䝁䅅睙橂䝁䅫䅤求䝁䅍䅡杁䡁䅁䅢橂䍁䅁兙畂䝁䅑䅉橂䝁䅧兙畂䝁䅣党歂䍁䅁兡あ䡁䅍䅉畂䝁䅅兢求䍁䅁䅤療䍁䅁村桂䡁䅉兡畂䡁䅑䅡ㅂ䡁䅍䅉䍂䝁䅫睢あ䝁䅧党祂䝁䅅䅣求䡁䅕䅤灂䝁䅍督杁䡁䅁䅢橂䍁䅁兡畂䍁䅁杔療䡁䅙党瑂䝁䅉党祂䍁䅁杍睁䑁䅉睍畁䍁䅁村桂䡁䅉兡畂䡁䅑䅡ㅂ䡁䅍䅉䍂䝁䅫睢あ䝁䅧党祂䝁䅅䅣求䡁䅕䅤灂䝁䅍督杁䡁䅁䅢橂䍁䅁睤桂䡁䅍䅉浂䝁䄸兤畂䝁䅑党歂䍁䅁兡畂䍁䅁杍睁䑁䅅李杁䝁䅅杢歂䍁䅁兡穂䍁䅁䅡求䝁䅅䅚硂䡁䅕兙祂䡁䅑党祂䝁䅕䅚杁䝁䅫杢杁䕁䅧兙祂䡁䅣党獂䝁䅷䅌杁䡁䅑䅡求䍁䅁兖畂䝁䅫䅤求䝁䅑䅉䱂䝁䅫杢湂䝁䅑睢瑂䍁䄴䅁剄兂䅁杗䄸䕁䅉兙祂䝁䅫杢あ䝁䅧兤穂䍁䅁村灂䝁䄸䅤潂䝁䅕杣桂䡁䅁党ㅂ䡁䅑兡橂䡁䅍䅉睂䝁䅷睙獁䍁䅁兙杁䝁䅍䅢灂䝁䄴兡橂䝁䅅䅢瑁䡁䅍䅤桂䝁䅣党杁䝁䅉兡療䡁䅁䅡桂䡁䅉兢桂䝁䅍党ㅂ䡁䅑兡橂䝁䅅䅢杁䝁䅍睢瑂䡁䅁兙畂䡁䅫䅌杁䝁䅕杢湂䝁䅅睚求䡁䅍䅉灂䝁䄴䅉歂䝁䅕杤求䝁䅷睢睂䝁䄰党畂䡁䅑䅉療䝁䅙䅉畂䝁䄸杤求䝁䅷䅉啂䍁䅁睙求䝁䅷䅢杁䝁䅫兢瑂䡁䅕杢療䡁䅑䅡求䡁䅉兙睂䝁䅕兤あ䝁䅫睙杁䝁䅍兙畂䝁䅑兡歂䝁䅅䅤求䡁䅍䅉歂䝁䅕督灂䝁䅣杢求䝁䅑䅉あ䝁䄸䅉湂䡁䅕兡歂䝁䅕䅉あ䝁䅧党杁䝁䅫兢瑂䡁䅕杢求䍁䅁督㕂䡁䅍䅤求䝁䄰䅉あ䝁䄸䅉療䡁䅙党祂䝁䅍睢瑂䝁䅕䅉橂䝁䅧杣療䝁䄴兡橂䍁䅁兡畂䝁䅙党橂䡁䅑兡療䡁䅕督杁䝁䅑兡穂䝁䅕兙穂䝁䅕督獁䍁䅁兙ㅂ䡁䅑睢灂䝁䄰兢ㅂ䝁䄴兡あ䡁䅫䅌杁䝁䅅杢歂䍁䅁睙桂䝁䄴睙求䡁䅉杌杁䙁䅑䅡求䍁䅁睙療䝁䄰䅣桂䝁䄴入婁䡉䅍䅉歂䝁䅕杤求䝁䅷睢睂䝁䄰党畂䡁䅑䅉睂䝁䅫䅣求䝁䅷兡畂䝁䅕䅉灂䝁䄴睙獂䡁䅕䅚求䡁䅍䅉坂䙁䅑䅕瑁䑁䅍䅍睁䍁䅷䅉桂䝁䄴䅉灂䝁䄰兢ㅂ䝁䄴睢あ䝁䅧党祂䝁䅅䅣求䡁䅕䅤灂䝁䅍䅉橂䝁䅅杢歂䝁䅫䅚桂䡁䅑党杁䡁䅕杢歂䝁䅕杣杁䡁䅁䅡桂䡁䅍党杁䑁䅉䅉穂䡁䅑兤歂䝁䅫党穂䍁䅁兙穂䍁䅁兙杁䡁䅁睢あ䝁䅕杢あ䝁䅫兙獂䍁䅁睙療䝁䄰䅣療䝁䄴党畂䡁䅑䅉療䝁䅙䅉桂䍁䅁杚ㅂ䝁䄴睙あ䝁䅫睢畂䝁䅅䅢杁䝁䅍兤祂䝁䅕䅉浂䝁䄸杣杁䝁䅍䅡祂䝁䄸杢灂䝁䅍䅉潂䝁䅕䅣桂䡁䅑兡あ䝁䅫督杁䕁䅉䅉㉂䝁䅫杣ㅂ䡁䅍䅉潁䕁䅧村坂䍁䅫䅉灂䝁䄴杚求䝁䅍䅤灂䝁䄸杢㝁䍁䅁杖啂䙁䅁兌祁䑁䅁䅍獁䍁䅁兙杁䝁䄴睢畂䍁䄰督ㅂ䡁䅉睚灂䝁䅍兙獂䍁䅁䅣祂䝁䄸䅚ㅂ䝁䅍䅤杁䝁䅍兙畂䝁䅑兡歂䝁䅅䅤求䍁䅁兤畂䝁䅑党祂䍁䅁䅣潂䝁䅅督求䍁䅁杍杁䡁䅍䅤ㅂ䝁䅑兡求䡁䅍䅉浂䝁䄸杣杁䡁䅑杣求䝁䅅䅤灂䝁䄴睚杁䡁䅁党祂䡁䅍兡穂䡁䅑党畂䡁䅑䅉潂䝁䅫睚潂䍁䄰杣灂䡁䅍睡杁䝁䅧兤瑂䝁䅅杢杁䡁䅁兙睂䝁䅫䅢獂䝁䄸兢桂䡁䅙兡祂䡁䅕督杁䍁䅧䅓兂䙁䅙克杁䝁䅫杢浂䝁䅕睙あ䝁䅫睢畂䑁䅳䅉坂䙁䅑䅕瑁䑁䅅䅍睁䑁䅁䅌杁䝁䅅杢杁䝁䅅兤あ䝁䄸兡瑂䝁䄰兤畂䝁䅕䅉睂䡁䅉党橂䝁䅷兡畂䝁䅫睙桂䝁䅷䅉橂䝁䅅杢歂䝁䅫䅚桂䡁䅑党杁䝁䅑党穂䝁䅫睚畂䝁䅕䅚杁䡁䅑睢杁䡁䅑杣求䝁䅅䅤杁䡁䅁兙あ䝁䅫党畂䡁䅑督杁䡁䅣兡あ䝁䅧䅉橂䝁䅕䅢灂䝁䅅睙杁䝁䅑兡穂䝁䅕兙穂䝁䅕睏杁䙁䅙䅖兂䍁䄰免硁䑁䅁䅍杁䡁䅁杣療䝁䅑兤橂䡁䅑䅉橂䝁䅅杢歂䝁䅫䅚桂䡁䅑党杁䡁䅑睢杁䡁䅑兙祂䝁䅣党あ䍁䅁䅓兂䙁䅙免㉁䍁䅳䅉橂䝁䅅杢橂䝁䅕杣穂䑁䅳䅉桂䝁䄴䅚杁䙁䅙䅖兂䍁䄰䅏ㅁ䑁䅁睌㑁䑁䅕䅍獁䍁䅁兙杁䡁䅍党橂䝁䄸杢歂䍁䄰睚求䝁䄴党祂䝁䅅䅤灂䝁䄸杢杁䝁䅫兢瑂䡁䅕杢療䡁䅑䅡求䡁䅉兙睂䝁䅕兤あ䝁䅫睙杁䝁䅍兙畂䝁䅑兡歂䝁䅅䅤求䍁䅁兤畂䝁䅑党祂䍁䅁䅣潂䝁䅅督求䍁䅁杍杁䡁䅍䅤ㅂ䝁䅑兡求䡁䅍䅉あ䝁䄸䅉あ䡁䅉党桂䡁䅑䅉祂䝁䅕睙ㅂ䡁䅉杣求䝁䄴䅤杁䡁䅁杣療䡁䅍䅤桂䡁䅑党杁䝁䅍兙畂䝁䅍党祂䍁䄴䅉䩂䡁䅑䅉灂䡁䅍䅉桂䝁䅷督療䍁䅁兡畂䡁䅙睢獂䡁䅙党歂䍁䅁兡畂䍁䅁䅤潂䝁䅕䅉歂䝁䅕杤求䝁䅷睢睂䝁䄰党畂䡁䅑䅉療䝁䅙䅉睂䝁䅅杣あ䝁䄴党祂䝁䅕䅚杁䝁䅍兙畂䝁䅑兡歂䝁䅅䅤求䡁䅍䅌杁䡁䅍兤橂䝁䅧䅉桂䡁䅍䅉䉂䕁䅉兌㍁䑁䅉兏瑁䑁䅉䅍祁䍁䅷䅉㍂䝁䅧兡橂䝁䅧䅉灂䡁䅍䅉ㅂ䝁䄴䅚求䡁䅉䅉睂䝁䅧兙穂䝁䅕䅉祁䝁䅅䅉穂䡁䅑兤歂䝁䅫党穂䍁䅁杚療䡁䅉䅉あ䝁䅧党杁䡁䅑杣求䝁䅅䅤瑂䝁䅕杢あ䍁䅁睢浂䍁䅁䅣桂䡁䅑兡求䝁䄴䅤穂䍁䅁睤灂䡁䅑䅡杁䝁䅍䅡祂䝁䄸杢灂䝁䅍䅉䥂䕁䅉杖杁䝁䅫杢浂䝁䅕睙あ䝁䅫睢畂䑁䅳䅉坂䙁䅑䅕瑁䑁䅙䅍睁䍁䅷䅉桂䝁䄴䅉灂䝁䄰兢ㅂ䝁䄴睢あ䝁䅧党祂䝁䅅䅣㕂䍁䅁睙桂䝁䄴䅚灂䝁䅑兙あ䝁䅕䅉ㅂ䝁䄴䅚求䡁䅉䅉睂䝁䅧兙穂䝁䅕䅉硁䍁䅁督あ䡁䅕䅚灂䝁䅕督杁䝁䅅督杁䝁䅅䅉睂䝁䄸䅤求䝁䄴䅤灂䝁䅅䅢杁䡁䅑杣求䝁䅅䅤瑂䝁䅕杢あ䍁䅁杚療䡁䅉䅉佂䙁䅍睑䵂䕁䅍䅉灂䝁䄴䅉橂䝁䄸兢楂䝁䅫杢桂䡁䅑兡療䝁䄴䅉㍂䝁䅫䅤潂䍁䅁督あ䝁䅅杢歂䝁䅅杣歂䍁䅁睢浂䍁䅁睙桂䡁䅉党杁䡁䅑杣求䝁䅅䅤瑂䝁䅕杢あ䍁䅷䅉橂䝁䅧党瑂䝁䄸䅤潂䝁䅕杣桂䡁䅁入獁䍁䅁兙畂䝁䅑䅉睂䝁䅕兢楂䡁䅉睢獂䝁䅫来ㅂ䝁䄰兙楂䑁䅳䅉坂䙁䅑䅕瑁䑁䅕䅍睁䍁䅷䅉桂䍁䅁䅣祂䝁䄸䅣潂䡁䅫䅢桂䝁䅍䅤灂䝁䅍䅉㉂䝁䅅睙橂䝁䅫杢求䍁䅁䅣祂䝁䄸䅚ㅂ䝁䅍䅤杁䝁䅍兙畂䝁䅑兡歂䝁䅅䅤求䍁䅁兤畂䝁䅑党祂䍁䅁䅣潂䝁䅅督求䍁䅁免杁䡁䅍䅤ㅂ䝁䅑兡求䡁䅍䅉あ䝁䄸䅉睂䡁䅉党㉂䝁䅕杢あ䍁䅁兡畂䝁䅙党橂䡁䅑兡療䝁䄴䅉桂䝁䄴䅚杁䡁䅍兤楂䡁䅍党硂䡁䅕党畂䡁䅑䅉歂䝁䅫督求䝁䅅督求䍁䅁睙桂䡁䅕督求䝁䅑䅉楂䡁䅫䅉あ䝁䅧党杁䕁䄰兒卂䙁䅍䅉橂䝁䄸杣療䝁䄴兙㉂䝁䅫杣ㅂ䡁䅍睏杁䝁䅅杢歂䍁䅁杖啂䙁䅁兌ぁ䑁䅁䅍獁䍁䅁兙杁䡁䅁杣療䡁䅁䅡㕂䝁䅷兙橂䡁䅑兡橂䍁䅁杤桂䝁䅍睙灂䝁䄴党杁䝁䅍兙畂䝁䅑兡歂䝁䅅䅤求䍁䅁兤畂䝁䅑党祂䍁䅁䅣潂䝁䅅督求䍁䅁免杁䡁䅍䅤ㅂ䝁䅑兡求䡁䅍䅉あ䝁䄸䅉睂䡁䅉党㉂䝁䅕杢あ䍁䅁督潂䝁䅫杢湂䝁䅷党穂䍁䅁兡畂䍁䅁兙歂䡁䅕䅢あ䡁䅍䅉桂䝁䅣党歂䍁䅁兎睁䍁䅁入求䝁䅅杣穂䍁䅁兙畂䝁䅑䅉療䝁䅷䅚求䡁䅉杌杁䕁䅫杢杁䝁䅅䅚歂䝁䅫䅤灂䝁䄸杢獁䍁䅁䅤潂䝁䅕䅉橂䝁䄸兢睂䝁䅅杢㕂䍁䅁睢浂䝁䅙党祂䡁䅍䅉坂䝁䅅䅥㙂䝁䅕杤祂䝁䅫兙杁䍁䅧杚療䡁䅉兢求䡁䅉䅢㕂䍁䅁杖啂䙁䅁兌㕁䑁䅁䅍杁䝁䅅杢歂䍁䅁兑慂䕁䅑免祁䑁䅉杍灁䍁䅷䅉桂䍁䅁䅣祂䝁䄸䅣潂䡁䅫䅢桂䝁䅍䅤灂䝁䅍䅉㉂䝁䅅睙橂䝁䅫杢求䍁䅁杚療䡁䅉䅉あ䝁䅧党杁䡁䅁杣求䡁䅙党畂䡁䅑兡療䝁䄴䅉療䝁䅙䅉䑂䕁䄸杖䩂䕁䅑兌硁䑁䅫䅉䩂䝁䄴杚求䝁䅍䅤灂䝁䄸杢畁䍁䅁杒ㅂ䡁䅉䅤潂䝁䅕杣獁䍁䅁兡あ䍁䅁䅡桂䡁䅍䅉獂䝁䅫睙求䝁䄴督求䍁䅷䅉祂䝁䅕督求䝁䅅杣橂䝁䅧䅉桂䝁䄴䅚杁䝁䅑党㉂䝁䅕䅢療䡁䅁兢求䝁䄴䅤獁䍁䅁兙畂䝁䅑䅉橂䝁䄸䅢獂䝁䅅杙療䡁䅉兙あ䝁䅫睢畂䍁䅁兙湂䡁䅉党求䝁䄰党畂䡁䅑督杁䡁䅣兡あ䝁䅧䅉偂䙁䅕兓獁䍁䅁杔䩂䕁䅧䅌杁䕁䅫兔䑂䍁䅷䅉䑂䝁䅅杢呂䝁䅫杢療䍁䅷䅉䑂䙁䅉兖䱂䑁䅳䅉坂䕁䄸䅔啂䑁䅳䅉桂䝁䄴䅚杁䕁䅅杣楂䡁䅕䅤ㅂ䡁䅍杌杁䙁䅑䅡求䍁䅁睙療䝁䄰䅣桂䝁䄴入杁䡁䅣兙穂䍁䅁杚療䡁䅉兢求䡁䅉䅢㕂䍁䅁睡畂䝁䄸睤畂䍁䅁兙穂䍁䅁杖桂䝁䅍睙灂䡁䅑党橂䝁䅧䅉睂䝁䅷睙杁䝁䅅杢歂䍁䅁睙潂䝁䅅杢湂䝁䅕䅚杁䝁䅫䅤穂䍁䅁杢桂䝁䄰党杁䡁䅑睢杁䕁䅉兙祂䝁䅫杢あ䝁䅧兤穂䍁䅁村灂䝁䄸䅤潂䝁䅕杣桂䡁䅁党ㅂ䡁䅑兡橂䡁䅍䅉睂䝁䅷睙杁䝁䅫杢杁䕁䄴睢㉂䝁䅕兢楂䝁䅕杣杁䑁䅉䅍祁䑁䅍杌杁䕁䅉兙祂䝁䅫杢あ䝁䅧兤穂䍁䅁村灂䝁䄸䅤潂䝁䅕杣桂䡁䅁党ㅂ䡁䅑兡橂䡁䅍䅉睂䝁䅷睙杁䡁䅣兙穂䍁䅁杚療䡁䅕杢歂䝁䅕䅚杁䝁䅫杢杁䑁䅉䅍硁䑁䅙䅉桂䝁䄴䅚杁䝁䅫督杁䝁䅧党桂䝁䅑兣ㅂ䝁䅅杣あ䝁䅕杣求䝁䅑䅉灂䝁䄴䅉䕂䝁䅫䅚橂䝁䄸䅤獁䍁䅁䅤潂䝁䅕䅉噂䝁䄴兡あ䝁䅕䅚杁䕁䅳兡畂䝁䅣䅚療䝁䄰杌䅁䱁䜴䅁敁䅁䅁村桂䡁䅍兡橂䍁䄰杒灂䡁䅑䅉佂䍁䄴杖畁䅁䅁䅣䅉䍁䅙䅁䍂䝁䅅入杁䕁䅑入畂䝁䅅兢灂䝁䅍督獁䍁䅁兓畂䝁䅍杌䅁乁䉑䅁歁䅁䅁村桂䡁䅯兙桂䡁䅉杤療䝁䅫睙求䍁䅷䅉䩂䝁䄴睙畁䅁䅁元䅉䅁义䅁䍂䝁䅅来桂䝁䅅杣㉂䝁䄸兡橂䝁䅕䅌杁䕁䅫杢橂䍁䄴䅉睂䡁䅉睢㉂䝁䅫䅚求䡁䅍䅉瑂䝁䅅杣牂䝁䅕䅤灂䝁䄴睚杁䡁䅑睢療䝁䅷督杁䡁䅑睢杁䡁䅉党あ䝁䅅兡獂䝁䅕杣杁䝁䅅杢歂䍁䅁杙祂䝁䅅杢歂䍁䅁睙獂䝁䅫党畂䡁䅑督杁䝁䅙睢祂䍁䅁兤畂䝁䅑党祂䡁䅍䅤桂䝁䄴䅚灂䝁䄴睚杁䝁䅍睢畂䡁䅍兤瑂䝁䅕杣杁䡁䅙睢灂䝁䅍党畁䍁䅁兓あ䍁䅁䅣祂䝁䄸杤灂䝁䅑党穂䍁䅁兡あ䡁䅍䅉穂䝁䄸䅢ㅂ䡁䅑兡療䝁䄴督杁䡁䅑䅡祂䝁䄸兤湂䝁䅧䅉䍂䝁䅅来桂䝁䅅杣㉂䝁䄸兡橂䝁䅕䅉橂䝁䄸杢㉂䝁䅕杣穂䝁䅅䅤灂䝁䄸杢穂䍁䅁䅣獂䝁䅅䅤浂䝁䄸杣瑂䍁䅷䅉桂䍁䅁督療䝁䅙䅤㍂䝁䅅杣求䍁䅁兙穂䍁䅁兙杁䡁䅍党祂䡁䅙兡橂䝁䅕䅉睂䝁䅷兙あ䝁䅙睢祂䝁䄰䅌杁䡁䅣䅡灂䝁䅍䅡杁䝁䅕杢桂䝁䅉䅢求䡁䅍䅉橂䝁䅷兡求䝁䄴䅤穂䍁䅁䅤療䍁䅁睙桂䡁䅁䅤ㅂ䡁䅉党獁䍁䅁兢桂䝁䄴兙湂䝁䅕䅌杁䝁䅅杢歂䍁䅁䅚灂䡁䅍䅣獂䝁䅅入杁䝁䄸杢獂䝁䅫杢求䍁䅁睙療䝁䄴督ㅂ䝁䄰党祂䍁䄰睚求䝁䄴党祂䝁䅅䅤求䝁䅑䅉橂䝁䄸杢あ䝁䅕杢あ䍁䅷䅉灂䝁䄴睙獂䡁䅕䅚灂䝁䄴睚杁䡁䅉兙あ䝁䅫杢湂䡁䅍䅉桂䝁䄴䅚杁䡁䅉党㉂䝁䅫党㍂䡁䅍䅌杁䡁䅁䅡療䡁䅑睢穂䍁䅷䅉硂䡁䅕党穂䡁䅑兡療䝁䄴督杁䝁䅅杢歂䍁䅁兙畂䡁䅍睤求䡁䅉督獁䍁䅁杤灂䝁䅑党療䡁䅍䅌杁䝁䅷睢畂䝁䅣兌浂䝁䄸杣瑂䝁䅅䅤杁䝁䄴兙祂䡁䅉兙あ䝁䅫杤求䡁䅍䅌杁䡁䅍党獂䝁䅷党祂䍁䅁杣桂䡁䅑兡畂䝁䅣督獁䍁䅁兙畂䝁䅑䅉㍂䝁䄸杣牂䝁䅉党畂䝁䅍䅡杁䝁䅅杢桂䝁䅷入あ䝁䅫睙穂䍁䄴䅉啂䝁䅧党杁䝁䅍睢瑂䡁䅁兙畂䡁䅫升穂䍁䅁䅣獂䝁䅅䅤浂䝁䄸杣瑂䍁䅁兙獂䡁䅍睢杁䝁䅅䅢獂䝁䄸睤穂䍁䅁睙獂䝁䅫党畂䡁䅑督杁䡁䅑睢杁䡁䅁兤獂䝁䅷䅉灂䝁䄴䅉橂䝁䄸杢あ䝁䅕杢あ䍁䅁杚祂䝁䄸兢杁䡁䅙兙祂䝁䅫睢ㅂ䡁䅍䅉穂䝁䄸睙灂䝁䅅䅢杁䡁䅁䅢桂䡁䅑杚療䡁䅉兢穂䍁䅷䅉灂䝁䄴睙獂䡁䅕䅚灂䝁䄴睚杁䕁䅫杢穂䡁䅑兙湂䡁䅉兙瑂䍁䅷䅉䝂䝁䅅睙求䝁䅉睢療䝁䅳䅌杁䝁䅅杢歂䍁䅁䅖㍂䝁䅫䅤あ䝁䅕杣獁䍁䅁兙穂䍁䅁睤求䝁䅷䅢杁䝁䅅督杁䝁䄸杣湂䝁䅅杢灂䡁䅯党杁䝁䅅杢歂䍁䅁䅚灂䡁䅍䅣獂䝁䅅入杁䡁䅁䅡療䡁䅑睢穂䍁䅷䅉㉂䝁䅫䅚求䝁䄸督獁䍁䅁䅤求䡁䅧䅤穂䍁䅷䅉桂䝁䄴䅚杁䝁䅷兡畂䝁䅳督杁䡁䅑䅡桂䡁䅑䅉獂䝁䅕杤求䡁䅉兙湂䝁䅕䅉穂䝁䄸睙灂䝁䅅䅢杁䝁䅍睢畂䡁䅑党畂䡁䅑䅉あ䝁䅧杣療䡁䅕睚潂䝁䄸兤あ䍁䅁䅤潂䝁䅕兡祂䍁䅁督灂䡁䅑党畁䍁䅁兓畂䍁䅁兙歂䝁䅑兡あ䝁䅫睢畂䍁䅷䅉灂䡁䅑督杁䡁䅁䅢桂䡁䅑杚療䡁䅉兢杁䝁䅅䅢獂䝁䄸睤穂䍁䅁杙祂䝁䅅杢歂䡁䅍䅉桂䝁䄴䅚杁䡁䅉党あ䝁䅅兡獂䝁䅕杣穂䍁䅁䅤療䍁䅁杙ㅂ䝁䅫䅢歂䍁䅁䅤潂䝁䅕兡祂䍁䅁睢㍂䝁䄴䅉楂䡁䅉兙畂䝁䅑党歂䍁䅁睙療䝁䄰兢ㅂ䝁䄴兡あ䡁䅫䅉浂䝁䄸杣杁䝁䅕杢湂䝁䅅睚灂䝁䄴睚杁䡁䅑䅡求䝁䅫杣杁䝁䅅䅚㉂䝁䄸睙桂䡁䅑党穂䍁䅁䅤療䍁䅁睚桂䝁䅫杢杁䝁䅍睢畂䡁䅑党畂䡁䅑䅉桂䝁䄴䅚杁䝁䄰睢瑂䝁䅕杢あ䡁䅕兢杁䝁䅙睢祂䍁䅁杢求䡁䅣䅉睂䡁䅉睢歂䡁䅕睙あ䡁䅍䅉桂䝁䄴䅚杁䡁䅍党桂䡁䅍睢畂䝁䅅䅢杁䝁䅷兙ㅂ䝁䄴睙潂䝁䅕督獁䍁䅁兙穂䍁䅁睤求䝁䅷䅢杁䝁䅅督杁䡁䅁杣療䡁䅙兡歂䝁䅕督杁䝁䅍䅢灂䝁䅕杢あ䡁䅍䅉㍂䝁䅫䅤潂䍁䅁䅤潂䝁䅕䅉療䡁䅁䅣療䡁䅉䅤ㅂ䝁䄴兡あ䡁䅫䅉あ䝁䄸䅉穂䝁䅕兙祂䝁䅍䅡杁䡁䅉党穂䡁䅕䅢あ䡁䅍䅉桂䡁䅑䅉あ䝁䅧党杁䡁䅁杣療䝁䅑兤橂䡁䅑䅉橂䝁䅅䅤求䝁䅣睢祂䡁䅫䅉獂䝁䅕杤求䝁䅷杌杁䙁䅑䅡求䍁䅁睙療䝁䄰䅣桂䝁䄴入婁䡉䅍䅉橂䝁䄸杢あ䝁䅕杢あ䍁䅁兡穂䍁䅁兤穂䝁䅕䅚杁䝁䅉入杁䝁䅍䅢灂䝁䅕杢あ䡁䅍䅉浂䝁䄸杣杁䡁䅙兙祂䝁䅫睢ㅂ䡁䅍䅉桂䡁䅁䅣獂䝁䅫睙桂䡁䅑兡療䝁䄴督獁䍁䅁兡畂䝁䅍䅢ㅂ䝁䅑兡畂䝁䅣䅉療䝁䄴䅢灂䝁䄴党杁䝁䅅杢歂䍁䅁兢療䝁䅉兡獂䝁䅕兌療䡁䅁䅤灂䝁䄰兡㙂䝁䅕䅚杁䙁䅣党楂䡁䅍兡あ䝁䅕督獁䍁䅁兢療䝁䅉兡獂䝁䅕䅉桂䡁䅁䅣獂䝁䅫睙桂䡁䅑兡療䝁䄴督獁䍁䅁督療䝁䅍兡桂䝁䅷䅉畂䝁䅕䅤㍂䝁䄸杣牂䡁䅍䅌杁䝁䅫杢瑁䡁䅍䅤療䡁䅉党杁䝁䅳兡療䡁䅍睡穂䍁䅷䅉睂䝁䅧入穂䝁䅫睙桂䝁䅷䅉灂䝁䄴兌穂䡁䅑睢祂䝁䅕䅉歂䝁䅫督睂䝁䅷兙㕂䡁䅍䅌杁䡁䅁杣灂䝁䄴䅤求䝁䅑䅉浂䝁䅷入求䡁䅉督獁䍁䅁党瑂䝁䅅兡獂䍁䅷䅉桂䝁䄴䅚杁䝁䄸䅤潂䝁䅕杣杁䝁䅙睢祂䝁䄰督杁䝁䄸杚杁䝁䄸杢獂䝁䅫杢求䍁䅁兙畂䝁䅑䅉療䝁䅙杚獂䝁䅫杢求䍁䅁兢求䝁䅑兡桂䍁䄴䅉䩂䡁䅑䅉橂䝁䅅䅤求䡁䅉督杁䡁䅑睢杁䝁䅍䅢灂䝁䅕杢あ䡁䅍䅉灂䝁䄴䅉あ䝁䅧党杁䡁䅉党あ䝁䅅兡獂䍁䅷䅉橂䝁䄸杢穂䡁䅕兢求䡁䅉䅉睂䡁䅉睢歂䡁䅕睙あ䡁䅍䅌杁䡁䅑杣桂䡁䅙党獂䍁䅁兙畂䝁䅑䅉獂䝁䅕兡穂䡁䅕杣求䍁䅷䅉あ䝁䅕睙潂䝁䄴睢獂䝁䄸睚㕂䍁䅷䅉あ䝁䅕䅢求䝁䅍睢瑂䝁䄰兤畂䝁䅫睙桂䡁䅑兡療䝁䄴督獁䍁䅁杚灂䝁䄴兙畂䝁䅍兡桂䝁䅷䅉穂䝁䅕杣㉂䝁䅫睙求䡁䅍䅌杁䝁䅧党桂䝁䅷䅤潂䝁䅍兙祂䝁䅕䅌杁䝁䅅杢歂䍁䅁兙ㅂ䡁䅑睢瑂䝁䄸䅤灂䡁䅙党杁䝁䅫杢歂䡁䅕督あ䡁䅉兡求䡁䅍杌杁䙁䅑䅡求䍁䅁睙療䝁䄰䅣桂䝁䄴入杁䝁䅧兙穂䍁䅁兙杁䡁䅍䅤祂䝁䅅䅤求䝁䅣兡橂䍁䅁䅣桂䡁䅉䅤畂䝁䅕杣穂䝁䅧兡睂䍁䅁睤灂䡁䅑䅡杁䕁䄰睢畂䝁䅕䅤桂䡁䅑党獁䍁䅁兓畂䝁䅍杌杁䡁䅑睢杁䝁䅕杢桂䝁䅉䅢求䍁䅁杙祂䝁䅅杢歂䡁䅍䅉橂䡁䅉党桂䡁䅑党杁䡁䅁睢穂䡁䅑兌穂䝁䅕督穂䝁䅫睢畂䍁䅁䅣祂䝁䄸䅚ㅂ䝁䅍䅤杁䡁䅉党橂䝁䄸兢瑂䝁䅕杢歂䝁䅅䅤灂䝁䄸杢穂䍁䅁䅤療䍁䅁䅡療䝁䅷兡歂䝁䅅入杁䡁䅍䅡療䡁䅁䅣求䡁䅉督畁䍁䅁村桂䡁䅯兙桂䡁䅉杤療䝁䅫睙求䍁䅷䅉䩂䝁䄴睙畁䍁䅁睤桂䡁䅍䅉灂䝁䄴睙療䡁䅉䅣療䡁䅉兙あ䝁䅕䅚杁䝁䅫杢杁䑁䅉䅍睁䑁䅕䅉桂䝁䄴䅚杁䝁䅫督杁䝁䅧党桂䝁䅑兣ㅂ䝁䅅杣あ䝁䅕杣求䝁䅑䅉灂䝁䄴䅉䉂䡁䅕督あ䝁䅫杢獁䍁䅁䅖求䡁䅧兙穂䍁䅁睤灂䡁䅑䅡杁䝁䅅䅚歂䝁䅫䅤灂䝁䄸杢桂䝁䅷䅉療䝁䅙杚灂䝁䅍党穂䍁䅁睚獂䝁䄸杙桂䝁䅷䅢㕂䍁䄴䅁剁杁䅁䅅䅁䕁䅉党祂䝁䄰兤歂䝁䅅䅁捂睁䅁杌䅁䕁䅉党祂䡁䅉入杁䕁䅣党畂䝁䄸兢灂䝁䅍督杁䕁䅍睢畁䍁䅷䅔あ䝁䅑䅁䭂䅁䅁杉䅁䕁䅉党穂䡁䅑䅉療䝁䅙䅉乂䝁䅅睚畂䝁䅕䅤灂䝁䅍䅁㙄杁䅁䅓䅍䕁䅉党穂䡁䅑䅉療䝁䅙䅉乂䝁䅅睚畂䝁䅕䅤灂䝁䅍䅉睂䡁䅉睢㉂䝁䅫䅚求䡁䅍䅉潂䝁䄸䅢灂䝁䅑兙㕂䍁䅁兙橂䝁䅍睢瑂䝁䄰睢歂䝁䅅䅤灂䝁䄸杢杁䝁䅅杢歂䍁䅁睢畂䝁䅷兡畂䝁䅕䅉潂䝁䄸䅤求䝁䅷䅉楂䝁䄸睢牂䝁䅫杢湂䍁䅁督求䡁䅉杤灂䝁䅍党穂䍁䄴䅉啂䝁䅧党杁䝁䅍睢瑂䡁䅁兙畂䡁䅫䅉療䝁䅙杚求䡁䅉督杁䡁䅍党祂䡁䅙兡橂䝁䅕督杁䡁䅍兤橂䝁䅧䅉桂䡁䅍䅌杁䝁䅍兙祂䍁䅁杣求䝁䄴䅤桂䝁䅷䅉穂䝁䅕杣㉂䝁䅫睙求䡁䅍䅌杁䝁䅅睙あ䝁䅫杤灂䡁䅑入杁䡁䅁䅢桂䝁䄴杢灂䝁䄴睚杁䝁䅅杢歂䍁䅁杣求䝁䅍睢瑂䝁䄰党畂䝁䅑兙あ䝁䅫睢畂䡁䅍䅌杁䡁䅉党穂䝁䅫䅚求䝁䄴䅤灂䝁䅅䅢杁䡁䅁杣療䡁䅁党祂䡁䅑入杁䡁䅍兙獂䝁䅕督獁䍁䅁兙畂䝁䅑䅉潂䝁䄸䅢灂䝁䅑兙㕂䍁䅁䅣祂䝁䄸䅣求䡁䅉䅤㕂䍁䅁兢桂䝁䄴兙湂䝁䅕兢求䝁䄴䅤杁䡁䅍党祂䡁䅙兡橂䝁䅕督畁䍁䅁村求䡁䅍䅤杁䝁䄸杚杁䕁䄰兙湂䝁䄴党あ䝁䅫睙杁䡁䅣兙穂䍁䅁兡畂䝁䅍睢祂䡁䅁睢祂䝁䅅䅤求䝁䅑䅉灂䝁䄴䅉祁䑁䅁䅍㕁䍁䅁兙畂䝁䅑䅉灂䡁䅍䅉楂䝁䅅督求䝁䅑䅉灂䝁䄴䅉佂䝁䅕䅢獂䡁䅫䅉䍂䝁䅅入獁䍁䅁兑ㅂ䡁䅍䅤祂䝁䅅䅢灂䝁䅅杌杁䕁䅅督杁䝁䄸杚杁䕁䅙党楂䡁䅉兤桂䡁䅉入杁䑁䅉䅍祁䑁䅉䅌杁䕁䅉党穂䡁䅑䅉療䝁䅙䅉乂䝁䅅睚畂䝁䅕䅤灂䝁䅍䅉療䡁䅁党祂䝁䅅䅤求䡁䅍䅉桂䡁䅍䅉桂䍁䅁督ㅂ䝁䅉督灂䝁䅑兡桂䡁䅉入杁䝁䄸杚杁䕁䅅䅢獂䝁䄸睚湂䝁䅫睢杁䕁䅣杣療䡁䅕䅣杁䕁䅷兡瑂䝁䅫䅤求䝁䅑杌䅁䅁䑅䅁慁䅁䅁村療䝁䅷督あ䝁䅕杣杁䕁䅫杢橂䍁䄴䅁䙄允䅁䅈䅁䕁䅉睢畂䍁䅁䅕祂䝁䅕兤獁䍁䅁睕䉂䙁䅕䅁ぃ杁䅁䄵䅉䕁䅉睢畂䍁䅁䅕祂䝁䅕兤獁䍁䅁睕䉂䙁䅕䅉療䡁䅣杢穂䍁䅁兙畂䝁䅑䅉療䡁䅁党祂䝁䅅䅤求䡁䅍䅉桂䍁䅁睙潂䝁䅅兡畂䍁䅁睢浂䍁䅁督ㅂ䡁䅁党祂䝁䄰兙祂䝁䅳党あ䍁䅁督あ䝁䄸杣求䡁䅍杌杁䕁䅫䅤杁䝁䅅䅢穂䝁䄸䅉療䡁䅁党祂䝁䅅䅤求䡁䅍䅉潂䡁䅫䅣求䡁䅉兢桂䡁䅉睡求䡁䅑督獁䍁䅁睚桂䡁䅍䅉穂䡁䅑兙あ䝁䅫睢畂䡁䅍䅌杁䝁䄰兡畂䝁䅫兌瑂䝁䅅杣牂䝁䅕䅤穂䍁䅷䅉桂䝁䄴䅚杁䡁䅁兡橂䝁䅳兌ㅂ䡁䅁䅉睂䝁䄸兡畂䡁䅑督畁䍁䅁兓あ䍁䅁兙獂䡁䅍睢杁䡁䅁杣療䡁䅙兡歂䝁䅕督杁䝁䄸杢獂䝁䅫杢求䍁䅁督潂䝁䄸䅣睂䝁䅫杢湂䍁䅁督求䡁䅉杤灂䝁䅍党穂䍁䅁䅤潂䡁䅉睢ㅂ䝁䅣䅡杁䝁䅅杢杁䝁䄸杢獂䝁䅫杢求䍁䅁䅣療䡁䅉䅤桂䝁䅷䅉桂䝁䄴䅚杁䝁䅅䅉瑂䝁䄸杙灂䝁䅷党杁䝁䅅䅣睂䝁䅷兡橂䝁䅅䅤灂䝁䄸杢畁䍁䅁兓畂䍁䅁兙歂䝁䅑兡あ䝁䅫睢畂䍁䅷䅉あ䝁䅧党杁䝁䅍睢瑂䡁䅁兙畂䡁䅫䅉療䝁䅙杚求䡁䅉督杁䝁䅅䅉穂䝁䅧睢睂䡁䅁兡畂䝁䅣䅉橂䝁䅅杣歂䍁䅁睤灂䡁䅑䅡杁䝁䄰睢畂䝁䅕䅤桂䡁䅉入杁䡁䅙兙獂䡁䅕党畁䍁䅁䅖潂䝁䅕䅉橂䝁䄸兢睂䝁䅅杢㕂䍁䅁睤桂䡁䅍䅉浂䝁䄸兤畂䝁䅑党歂䍁䅁兡畂䍁䅁免㕁䑁䅣䅎杁䝁䅅杢歂䍁䅁兡穂䍁䅁杙桂䡁䅍党歂䍁䅁兡畂䍁䅁村桂䡁䅉睙求䝁䅷睢畂䝁䅅䅌杁䙁䅍䅣桂䝁䅫杢畁䅁䅁杵䅉䍁䅷䅁䍂䝁䄸睢牂䝁䅫杢湂䍁䅁䅓療䝁䅷䅚灂䝁䄴睚穂䍁䅁兓畂䝁䅍杌䅁偁䍍䅁㡁䅁䅁村療䝁䄸睡療䝁䄴䅢灂䝁䄴党畂䝁䄸睤杁䙁䅁杣灂䡁䅙兙あ䝁䅕䅉䑂䝁䄸兢睂䝁䅅杢㕂䅁䅁䄯䅉䉁䍷䅁䍂䝁䄸睢牂䝁䄸杢獂䝁䅫杢求䝁䄴睢㍂䍁䅁䅕祂䝁䅫杤桂䡁䅑党杁䕁䅍睢瑂䡁䅁兙畂䡁䅫䅉療䡁䅁党祂䝁䅅䅤求䡁䅍䅉桂䝁䄴䅚杁䝁䄸杚浂䝁䅕杣穂䍁䅁兙杁䝁䅉睢療䝁䅳兡畂䝁䅣䅉求䝁䄴睚灂䝁䄴党杁䡁䅁䅢桂䡁䅑杚療䡁䅉兢杁䝁䅫杢杁䡁䅑䅡求䍁䅁䅡療䡁䅍䅣灂䡁䅑兙獂䝁䅫䅤㕂䍁䅁兡畂䝁䅑兤穂䡁䅑杣㕂䍁䄴䅉啂䝁䅧党杁䝁䅍睢瑂䡁䅁兙畂䡁䅫䅉㍂䝁䅅督杁䝁䅙睢ㅂ䝁䄴䅚求䝁䅑䅉灂䝁䄴䅉祁䑁䅁䅍㕁䍁䅁兙畂䝁䅑䅉灂䡁䅍䅉楂䝁䅅督求䝁䅑䅉灂䝁䄴䅉䉂䡁䅑䅡求䝁䄴督獁䍁䅁睒祂䝁䅕党橂䝁䅕杌杁䕁䅅督杁䝁䄸杚杁䙁䅍党睂䡁䅑党瑂䝁䅉党祂䍁䅁免穁䍁䅷䅉祁䑁䅁杍祁䍁䅷䅉䍂䝁䄸睢牂䝁䄸杢獂䝁䅫杢求䝁䄴睢㍂䍁䅁䅕祂䝁䅫杤桂䡁䅑党杁䕁䅍睢瑂䡁䅁兙畂䡁䅫䅉療䡁䅁党祂䝁䅅䅤求䡁䅍䅉桂䡁䅍䅉桂䍁䅁督ㅂ䝁䅉督灂䝁䅑兡桂䡁䅉入杁䝁䄸杚杁䕁䅕䅣穂䝁䅫䅢療䝁䄴䅉佂䝁䅕䅤杁䙁䅍杌䉂䍁䄴䅁䅁睁䅁杋䅁䕁䅉杣桂䝁䅍党硁䑁䅙䅏杁䙁䅁䅤㕂䍁䅁䅔灂䝁䄰兡あ䝁䅕䅚䅁䥁䅍䅁㙂允䅁村祂䝁䅅睙求䑁䅅李㑁䍁䅁䅕あ䡁䅫䅉䵂䝁䅫兢灂䡁䅑党歂䍁䅁䅚求䡁䅙党獂䝁䄸䅣穂䍁䅁兓啂䍁䅁兙畂䝁䅑䅉橂䡁䅫杙求䡁䅉䅉穂䝁䅕睙ㅂ䡁䅉兡あ䡁䅫䅉穂䝁䄸䅢ㅂ䡁䅑兡療䝁䄴督杁䝁䅙睢祂䍁䅁兢求䝁䅑兡ㅂ䝁䄰䅉あ䝁䄸䅉獂䝁䅅杣湂䝁䅕兌穂䝁䅍兙獂䝁䅕䅉楂䡁䅕督灂䝁䄴党穂䡁䅍党穂䍁䅁兙畂䝁䅑䅉求䝁䄴䅤求䡁䅉䅣祂䝁䅫督求䡁䅍杌杁䙁䅑䅡求䍁䅁睙療䝁䄰䅣桂䝁䄴入杁䡁䅣兙穂䍁䅁杚療䡁䅕杢歂䝁䅕䅚杁䝁䅫杢杁䑁䅉䅍硁䑁䅣䅉桂䝁䄴䅚杁䝁䅫督杁䝁䅉兙穂䝁䅕䅚杁䝁䅫杢杁䕁䄴睢祂䡁䅑䅡杁䙁䅍入歂䝁䄴党㕂䍁䅷䅉䉂䡁䅕督あ䡁䅉兙獂䝁䅫兙畁䅁䅁睫䅁䑁䅁䅁䍂䡁䅉兙灂䝁䄴督杁䙁䅑党橂䝁䅧杢療䝁䅷睢湂䡁䅫䅌杁䕁䅫杢橂䍁䄴䅁卄䅁䅁杉䅁䕁䅉杣桂䝁䄰杙獂䝁䅕督杁䕁䅷兡瑂䝁䅫䅤求䝁䅑䅁婄杁䅁杏䅁䕁䅍兌䑂䝁䄸兢杁䙁䅍兙あ䝁䅕䅢獂䝁䅫䅤求䍁䅁睕㕂䡁䅍䅤求䝁䄰督杁䕁䅫杢橂䍁䄴䅁䵂䅁䅁䅃䅁䕁䅍兑䕂䅁䅁眴䅅䉁䅯䅁䑂䕁䅅䅖䉂䕁䅷兓呂䙁䅑杏ぁ䑁䅉杒䅁䩁䅯䅁坁䅁䅁睑䩂䕁䄴睑杁䕁䅍睢祂䡁䅁杌䅁乁䅕䅁捂䅁䅁睑䭂䍁䅁杕療䝁䅳兡畂䍁䅁䅔療䝁䅣兡穂䡁䅑兡橂䡁䅍䅉桂䝁䄴䅚杁䙁䅍兤睂䡁䅁䅢㕂䍁䅁睑潂䝁䅅兡畂䍁䅁睑療䍁䄴䅌杁䕁䅷䅤歂䍁䄴䅁杄杁䅁杫䅅䕁䅍杓杁䙁䅉睢牂䝁䅫杢杁䕁䅷睢湂䝁䅫督あ䝁䅫睙穂䍁䅁兙畂䝁䅑䅉呂䡁䅕䅣睂䝁䅷入杁䕁䅍䅡桂䝁䅫杢杁䕁䅍睢畁䍁䅷䅉䵂䡁䅑䅚畁䍁䅁䅣祂䝁䄸杤灂䝁䅑党穂䍁䅁睙療䝁䅷䅚杁䝁䅍䅡桂䝁䅫杢獁䍁䅁睙潂䝁䅕兢灂䝁䅍兙獂䍁䅷䅉桂䝁䄴䅚杁䝁䅣党畂䝁䅕杣桂䝁䅷䅉獂䝁䄸睚灂䡁䅍䅤灂䝁䅍督杁䝁䅅杢歂䍁䅁䅤祂䝁䅅杢穂䡁䅁睢祂䡁䅑兙あ䝁䅫睢畂䍁䅁督求䡁䅉杤灂䝁䅍党穂䍁䄴䅉啂䝁䅧党杁䝁䅍睢瑂䡁䅁兙畂䡁䅫䅉㍂䝁䅅督杁䝁䅙睢ㅂ䝁䄴䅚求䝁䅑䅉灂䝁䄴䅉硁䑁䅫䅏ㅁ䍁䅁兙畂䝁䅑䅉灂䡁䅍䅉潂䝁䅕兙歂䡁䅅兤桂䡁䅉䅤求䡁䅉党歂䍁䅁兡畂䍁䅁睕潂䝁䅅杢湂䝁䅧兙灂䍁䅷䅉䑂䝁䅧兡畂䝁䅅杌䅁佁䍧䅁䥁䅁䅁睑佂䙁䅫䅁䅃杁䅁材䅁䕁䅍睕杁䕁䅍睢瑂䝁䄰兤畂䝁䅫睙桂䡁䅑兡療䝁䄴䅉流䍁䅁睕㕂䡁䅍䅤求䝁䄰党穂䍁䅁睕䉂䅁䅁杫䅅䍁䅧䅁䑂䝁䅅杙桂䝁䅷党あ䡁䅑兙杁䕁䅉兡療䍁䅷䅉䩂䝁䄴睙畁䅁䅁睂䅙䥁䩉䅁䑂䝁䅅杙桂䝁䅷党あ䡁䅑兙杁䕁䅉兡療䍁䅷䅉䩂䝁䄴睙畁䍁䅷䅉桂䍁䅁睙獂䝁䅫杢灂䝁䅍兙獂䍁䄰督あ䝁䅅睚求䍁䅁杙灂䝁䄸䅤求䝁䅍䅡畂䝁䄸䅢療䝁䅣入杁䝁䅍睢瑂䡁䅁兙畂䡁䅫䅌杁䝁䅙睢橂䡁䅕督求䡁䅍䅉療䝁䄴䅉あ䝁䅧党杁䝁䅑兡穂䝁䅍睢㉂䝁䅕杣㕂䍁䅁兙畂䝁䅑䅉歂䝁䅕杤求䝁䅷睢睂䝁䄰党畂䡁䅑䅉療䝁䅙䅉求䝁䄴睚灂䝁䄴党求䡁䅉党歂䍁䅁䅖杁䝁䅍党獂䝁䅷䅉あ䝁䅧党祂䝁䅅䅣灂䝁䅕督杁䝁䅙睢祂䍁䅁䅣桂䡁䅑兡求䝁䄴䅤穂䍁䅁睤灂䡁䅑䅡杁䕁䅉䅉橂䝁䅕䅢獂䍁䄰兢求䝁䅑兡桂䡁䅑党歂䍁䅁兙ㅂ䡁䅑睢灂䝁䄰兢ㅂ䝁䄴党杁䝁䅑兡穂䝁䅕兙穂䝁䅕督畁䍁䅁䅖潂䝁䅕䅉橂䝁䄸兢睂䝁䅅杢㕂䉁杫督杁䝁䅷党桂䝁䅑䅉睂䡁䅉睢歂䡁䅕睙あ䍁䅁睙桂䝁䄴䅚灂䝁䅑兙あ䝁䅕䅉灂䡁䅍䅉䑂䕁䅅村䉂䍁䄰杍睁䑁䅅䅌杁䝁䅅䅉浂䡁䅕䅢獂䡁䅫䅉潂䡁䅕兢桂䝁䄴䅉桂䝁䄴䅤灂䍁䄰睑䕂䑁䅅兏杁䝁䅉兡畂䝁䅑党祂䍁䅁杚療䡁䅉䅉あ䝁䅧党杁䡁䅑杣求䝁䅅䅤瑂䝁䅕杢あ䍁䅁睢浂䍁䅁䅕潂䝁䅅督求䍁䅁免癁䑁䅉䅉橂䝁䅷兡畂䝁䅫睙桂䝁䅷䅉あ䡁䅉兡桂䝁䅷督杁䝁䅫杢杁䝁䅑党祂䝁䄰兙あ䝁䄸兢㕂䝁䄸督灂䡁䅑兡穂䍁䅷䅉桂䝁䄴䅤灂䍁䄰督㕂䝁䄴䅤潂䝁䅕䅤桂䡁䅍党杁䡁䅍入畂䝁䅑杣療䝁䄰党獁䍁䅁兡瑂䝁䄰兤畂䝁䅕兌瑂䝁䅕䅚灂䝁䅅䅤求䝁䅑䅉畂䝁䅕睙祂䝁䄸䅤灂䡁䅯兡畂䝁䅣䅉瑂䡁䅫睢睂䝁䅅䅤潂䡁䅫䅌杁䝁䅷兤睂䡁䅕督杁䝁䄴党睂䝁䅧杣灂䡁䅑兡穂䍁䅷䅉畂䝁䄸杢瑁䡁䅉党畂䝁䅅䅢杁䡁䅍入穂䡁䅑党瑂䝁䅫睙杁䝁䅷兤睂䡁䅕督杁䝁䅕杣㕂䡁䅑䅡求䝁䄰兙あ䝁䄸督ㅂ䡁䅍䅌杁䡁䅍入穂䡁䅑党瑂䝁䅫睙杁䡁䅍睙獂䝁䅕杣療䡁䅍兡穂䍁䅷䅉桂䝁䄴䅚杁䝁䅣党畂䝁䅕杣桂䝁䅷兡㙂䝁䅕䅚杁䝁䄰入桂䡁䅍䅤潂䝁䅕杢灂䝁䅅䅉湂䡁䅉兙㉂䝁䅫督畁䍁䅁兓あ䍁䅁兙獂䡁䅍睢杁䝁䅑党㉂䝁䅕䅢療䡁䅁督杁䕁䅑睕䡂䑁䅍兌䑂䕁䅅兑卂䙁䅑䅌杁䡁䅣䅡灂䝁䅍䅡杁䝁䅫督杁䝁䅫杢杁䙁䅁䅡桂䡁䅍党杁䕁䅫睌䩂䕁䅫䅉橂䝁䅷兡畂䝁䅫睙桂䝁䅷䅉あ䡁䅉兡桂䝁䅷䅉浂䝁䄸杣杁䡁䅑䅡求䍁䅁䅤祂䝁䅕兙あ䝁䄰党畂䡁䅑䅉療䝁䅙䅉瑂䡁䅕睙療䡁䅍兙獂䍁䅁䅣求䝁䄰䅣潂䝁䅫睚ㅂ䡁䅍䅉㉂䡁䅕䅢湂䝁䅅杣灂䡁䅍睏杁䝁䅅杢歂䍁䅁兔ㅂ䙁䅍睓瑁䕁䅍兑䉂䙁䅉䅖獁䍁䅁兙畂䍁䅁兡畂䡁䅙党穂䡁䅑兡湂䝁䅅䅤灂䝁䄸杢桂䝁䅷䅉橂䝁䅕䅢獂䍁䅁䅤潂䝁䅕杣桂䡁䅁入杁䡁䅑䅡桂䡁䅑䅉灂䡁䅍䅉灂䝁䄴䅉兂䝁䅧兙穂䝁䅕䅉䩂䍁䄸兓䩂䍁䅁睙獂䝁䅫杢灂䝁䅍兙獂䍁䅁䅤祂䝁䅫兙獂䍁䅁杚療䡁䅉䅉あ䡁䅉党桂䡁䅑兡畂䝁䅣䅉睂䝁䅅䅤灂䝁䅕杢あ䡁䅍䅉㍂䝁䅫䅤潂䍁䅁兙畂䡁䅑兡瑁䍁䅁兢ㅂ䡁䅍睙獂䝁䅕兌穂䡁䅁党橂䝁䅫杚灂䝁䅍䅉牂䝁䅫杢桂䡁䅍党杁䝁䅅杢あ䝁䅫杙療䝁䅑入杁䡁䅁睢穂䝁䅫䅤灂䡁䅙党杁䝁䄰入桂䡁䅍䅤潂䝁䅕杢灂䝁䅅䅉湂䡁䅉兙㉂䝁䅫督畁䍁䅁兓あ䍁䅁䅡桂䡁䅍䅉桂䍁䅁睙療䝁䅷䅢桂䝁䅉睢祂䝁䅅䅤灂䝁䄸杢杁䡁䅣兡あ䝁䅧䅉あ䝁䅧党杁䙁䅕杢灂䡁䅙党祂䡁䅍兡あ䡁䅫䅉療䝁䅙䅉兂䝁䅕杢畂䡁䅍入獂䡁䅙兙畂䝁䅫兙杁䝁䅅杢歂䍁䅁䅤潂䝁䅕䅉䑂䝁䅧兡獂䝁䅑杣求䝁䄴升穂䍁䅁䅓療䡁䅍䅣灂䡁䅑兙獂䍁䅁睢浂䍁䅁䅕潂䝁䅫䅢桂䝁䅑党獂䡁䅁䅡灂䝁䅅睏杁䕁䄴兙畂䝁䅯兡畂䝁䅣䅉䩂䕁䅅睕偂䍁䅁村灂䝁䄸䅤潂䝁䅕杣桂䡁䅁党ㅂ䡁䅑兡橂䡁䅍䅉䑂䝁䄸杌獁䍁䅁䅔あ䝁䅑睏杁䕁䄸䅥浂䝁䄸杣歂䍁䅁村灂䝁䄸兢求䝁䅑兡橂䝁䅅睏杁䝁䅅杢歂䍁䅁睖ㅂ䙁䅧兡杁䕁䅅䅚㉂䝁䅅杢橂䝁䅕䅚杁䙁䅑䅡求䡁䅉兙睂䝁䅫党穂䍁䅷䅉䩂䝁䄴睙畁䍁䅁䅖潂䝁䅕䅉橂䝁䄸兢睂䝁䅅杢㕂䍁䅁睤桂䡁䅍䅉浂䝁䄸杣瑂䝁䅕杣獂䡁䅫䅉牂䝁䄴睢㍂䝁䄴䅉桂䡁䅍䅉啂䡁䅫睙潂䝁䄸䅉啂䝁䅧党祂䝁䅅䅣求䡁䅕䅤灂䝁䅍督獁䍁䅁兓畂䝁䅍杌杁䝁䅅杢歂䍁䅁睙潂䝁䅅杢湂䝁䅕䅚杁䝁䅫䅤穂䍁䅁杢桂䝁䄰党杁䡁䅑睢杁䕁䅍兙楂䝁䅅䅢求䡁䅑䅤桂䍁䅁村灂䝁䄸䅌杁䕁䅫杢橂䍁䄴䅉灂䝁䄴䅉䉂䡁䅕睚ㅂ䡁䅍䅤杁䑁䅉䅍硁䑁䅧杌杁䕁䅍兙楂䝁䅅䅢求䡁䅑䅤桂䍁䅁村灂䝁䄸䅌杁䕁䅫杢橂䍁䄴䅉㍂䝁䅅督杁䝁䅫杢橂䝁䄸杣睂䝁䄸杣桂䡁䅑党歂䍁䅁兡畂䍁䅁杍睁䑁䅅睎杁䝁䅅杢歂䍁䅁兡穂䍁䅁䅡求䝁䅅䅚硂䡁䅕兙祂䡁䅑党祂䝁䅕䅚杁䝁䅫杢杁䙁䅁䅡灂䝁䅷兙歂䝁䅕䅢睂䝁䅧兡桂䍁䅷䅉兂䝁䅕杢畂䡁䅍入獂䡁䅙兙畂䝁䅫兙畁䅁䅁典䅙佁䥑䅁䑂䝁䅅杙桂䝁䅷党あ䡁䅑兙杁䕁䅉兡療䍁䅷䅉䩂䝁䄴睙畁䍁䅷䅉桂䍁䅁睙獂䝁䅫杢灂䝁䅍兙獂䍁䄰督あ䝁䅅睚求䍁䅁杙灂䝁䄸䅤求䝁䅍䅡畂䝁䄸䅢療䝁䅣入杁䝁䅍睢瑂䡁䅁兙畂䡁䅫䅌杁䝁䅙睢橂䡁䅕督求䡁䅍䅉療䝁䄴䅉あ䝁䅧党杁䝁䅑兡穂䝁䅍睢㉂䝁䅕杣㕂䍁䅁兙畂䝁䅑䅉歂䝁䅕杤求䝁䅷睢睂䝁䄰党畂䡁䅑䅉療䝁䅙䅉求䝁䄴睚灂䝁䄴党求䡁䅉党歂䍁䅁䅖杁䝁䅍党獂䝁䅷䅉あ䝁䅧党祂䝁䅅䅣灂䝁䅕督杁䝁䅙睢祂䍁䅁䅣桂䡁䅑兡求䝁䄴䅤穂䍁䅁睤灂䡁䅑䅡杁䕁䅉䅉橂䝁䅕䅢獂䍁䄰兢求䝁䅑兡桂䡁䅑党歂䍁䅁兙ㅂ䡁䅑睢灂䝁䄰兢ㅂ䝁䄴党杁䝁䅑兡穂䝁䅕兙穂䝁䅕督畁䍁䅁䅖潂䝁䅕䅉橂䝁䄸兢睂䝁䅅杢㕂䉁杫督杁䝁䅷党桂䝁䅑䅉睂䡁䅉睢歂䡁䅕睙あ䍁䅁睙桂䝁䄴䅚灂䝁䅑兙あ䝁䅕䅉灂䡁䅍䅉䕂䙁䅍睒穁䍁䄰睑䉂䕁䅅杕啂䍁䅷䅉㍂䝁䅧兡橂䝁䅧䅉灂䡁䅍䅉灂䝁䄴䅉兂䝁䅧兙穂䝁䅕䅉䩂䍁䅁睙獂䝁䅫杢灂䝁䅍兙獂䍁䅁䅤祂䝁䅫兙獂䍁䅁杚療䡁䅉䅉あ䝁䅧党杁䡁䅑杣求䝁䅅䅤瑂䝁䅕杢あ䍁䅁睢浂䍁䅁兢ㅂ䝁䅍睢穂䝁䅅䅢杁䡁䅁党瑂䡁䅁䅡灂䝁䅣兤穂䍁䅁杤ㅂ䝁䅷睚桂䡁䅉兡穂䍁䅷䅉桂䝁䄴䅉桂䡁䅕䅤療䝁䅫兢瑂䡁䅕杢求䍁䅁杙獂䝁䅫督あ䝁䅕杣灂䝁䄴睚杁䡁䅍睡灂䝁䄴䅉歂䝁䅫督求䝁䅅督求䍁䄴䅉䩂䡁䅑督杁䡁䅁杣療䝁䅑兤橂䡁䅑䅉橂䝁䅅杢歂䝁䅫䅚桂䡁䅑党杁䡁䅁兡睂䝁䅕䅢灂䝁䄴党杁䝁䅅䅢穂䝁䄸䅉灂䝁䄴睙獂䡁䅕䅚求䡁䅍䅉乂䡁䅕睕䱂䍁䄰睑䉂䕁䅅杕啂䍁䅷䅉桂䍁䅁䅣祂䝁䅕睙獂䝁䅫杢灂䝁䅍兙獂䍁䅁督あ䝁䅅睚求䍁䅁䅣祂䝁䄸䅚ㅂ䝁䅍䅤杁䡁䅑睢杁䡁䅑杣求䝁䅅䅤杁䝁䅅䅉穂䡁䅕杙穂䝁䅕䅤杁䝁䄸杚杁䡁䅁兙あ䝁䅫党畂䡁䅑督杁䡁䅣兡あ䝁䅧䅉瑂䡁䅫兙穂䡁䅑䅡求䝁䄴兡桂䍁䅁睚祂䝁䅅杤灂䡁䅍睏杁䕁䅍兑䍂䕁䅅兌祁䑁䅁免獁䍁䅁兙杁䑁䅑兌硁䕁䅉村瑁䝁䅍睢畂䡁䅑兙灂䝁䄴兡畂䝁䅣䅉䑂䕁䅑免㕁䍁䄰睑䉂䙁䅉䅉啂䍁䅁兡畂䡁䅙党穂䡁䅑兡湂䝁䅅䅤灂䝁䄸杢桂䝁䅷䅉あ䝁䅧党祂䝁䅅䅣㕂䍁䅷䅉浂䝁䄸杣杁䡁䅑䅡求䍁䅁䅤祂䝁䅕兙あ䝁䄰党畂䡁䅑䅉療䝁䅙䅉穂䝁䅕杤求䡁䅉党杁䝁䅅兤あ䝁䄸兡瑂䝁䄰兤畂䝁䅕䅉歂䝁䅫督求䝁䅅督求䡁䅍睏杁䙁䅁䅔䉂䑁䅉杕瑁䕁䅍兑䉂䙁䅉䅖獁䍁䅁兙杁䝁䅑兡穂䝁䅍睢㉂䝁䅕杣㕂䍁䅁督あ䝁䅅睚求䍁䅁䅣祂䝁䄸䅚ㅂ䝁䅍䅤杁䡁䅑睢杁䡁䅑杣求䝁䅅䅤杁䡁䅁兙あ䝁䅫党畂䡁䅑督杁䡁䅣兡あ䝁䅧䅉兂䕁䅷兑祁䙁䅉兌桂䡁䅍督療䝁䅍兡桂䡁䅑党歂䍁䅁兢求䝁䄰杙祂䝁䅅杢療䡁䅕督杁䝁䄴党睂䝁䅧杣療䡁䅁兙あ䝁䅧入㝁䍁䅁兙畂䝁䅑䅉䕂䙁䅍睒穁䍁䄸免瑁䕁䅍兑䉂䙁䅉䅖獁䍁䅁兙杁䝁䅑兡穂䝁䅍睢㉂䝁䅕杣㕂䍁䅁督あ䝁䅅睚求䍁䅁䅣祂䝁䄸䅚ㅂ䝁䅍䅤杁䝁䅙睢祂䍁䅁䅤潂䝁䅕䅉あ䡁䅉党桂䡁䅑兢求䝁䄴䅤杁䝁䄸杚杁䝁䄰兤橂䝁䄸睙ㅂ䡁䅑兙畂䝁䅕睢ㅂ䡁䅍䅉睂䝁䅕兢睂䝁䅧兡湂䡁䅕督杁䡁䅙兤獂䝁䅣兙祂䝁䅫督畁䍁䅁兓あ䍁䅁䅡桂䡁䅍䅉桂䍁䅁睙療䝁䅷䅢桂䝁䅉睢祂䝁䅅䅤灂䝁䄸杢杁䡁䅣兡あ䝁䅧䅉あ䝁䅧党杁䙁䅕杢灂䡁䅙党祂䡁䅍兡あ䡁䅫䅉療䝁䅙䅉兂䝁䅕杢畂䡁䅍入獂䡁䅙兙畂䝁䅫兙杁䝁䅅杢歂䍁䅁䅤潂䝁䅕䅉䑂䝁䅧兡獂䝁䅑杣求䝁䄴升穂䍁䅁䅓療䡁䅍䅣灂䡁䅑兙獂䍁䅁睢浂䍁䅁䅕潂䝁䅫䅢桂䝁䅑党獂䡁䅁䅡灂䝁䅅杌杁䙁䅑䅡求䍁䅁睙療䝁䄰䅣桂䝁䄴入杁䡁䅣兙穂䍁䅁杚療䡁䅉兢求䡁䅉䅢㕂䍁䅁睡畂䝁䄸睤畂䍁䅁兙穂䍁䅁䅖㕂䝁䅍䅡療䍁䅁䅖潂䝁䅕杣桂䡁䅁党ㅂ䡁䅑兡橂䡁䅍䅌杁䕁䅫杢橂䍁䄴䅉桂䝁䄴䅚杁䝁䅍䅡桂䝁䄴睚求䝁䅑䅉灂䡁䅑督杁䝁䄴兙瑂䝁䅕䅉あ䝁䄸䅉䑂䝁䅅杙桂䝁䅷党あ䡁䅑兙杁䕁䅉兡療䍁䅷䅉䩂䝁䄴睙畁䍁䅁兡畂䍁䅁兑ㅂ䝁䅣兤穂䡁䅑䅉祁䑁䅁免㑁䍁䄴䅉䑂䝁䅅杙桂䝁䅷党あ䡁䅑兙杁䕁䅉兡療䍁䅷䅉䩂䝁䄴睙畁䍁䅁睤桂䡁䅍䅉灂䝁䄴睙療䡁䅉䅣療䡁䅉兙あ䝁䅕䅚杁䝁䅫杢杁䑁䅉䅍硁䑁䅣䅉桂䝁䄴䅚杁䝁䅫督杁䝁䅧党桂䝁䅑兣ㅂ䝁䅅杣あ䝁䅕杣求䝁䅑䅉灂䝁䄴䅉兂䝁䅧兡獂䝁䅅䅚求䝁䅷䅣潂䝁䅫兙獁䍁䅁䅕求䝁䄴杢穂䡁䅫䅢㉂䝁䅅杢灂䝁䅅杌䅁䅁䝫䅁杁䅁䅁睑桂䝁䅫督あ䝁䅕杣杁䕁䅷兡瑂䝁䅫䅤求䝁䅑䅁㍁杁䅁杄䅁䕁䅍兙畂䝁䅅䅚桂䅁䅁兔䅁䑁䅯䅁䑂䝁䅅䅣祂䝁䅫䅉䡂䝁䅷睢楂䝁䅅䅢杁䕁䅍兙睂䝁䅫䅤桂䝁䅷䅉䵂䝁䅫兢灂䡁䅑党歂䅁䅁光䅉䑁䅑䅁䑂䝁䅅杣灂䝁䅉睢ㅂ䍁䅁村灂䝁䄸督橂䝁䅫党畂䝁䅍党穂䍁䅷䅉䩂䝁䄴睙畁䅁䅁䅒䅁䉁䅯䅁䑂䝁䅅杣祂䝁䅕杚療䡁䅕杣杁䙁䅍兑䅁䩁䍧䅁䅂䅁䅁睑桂䡁䅍兡畂䝁䄸䅌杁䕁䅣兤灂䝁䅍䅡桂䡁䅉䅚瑁䙁䅁党祂䡁䅉兙橂䝁䅧睢畂䍁䅁睕畁䕁䅅杌䅁䩁䍫䅁敁䅁䅁睑潂䝁䅅䅤獂䝁䅅入求䡁䅉䅉楂䡁䅙杙桂䅁䅁䅄䅉䥁䉁䅁䑂䝁䅧兙あ䝁䅷兙㕂䝁䅕杣杁䝁䅉杤楂䝁䅅䅉歂䝁䅕杤求䝁䅷睢睂䡁䅍䅉桂䍁䅁睙療䝁䄴杤求䡁䅉督桂䡁䅑兡療䝁䄴兙獂䍁䅁兑䩂䍁䅁杙療䡁䅑䅉睂䝁䅷兙あ䝁䅙睢祂䝁䄰䅉あ䝁䅧兙あ䍁䅁党畂䝁䅅杙獂䝁䅕督杁䝁䅉兤穂䝁䅫杢求䡁䅍督求䡁䅍䅉あ䝁䄸䅉楂䡁䅕兡獂䝁䅑䅉桂䝁䄴䅚杁䝁䄰兙灂䝁䄴䅤桂䝁䅫杢杁䝁䅍䅡桂䡁䅑杙療䡁䅑督杁䝁䅅杢歂䍁䅁杤療䝁䅫睙求䝁䅉睢あ䡁䅍䅉灂䝁䄴䅉㉂䝁䅅杣灂䝁䄸兤穂䍁䅁䅢桂䝁䄴睚ㅂ䝁䅅睚求䡁䅍杌杁䙁䅑䅡求䍁䅁睙療䝁䄰䅣桂䝁䄴入杁䝁䅫督杁䝁䅉兙穂䝁䅕䅚杁䝁䅫杢杁䕁䅅杢あ䡁䅣党祂䡁䅁党畂䍁䅷䅉䍂䝁䅕䅢湂䝁䅫兤瑂䍁䄴䅁十杁䅁杔䅁䕁䅍䅡求䝁䅍睡杁䙁䅁睢灂䝁䄴䅤杁䙁䅍睢浂䡁䅑睤桂䡁䅉党杁䙁䅑党橂䝁䅧杢療䝁䅷睢湂䝁䅫党穂䍁䅁䅔あ䝁䅑杌䅁䡁䅅䅁䵁䅁䅁睑潂䝁䅫杢桂䅁䅁杋䅁䝁䅁䅁䑂䝁䅧兡畂䝁䅅䅉卂䝁䅅兡獂䡁䅣兙㕂䍁䅁睕睂䝁䅕睙灂䝁䅅䅢杁䕁䅍兙祂䝁䅣睢杁䕁䅷睢湂䝁䅫督あ䝁䅫睙穂䍁䅁睑療䍁䄴䅌杁䕁䅷䅤歂䍁䄴䅁䥄杁䅁杋䅁䕁䅍䅡療䡁䅉睢牂䝁䄰兙求䡁䅕䅢杁䕁䅍睢畁䍁䅁䅔あ䝁䅑杌䅁䩁䍷䅁煁允䅁睑潂䝁䄸杣療䝁䅳兢桂䝁䅕兤獂䍁䅁睑療䍁䄴䅉䵂䡁䅑䅚畁䍁䅁䅚灂䡁䅍䅤祂䝁䅫杙ㅂ䡁䅑党穂䍁䅁杚療䝁䄸䅚杁䡁䅑䅡祂䝁䄸兤湂䝁䅧䅉灂䡁䅑督杁䡁䅉党あ䝁䅅兡獂䍁䅁兙畂䝁䅑䅉療䝁䄴䅢灂䝁䄴党杁䡁䅍䅤療䡁䅉党穂䍁䄴䅉啂䝁䅧党杁䝁䅍睢瑂䡁䅁兙畂䡁䅫䅉㍂䝁䅅督杁䝁䅫杢橂䝁䄸杣睂䝁䄸杣桂䡁䅑党歂䍁䅁兡畂䍁䅁免㕁䑁䅫兏杁䝁䅅杢歂䍁䅁兡穂䍁䅁杙桂䡁䅍党歂䍁䅁兡畂䍁䅁睕求䝁䄸兤獂䍁䅷䅉呂䝁䄸兤あ䝁䅧䅉䱂䝁䄸杣求䝁䅅杌䅁䭁䍳䅁歁䅁䅁睑灂䡁䅁䅡求䡁䅉睑獂䝁䄸兤歂䍁䅷䅉䩂䝁䄴睙畁䅁䅁兲䅅䍁䅧䅁䑂䝁䅫䅣潂䝁䅕杣睂䝁䄸兡畂䡁䅑䅉䵂䝁䅫兢灂䡁䅑党歂䅁䅁睨䅁䡁䅯䅁䑂䝁䅫䅣潂䝁䅕杣睂䝁䄸兡畂䡁䅑䅉䵂䝁䅫兢灂䡁䅑党歂䍁䅁䅋畂䝁䅳兙㙁䕁䅕䅥橂䝁䅫䅤求䍁䅁䅖求䝁䅍䅡畂䝁䄸䅢療䝁䅣入杁䙁䅍党祂䡁䅙兡橂䝁䅕督杁䕁䅷兡瑂䝁䅫䅤求䝁䅑克䅁佁䅳䅁潁䅁䅁睑灂䡁䅍睙療䍁䅁睕㕂䡁䅍䅤求䝁䄰督獁䍁䅁兓畂䝁䅍杌䅁䑁䉳䅁捂䅁䅁睑獂䝁䅅入あ䝁䄸杢獁䍁䅁䅒ㅂ䝁䅉兡獂䝁䅫党祂䍁䅁杊杁䙁䅉兡橂䝁䅕䅌杁䕁䅷䅔䑂䑁䅳䅉䱂䕁䅳杕杁䍁䅙䅉䑂䝁䄸杌杁䕁䅫杢橂䍁䄴䅁あ允䅁䅨䅁䕁䅍䅢桂䡁䅫䅤療䝁䄴䅌杁䕁䅑兤楂䝁䅫䅢灂䝁䅕杣杁䍁䅙䅉卂䝁䅫睙求䍁䅷䅉䵂䕁䅷睑㝁䍁䅁睓療䝁䅧䅢楂䝁䅕杣湂䍁䅁睓祂䝁䅅杤灂䡁䅍䅉卂䝁䄸杙求䡁䅉䅤穂䍁䅁杊杁䕁䅍睢畁䍁䅁䅔畁䙁䅁杌䅁䝁䑕䅁獁䅁䅁睑獂䝁䅫䅣睂䝁䅕杣杁䕁䅷睢湂䝁䅫督あ䝁䅫睙穂䍁䅁䅣獂䝁䅍䅁楄杁䅁䄯䄰䕁䅍䅢灂䡁䅁䅣求䡁䅉䅉䵂䝁䄸睚灂䡁䅍䅤灂䝁䅍督杁䡁䅁䅢橂䍁䅷䅉あ䝁䄸睚求䡁䅑䅡求䡁䅉䅉㍂䝁䅫䅤潂䍁䅁兡あ䡁䅍䅉穂䡁䅕杙穂䝁䅫䅚灂䝁䅅杣灂䝁䅕督獁䍁䅁䅣祂䝁䄸杤灂䝁䅑党穂䍁䅁杤桂䝁䅷兤求䍁䄰兙歂䝁䅑党歂䍁䅁䅢療䝁䅣兡穂䡁䅑兡橂䡁䅍䅉穂䝁䅕杣㉂䝁䅫睙求䡁䅍䅉あ䝁䄸䅉あ䝁䅧党杁䡁䅉党あ䝁䅅兡獂䍁䅁督求䝁䅍䅤療䡁䅉䅉灂䝁䄴䅉あ䝁䅧党杁䙁䅕杢灂䡁䅑党歂䍁䅁睓灂䝁䄴睚歂䝁䄸兢杁䝁䅅杢歂䍁䅁杣求䡁䅍䅤杁䝁䄸杚杁䕁䅕兤祂䝁䄸䅣求䍁䄴䅉啂䝁䅧党杁䝁䅍睢瑂䡁䅁兙畂䡁䅫䅉療䡁䅁党祂䝁䅅䅤求䡁䅍䅉あ䝁䅧杣療䡁䅕睚潂䍁䅁䅤㍂䝁䄸䅉穂䝁䅕睚瑂䝁䅕杢あ䡁䅍䅌杁䙁䅙兙獂䡁䅕党瑁䕁䅅䅚歂䝁䅕䅚杁䕁䅷睢湂䝁䅫督あ䝁䅫睙穂䍁䅁睕求䡁䅉杤灂䝁䅍党穂䍁䅁兙畂䝁䅑䅉䑂䝁䄸兢瑂䝁䅕杣橂䝁䅫兙獂䍁䅁杖求䝁䅧兡橂䝁䅷党穂䍁䄴䅉䩂䡁䅑䅉療䝁䅙杚求䡁䅉督杁䝁䅕兌浂䡁䅕䅢浂䝁䅫䅢瑂䝁䅕杢あ䍁䅷䅉祂䝁䅕䅤ㅂ䡁䅉杢穂䍁䅁兢桂䝁䄴兙湂䝁䅕兢求䝁䄴䅤獁䍁䅁兢ㅂ䝁䅷䅤灂䝁䅍䅡桂䝁䄴杢求䝁䅷䅌杁䡁䅑党橂䝁䅧杢灂䝁䅍兙獂䍁䅁督求䡁䅉杤灂䝁䅍党穂䍁䅷䅉㍂䝁䅅杣求䝁䅧睢ㅂ䡁䅍兡畂䝁䅣䅌杁䡁䅕杣楂䝁䅅杢杁䝁䅅杢歂䍁䅁杣求䡁䅑兙灂䝁䅷䅉橂䝁䄸杢穂䝁䄸䅢灂䝁䅑兙あ䝁䅫睢畂䍁䅷䅉穂䝁䅕睙ㅂ䡁䅉党杁䝁䅷睢湂䝁䅫督あ䝁䅫睙穂䍁䅷䅉あ䡁䅉兙畂䡁䅍䅣療䡁䅉䅤桂䡁䅑兡療䝁䄴䅌杁䡁䅁睢祂䡁䅑䅉歂䝁䅕睙療䝁䄴督療䝁䅷兡歂䝁䅅䅤灂䝁䄸杢杁䝁䅷睢湂䝁䅫督あ䝁䅫睙穂䍁䅷䅉桂䝁䄴䅚杁䝁䅍睢畂䡁䅑杣桂䝁䅍䅤杁䡁䅁兙橂䝁䅳兙湂䝁䅫杢湂䍁䅁督求䡁䅉杤灂䝁䅍党穂䍁䄴䅉啂䝁䅧党杁䝁䅍睢瑂䡁䅁兙畂䡁䅫䅉桂䝁䅷督療䍁䅁䅣祂䝁䄸杤灂䝁䅑党穂䍁䅁兙歂䝁䅑党歂䍁䄰杤桂䝁䅷兤求䍁䅁督求䡁䅉杤灂䝁䅍党穂䍁䅷䅉灂䝁䄴睙獂䡁䅕䅚灂䝁䄴睚杁䡁䅍党橂䡁䅕杣求䍁䅁睤桂䡁䅉党潂䝁䄸兤穂䝁䅫杢湂䍁䅷䅉䥂䕁䄰杕䑂䍁䅁睙ㅂ䡁䅍䅤療䝁䄰督杁䝁䅉睢畂䝁䅑䅌杁䡁䅅兤桂䝁䅷兡あ䡁䅫䅉橂䝁䄸杢あ䡁䅉睢獂䍁䅷䅉睂䡁䅉党穂䡁䅍兡畂䝁䅣䅌杁䙁䅉杒䩂䕁䅑睌穂䝁䅕睙ㅂ䡁䅉兡あ䡁䅫䅉あ䝁䅅睚杁䝁䅅䅤あ䝁䅅睙潂䝁䄰党畂䡁䅑䅌杁䝁䅷兙楂䝁䅕䅢杁䡁䅁杣灂䝁䄴䅤灂䝁䄴睚獁䍁䅁督あ䝁䄸杣求䍁䅁杣求䝁䅍兙獂䝁䅷䅌杁䝁䄰党あ䝁䅅䅢杁䝁䅑党あ䝁䅕睙あ䝁䅫睢畂䍁䅷䅉橂䝁䄸杢あ䝁䅅兡畂䝁䅕杣杁䝁䅑党瑁䡁䅍䅤ㅂ䝁䅙杚灂䝁䄴睚獁䍁䅁杢求䡁䅣䅉穂䡁䅑睢祂䝁䅕䅉楂䡁䅕兡獂䝁䅑兡畂䝁䅣䅌杁䡁䅁兡橂䝁䅳䅉桂䝁䄴䅚杁䡁䅁兙橂䝁䅳䅌杁䡁䅍党橂䡁䅕杣求䍁䅁䅚求䡁䅍䅤祂䡁䅕睙あ䝁䅫睢畂䍁䅷䅉桂䝁䄴䅚杁䡁䅍䅣求䝁䅍兡桂䝁䅷兡穂䡁䅑䅉穂䡁䅑睢祂䝁䅅睚求䍁䅁督求䡁䅉杤灂䝁䅍党穂䍁䄴䅉䩂䝁䄴䅉桂䝁䅑䅚灂䡁䅑兡療䝁䄴䅌杁䝁䅫䅤杁䝁䄸杚浂䝁䅕杣穂䍁䅁督睂䝁䅕睙灂䝁䅅䅢灂䡁䅍䅤杁䝁䅙兙穂䝁䅧兡療䝁䄴䅉穂䝁䅕杣㉂䝁䅫睙求䡁䅍䅌杁䡁䅍兤橂䝁䅧䅉桂䡁䅍䅉浂䝁䅫杢求䍁䅁䅚灂䡁䅍䅤祂䝁䅫杙ㅂ䡁䅑兡療䝁䄴䅌杁䡁䅁杣灂䝁䄰兙祂䡁䅫䅉あ䡁䅉兙畂䡁䅍䅣療䡁䅉䅤獁䍁䅁督潂䝁䅅杣求䝁䅑䅉ㅂ䡁䅍党祂䍁䅁䅚灂䡁䅍䅤祂䝁䅫杙ㅂ䡁䅑兡療䝁䄴䅌杁䡁䅍党橂䝁䄸杢歂䝁䅅杣㕂䍁䅁督あ䝁䄸杣求䍁䅁䅚灂䡁䅍䅤祂䝁䅫杙ㅂ䡁䅑兡療䝁䄴䅌杁䝁䅍睢畂䡁䅑杣桂䝁䅍䅤杁䝁䅑兡穂䡁䅑杣灂䝁䅉兤あ䝁䅫睢畂䍁䅷䅉灂䝁䄴䅤求䡁䅉兌楂䡁䅉兙畂䝁䅍䅡杁䡁䅑杣桂䝁䄴督浂䝁䅕杣獁䍁䅁杣求䡁䅑兤祂䝁䄴䅉あ䝁䄸䅉㉂䝁䅕杢歂䝁䄸杣獁䍁䅁杢求䡁䅣䅉穂䡁䅑睢祂䝁䅕䅉療䡁䅁党畂䝁䅫杢湂䡁䅍睌祂䝁䅕杚ㅂ䡁䅉杙灂䡁䅍䅡瑂䝁䅕杢あ䍁䅷䅉穂䡁䅁睢あ䍁䅁䅡灂䡁䅉党獁䍁䅁杚獂䝁䅕党あ䍁䅁兢桂䝁䄴兙湂䝁䅕兢求䝁䄴䅤獁䍁䅁䅕桂䝁䄴兌䙂䡁䅕杣療䡁䅁党桂䝁䄴䅉畂䝁䅕䅤㍂䝁䄸杣牂䍁䅷䅉桂䝁䄴䅚杁䝁䅧睢瑂䝁䅕䅉歂䝁䅕䅢灂䡁䅙党祂䡁䅫䅉獂䝁䅫杢牂䍁䅁督求䡁䅉杤灂䝁䅍党穂䍁䄴䅉䝂䡁䅕杣あ䝁䅧党祂䍁䅷䅉あ䝁䅧党杁䝁䅍睢瑂䡁䅁兙畂䡁䅫䅉歂䝁䅕杤求䝁䅷睢睂䡁䅍䅉䍂䝁䄸睢瑂䝁䅕杣桂䝁䄴睚獁䍁䅁兙杁䡁䅉党あ䡁䅕杣畂䡁䅍䅉瑂䝁䅅杢桂䝁䅣党瑂䝁䅕杢あ䍁䅁督療䝁䅷兤あ䝁䅫睢畂䑁䅳䅉桂䝁䄴䅚杁䕁䅍䅢灂䝁䅍睡獂䝁䅫杢牂䍁䅷䅉桂䍁䅁睙獂䝁䅫睙牂䍁䅁兙畂䝁䅑䅉橂䝁䄸䅢獂䝁䅕睙あ䍁䅁督療䝁䅷兤あ䝁䅫睢畂䍁䅁䅤潂䝁䅅䅤杁䡁䅁杣療䡁䅙兡歂䝁䅕督杁䝁䅅䅉穂䝁䅕杣㉂䝁䅫睙求䍁䅁䅚求䝁䅑兡橂䝁䅅䅤求䝁䅑䅉あ䝁䄸䅉あ䝁䅧党杁䝁䄴党求䝁䅑督杁䝁䄸杚杁䡁䅉党あ䝁䅅兡獂䝁䅕杣穂䍁䄴䅉䉂䝁䅑䅚灂䡁䅑兡療䝁䄴兙獂䝁䅷入獁䍁䅁兡あ䍁䅁督求䝁䅷䅢穂䍁䅁杢求䡁䅣䅉桂䝁䄴䅚杁䡁䅕督求䝁䅑䅉橂䝁䄸兢瑂䝁䅕杣橂䝁䅫兙獂䍁䅁杤求䝁䅧兡橂䝁䅷党穂䍁䅷䅉桂䡁䅍䅉㍂䝁䅕䅢獂䍁䅁兙穂䍁䅁䅣桂䡁䅉䅤穂䑁䅳䅉桂䝁䄴䅚杁䝁䄸䅣求䡁䅉兙あ䝁䅕督杁䡁䅍党祂䡁䅙兡橂䝁䅫杢湂䍁䅁兙畂䝁䅑䅉祂䝁䅕䅣桂䝁䅫杣杁䝁䅙兙橂䝁䅫䅢灂䡁䅑兡求䡁䅍杌杁䙁䅑䅡求䍁䅁睙療䝁䄰䅣桂䝁䄴入杁䝁䅫督杁䝁䅅䅢穂䝁䄸䅉灂䝁䄴杤療䝁䅷杤求䝁䅑䅉灂䝁䄴䅉療䝁䄴䅢灂䝁䄴党杁䡁䅉党あ䝁䅅兡獂䍁䅁兙橂䡁䅑兡㉂䝁䅫䅤灂䝁䅕督㝁䍁䅁兙畂䝁䅑䅉療䡁䅁党祂䝁䅅䅤求䡁䅍䅉桂䝁䅣党畂䝁䅍入杁䝁䅙睢祂䍁䅁䅢求䝁䅅督灂䝁䄴睚杁䝁䅍睢瑂䝁䄰兡あ䝁䄰党畂䡁䅑督畁䍁䅁兓あ䍁䅁睢睂䝁䅕杣桂䡁䅑党穂䍁䅁兡畂䍁䅁䅎㉁䍁䅁督灂䡁䅑党穂䍁䅁兙畂䝁䅑䅉硁䑁䅁䅉瑂䝁䅫䅢獂䝁䅫睢畂䍁䅁督硂䡁䅕兙祂䝁䅕䅉浂䝁䅕党あ䍁䅁睢浂䍁䅁睤桂䡁䅉党潂䝁䄸兤穂䝁䅫杢湂䍁䅁督睂䝁䅅睙求䍁䄴䅉䑂䝁䅷兡睂䡁䅁党祂䍁䅁䅔療䝁䅣兡穂䡁䅑兡橂䡁䅍䅉睂䝁䅷睙杁䡁䅣兙穂䍁䅁杚療䡁䅕杢歂䝁䅕䅚杁䝁䅫杢杁䑁䅅兏㕁䑁䅉䅉桂䝁䄴䅚杁䝁䅫督杁䝁䅧党桂䝁䅑兣ㅂ䝁䅅杣あ䝁䅕杣求䝁䅑䅉灂䝁䄴䅉䵂䝁䅕党歂䡁䅍䅌杁䡁䅑䅡求䍁䅁兖畂䝁䅫䅤求䝁䅑䅉䱂䝁䅫杢湂䝁䅑睢瑂䍁䄴䅉䉂䡁䅍䅉療䝁䅙䅉乂䝁䅅入杁䑁䅉䅎獁䍁䅁杍睁䑁䅉杍獁䍁䅁睑獂䝁䅫䅣睂䝁䅕杣杁䕁䅷睢湂䝁䅫督あ䝁䅫睙穂䍁䅁䅣獂䝁䅍䅉療䡁䅁党祂䝁䅅䅤求䡁䅍䅉桂䡁䅍䅉桂䍁䅁督ㅂ䝁䅉督灂䝁䅑兡桂䡁䅉入杁䝁䄸杚杁䙁䅧䅕偂䍁䅁䅔療䝁䅣兡穂䡁䅑兡橂䡁䅍䅉噂䕁䅳䅉䵂䝁䅫兢灂䡁䅑党歂䍁䄴䅁獄杁䅁杉䅁䕁䅍䅢療䡁䅕䅚杁䙁䅙党橂䡁䅑睢祂䍁䅁兓畂䝁䅍䅁⽃允䅁杈䅁䕁䅍䅢療䡁䅕䅚求䡁䅉兙獁䍁䅁兓畂䝁䅍杌䅁乁䅧䅁㡃睃䅁睑獂䝁䄸兤歂䝁䅕杣桂䍁䅷䅉䩂䝁䄴睙畁䍁䅁睢浂䝁䅙党祂䡁䅍䅉桂䍁䅁督ㅂ䝁䅫䅤求䍁䅁睢浂䍁䅁䅚桂䡁䅑兙杁䝁䅅杢桂䝁䅷入あ䝁䅫睙穂䍁䅁兙畂䝁䅑䅉瑂䝁䅅杢桂䝁䅣党瑂䝁䅕杢あ䍁䅁䅣祂䝁䄸䅚ㅂ䝁䅍䅤穂䍁䄴䅉啂䝁䅧党杁䝁䅍睢瑂䡁䅁兙畂䡁䅫䅉療䡁䅁党祂䝁䅅䅤求䡁䅍䅉あ䝁䅧杣療䡁䅕睚潂䍁䅁䅤㍂䝁䄸䅉穂䝁䅕睚瑂䝁䅕杢あ䡁䅍杏杁䡁䅍兤楂䡁䅍睙祂䝁䅫䅣あ䝁䅫睢畂䡁䅍䅉桂䝁䄴䅚杁䡁䅍党祂䡁䅙兡橂䝁䅕督畁䍁䅁䅖潂䝁䅕䅉橂䝁䄸兢睂䝁䅅杢㕂䍁䅁睢浂䝁䅙党祂䡁䅍䅉䑂䝁䅷睢ㅂ䝁䅑党祂䝁䅅䅉䕂䝁䅅䅤桂䕁䅙䅢療䡁䅣䅌杁䝁䅅䅉穂䡁䅑杣求䝁䅅兢灂䝁䄴睚杁䝁䅑兙あ䝁䅅䅉睂䝁䅷兙あ䝁䅙睢祂䝁䄰䅉あ䝁䅧兙あ䍁䅁睙療䝁䅷䅢求䝁䅍䅤穂䍁䅷䅉橂䡁䅕杣桂䡁䅑党穂䍁䅷䅉桂䝁䄴䅚杁䝁䅅杢桂䝁䅷入㙂䝁䅕督杁䝁䅑兙あ䝁䅅睏杁䕁䅍䅢療䡁䅕䅚求䡁䅉兙杁䕁䅑兙あ䝁䅅䅉呂䝁䅍兡求䝁䄴睙求䍁䅁睖療䡁䅉睡楂䝁䅕杢橂䝁䅧䅌杁䡁䅣䅡灂䝁䅍䅡杁䝁䅕杢桂䝁䅉䅢求䡁䅍䅉穂䝁䅕䅢浂䍁䄰督求䡁䅉杤灂䝁䅍党杁䝁䅑兙あ䝁䅅䅉穂䝁䅍兡求䝁䄴睙求䍁䅁杚療䡁䅉䅉あ䝁䅧党杁䝁䅕杢あ䝁䅕杣睂䡁䅉兡穂䝁䅕睏杁䕁䅍䅢療䡁䅕䅚求䡁䅉兙杁䕁䅕杢あ䝁䅕杣睂䡁䅉兡穂䝁䅕䅉䕂䝁䅅䅤桂䍁䅁䅓ㅂ䝁䅉䅌杁䝁䅅䅉穂䝁䄸䅢ㅂ䡁䅑兡療䝁䄴䅉あ䝁䅧兙あ䍁䅁兙獂䝁䅷睢㍂䡁䅍䅉橂䝁䄸兢睂䝁䅅杢灂䝁䅕督杁䡁䅑睢杁䝁䅕䅥求䝁䅍兤あ䝁䅕䅉瑂䡁䅕䅢あ䝁䅫䅣獂䝁䅕䅉桂䝁䄴兙獂䡁䅫䅤灂䝁䅍䅉浂䡁䅕杢橂䡁䅑兡療䝁䄴督杁䝁䅅睚桂䝁䅫杢穂䡁䅑䅉桂䍁䅁督潂䝁䅅杣求䝁䅑䅉穂䝁䅕䅤杁䝁䄸杚杁䝁䅣睢㉂䝁䅕杣畂䝁䅕䅚杁䝁䅅杢歂䍁䅁督求䝁䅍兤祂䝁䅕䅉歂䝁䅅䅤桂䑁䅳䅉䑂䝁䅷睢ㅂ䝁䅑党祂䝁䅅䅉䕂䝁䅅䅤桂䍁䅁睖桂䡁䅉党潂䝁䄸兤穂䝁䅕䅌杁䝁䅅䅉歂䝁䅅䅤桂䍁䅁睤桂䡁䅉党潂䝁䄸兤穂䝁䅕䅉あ䝁䅧兙あ䍁䅁䅣祂䝁䄸杤灂䝁䅑党穂䍁䅁睙獂䝁䄸兤歂䍁䅁督療䝁䅷兤あ䝁䅫睢畂䡁䅍䅉浂䝁䄸杣杁䡁䅍党獂䝁䅙兌穂䝁䅕杣㉂䝁䅫睙求䍁䅁兙畂䝁䅅䅢㕂䡁䅑兡橂䡁䅍睏杁䕁䅍䅢療䡁䅕䅚求䡁䅉兙杁䕁䄸䅣求䡁䅉兙あ䝁䅫睢畂䝁䅅䅢杁䕁䅑村獁䍁䅁兙杁䡁䅍睢獂䡁䅕䅤灂䝁䄸杢杁䡁䅑䅡桂䡁䅑䅉求䝁䄴兙楂䝁䅷党穂䍁䅁督あ䡁䅉党桂䝁䄰䅉睂䡁䅉睢橂䝁䅕督穂䝁䅫杢湂䍁䅁兙畂䝁䅑䅉祂䝁䅕兙獂䍁䄰䅤灂䝁䄰党杁䝁䅅杢桂䝁䅷入あ䝁䅫睙穂䍁䅁睢畂䍁䅁睙潂䝁䅅杢湂䝁䅫杢湂䍁䅁䅚桂䡁䅑兙㝁䍁䅁睑獂䝁䄸兤歂䝁䅕杣桂䍁䅁䅒桂䡁䅑兙杁䙁䅍睙灂䝁䅕杢橂䝁䅕䅉桂䝁䄴䅚杁䕁䅕杢湂䝁䅫杢求䝁䅕杣灂䝁䄴睚獁䍁䅁睤潂䝁䅫睙潂䍁䅁党畂䝁䅅杙獂䝁䅕督杁䡁䅕督求䡁䅉督杁䡁䅑睢杁䡁䅍䅤祂䝁䅕兙瑂䝁䅷兡畂䝁䅕䅉桂䝁䄴䅚杁䡁䅍睙桂䝁䅷党杁䝁䅉兡湂䍁䅁䅚桂䡁䅑兙杁䡁䅁杣療䝁䅍党穂䡁䅍兡畂䝁䅣睏杁䝁䅅杢歂䍁䅁䅓療䡁䅉䅤療䝁䄴睤療䡁䅉睡穂䍁䅷䅉桂䍁䅁䅚桂䡁䅑兙杁䝁䄰兙畂䝁䅅睚求䝁䄰党畂䡁䅑䅉睂䝁䅷兙あ䝁䅙睢祂䝁䄰䅉あ䝁䅧兙あ䍁䅁䅡求䝁䅷䅣穂䍁䅁睢祂䝁䅣兙畂䝁䅫来桂䡁䅑兡療䝁䄴督杁䡁䅍䅤療䡁䅉党獁䍁䅁䅣祂䝁䄸睙求䡁䅍督獁䍁䅁兙畂䝁䅑䅉桂䝁䄴兙獂䡁䅫来求䍁䅁杤桂䡁䅉兡療䡁䅕督杁䝁䅑兙あ䝁䅅䅉桂䡁䅍督求䡁䅑督㝁䍁䅁兙畂䝁䅑䅉䑂䝁䅷睢ㅂ䝁䅑党祂䝁䅅杌杁䕁䅫䅤穂䍁䅁督療䝁䅷兤あ䝁䅫睢畂䡁䅍䅉桂䝁䅷督療䍁䅁兡畂䝁䅍䅢ㅂ䝁䅑党杁䕁䅍䅢療䡁䅕䅚求䡁䅉兙杁䙁䅍䅒奂䍁䅷䅉桂䍁䅁督療䝁䅷兤あ䝁䅫睢畂䍁䅁䅤潂䝁䅅䅤杁䝁䅕杢桂䝁䅉䅢求䡁䅍䅉橂䝁䄸兢瑂䝁䄸杢杁䡁䅍党橂䡁䅕杣灂䡁䅑入獁䍁䅁睚療䡁䅙党祂䝁䄴兙畂䝁䅍党獁䍁䅁䅢灂䝁䄴党桂䝁䅣党獁䍁䅁兙畂䝁䅑䅉瑂䝁䅕䅤桂䝁䅑兙あ䝁䅅䅉瑂䝁䅅杢桂䝁䅣党瑂䝁䅕杢あ䍁䅁杚療䡁䅉䅉瑂䡁䅕䅢あ䝁䅫䅣獂䝁䅕䅉桂䝁䄴兙獂䡁䅫䅤灂䝁䅍督杁䝁䅙兤畂䝁䅍䅤灂䝁䄸杢穂䍁䅷䅉桂䝁䄴䅚杁䕁䅍䅢療䡁䅕䅚求䡁䅉兙杁䙁䅣睢祂䝁䅳䅢療䝁䅅䅚杁䙁䅧兔獁䍁䅁兙畂䍁䅁兙畂䝁䅅䅢㕂䡁䅑兡橂䍁䅁睤療䡁䅉睡獂䝁䄸兙歂䍁䅁党㑂䡁䅁党祂䝁䅫党畂䝁䅍党杁䝁䄰兙畂䝁䅅睚求䝁䄰党畂䡁䅑䅉橂䝁䅷睢ㅂ䝁䅑䅉穂䝁䅕杣㉂䝁䅫睙求䍁䄴䅉䩂䝁䄴䅉桂䝁䅑䅚灂䡁䅑兡療䝁䄴䅌杁䡁䅑䅡求䍁䅁睙療䝁䄰䅣桂䝁䄴入杁䡁䅁杣療䡁䅙兡歂䝁䅕督杁䝁䅍睢畂䡁䅍兤獂䡁䅑兡畂䝁䅣䅌杁䡁䅁杣療䝁䅙党穂䡁䅍兡療䝁䄴兙獂䍁䅷䅉桂䝁䄴䅚杁䝁䅕䅚ㅂ䝁䅍兙あ䝁䅫睢畂䝁䅅䅢杁䡁䅍党祂䡁䅙兡橂䝁䅕督畁䍁䅁兓あ䍁䅁督求䡁䅉杤求䡁䅍䅉橂䝁䄸杣睂䝁䄸杣桂䡁䅑党杁䝁䅕杢あ䝁䅕杣睂䡁䅉兡穂䝁䅕督杁䝁䅅杢歂䍁䅁䅣ㅂ䝁䅉䅢灂䝁䅍兌穂䝁䅕睙あ䝁䄸杣杁䝁䄸杣湂䝁䅅杢灂䡁䅯兙あ䝁䅫睢畂䡁䅍䅉睂䡁䅉兡瑂䝁䅅杣灂䝁䅷入杁䡁䅑䅡祂䝁䄸兤湂䝁䅧䅉灂䡁䅑督杁䝁䅑兡祂䝁䅕睙あ䍁䅁督桂䝁䅷党穂䍁䅁杚療䡁䅉睙求䍁䄴䅉䑂䝁䅷睢ㅂ䝁䅑党祂䝁䅅䅌杁䕁䅫杢橂䍁䄴䅉㍂䝁䅅督杁䝁䅫杢橂䝁䄸杣睂䝁䄸杣桂䡁䅑党歂䍁䅁兡畂䍁䅁杍睁䑁䅁䅏杁䝁䅅杢歂䍁䅁兡穂䍁䅁杙桂䡁䅍党歂䍁䅁兡畂䍁䅁睕桂䝁䄴䅤桂䍁䅁睑獂䝁䅅杣桂䍁䅷䅉䑂䝁䅅䅢灂䝁䅙睢祂䝁䄴兡桂䍁䅁睤灂䡁䅑䅡杁䝁䅅䅚歂䝁䅫䅤灂䝁䄸杢桂䝁䅷䅉獂䝁䄸睙桂䡁䅑兡療䝁䄴督杁䝁䅅睙祂䝁䄸督穂䍁䅁䅤潂䝁䅕䅉湂䝁䅷睢楂䝁䅕杌䅁䅁䑑䅁䥄睃䅁睑獂䝁䄸兤歂䝁䅕杣桂䍁䅷䅉䩂䝁䄴睙畁䍁䅁睢浂䝁䅙党祂䡁䅍䅉桂䍁䅁督ㅂ䝁䅫䅤求䍁䅁睢浂䍁䅁䅚桂䡁䅑兙杁䝁䅅杢桂䝁䅷入あ䝁䅫睙穂䍁䅁兙畂䝁䅑䅉瑂䝁䅅杢桂䝁䅣党瑂䝁䅕杢あ䍁䅁䅣祂䝁䄸䅚ㅂ䝁䅍䅤穂䍁䄴䅉啂䝁䅧党杁䝁䅍睢瑂䡁䅁兙畂䡁䅫䅉療䡁䅁党祂䝁䅅䅤求䡁䅍䅉あ䝁䅧杣療䡁䅕睚潂䍁䅁䅤㍂䝁䄸䅉穂䝁䅕睚瑂䝁䅕杢あ䡁䅍杏杁䡁䅍兤楂䡁䅍睙祂䝁䅫䅣あ䝁䅫睢畂䡁䅍䅉桂䝁䄴䅚杁䡁䅍党祂䡁䅙兡橂䝁䅕督畁䍁䅁䅖潂䝁䅕䅉橂䝁䄸兢睂䝁䅅杢㕂䍁䅁睢浂䝁䅙党祂䡁䅍䅉䑂䝁䅷睢ㅂ䝁䅑党祂䝁䅅䅉䕂䝁䅅䅤桂䕁䅙䅢療䡁䅣䅌杁䝁䅅䅉穂䡁䅑杣求䝁䅅兢灂䝁䄴睚杁䝁䅑兙あ䝁䅅䅉睂䝁䅷兙あ䝁䅙睢祂䝁䄰䅉あ䝁䅧兙あ䍁䅁睙療䝁䅷䅢求䝁䅍䅤穂䍁䅷䅉橂䡁䅕杣桂䡁䅑党穂䍁䅷䅉桂䝁䄴䅚杁䝁䅅杢桂䝁䅷入㙂䝁䅕督杁䝁䅑兙あ䝁䅅睏杁䕁䅍䅢療䡁䅕䅚求䡁䅉兙杁䕁䅑兙あ䝁䅅䅉呂䝁䅍兡求䝁䄴睙求䍁䅁睖療䡁䅉睡楂䝁䅕杢橂䝁䅧䅌杁䡁䅣䅡灂䝁䅍䅡杁䝁䅕杢桂䝁䅉䅢求䡁䅍䅉穂䝁䅕䅢浂䍁䄰督求䡁䅉杤灂䝁䅍党杁䝁䅑兙あ䝁䅅䅉穂䝁䅍兡求䝁䄴睙求䍁䅁杚療䡁䅉䅉あ䝁䅧党杁䝁䅕杢あ䝁䅕杣睂䡁䅉兡穂䝁䅕睏杁䕁䅍䅢療䡁䅕䅚求䡁䅉兙杁䕁䅕杢あ䝁䅕杣睂䡁䅉兡穂䝁䅕䅉䕂䝁䅅䅤桂䍁䅁䅓ㅂ䝁䅉䅌杁䝁䅅䅉穂䝁䄸䅢ㅂ䡁䅑兡療䝁䄴䅉あ䝁䅧兙あ䍁䅁兙獂䝁䅷睢㍂䡁䅍䅉橂䝁䄸兢睂䝁䅅杢灂䝁䅕督杁䡁䅑睢杁䝁䅕䅥求䝁䅍兤あ䝁䅕䅉瑂䡁䅕䅢あ䝁䅫䅣獂䝁䅕䅉桂䝁䄴兙獂䡁䅫䅤灂䝁䅍䅉浂䡁䅕杢橂䡁䅑兡療䝁䄴督杁䝁䅅睚桂䝁䅫杢穂䡁䅑䅉桂䍁䅁督潂䝁䅅杣求䝁䅑䅉穂䝁䅕䅤杁䝁䄸杚杁䝁䅣睢㉂䝁䅕杣畂䝁䅕䅚杁䝁䅅杢歂䍁䅁督求䝁䅍兤祂䝁䅕䅉歂䝁䅅䅤桂䑁䅳䅉䑂䝁䅷睢ㅂ䝁䅑党祂䝁䅅䅉䕂䝁䅅䅤桂䍁䅁睖桂䡁䅉党潂䝁䄸兤穂䝁䅕䅌杁䝁䅅䅉歂䝁䅅䅤桂䍁䅁睤桂䡁䅉党潂䝁䄸兤穂䝁䅕䅉あ䝁䅧兙あ䍁䅁䅣祂䝁䄸杤灂䝁䅑党穂䍁䅁睙獂䝁䄸兤歂䍁䅁督療䝁䅷兤あ䝁䅫睢畂䡁䅍䅉浂䝁䄸杣杁䡁䅍党獂䝁䅙兌穂䝁䅕杣㉂䝁䅫睙求䍁䅁兙畂䝁䅅䅢㕂䡁䅑兡橂䡁䅍睏杁䕁䅍䅢療䡁䅕䅚求䡁䅉兙杁䕁䄸䅣求䡁䅉兙あ䝁䅫睢畂䝁䅅䅢杁䕁䅑村獁䍁䅁兙杁䡁䅍睢獂䡁䅕䅤灂䝁䄸杢杁䡁䅑䅡桂䡁䅑䅉求䝁䄴兙楂䝁䅷党穂䍁䅁督あ䡁䅉党桂䝁䄰䅉睂䡁䅉睢橂䝁䅕督穂䝁䅫杢湂䍁䅁兙畂䝁䅑䅉祂䝁䅕兙獂䍁䄰䅤灂䝁䄰党杁䝁䅅杢桂䝁䅷入あ䝁䅫睙穂䍁䅁睢畂䍁䅁睙潂䝁䅅杢湂䝁䅫杢湂䍁䅁䅚桂䡁䅑兙㝁䍁䅁睑獂䝁䄸兤歂䝁䅕杣桂䍁䅁䅒桂䡁䅑兙杁䙁䅍睙灂䝁䅕杢橂䝁䅕䅉桂䝁䄴䅚杁䕁䅕杢湂䝁䅫杢求䝁䅕杣灂䝁䄴睚獁䍁䅁睤潂䝁䅫睙潂䍁䅁党畂䝁䅅杙獂䝁䅕督杁䡁䅕督求䡁䅉督杁䡁䅑睢杁䡁䅍䅤祂䝁䅕兙瑂䝁䅷兡畂䝁䅕䅉桂䝁䄴䅚杁䡁䅍睙桂䝁䅷党杁䝁䅉兡湂䍁䅁䅚桂䡁䅑兙杁䡁䅁杣療䝁䅍党穂䡁䅍兡畂䝁䅣睏杁䝁䅅杢歂䍁䅁䅓療䡁䅉䅤療䝁䄴睤療䡁䅉睡穂䍁䅷䅉桂䍁䅁䅚桂䡁䅑兙杁䝁䄰兙畂䝁䅅睚求䝁䄰党畂䡁䅑䅉睂䝁䅷兙あ䝁䅙睢祂䝁䄰䅉あ䝁䅧兙あ䍁䅁䅡求䝁䅷䅣穂䍁䅁睢祂䝁䅣兙畂䝁䅫来桂䡁䅑兡療䝁䄴督杁䡁䅍䅤療䡁䅉党獁䍁䅁䅣祂䝁䄸睙求䡁䅍督獁䍁䅁兙畂䝁䅑䅉桂䝁䄴兙獂䡁䅫来求䍁䅁杤桂䡁䅉兡療䡁䅕督杁䝁䅑兙あ䝁䅅䅉桂䡁䅍督求䡁䅑督㝁䍁䅁兙畂䝁䅑䅉䑂䝁䅷睢ㅂ䝁䅑党祂䝁䅅杌杁䕁䅫䅤穂䍁䅁督療䝁䅷兤あ䝁䅫睢畂䡁䅍䅉桂䝁䅷督療䍁䅁兡畂䝁䅍䅢ㅂ䝁䅑党杁䕁䅍䅢療䡁䅕䅚求䡁䅉兙杁䙁䅍䅒奂䍁䅷䅉桂䍁䅁督療䝁䅷兤あ䝁䅫睢畂䍁䅁䅤潂䝁䅅䅤杁䝁䅕杢桂䝁䅉䅢求䡁䅍䅉橂䝁䄸兢瑂䝁䄸杢杁䡁䅍党橂䡁䅕杣灂䡁䅑入獁䍁䅁睚療䡁䅙党祂䝁䄴兙畂䝁䅍党獁䍁䅁䅢灂䝁䄴党桂䝁䅣党獁䍁䅁兙畂䝁䅑䅉瑂䝁䅕䅤桂䝁䅑兙あ䝁䅅䅉瑂䝁䅅杢桂䝁䅣党瑂䝁䅕杢あ䍁䅁杚療䡁䅉䅉瑂䡁䅕䅢あ䝁䅫䅣獂䝁䅕䅉桂䝁䄴兙獂䡁䅫䅤灂䝁䅍督杁䝁䅙兤畂䝁䅍䅤灂䝁䄸杢穂䍁䅷䅉桂䝁䄴䅚杁䕁䅍䅢療䡁䅕䅚求䡁䅉兙杁䙁䅣睢祂䝁䅳䅢療䝁䅅䅚杁䙁䅧兔獁䍁䅁兙畂䍁䅁兙畂䝁䅅䅢㕂䡁䅑兡橂䍁䅁睤療䡁䅉睡獂䝁䄸兙歂䍁䅁党㑂䡁䅁党祂䝁䅫党畂䝁䅍党杁䝁䄰兙畂䝁䅅睚求䝁䄰党畂䡁䅑䅉橂䝁䅷睢ㅂ䝁䅑䅉穂䝁䅕杣㉂䝁䅫睙求䍁䄴䅉䩂䝁䄴䅉桂䝁䅑䅚灂䡁䅑兡療䝁䄴䅌杁䡁䅑䅡求䍁䅁睙療䝁䄰䅣桂䝁䄴入杁䡁䅁杣療䡁䅙兡歂䝁䅕督杁䝁䅍睢畂䡁䅍兤獂䡁䅑兡畂䝁䅣䅌杁䡁䅁杣療䝁䅙党穂䡁䅍兡療䝁䄴兙獂䍁䅷䅉桂䝁䄴䅚杁䝁䅕䅚ㅂ䝁䅍兙あ䝁䅫睢畂䝁䅅䅢杁䡁䅍党祂䡁䅙兡橂䝁䅕督畁䍁䅁兓あ䍁䅁督求䡁䅉杤求䡁䅍䅉橂䝁䄸杣睂䝁䄸杣桂䡁䅑党杁䝁䅕杢あ䝁䅕杣睂䡁䅉兡穂䝁䅕督杁䝁䅅杢歂䍁䅁䅣ㅂ䝁䅉䅢灂䝁䅍兌穂䝁䅕睙あ䝁䄸杣杁䝁䄸杣湂䝁䅅杢灂䡁䅯兙あ䝁䅫睢畂䡁䅍䅉睂䡁䅉兡瑂䝁䅅杣灂䝁䅷入杁䡁䅑䅡祂䝁䄸兤湂䝁䅧䅉灂䡁䅑督杁䝁䅑兡祂䝁䅕睙あ䍁䅁督桂䝁䅷党穂䍁䅁杚療䡁䅉睙求䍁䄴䅉䑂䝁䅷睢ㅂ䝁䅑党祂䝁䅅䅌杁䕁䅫杢橂䍁䄴䅉㍂䝁䅅督杁䝁䅫杢橂䝁䄸杣睂䝁䄸杣桂䡁䅑党歂䍁䅁兡畂䍁䅁杍睁䑁䅁䅏杁䝁䅅杢歂䍁䅁兡穂䍁䅁䅡求䝁䅅䅚硂䡁䅕兙祂䡁䅑党祂䝁䅕䅚杁䝁䅫杢杁䙁䅍兙畂䡁䅑兙杁䕁䅍䅢桂䡁䅉兙獁䍁䅁睑桂䝁䅷兡浂䝁䄸杣畂䝁䅫兙杁䡁䅣兡あ䝁䅧䅉桂䝁䅑䅚灂䡁䅑兡療䝁䄴兙獂䍁䅁睢浂䝁䅙兡橂䝁䅕督杁䝁䅅睙祂䝁䄸督穂䍁䅁䅤潂䝁䅕䅉湂䝁䅷睢楂䝁䅕杌䅁䍁䕑䅁䍄睃䅁睑獂䝁䄸兤歂䝁䅕杣桂䍁䅷䅉䩂䝁䄴睙畁䍁䅁睢浂䝁䅙党祂䡁䅍䅉桂䍁䅁督ㅂ䝁䅫䅤求䍁䅁睢浂䍁䅁䅚桂䡁䅑兙杁䝁䅅杢桂䝁䅷入あ䝁䅫睙穂䍁䅁兙畂䝁䅑䅉瑂䝁䅅杢桂䝁䅣党瑂䝁䅕杢あ䍁䅁䅣祂䝁䄸䅚ㅂ䝁䅍䅤穂䍁䄴䅉啂䝁䅧党杁䝁䅍睢瑂䡁䅁兙畂䡁䅫䅉療䡁䅁党祂䝁䅅䅤求䡁䅍䅉あ䝁䅧杣療䡁䅕睚潂䍁䅁䅤㍂䝁䄸䅉穂䝁䅕睚瑂䝁䅕杢あ䡁䅍杏杁䡁䅍兤楂䡁䅍睙祂䝁䅫䅣あ䝁䅫睢畂䡁䅍䅉桂䝁䄴䅚杁䡁䅍党祂䡁䅙兡橂䝁䅕督畁䍁䅁䅖潂䝁䅕䅉橂䝁䄸兢睂䝁䅅杢㕂䍁䅁睢浂䝁䅙党祂䡁䅍䅉䑂䝁䅷睢ㅂ䝁䅑党祂䝁䅅䅉䕂䝁䅅䅤桂䕁䅙䅢療䡁䅣䅌杁䝁䅅䅉穂䡁䅑杣求䝁䅅兢灂䝁䄴睚杁䝁䅑兙あ䝁䅅䅉睂䝁䅷兙あ䝁䅙睢祂䝁䄰䅉あ䝁䅧兙あ䍁䅁睙療䝁䅷䅢求䝁䅍䅤穂䍁䅷䅉橂䡁䅕杣桂䡁䅑党穂䍁䅷䅉桂䝁䄴䅚杁䝁䅅杢桂䝁䅷入㙂䝁䅕督杁䝁䅑兙あ䝁䅅睏杁䕁䅍䅢療䡁䅕䅚求䡁䅉兙杁䕁䅑兙あ䝁䅅䅉呂䝁䅍兡求䝁䄴睙求䍁䅁睖療䡁䅉睡楂䝁䅕杢橂䝁䅧䅌杁䡁䅣䅡灂䝁䅍䅡杁䝁䅕杢桂䝁䅉䅢求䡁䅍䅉穂䝁䅕䅢浂䍁䄰督求䡁䅉杤灂䝁䅍党杁䝁䅑兙あ䝁䅅䅉穂䝁䅍兡求䝁䄴睙求䍁䅁杚療䡁䅉䅉あ䝁䅧党杁䝁䅕杢あ䝁䅕杣睂䡁䅉兡穂䝁䅕睏杁䕁䅍䅢療䡁䅕䅚求䡁䅉兙杁䕁䅕杢あ䝁䅕杣睂䡁䅉兡穂䝁䅕䅉䕂䝁䅅䅤桂䍁䅁䅓ㅂ䝁䅉䅌杁䝁䅅䅉穂䝁䄸䅢ㅂ䡁䅑兡療䝁䄴䅉あ䝁䅧兙あ䍁䅁兙獂䝁䅷睢㍂䡁䅍䅉橂䝁䄸兢睂䝁䅅杢灂䝁䅕督杁䡁䅑睢杁䝁䅕䅥求䝁䅍兤あ䝁䅕䅉瑂䡁䅕䅢あ䝁䅫䅣獂䝁䅕䅉桂䝁䄴兙獂䡁䅫䅤灂䝁䅍䅉浂䡁䅕杢橂䡁䅑兡療䝁䄴督杁䝁䅅睚桂䝁䅫杢穂䡁䅑䅉桂䍁䅁督潂䝁䅅杣求䝁䅑䅉穂䝁䅕䅤杁䝁䄸杚杁䝁䅣睢㉂䝁䅕杣畂䝁䅕䅚杁䝁䅅杢歂䍁䅁督求䝁䅍兤祂䝁䅕䅉歂䝁䅅䅤桂䑁䅳䅉䑂䝁䅷睢ㅂ䝁䅑党祂䝁䅅䅉䕂䝁䅅䅤桂䍁䅁睖桂䡁䅉党潂䝁䄸兤穂䝁䅕䅌杁䝁䅅䅉歂䝁䅅䅤桂䍁䅁睤桂䡁䅉党潂䝁䄸兤穂䝁䅕䅉あ䝁䅧兙あ䍁䅁䅣祂䝁䄸杤灂䝁䅑党穂䍁䅁睙獂䝁䄸兤歂䍁䅁督療䝁䅷兤あ䝁䅫睢畂䡁䅍䅉浂䝁䄸杣杁䡁䅍党獂䝁䅙兌穂䝁䅕杣㉂䝁䅫睙求䍁䅁兙畂䝁䅅䅢㕂䡁䅑兡橂䡁䅍睏杁䕁䅍䅢療䡁䅕䅚求䡁䅉兙杁䕁䄸䅣求䡁䅉兙あ䝁䅫睢畂䝁䅅䅢杁䕁䅑村獁䍁䅁兙杁䡁䅍睢獂䡁䅕䅤灂䝁䄸杢杁䡁䅑䅡桂䡁䅑䅉求䝁䄴兙楂䝁䅷党穂䍁䅁督あ䡁䅉党桂䝁䄰䅉睂䡁䅉睢橂䝁䅕督穂䝁䅫杢湂䍁䅁兙畂䝁䅑䅉祂䝁䅕兙獂䍁䄰䅤灂䝁䄰党杁䝁䅅杢桂䝁䅷入あ䝁䅫睙穂䍁䅁睢畂䍁䅁睙潂䝁䅅杢湂䝁䅫杢湂䍁䅁䅚桂䡁䅑兙㝁䍁䅁睑獂䝁䄸兤歂䝁䅕杣桂䍁䅁䅒桂䡁䅑兙杁䙁䅍睙灂䝁䅕杢橂䝁䅕䅉桂䝁䄴䅚杁䕁䅕杢湂䝁䅫杢求䝁䅕杣灂䝁䄴睚獁䍁䅁睤潂䝁䅫睙潂䍁䅁党畂䝁䅅杙獂䝁䅕督杁䡁䅕督求䡁䅉督杁䡁䅑睢杁䡁䅍䅤祂䝁䅕兙瑂䝁䅷兡畂䝁䅕䅉桂䝁䄴䅚杁䡁䅍睙桂䝁䅷党杁䝁䅉兡湂䍁䅁䅚桂䡁䅑兙杁䡁䅁杣療䝁䅍党穂䡁䅍兡畂䝁䅣睏杁䝁䅅杢歂䍁䅁䅓療䡁䅉䅤療䝁䄴睤療䡁䅉睡穂䍁䅷䅉桂䍁䅁䅚桂䡁䅑兙杁䝁䄰兙畂䝁䅅睚求䝁䄰党畂䡁䅑䅉睂䝁䅷兙あ䝁䅙睢祂䝁䄰䅉あ䝁䅧兙あ䍁䅁䅡求䝁䅷䅣穂䍁䅁睢祂䝁䅣兙畂䝁䅫来桂䡁䅑兡療䝁䄴督杁䡁䅍䅤療䡁䅉党獁䍁䅁䅣祂䝁䄸睙求䡁䅍督獁䍁䅁兙畂䝁䅑䅉桂䝁䄴兙獂䡁䅫来求䍁䅁杤桂䡁䅉兡療䡁䅕督杁䝁䅑兙あ䝁䅅䅉桂䡁䅍督求䡁䅑督㝁䍁䅁兙畂䝁䅑䅉䑂䝁䅷睢ㅂ䝁䅑党祂䝁䅅杌杁䕁䅫䅤穂䍁䅁督療䝁䅷兤あ䝁䅫睢畂䡁䅍䅉桂䝁䅷督療䍁䅁兡畂䝁䅍䅢ㅂ䝁䅑党杁䕁䅍䅢療䡁䅕䅚求䡁䅉兙杁䙁䅍䅒奂䍁䅷䅉桂䍁䅁督療䝁䅷兤あ䝁䅫睢畂䍁䅁䅤潂䝁䅅䅤杁䝁䅕杢桂䝁䅉䅢求䡁䅍䅉橂䝁䄸兢瑂䝁䄸杢杁䡁䅍党橂䡁䅕杣灂䡁䅑入獁䍁䅁睚療䡁䅙党祂䝁䄴兙畂䝁䅍党獁䍁䅁䅢灂䝁䄴党桂䝁䅣党獁䍁䅁兙畂䝁䅑䅉瑂䝁䅕䅤桂䝁䅑兙あ䝁䅅䅉瑂䝁䅅杢桂䝁䅣党瑂䝁䅕杢あ䍁䅁杚療䡁䅉䅉瑂䡁䅕䅢あ䝁䅫䅣獂䝁䅕䅉桂䝁䄴兙獂䡁䅫䅤灂䝁䅍督杁䝁䅙兤畂䝁䅍䅤灂䝁䄸杢穂䍁䅷䅉桂䝁䄴䅚杁䕁䅍䅢療䡁䅕䅚求䡁䅉兙杁䙁䅣睢祂䝁䅳䅢療䝁䅅䅚杁䙁䅧兔獁䍁䅁兙畂䍁䅁兙畂䝁䅅䅢㕂䡁䅑兡橂䍁䅁睤療䡁䅉睡獂䝁䄸兙歂䍁䅁党㑂䡁䅁党祂䝁䅫党畂䝁䅍党杁䝁䄰兙畂䝁䅅睚求䝁䄰党畂䡁䅑䅉橂䝁䅷睢ㅂ䝁䅑䅉穂䝁䅕杣㉂䝁䅫睙求䍁䄴䅉䩂䝁䄴䅉桂䝁䅑䅚灂䡁䅑兡療䝁䄴䅌杁䡁䅑䅡求䍁䅁睙療䝁䄰䅣桂䝁䄴入杁䡁䅁杣療䡁䅙兡歂䝁䅕督杁䝁䅍睢畂䡁䅍兤獂䡁䅑兡畂䝁䅣䅌杁䡁䅁杣療䝁䅙党穂䡁䅍兡療䝁䄴兙獂䍁䅷䅉桂䝁䄴䅚杁䝁䅕䅚ㅂ䝁䅍兙あ䝁䅫睢畂䝁䅅䅢杁䡁䅍党祂䡁䅙兡橂䝁䅕督畁䍁䅁兓あ䍁䅁督求䡁䅉杤求䡁䅍䅉橂䝁䄸杣睂䝁䄸杣桂䡁䅑党杁䝁䅕杢あ䝁䅕杣睂䡁䅉兡穂䝁䅕督杁䝁䅅杢歂䍁䅁䅣ㅂ䝁䅉䅢灂䝁䅍兌穂䝁䅕睙あ䝁䄸杣杁䝁䄸杣湂䝁䅅杢灂䡁䅯兙あ䝁䅫睢畂䡁䅍䅉睂䡁䅉兡瑂䝁䅅杣灂䝁䅷入杁䡁䅑䅡祂䝁䄸兤湂䝁䅧䅉灂䡁䅑督杁䝁䅑兡祂䝁䅕睙あ䍁䅁督桂䝁䅷党穂䍁䅁杚療䡁䅉睙求䍁䄴䅉啂䝁䅧党杁䝁䅍睢瑂䡁䅁兙畂䡁䅫䅉㍂䝁䅅督杁䝁䅫杢橂䝁䄸杣睂䝁䄸杣桂䡁䅑党歂䍁䅁兡畂䍁䅁杍睁䑁䅁䅏杁䝁䅅杢歂䍁䅁兡穂䍁䅁䅡求䝁䅅䅚硂䡁䅕兙祂䡁䅑党祂䝁䅕䅚杁䝁䅫杢杁䙁䅍兙畂䡁䅑兙杁䕁䅍䅢桂䡁䅉兙獁䍁䅁睑桂䝁䅷兡浂䝁䄸杣畂䝁䅫兙杁䡁䅣兡あ䝁䅧䅉桂䝁䅑䅚灂䡁䅑兡療䝁䄴兙獂䍁䅁睢浂䝁䅙兡橂䝁䅕督杁䝁䅅睙祂䝁䄸督穂䍁䅁䅤潂䝁䅕䅉湂䝁䅷睢楂䝁䅕杌䅁䑁䝉䅁畃睃䅁睑獂䝁䄸兤歂䝁䅕杣桂䍁䅷䅉䩂䝁䄴睙畁䍁䅁睢浂䝁䅙党祂䡁䅍䅉桂䍁䅁督ㅂ䝁䅫䅤求䍁䅁睢浂䍁䅁䅚桂䡁䅑兙杁䝁䅅杢桂䝁䅷入あ䝁䅫睙穂䍁䅁兙畂䝁䅑䅉瑂䝁䅅杢桂䝁䅣党瑂䝁䅕杢あ䍁䅁䅣祂䝁䄸䅚ㅂ䝁䅍䅤穂䍁䄴䅉啂䝁䅧党杁䝁䅍睢瑂䡁䅁兙畂䡁䅫䅉療䡁䅁党祂䝁䅅䅤求䡁䅍䅉あ䝁䅧杣療䡁䅕睚潂䍁䅁䅤㍂䝁䄸䅉穂䝁䅕睚瑂䝁䅕杢あ䡁䅍杏杁䡁䅍兤楂䡁䅍睙祂䝁䅫䅣あ䝁䅫睢畂䡁䅍䅉桂䝁䄴䅚杁䡁䅍党祂䡁䅙兡橂䝁䅕督畁䍁䅁䅖潂䝁䅕䅉橂䝁䄸兢睂䝁䅅杢㕂䍁䅁睢浂䝁䅙党祂䡁䅍䅉䑂䝁䅷睢ㅂ䝁䅑党祂䝁䅅䅉䕂䝁䅅䅤桂䕁䅙䅢療䡁䅣䅌杁䝁䅅䅉穂䡁䅑杣求䝁䅅兢灂䝁䄴睚杁䝁䅑兙あ䝁䅅䅉睂䝁䅷兙あ䝁䅙睢祂䝁䄰䅉あ䝁䅧兙あ䍁䅁睙療䝁䅷䅢求䝁䅍䅤穂䍁䅷䅉橂䡁䅕杣桂䡁䅑党穂䍁䅷䅉桂䝁䄴䅚杁䝁䅅杢桂䝁䅷入㙂䝁䅕督杁䝁䅑兙あ䝁䅅睏杁䕁䅍䅢療䡁䅕䅚求䡁䅉兙杁䕁䅑兙あ䝁䅅䅉呂䝁䅍兡求䝁䄴睙求䍁䅁睖療䡁䅉睡楂䝁䅕杢橂䝁䅧䅌杁䡁䅣䅡灂䝁䅍䅡杁䝁䅕杢桂䝁䅉䅢求䡁䅍䅉穂䝁䅕䅢浂䍁䄰督求䡁䅉杤灂䝁䅍党杁䝁䅑兙あ䝁䅅䅉穂䝁䅍兡求䝁䄴睙求䍁䅁杚療䡁䅉䅉あ䝁䅧党杁䝁䅕杢あ䝁䅕杣睂䡁䅉兡穂䝁䅕睏杁䕁䅍䅢療䡁䅕䅚求䡁䅉兙杁䕁䅕杢あ䝁䅕杣睂䡁䅉兡穂䝁䅕䅉䕂䝁䅅䅤桂䍁䅁䅓ㅂ䝁䅉䅌杁䝁䅅䅉穂䝁䄸䅢ㅂ䡁䅑兡療䝁䄴䅉あ䝁䅧兙あ䍁䅁兙獂䝁䅷睢㍂䡁䅍䅉橂䝁䄸兢睂䝁䅅杢灂䝁䅕督杁䡁䅑睢杁䝁䅕䅥求䝁䅍兤あ䝁䅕䅉瑂䡁䅕䅢あ䝁䅫䅣獂䝁䅕䅉桂䝁䄴兙獂䡁䅫䅤灂䝁䅍䅉浂䡁䅕杢橂䡁䅑兡療䝁䄴督杁䝁䅅睚桂䝁䅫杢穂䡁䅑䅉桂䍁䅁督潂䝁䅅杣求䝁䅑䅉穂䝁䅕䅤杁䝁䄸杚杁䝁䅣睢㉂䝁䅕杣畂䝁䅕䅚杁䝁䅅杢歂䍁䅁督求䝁䅍兤祂䝁䅕䅉歂䝁䅅䅤桂䑁䅳䅉䑂䝁䅷睢ㅂ䝁䅑党祂䝁䅅䅉䕂䝁䅅䅤桂䍁䅁睖桂䡁䅉党潂䝁䄸兤穂䝁䅕䅌杁䝁䅅䅉歂䝁䅅䅤桂䍁䅁睤桂䡁䅉党潂䝁䄸兤穂䝁䅕䅉あ䝁䅧兙あ䍁䅁䅣祂䝁䄸杤灂䝁䅑党穂䍁䅁睙獂䝁䄸兤歂䍁䅁督療䝁䅷兤あ䝁䅫睢畂䡁䅍䅉浂䝁䄸杣杁䡁䅍党獂䝁䅙兌穂䝁䅕杣㉂䝁䅫睙求䍁䅁兙畂䝁䅅䅢㕂䡁䅑兡橂䡁䅍睏杁䕁䅍䅢療䡁䅕䅚求䡁䅉兙杁䕁䄸䅣求䡁䅉兙あ䝁䅫睢畂䝁䅅䅢杁䕁䅑村獁䍁䅁兙杁䡁䅍睢獂䡁䅕䅤灂䝁䄸杢杁䡁䅑䅡桂䡁䅑䅉求䝁䄴兙楂䝁䅷党穂䍁䅁督あ䡁䅉党桂䝁䄰䅉睂䡁䅉睢橂䝁䅕督穂䝁䅫杢湂䍁䅁兙畂䝁䅑䅉祂䝁䅕兙獂䍁䄰䅤灂䝁䄰党杁䝁䅅杢桂䝁䅷入あ䝁䅫睙穂䍁䅁睢畂䍁䅁睙潂䝁䅅杢湂䝁䅫杢湂䍁䅁䅚桂䡁䅑兙㝁䍁䅁睑獂䝁䄸兤歂䝁䅕杣桂䍁䅁䅒桂䡁䅑兙杁䙁䅍睙灂䝁䅕杢橂䝁䅕䅉桂䝁䄴䅚杁䕁䅕杢湂䝁䅫杢求䝁䅕杣灂䝁䄴睚獁䍁䅁睤潂䝁䅫睙潂䍁䅁党畂䝁䅅杙獂䝁䅕督杁䡁䅕督求䡁䅉督杁䡁䅑睢杁䡁䅍䅤祂䝁䅕兙瑂䝁䅷兡畂䝁䅕䅉桂䝁䄴䅚杁䡁䅍睙桂䝁䅷党杁䝁䅉兡湂䍁䅁䅚桂䡁䅑兙杁䡁䅁杣療䝁䅍党穂䡁䅍兡畂䝁䅣睏杁䝁䅅杢歂䍁䅁䅓療䡁䅉䅤療䝁䄴睤療䡁䅉睡穂䍁䅷䅉桂䍁䅁䅚桂䡁䅑兙杁䝁䄰兙畂䝁䅅睚求䝁䄰党畂䡁䅑䅉睂䝁䅷兙あ䝁䅙睢祂䝁䄰䅉あ䝁䅧兙あ䍁䅁䅡求䝁䅷䅣穂䍁䅁睢祂䝁䅣兙畂䝁䅫来桂䡁䅑兡療䝁䄴督杁䡁䅍䅤療䡁䅉党獁䍁䅁䅣祂䝁䄸睙求䡁䅍督獁䍁䅁兙畂䝁䅑䅉桂䝁䄴兙獂䡁䅫来求䍁䅁杤桂䡁䅉兡療䡁䅕督杁䝁䅑兙あ䝁䅅䅉桂䡁䅍督求䡁䅑督㝁䍁䅁兙畂䝁䅑䅉䑂䝁䅷睢ㅂ䝁䅑党祂䝁䅅杌杁䕁䅫䅤穂䍁䅁督療䝁䅷兤あ䝁䅫睢畂䡁䅍䅉桂䝁䅷督療䍁䅁兡畂䝁䅍䅢ㅂ䝁䅑党杁䕁䅍䅢療䡁䅕䅚求䡁䅉兙杁䙁䅍䅒奂䍁䅷䅉桂䍁䅁督療䝁䅷兤あ䝁䅫睢畂䍁䅁䅤潂䝁䅅䅤杁䝁䅕杢桂䝁䅉䅢求䡁䅍䅉橂䝁䄸兢瑂䝁䄸杢杁䡁䅍党橂䡁䅕杣灂䡁䅑入獁䍁䅁睚療䡁䅙党祂䝁䄴兙畂䝁䅍党獁䍁䅁䅢灂䝁䄴党桂䝁䅣党獁䍁䅁兙畂䝁䅑䅉瑂䝁䅕䅤桂䝁䅑兙あ䝁䅅䅉瑂䝁䅅杢桂䝁䅣党瑂䝁䅕杢あ䍁䅁杚療䡁䅉䅉瑂䡁䅕䅢あ䝁䅫䅣獂䝁䅕䅉桂䝁䄴兙獂䡁䅫䅤灂䝁䅍督杁䝁䅙兤畂䝁䅍䅤灂䝁䄸杢穂䑁䅳䅉桂䝁䄴䅚杁䕁䅍䅢療䡁䅕䅚求䡁䅉兙杁䙁䅣睢祂䝁䅳䅢療䝁䅅䅚杁䙁䅧兔獁䍁䅁兙畂䍁䅁兙畂䝁䅅䅢㕂䡁䅑兡橂䍁䅁睤療䡁䅉睡獂䝁䄸兙歂䍁䅁党㑂䡁䅁党祂䝁䅫党畂䝁䅍党杁䝁䄰兙畂䝁䅅睚求䝁䄰党畂䡁䅑䅉橂䝁䅷睢ㅂ䝁䅑䅉穂䝁䅕杣㉂䝁䅫睙求䍁䄴䅉䩂䝁䄴䅉桂䝁䅑䅚灂䡁䅑兡療䝁䄴䅌杁䡁䅑䅡求䍁䅁睙療䝁䄰䅣桂䝁䄴入杁䡁䅁杣療䡁䅙兡歂䝁䅕督杁䝁䅍睢畂䡁䅍兤獂䡁䅑兡畂䝁䅣䅌杁䡁䅁杣療䝁䅙党穂䡁䅍兡療䝁䄴兙獂䍁䅷䅉桂䝁䄴䅚杁䝁䅕䅚ㅂ䝁䅍兙あ䝁䅫睢畂䝁䅅䅢杁䡁䅍党祂䡁䅙兡橂䝁䅕督畁䍁䅁兓あ䍁䅁督求䡁䅉杤求䡁䅍䅉橂䝁䄸杣睂䝁䄸杣桂䡁䅑党杁䝁䅕杢あ䝁䅕杣睂䡁䅉兡穂䝁䅕督杁䝁䅅杢歂䍁䅁䅣ㅂ䝁䅉䅢灂䝁䅍</t>
  </si>
  <si>
    <t>兌穂䝁䅕睙あ䝁䄸杣杁䝁䄸杣湂䝁䅅杢灂䡁䅯兙あ䝁䅫睢畂䡁䅍䅉睂䡁䅉兡瑂䝁䅅杣灂䝁䅷入杁䡁䅑䅡祂䝁䄸兤湂䝁䅧䅉灂䡁䅑督杁䝁䅑兡祂䝁䅕睙あ䍁䅁督桂䝁䅷党穂䍁䅁杚療䡁䅉睙求䍁䄴䅉䑂䝁䅷睢ㅂ䝁䅑党祂䝁䅅䅌杁䕁䅫杢橂䍁䄴䅉㍂䝁䅅督杁䝁䅫杢橂䝁䄸杣睂䝁䄸杣桂䡁䅑党歂䍁䅁兡畂䍁䅁杍睁䑁䅁䅏杁䝁䅅杢歂䍁䅁兡穂䍁䅁杙桂䡁䅍党歂䍁䅁兡畂䍁䅁睕桂䝁䄴䅤桂䍁䅁睑獂䝁䅅杣桂䍁䅷䅉䑂䝁䅅䅢灂䝁䅙睢祂䝁䄴兡桂䍁䅁睤灂䡁䅑䅡杁䝁䅅䅚歂䝁䅫䅤灂䝁䄸杢桂䝁䅷䅉獂䝁䄸睙桂䡁䅑兡療䝁䄴督杁䡁䅣睢祂䝁䅷䅚㍂䝁䅫䅚求䍁䄴䅁㉂允䅁杉䅁䕁䅍䅢療䡁䅕䅚浂䝁䅷兙祂䝁䅕䅌杁䕁䅫杢橂䍁䄴䅁乃允䅁杌䅁䕁䅍睢瑂䕁䄴兙㉂䍁䅁䅖求䝁䅍䅡畂䝁䄸䅢療䝁䅣入杁䕁䅷䅤歂䍁䄴䅁扁䅁䅁䅭䅁䕁䅍睢瑂䡁䅁兤䡂䡁䅉睢ㅂ䡁䅁䅉乂䝁䅕䅚灂䝁䅍兙獂䍁䅁睕療䝁䅍兡求䡁䅑兙穂䍁䅁兒ㅂ䡁䅉睢睂䝁䅅党桂䍁䅁䅋畂䝁䅳兙㙁䕁䅍睢瑂䡁䅁兤䡂䡁䅉睢ㅂ䡁䅁䅉乂䝁䅕䅚灂䝁䅍兙獂䍁䅁睕䙂䍁䅁杊杁䕁䅍睢畁䍁䅁睓䡂䝁䅅兑灁䅁䅁儵䅉䕁䅉䅁䑂䝁䄸兢あ䝁䅕睙潂䍁䅁䅖求䝁䅷党橂䝁䄸兢瑂䡁䅕杢灂䝁䅍兙あ䝁䅫睢畂䡁䅍䅉䑂䝁䄸杣睂䍁䄴䅁穁允䅁䅉䅁䕁䅍睢畂䝁䅙䅢ㅂ䝁䅕杢あ䍁䅷䅉䩂䝁䄴睙畁䅁䅁眰䅁䑁䄴䅁䑂䝁䄸杤求䝁䄴兙畂䡁䅑䅉䵂䝁䄸睚灂䡁䅍䅤灂䝁䅍督杁䕁䅣杣療䡁䅕䅣獁䍁䅁兓畂䝁䅍杌䅁䵁䍣䅁睁䅁䅁睑療䡁䅫兙杁䙁䅑䅡求䡁䅉兙睂䝁䅕兤あ䝁䅫睙穂䍁䅷䅉䩂䝁䄴睙畁䅁䅁杅䅙䉁䴴䅁䑂䝁䄸入桂䍁䅁䅖潂䝁䅕杣桂䡁䅁党ㅂ䡁䅑兡橂䡁䅍䅌杁䕁䅫杢橂䍁䄴䅌杁䝁䅅䅉橂䝁䅷兡畂䝁䅫睙桂䝁䅷兌穂䡁䅑兙湂䝁䅕䅉楂䝁䅫睢あ䝁䅕睙潂䝁䄴睢獂䝁䄸睚㕂䍁䅁睙療䝁䄰䅣桂䝁䄴入獁䍁䅁党畂䝁䅣兙湂䝁䅕督杁䝁䅫杢杁䡁䅑䅡求䍁䅁䅚求䡁䅙党獂䝁䄸䅣瑂䝁䅕杢あ䍁䅁睢浂䍁䅁䅣祂䝁䄸䅣祂䝁䅫党あ䝁䅅杣㕂䍁䅁兢求䝁䅑兡橂䝁䅫杢桂䝁䅷䅉睂䡁䅉睢歂䡁䅕睙あ䡁䅍䅉あ䝁䄸䅉瑂䝁䄸䅚ㅂ䝁䅷兙あ䝁䅕䅉あ䝁䅧党杁䝁䅙兤畂䝁䅍䅤灂䝁䄸杢杁䝁䄸杚杁䡁䅉党湂䡁䅕䅢桂䡁䅑睢祂䡁䅫䅉啂䍁䅁睙求䝁䅷䅢穂䍁䅁䅋啂䡁䅉党湂䡁䅍克畁䍁䅁䅖潂䝁䅕䅉橂䝁䄸兢睂䝁䅅杢㕂䉁杫督杁䡁䅁杣療䝁䅑兤橂䡁䅑䅉橂䝁䅅杢歂䝁䅫䅚桂䡁䅑党杁䡁䅁兡睂䝁䅕䅢灂䝁䄴党杁䝁䅫督杁䝁䅉兙穂䝁䅕䅚杁䝁䄸杢杁䡁䅑䅡求䡁䅉兙睂䝁䅕兤あ䝁䅫睙杁䝁䄰睢歂䝁䅅䅢灂䡁䅑兡求䡁䅍䅌杁䡁䅍兤橂䝁䅧䅉桂䡁䅍䅉啂䡁䅉党湂䍁䄰党畂䝁䅧兙畂䝁䅍兡畂䝁䅣䅉楂䝁䅫睢獂䝁䄸睚灂䝁䅍督獁䍁䅁䅖祂䝁䅕睚瑁䝁䅑党祂䝁䅫杤求䝁䅑䅉求䡁䅧睢穂䝁䄸兢求䡁䅍䅌杁䝁䅅杢歂䍁䅁兙ㅂ䡁䅑睢獂䝁䄸睚療䡁䅕督杁䙁䅑杣求䝁䅣䅉橂䝁䅕䅢獂䍁䅁䅤潂䝁䅕杣桂䡁䅁入畁䍁䅁兓あ䍁䅁兡穂䍁䅁䅚求䡁䅙党獂䝁䄸䅣灂䝁䄴睚杁䕁䅍睔婂䕁䅅䅉硁䑁䅁免獁䍁䅁兙畂䍁䅁兙ㅂ䡁䅑睢獂䝁䄸睚療䡁䅕督杁䡁䅉党湂䡁䅕䅢桂䡁䅑睢祂䡁䅫䅉啂䍁䄰睙求䝁䅷䅢杁䡁䅁杣療䝁䅑兤橂䡁䅑䅉橂䝁䅅杢歂䝁䅫䅚桂䡁䅑党杁䡁䅑䅡桂䡁䅑䅉潂䝁䅅督杁䝁䅍睢瑂䡁䅁䅢求䡁䅑党歂䍁䅁䅕潂䝁䅅督求䍁䅁杍桂䍁䅁睙獂䝁䅫杢灂䝁䅍兙獂䍁䅁䅤祂䝁䅫兙獂䍁䅁杚療䡁䅉䅉ㅂ䡁䅍党杁䝁䅫杢杁䡁䅑䅡求䍁䅁䅤祂䝁䅕兙あ䝁䄰党畂䡁䅑䅉療䝁䅙䅉䉂䝁䄰入療䡁䅑杣療䡁䅁䅡灂䝁䅍䅉䵂䝁䅅䅤求䡁䅉兙獂䍁䅁睕橂䝁䅷党祂䝁䄸督灂䡁䅍杌杁䙁䅑䅡求䍁䅁睙療䝁䄰䅣桂䝁䄴入婁䡉䅍䅉睂䡁䅉睢歂䡁䅕睙あ䍁䅁睙桂䝁䄴䅚灂䝁䅑兙あ䝁䅕督杁䝁䅫杢杁䕁䅫杔䕂䍁䄰党畂䝁䅅杙獂䝁䅫杢湂䍁䅁督あ䡁䅕䅚灂䝁䅕督杁䝁䅫杢橂䝁䅷兤歂䝁䅕䅉䑂䕁䄸兗䉂䍁䅁睍睁䑁䅅䅌杁䝁䅅䅉獂䝁䄸睤瑁䝁䅑睢穂䝁䅕䅉灂䝁䄴䅤求䡁䅉䅢求䡁䅕睡灂䝁䄴䅉祁䍁䅁䅖祂䝁䅕睚瑁䝁䅕杢潂䝁䅅杢橂䝁䅫杢湂䍁䅁杙灂䝁䄸䅢療䝁䅣兡橂䍁䅁杚療䡁䅉䅉ㅂ䡁䅍党杁䝁䅫杢杁䡁䅑䅡求䍁䅁䅤祂䝁䅕兙あ䝁䄰党畂䡁䅑䅉療䝁䅙䅉䝂䡁䅉睢畂䡁䅑睢あ䝁䅕兢睂䝁䄸杣桂䝁䅷䅉䕂䝁䅕兢求䝁䄴䅤灂䝁䅅睏杁䝁䅅杢歂䍁䅁睑偂䙁䅫兑杁䑁䅍䅍祁䍁䅷䅉桂䍁䅁杙灂䝁䄸䅢療䝁䅣兡橂䍁䅁睙療䝁䄰杙灂䝁䄴兙あ䝁䅫睢畂䍁䅁杚療䡁䅉䅉穂䡁䅕杙橂䡁䅕䅤桂䝁䄴党療䡁䅕督杁䝁䅅杢歂䍁䄸睢祂䍁䅁兡畂䡁䅑杣桂䡁䅙党畂䝁䄸兤穂䍁䅁兙歂䝁䄰兡畂䝁䅫督あ䡁䅉兙あ䝁䅫睢畂䍁䅁兡畂䡁䅑党畂䝁䅑党歂䍁䅁䅤療䍁䅁党畂䝁䅧兙畂䝁䅍党杁䙁䅑杣求䝁䅣䅉浂䡁䅕杢橂䡁䅑兡療䝁䄴䅉㍂䝁䅧兡獂䝁䅕䅉歂䝁䅕䅣獂䝁䅕䅤灂䝁䄴睚杁䙁䅑䅉求䝁䅙杚求䝁䅍䅤療䡁䅉䅉浂䡁䅕杢橂䡁䅑兡療䝁䄴䅉桂䝁䄴䅚杁䝁䅅睙あ䝁䅫杤桂䡁䅑党歂䍁䅁兢桂䝁䅍杣療䡁䅁䅡桂䝁䅣党穂䍁䅁杚療䡁䅉䅉ㅂ䡁䅍党杁䝁䅫杢杁䡁䅑䅡求䍁䅁䅤祂䝁䅕兙あ䝁䄰党畂䡁䅑䅉療䝁䅙䅉畂䝁䅕兤祂䝁䄸䅚求䝁䅣党畂䝁䅕杣桂䡁䅑兡㉂䝁䅕䅉桂䝁䄴䅚杁䝁䅅兤あ䝁䄸兡瑂䝁䄰兤畂䝁䅕䅉歂䝁䅫督求䝁䅅督求䡁䅍杌杁䕁䅫䅤杁䝁䅫督杁䝁䅅䅢穂䝁䄸䅉歂䝁䅕杤求䝁䅷睢睂䝁䅫杢湂䍁䅁睑偂䙁䅫兑杁䑁䅉䅍硁䍁䅷䅉桂䝁䄴䅉桂䝁䄴䅤灂䝁䅣党畂䍁䅁䅚灂䡁䅉党橂䡁䅑党歂䍁䅁䅖祂䝁䅕睚瑁䝁䅑党祂䝁䅫杤求䝁䅑䅉求䡁䅧睢穂䝁䄸兢求䍁䅁䅣祂䝁䄸䅚ㅂ䝁䅍䅤杁䝁䅍兙畂䝁䅑兡歂䝁䅅䅤求䍁䅁䅤潂䝁䅅䅤杁䝁䅫督杁䝁䅫杢杁䡁䅁杣求䝁䅍䅢灂䝁䄴兡橂䝁䅅䅢杁䡁䅍䅤桂䝁䅣党杁䝁䅙睢祂䍁䅁兤穂䝁䅕䅉灂䝁䄴䅉あ䝁䅧党杁䡁䅑杣求䝁䅅䅤瑂䝁䅕杢あ䍁䅁睢浂䍁䅁杢求䡁䅕杣療䝁䅑党湂䝁䅕杢求䡁䅉兙あ䝁䅫杤求䍁䅷䅉桂䡁䅕䅤療䝁䅫兢瑂䡁䅕杢求䍁䅷䅉桂䝁䄴䅚杁䝁䄰党あ䝁䅅杙療䝁䅷兡橂䍁䅁䅚灂䡁䅍党桂䡁䅍党穂䑁䅳䅉桂䝁䄴䅚杁䕁䅍睔婂䕁䅅䅉祁䑁䅁李獁䍁䅁兙畂䍁䅁兙畂䡁䅑兡湂䝁䅕杢杁䝁䅑兡祂䝁䅕睙あ䝁䅕䅚杁䙁䅑杣求䝁䅣兌歂䝁䅕杣灂䡁䅙党歂䍁䅁党㑂䝁䄸督療䝁䄰党杁䡁䅁杣療䝁䅑兤橂䡁䅑䅉橂䝁䅅杢歂䝁䅫䅚桂䡁䅑党獁䍁䅁睤潂䝁䅫睙潂䍁䅁兡穂䍁䅁兡畂䍁䅁䅚灂䡁䅍睙療䡁䅙党祂䡁䅫䅉穂䡁䅑兙湂䝁䅕杌杁䙁䅑䅡求䍁䅁睙療䝁䄰䅣桂䝁䄴入杁䝁䅧兙穂䍁䅁兙杁䝁䅍睢獂䝁䅷兙楂䝁䄸杣桂䡁䅑兡療䝁䄴䅉㍂䝁䅫䅤潂䍁䅁䅒祂䍁䄴䅉卂䝁䅕䅚歂䡁䅫睊穂䍁䅁䅔桂䝁䅉睢祂䝁䅅䅤療䡁䅉兡求䡁䅍䅉呂䕁䅅䅉浂䝁䄸杣杁䡁䅑䅡求䍁䅁䅚求䡁䅙党獂䝁䄸䅣瑂䝁䅕杢あ䍁䅁兙畂䝁䅑䅉橂䝁䄸兢瑂䝁䅕杣橂䝁䅫兙獂䝁䅫来桂䡁䅑兡療䝁䄴䅉療䝁䅙䅉䑂䕁䄸兗䉂䍁䅁睍睁䑁䅉䅌杁䝁䅅杢杁䝁䅫杢㉂䝁䅕督あ䝁䅫睚桂䡁䅑兡療䝁䄴兙獂䍁䅁睙療䝁䄰杙灂䝁䄴兙あ䝁䅫睢畂䍁䅁䅤潂䝁䅕杣桂䡁䅁入杁䝁䅙睢祂䍁䅁䅤祂䝁䅕兙あ䝁䄰党畂䡁䅑䅉療䝁䅙䅉桂䝁䄰入療䡁䅑杣療䡁䅁䅡灂䝁䅍䅉獂䝁䅅䅤求䡁䅉兙獂䍁䅁督橂䝁䅷党祂䝁䄸督灂䡁䅍杌杁䙁䅑䅡求䍁䅁睙療䝁䄰䅣桂䝁䄴入杁䡁䅣兙穂䍁䅁兡畂䝁䅍睢祂䡁䅁睢祂䝁䅅䅤求䝁䅑䅉灂䝁䄴䅉祁䑁䅁杍睁䍁䅁兙畂䝁䅑䅉灂䡁䅍䅉潂䝁䅕兙歂䡁䅅兤桂䡁䅉䅤求䡁䅉党歂䍁䅁兡畂䍁䅁䅓療䡁䅕督あ䝁䄸杢獁䍁䅁䅖求䡁䅧兙穂䍁䄴䅁偁杂䅁䅊䅁䕁䅍杣桂䝁䅑䅢求䙁䅁睢灂䝁䄴䅤獁䍁䅁兓畂䝁䅍杌䅁䍁䈴䅁允睄䅁睑祂䝁䅅䅚獂䝁䅕䅕療䝁䅫杢あ䍁䅷䅉䩂䝁䄴睙畁䍁䅁䅣祂䝁䄸杤灂䝁䅑党穂䍁䅁督求䝁䅍兤祂䝁䅕䅉橂䝁䅷睢ㅂ䝁䅑兌瑂䝁䅅杢桂䝁䅣党歂䍁䅁睍䡂䍁䅷䅉ぁ䕁䅣䅌杁䕁䅷䅖䙂䍁䅷䅉桂䝁䄴䅚杁䑁䅕睒杁䝁䄴党あ䡁䅣睢祂䝁䅳兡畂䝁䅣䅉穂䝁䄸䅢ㅂ䡁䅑兡療䝁䄴督杁䝁䅙睢祂䍁䅁䅤潂䝁䅕䅉歂䝁䅫督あ䡁䅉兡楂䡁䅕䅤求䝁䅑䅉求䝁䄴䅤求䡁䅉䅣祂䝁䅫督求䍁䄴䅉䩂䡁䅑䅉療䝁䅙杚求䡁䅉督杁䡁䅣兡祂䝁䅕䅢求䡁䅍督杁䡁䅉睢ㅂ䡁䅑党祂䡁䅍䅌杁䝁䄰兤獂䡁䅑兡睂䝁䅷党杁䝁䅷睢橂䝁䅅䅤灂䝁䄸杢穂䍁䅷䅉求䝁䅑睚求䍁䅁䅚求䝁䅙党畂䡁䅍党杁䝁䅙睢祂䍁䅁䅤潂䝁䅕䅉䕂䝁䅫督あ䡁䅉兡楂䡁䅕䅤求䝁䅑䅉䙂䝁䄴䅤求䡁䅉䅣祂䝁䅫督求䍁䅷䅉桂䝁䄴䅚杁䡁䅉兤湂䝁䅣党歂䍁䅁兙畂䝁䅑䅉祂䝁䅕䅢灂䝁䅅杙獂䝁䅕䅉祂䝁䄸兤あ䝁䅫杢湂䑁䅳䅉䑂䡁䅉兙歂䝁䅷党睂䝁䄸兡畂䡁䅑䅉䙂䝁䄴䅤求䡁䅉䅣祂䝁䅫督求䍁䅁睑獂䝁䄸兤歂䍁䅁兔桂䝁䄴兙湂䝁䅕杣獁䍁䅁睤潂䝁䅫睙潂䍁䅁䅚求䝁䅷兡㉂䝁䅕杣穂䍁䅁兡畂䡁䅑党獂䝁䅷兡湂䝁䅕杢橂䝁䅕䅉穂䝁䅕睙ㅂ䡁䅉党獂䡁䅫䅉㉂䝁䅫兙杁䡁䅑䅡求䍁䅁睙獂䝁䄸兤歂䍁䅁䅤療䍁䅁䅡求䝁䅷䅣杁䝁䅑兡穂䡁䅑杣灂䝁䅉兤あ䝁䅕䅚杁䝁䅕杢あ䝁䅕杣睂䡁䅉兡穂䝁䅕督㝁䍁䅁睖灂䡁䅉党獂䝁䅕督穂䍁䅁睖䉂䕁䄴䅉浂䝁䄸杣杁䝁䅉杣桂䝁䄴睙潂䍁䅁兙歂䝁䄸䅣あ䝁䅫睢畂䍁䅁睤灂䡁䅑䅡杁䝁䅕杢あ䝁䅕杣睂䡁䅉兡穂䝁䅕兌橂䝁䅷兙穂䡁䅍䅉䵂䙁䅑兒杁䝁䅅杢歂䍁䅁兎䡂䍁䅁督療䝁䅷兤あ䝁䅫睢畂䡁䅍睏杁䕁䄴党あ䕁䅍䅢療䡁䅕䅚杁䙁䅁党祂䝁䅫兢求䡁䅑党祂䍁䅁督求䡁䅉杤灂䝁䅍党獁䍁䅁兙杁䡁䅍睢浂䡁䅑睤桂䡁䅉党瑁䝁䅑党浂䝁䅫杢求䝁䅑䅉睂䝁䅕杣灂䝁䄰党あ䝁䅕杣杁䡁䅍睢獂䡁䅕䅤灂䝁䄸杢杁䡁䅑䅡桂䡁䅑䅉睂䡁䅉睢㉂䝁䅫䅚求䡁䅍䅉桂䍁䅁䅣祂䝁䅫杤桂䡁䅑党杁䝁䅍䅢療䡁䅕䅚杁䝁䄴党あ䡁䅣睢祂䝁䅳䅉療䡁䅙党祂䍁䅁兙畂䡁䅫䅉䩂䝁䄴䅤求䡁䅉杢求䡁䅑䅉橂䝁䄸杢畂䝁䅕睙あ䝁䅫睢畂䍁䅁䅤療䍁䅁督求䝁䅍兤祂䝁䅕䅉桂䝁䄴䅚杁䝁䅫督療䝁䅷兙あ䝁䅕䅉橂䝁䄸杢畂䝁䅕睙あ䝁䅕䅚杁䝁䅑党㉂䝁䅫睙求䡁䅍䅌杁䝁䅫杢橂䝁䅷兤歂䝁䅫杢湂䍁䅁兔祁䕁䄰䅌杁䕁䅫杢あ䝁䅕杣畂䝁䅕䅤杁䝁䄸杚杁䙁䅑䅡灂䝁䄴睚穂䍁䅁䅋䩂䝁䄸䅖灁䍁䅷䅉桂䝁䄴䅚杁䝁䄰睢楂䝁䅫䅢求䍁䅁䅚求䡁䅙兡橂䝁䅕督㝁䍁䅁兙畂䝁䅑䅉䑂䡁䅉兙歂䝁䅷党睂䝁䄸兡畂䡁䅑杔求䡁䅑睑獂䝁䄸兤歂䍁䅷䅉桂䍁䅁䅣獂䝁䅅䅤浂䝁䄸杣瑂䍁䅁䅤潂䝁䅅䅤杁䝁䅅䅢獂䝁䄸睤穂䍁䅁睙療䝁䄰䅣桂䝁䄴兡求䡁䅍䅉あ䝁䄸䅉歂䝁䅕䅣獂䝁䄸入杁䡁䅁杣灂䡁䅙兙あ䝁䅕䅉橂䝁䅷睢ㅂ䝁䅑䅉畂䝁䅕䅤㍂䝁䄸杣牂䡁䅍䅉療䡁䅙党祂䍁䅁睤灂䡁䅉党歂䍁䅁兙畂䝁䅑䅉㍂䝁䅫杣求䝁䅷党穂䡁䅍䅉楂䡁䅉睢桂䝁䅑杙桂䝁䄴䅚杁䕁䅫杢あ䝁䅕杣畂䝁䅕䅤杁䡁䅍党祂䡁䅙兡橂䝁䅕督杁䝁䅙睢祂䍁䅁杙祂䝁䅅杢橂䝁䅧䅌杁䝁䄰睢楂䝁䅫䅢求䍁䅁睤療䡁䅉睡浂䝁䄸杣橂䝁䅕䅌杁䡁䅙党潂䝁䅫睙獂䝁䅕䅌杁䝁䅅杢歂䍁䅁兓畂䡁䅑党祂䝁䄴党あ䍁䅁睢浂䍁䅁䅖潂䝁䅫杢湂䡁䅍䅉潁䕁䅫睢啂䍁䅫䅉畂䝁䅕䅤㍂䝁䄸杣牂䡁䅍杌杁䕁䅫䅤杁䝁䄸杚浂䝁䅕杣穂䍁䅁兎䡂䍁䅁睕䉂䙁䅍兒杁䙁䅍䅤祂䝁䅅䅤求䝁䅣入杁䝁䅙睢祂䍁䅁睙求䝁䅷䅢ㅂ䝁䅷兙祂䍁䅁兙畂䝁䅑䅉潂䡁䅫杙祂䝁䅫䅚杁䙁䅣兑佂䍁䅁督求䝁䅍兤祂䝁䅫䅤㕂䍁䄴䅉啂䝁䅧党杁䝁䅍睢瑂䡁䅁兙畂䡁䅫䅉桂䝁䅷督療䍁䅁睢浂䝁䅙党祂䡁䅍䅉㍂䝁䅧兡あ䝁䅕䅉睂䝁䅅䅣求䡁䅉督獁䍁䅁䅣桂䡁䅉兙獂䝁䅷党獂䍁䅁兙畂䝁䅑䅉桂䡁䅁䅣獂䝁䅫睙桂䡁䅑兡療䝁䄴兌穂䡁䅁党橂䝁䅫杚灂䝁䅍䅉畂䝁䅕䅤㍂䝁䄸杣牂䝁䅫杢湂䍁䅷䅉桂䝁䄴䅚杁䝁䅅䅉祂䝁䄸兤あ䝁䅕杣杁䡁䅍睢浂䡁䅑睤桂䡁䅉党杁䝁䅑党㉂䝁䅕䅢療䡁䅁兢求䝁䄴䅤杁䝁䅳兡あ䍁䅁兙畂䝁䅑䅉求䡁䅧䅤求䝁䄴督灂䝁䅉兡獂䝁䅫䅤㕂䍁䅁䅣獂䝁䅅䅤浂䝁䄸杣瑂䍁䅁䅤潂䝁䅅䅤杁䝁䅕杢桂䝁䅉䅢求䍁䅁党畂䡁䅑党祂䡁䅁杣灂䡁䅍党穂䍁䅁䅤療䍁䅁睙ㅂ䡁䅍䅤療䝁䄰兡㙂䝁䅕䅉瑂䝁䅅睙潂䝁䅫杢求䍁䄰䅤療䍁䄰兢桂䝁䅍䅡灂䝁䄴党杁䝁䅅杢歂䍁䅁兓畂䡁䅑党祂䝁䄴党あ䍁䅁睢浂䍁䅁䅖潂䝁䅫杢湂䡁䅍䅉橂䝁䄸杢畂䝁䅕睙あ䝁䅫杤灂䡁䅑入杁䡁䅑睢杁䝁䄰党求䡁䅑䅉あ䝁䅧党灂䡁䅉䅉穂䡁䅁党橂䝁䅫杚灂䝁䅍䅉楂䡁䅕督灂䝁䄴党穂䡁䅍䅉畂䝁䅕党歂䡁䅍䅌杁䝁䅅䅣睂䝁䅷兡橂䝁䅅䅤灂䝁䄸杢穂䍁䅷䅉桂䝁䄴䅚杁䝁䄴党あ䡁䅣睢祂䝁䅳䅉祂䝁䅕兣ㅂ䝁䅫杣求䝁䄰党畂䡁䅑督畁䍁䅁兓あ䍁䅁睢浂䝁䅙党祂䡁䅍䅉穂䝁䄸䅢ㅂ䡁䅑兡療䝁䄴督杁䝁䅙睢祂䍁䅁杙ㅂ䡁䅍兡畂䝁䅕督穂䝁䅕督杁䝁䅫杢杁䡁䅙兙祂䝁䅫睢ㅂ䡁䅍䅉穂䝁䅕睙あ䝁䄸杣穂䍁䅷䅉灂䝁䄴睙獂䡁䅕䅚灂䝁䄴睚杁䡁䅉党あ䝁䅅兡獂䍁䅷䅉潂䝁䅕兙獂䡁䅑䅡橂䝁䅅杣求䍁䅷䅉浂䝁䅫杢桂䝁䄴睙灂䝁䅅䅢杁䡁䅍党祂䡁䅙兡橂䝁䅕督獁䍁䅁杣求䡁䅍䅤桂䡁䅕杣桂䝁䄴䅤穂䍁䅷䅉あ䡁䅉兙畂䡁䅍䅣療䡁䅉䅤桂䡁䅑兡療䝁䄴䅌杁䝁䅅杢歂䍁䅁睙療䝁䄴督あ䡁䅉兤橂䡁䅑兡療䝁䄴睏杁䙁䅁兤楂䝁䅷兡橂䍁䅁睕桂䝁䅙党あ䡁䅫䅉桂䝁䅣党畂䝁䅍兡求䡁䅍䅌杁䝁䅫杢橂䝁䅷兤歂䝁䅫杢湂䍁䅁䅢桂䡁䅣䅉求䝁䄴杚療䡁䅉睙求䝁䄰党畂䡁䅑䅌杁䝁䅙兡祂䝁䅕䅌杁䕁䅕兔呂䍁䅷兙畂䝁䅑䅉䝂䝁䅫杣穂䡁䅑睑療䝁䄴杢求䝁䅍䅤㝁䍁䅁䅣ㅂ䝁䅉䅢灂䝁䅍䅉穂䝁䅕睙あ䝁䄸杣杁䝁䄴党あ䡁䅣睢祂䝁䅳督㝁䍁䅁兙畂䝁䅑䅉療䡁䅑䅡求䡁䅉䅉穂䡁䅑睢祂䝁䅕督獁䍁䅁督ㅂ䝁䅍䅡杁䝁䅅督杁䡁䅣睢祂䝁䅳䅉浂䡁䅉睢瑂䍁䅁䅡療䝁䄰党獁䍁䅁䅚桂䡁䅫兌硁䍁䅁睙療䝁䄴杢求䝁䅍䅤灂䡁䅙兡あ䡁䅫䅌杁䡁䅁睢睂䍁䄰兤睂䍁䅁杢求䡁䅑睤療䡁䅉睡穂䍁䅷䅉桂䝁䄴䅚杁䕁䅫睢啂䍁䅁兡畂䍁䅁督あ䝁䄸杣求䡁䅍䅉桂䝁䄴䅚杁䝁䄸杚浂䝁䅫睙求䡁䅍杌杁䕁䅍杣桂䝁䅑䅢求䙁䅁睢灂䝁䄴䅤獁䍁䅁兓畂䝁䅍杌杁䡁䅣兙穂䍁䅁兡畂䝁䅍睢祂䡁䅁睢祂䝁䅅䅤求䝁䅑䅉灂䝁䄴䅉祁䑁䅁䅍㉁䍁䅁兙畂䝁䅑䅉灂䡁䅍䅉楂䝁䅅督求䝁䅑䅉灂䝁䄴䅉䍂䝁䄸兡穂䝁䅕䅌杁䕁䅫䅚桂䝁䅧睢杁䡁䅣兡あ䝁䅧䅉桂䝁䅑䅚灂䡁䅑兡療䝁䄴兙獂䍁䅁䅢療䝁䅍兙あ䝁䅫睢畂䡁䅍䅉灂䝁䄴䅉呂䡁䅕杣祂䝁䅕入獁䍁䅁兖畂䝁䅫䅤求䝁䅑䅉䱂䝁䅫杢湂䝁䅑睢瑂䑁䅳䅉乂䝁䅕䅥灂䝁䅍睢杁䕁䅍兡あ䡁䅫䅌杁䕁䄰党㑂䝁䅫睙療䑁䅳䅉䍂䝁䅅杢湂䝁䅅䅢療䡁䅉党獁䍁䅁兓畂䝁䅑兡桂䑁䅳䅉桂䝁䄴䅚杁䕁䄰党獂䝁䅉睢ㅂ䡁䅉杢求䍁䅷䅉䉂䡁䅕督あ䡁䅉兙獂䝁䅫兙畁䍁䅁睑祂䝁䅅䅚獂䝁䅕䅕療䝁䅫杢あ䍁䅷䅉䩂䝁䄴睙畁䍁䅁睢睂䝁䅕杣桂䡁䅑党穂䍁䅁兙穂䍁䅁兙杁䡁䅍兤楂䡁䅍兡歂䝁䅫兙祂䡁䅫䅉療䝁䅙䅉啂䝁䅕䅢求䝁䅙睢畂䝁䅅睡あ䝁䅫党楂䝁䄸䅢桂䝁䅣党あ䍁䅁䅔乂䍁䅁兒祂䝁䅫睙穂䡁䅍睢畂䍁䅁䅋睂䡁䅕杙獂䍁䅫杌䅁䙁䉣䅁㑁䅁䅁睑祂䝁䄸督穂䡁䅣睢祂䝁䅑䅉䑂䡁䅫杙求䡁䅉督求䝁䅍兤祂䝁䅫䅤㕂䍁䅁䅕獂䝁䅍䅁䑃允䅁李䅁䕁䅍杣療䡁䅣䅚呂䡁䅑杣灂䝁䅳党杁䕁䅧睢獂䝁䅑兡畂䝁䅣督獁䍁䅁兓畂䝁䅍杌䅁䝁䄴䅁敁䅁䅁睑㕂䑁䅑睚桂䡁䅑党杁䙁䅍杌睂䍁䄴兑畁䅁䅁䄷䅁䍁䄴䅁䑂䡁䅫杙求䡁䅉兑祂䝁䅳䅉呂䝁䄸杚あ䡁䅣兙祂䝁䅕䅉䵂䡁䅑䅚畁䅁䅁杣䅁䉁䄴䅁䑂䡁䅫杙求䡁䅉睓灂䝁䅍睡杁䕁䅷䅤歂䍁䄴䅁䍃䅁䅁䅨䅉䕁䅍入楂䝁䅕杣䱂䝁䅫睙牂䍁䅁䅔あ䝁䅑杌杁䝁䅑党穂䝁䅫睚畂䡁䅍䅉桂䝁䄴䅚杁䝁䅑党㉂䝁䅕䅢療䡁䅁督杁䙁䅍睢浂䡁䅑睤桂䡁䅉党瑁䝁䅅督瑁䝁䅅兌呂䝁䅕杣㉂䝁䅫睙求䍁䅁督求䝁䅍兤祂䝁䅫䅤㕂䍁䅁兙畂䝁䅑䅉睂䡁䅉兡㉂䝁䅅睙㕂䍁䅁䅤療䝁䄸䅢穂䍁䄴䅉䩂䡁䅑督杁䡁䅍睢浂䡁䅑睤桂䡁䅉党杁䝁䅅杤療䝁䅫䅚杁䡁䅍党橂䡁䅕杣灂䡁䅑入杁䝁䅅杢歂䍁䅁䅚桂䡁䅑兙杁䡁䅑䅡祂䝁䅕兙あ䡁䅍䅉桂䝁䄴䅚杁䡁䅁杣療䡁䅙兡歂䝁䅕督杁䝁䄸杢獂䝁䅫杢求䍁䅁睙㕂䝁䅉党祂䍁䅁督求䝁䅍兤祂䝁䅫䅤㕂䍁䅁兙畂䝁䅑䅉療䝁䄴䅢灂䝁䄴党杁䡁䅁杣灂䡁䅙兙橂䡁䅫䅉睂䡁䅉睢あ䝁䅕睙あ䝁䅫睢畂䍁䅁督求䡁䅉杤灂䝁䅍党穂䍁䄴䅉䑂䡁䅫杙求䡁䅉睓灂䝁䅍睡杁䕁䅷䅤歂䍁䄴䅉灂䡁䅍䅉楂䝁䅅督求䝁䅑䅉灂䝁䄴䅉䩂䡁䅍杣桂䝁䅕䅢畁䍁䅁兑穂䍁䅁睢浂䍁䅁杓ㅂ䝁䅷入杁䑁䅑䅌杁䑁䅉䅍祁䑁䅅䅌杁䕁䅍入楂䝁䅕杣䱂䝁䅫睙牂䍁䅁䅔あ䝁䅑杌杁䝁䄸䅣求䡁䅉兙あ䝁䅕督杁䝁䅅督杁䝁䅅䅉穂䡁䅕杙穂䝁䅫䅚灂䝁䅅杣㕂䍁䅁睢浂䍁䅁睕桂䝁䅙党瑁䙁䅑䅉䡂䡁䅉睢ㅂ䡁䅁䅉䵂䡁䅑䅚畁䅁䅁杬䅁䉁䅙䅁䑂䡁䅫杣求䝁䄴䅉䡂䝁䄰杙䥂䅁䅁朱䅅䉁䅉䅁䕂䕁䅙䅒呂䍁䅁兑癁䙁䅍䅁奄杁䅁䅈䅁䕁䅑兙祂䝁䅳䅤祂䝁䅅睙求䍁䅁䅣獂䝁䅍䅁摄允䅁杍䅁䕁䅑兙あ䝁䅅䅉呂䡁䅑睢祂䝁䅅睚求䍁䅁睑療䡁䅉䅣療䡁䅉兙あ䝁䅫睢畂䅁䅁兣䅅䍁䅑䅁䕂䝁䅕䅢あ䝁䅅睚療䝁䄴䅉䡂䡁䅉睢ㅂ䡁䅁䅉偂䡁䅫䅁䱃䅁䅁䅢䅣䕁䅑党獂䡁䅑兙湂䝁䄸杢杁䕁䅣杣療䡁䅕䅣杁䕁䄸入獁䍁䅁兙杁䝁䅍入楂䝁䅕杣杁䡁䅍党橂䡁䅕杣灂䡁䅑入杁䝁䅍睢瑂䡁䅁兙畂䡁䅫䅌杁䝁䅑党㉂䝁䅕䅢療䡁䅁督杁䝁䅫杢浂䝁䄸杣瑂䝁䅅䅤灂䝁䄸杢杁䡁䅍党橂䡁䅕杣灂䡁䅑入杁䡁䅍睢獂䡁䅕䅤灂䝁䄸杢穂䍁䅁杚療䡁䅉䅉求䝁䅷党橂䡁䅑杣療䝁䄴兡橂䍁䅁睙療䝁䄰兢ㅂ䝁䄴兡橂䝁䅅䅤灂䝁䄸杢穂䍁䅁兙畂䝁䅑䅉求䝁䅷党橂䡁䅑杣療䝁䄴兡橂䍁䅁督求䡁䅉杤灂䝁䅍党穂䍁䅁杚療䡁䅉䅉桂䍁䅁杣桂䝁䄴睚求䍁䅁睢浂䍁䅁兡畂䝁䅑兤穂䡁䅑杣灂䝁䅕督杁䝁䅫杢杁䕁䅙兡畂䝁䅷兙畂䝁䅑䅉桂䝁䄴䅚杁䝁䅫杢あ䝁䅕杣畂䝁䅅䅤灂䝁䄸杢桂䝁䅷䅢㕂䍁䄴䅉啂䝁䅧党杁䝁䅍睢瑂䡁䅁兙畂䡁䅫䅉療䝁䅙杚求䡁䅉督杁䙁䅍党橂䕁䅁睒塂䍁䅷䅉桂䝁䄴䅉求䍁䄰兢桂䝁䅫䅢杁䝁䅕杢橂䡁䅉入睂䡁䅑兡療䝁䄴䅉穂䝁䄸䅢ㅂ䡁䅑兡療䝁䄴䅉浂䝁䄸杣杁䡁䅍党橂䡁䅕杣灂䝁䄴睚杁䝁䅍睢畂䝁䅙兡歂䝁䅕杢あ䝁䅫兙獂䍁䅁党瑁䝁䄰兙灂䝁䅷䅉瑂䝁䅕督穂䝁䅅睚灂䝁䄴睚㝁䍁䅁督求䝁䅍兤祂䝁䅕杒療䡁䅉兢穂䍁䅷䅉桂䍁䅁䅣獂䝁䅅䅤浂䝁䄸杣瑂䍁䅁杚療䡁䅉䅉橂䡁䅉党桂䡁䅑兡畂䝁䅣䅉浂䝁䄸杣瑂䡁䅍䅉あ䝁䄸䅉穂䡁䅕䅣睂䝁䄸杣あ䍁䅁党瑁䡁䅍党祂䡁䅙兡橂䝁䅕督㝁䍁䅁睙療䝁䅷䅢桂䝁䅉杕療䝁䄸兢獁䍁䅁兙杁䡁䅣睢祂䝁䅳督睂䝁䅅睙求䍁䅁䅤潂䝁䅅䅤杁䝁䅍睢瑂䝁䅉兡畂䝁䅕督杁䝁䅙兡獂䝁䅕䅉穂䝁䅧兙祂䝁䅫杢湂䍁䅁兙畂䝁䅑䅉瑂䝁䅕督穂䝁䅅睚灂䝁䄴睚杁䝁䅅督杁䝁䅅䅉㍂䝁䅧睢獂䝁䅕睏杁䝁䅅杢歂䍁䅁督求䝁䅍睕灂䝁䅣杢求䝁䅑䅌杁䝁䅅䅉穂䝁䄸䅢ㅂ䡁䅑兡療䝁䄴䅉浂䝁䄸杣杁䝁䅅䅣睂䝁䅷入灂䝁䄴睚杁䝁䅅杢杁䝁䅕䅢求䝁䅍䅤祂䝁䄸杢灂䝁䅍䅉穂䝁䅫睚畂䝁䅅䅤ㅂ䡁䅉党杁䡁䅑睢杁䝁䅅䅉歂䝁䄸睙ㅂ䝁䄰党畂䡁䅑杌杁䕁䅫䅤杁䝁䄸杚浂䝁䅕杣穂䍁䅁兡あ䡁䅍䅉穂䝁䄸䅢ㅂ䡁䅑兡療䝁䄴督杁䝁䅙睢祂䍁䅁杚灂䝁䄴兙畂䝁䅍党杁䝁䅅杢歂䍁䅁兡畂䡁䅍兤祂䝁䅅杢橂䝁䅕䅌杁䝁䅫杢浂䝁䄸杣瑂䝁䅅䅤灂䝁䄸杢杁䝁䅅杢歂䍁䅁睙療䝁䄰兢ㅂ䝁䄴兡橂䝁䅅䅤灂䝁䄸杢獁䍁䅁䅣ㅂ䝁䅉䅢灂䝁䅍䅉穂䝁䅕睙あ䝁䄸杣獁䍁䅁䅤祂䝁䅅䅚求䍁䅁兙畂䝁䅑䅉灂䝁䄴䅚ㅂ䡁䅍䅤祂䡁䅫䅌杁䡁䅍党祂䡁䅙兡橂䝁䅕䅉穂䝁䅕睙あ䝁䄸杣獁䍁䅁兙畂䝁䅑䅉求䝁䅑兤橂䝁䅅䅤灂䝁䄸杢杁䝁䅍睢瑂䡁䅁兙畂䝁䅫党穂䍁䅷䅉桂䡁䅍䅉㍂䝁䅕䅢獂䍁䅁兙穂䍁䅁兢ㅂ䝁䄴兡橂䝁䅫䅣桂䝁䅷兡あ䝁䅫党穂䍁䅁兙畂䝁䅑䅉畂䝁䄸杢瑁䡁䅁杣療䝁䅙兡あ䍁䅁睢祂䝁䅣兙畂䝁䅫来桂䡁䅑兡療䝁䄴督畁䍁䅁䅖潂䝁䅕䅉橂䝁䄸兢睂䝁䅅杢㕂䍁䅁睤桂䡁䅍䅉灂䝁䄴睙療䡁䅉䅣療䡁䅉兙あ䝁䅕䅚杁䝁䅫杢杁䑁䅅兏㕁䑁䅍䅉桂䝁䄴䅚杁䝁䅫督杁䝁䅉兙穂䝁䅕䅚杁䝁䅫杢杁䕁䅕督睂䝁䄸睢獁䍁䅁杒灂䝁䄴䅢桂䝁䄴䅚杁䡁䅣兡あ䝁䅧䅉桂䝁䅑䅚灂䡁䅑兡療䝁䄴兙獂䍁䅁睢浂䝁䅙兡橂䝁䅕督杁䝁䅫杢杁䕁䄸督獂䝁䄸䅌杁䕁䄴睢祂䡁䅣兙㕂䑁䅳䅉桂䝁䄴䅚杁䙁䅍䅤療䝁䅍睡潂䝁䄸䅢瑂䍁䅷䅉呂䡁䅣党歂䝁䅕杢畁䍁䅁兑穂䍁䅁睢浂䍁䅁兑睂䡁䅉兡獂䍁䅁杍㉁䍁䅷䅉祁䑁䅁杍硁䍁䅷䅉䕂䝁䅕䅢あ䝁䅅睚療䝁䄴䅉䡂䡁䅉睢ㅂ䡁䅁䅉偂䡁䅫䅉療䡁䅁党祂䝁䅅䅤求䡁䅍䅉桂䡁䅍䅉桂䍁䅁督ㅂ䝁䅉督灂䝁䅑兡桂䡁䅉入杁䝁䄸杚杁䕁䅳入楂䝁䅕杣獂䝁䅕兡煂䝁䄸杢桂䍁䅁睔㕂䍁䄴䅁剃䅁䅁䅓䅁䕁䅑睢畂䝁䅣杙ㅂ䍁䅁杒桂䡁䅉兢杁䕁䅙杣求䡁䅍䅡杁䙁䅁杣療䝁䅑兤橂䝁䅕䅉䑂䝁䄸杌獁䍁䅁䅔あ䝁䅑杌䅁䩁䍑䅁睃睁䅁䅒療䝁䄴睚楂䡁䅕䅉䝂䝁䅅杣瑂䍁䅁杒祂䝁䅕督潂䍁䅁䅕祂䝁䄸䅚ㅂ䝁䅍党杁䕁䅍睢畁䍁䅷䅉䵂䡁䅑䅚畁䍁䅁䅚灂䡁䅍䅤祂䝁䅫杙ㅂ䡁䅑党穂䍁䅁兙畂䝁䅑䅉祂䝁䅕䅤桂䝁䅫䅢穂䍁䅁杚祂䝁䅕督潂䍁䅁杚祂䡁䅕兡あ䡁䅍䅌杁䡁䅙党湂䝁䅕䅤桂䝁䅉䅢求䡁䅍䅌杁䝁䅅杢歂䍁䅁睢あ䝁䅧党祂䍁䅁杚療䝁䄸䅚杁䡁䅁杣療䝁䅑兤橂䡁䅑督畁䍁䅁䅖潂䝁䅕䅉橂䝁䄸兢睂䝁䅅杢㕂䍁䅁睤桂䡁䅍䅉浂䝁䄸杣瑂䝁䅕杣獂䡁䅫䅉牂䝁䄴睢㍂䝁䄴䅉桂䡁䅍䅉䕂䝁䄸杢湂䝁䅧睤桂䍁䅁杒祂䡁䅕兡あ䡁䅍䅉流䍁䅁杖求䝁䅣党あ䝁䅅杙獂䝁䅕督杁䕁䅍睢畁䍁䅷䅉䵂䡁䅑䅚畁䍁䅁䅒療䝁䄴睚楂䡁䅕䅉䝂䝁䅅杣瑂䍁䅁杒祂䝁䅕督潂䍁䅁䅕祂䝁䄸䅚ㅂ䝁䅍党杁䕁䅍睢畁䍁䅷䅉䵂䡁䅑䅚畁䍁䅁睤桂䡁䅍䅉灂䝁䄴睙療䡁䅉䅣療䡁䅉兙あ䝁䅕䅚杁䝁䅫杢杁䑁䅅兏㍁䑁䅣䅉桂䝁䄴䅚杁䝁䅫督杁䝁䅉兙穂䝁䅕䅚杁䝁䅫杢杁䙁䅍党療䡁䅕䅢獁䍁䅁睕療䡁䅕䅤潂䍁䅁睓療䡁䅉党桂䍁䄴䅉䕂䝁䄸杢湂䝁䅉兤杁䕁䅙兙祂䝁䄰䅉䝂䡁䅉党穂䝁䅧䅉兂䡁䅉睢歂䡁䅕睙求䍁䅁睑療䍁䄴䅌杁䕁䅷䅤歂䍁䄴䅉灂䡁䅍䅉桂䍁䅁杚療䡁䅉兢求䡁䅉䅉穂䡁䅕杙穂䝁䅫䅚灂䝁䅅杣㕂䍁䅁睢浂䍁䅁䅒療䝁䄴睚楂䡁䅕䅉䝂䝁䅅杣瑂䍁䅁䅓桂䝁䄴杢療䝁䄴睚杁䕁䅍睢畁䍁䅷䅉䵂䡁䅑䅚畁䍁䅁兑穂䍁䅁睢浂䍁䅁杓ㅂ䝁䄴党杁䑁䅅䅍獁䍁䅁杍睁䑁䅅兏獁䍁䅁䅒療䝁䄴睚楂䡁䅕䅉䝂䝁䅅杣瑂䍁䅁杒祂䝁䅕督潂䍁䅁䅕祂䝁䄸䅚ㅂ䝁䅍党杁䕁䅍睢畁䍁䅷䅉䵂䡁䅑䅚畁䍁䅁睢睂䝁䅕杣桂䡁䅑党穂䍁䅁兙穂䍁䅁兙杁䡁䅍兤楂䡁䅍兡歂䝁䅫兙祂䡁䅫䅉療䝁䅙䅉呂䝁䅫䅢獂䝁䅅䅉䑂䝁䄸杌獁䕁䅷䅤歂䍁䄴䅁湃杁䅁杒䅁䕁䅑兤療䕁䅷兤畂䍁䅁䅖求䝁䅍䅡畂䝁䄸䅢療䝁䅣入杁䕁䅍睢祂䡁䅁睢祂䝁䅅䅤灂䝁䄸杢杁䕁䅷䅤歂䍁䄴䅁桄䅁䅁䅆䅁䕁䅕杔奂䙁䅑兑乂䑁䅯兑䕂䅁䅁全䅉䉁䅧䅁䙂䕁䄴䅗啂䕁䅅兔㙁䕁䅉杒䩂䙁䅑䅁潂杁䅁䅇䅁䕁䅕杔奂䙁䅑兑乂䑁䅯䅖偂䕁䄰杍䅁䅁䄰䅁坁䅁䅁兒佂䙁䅧䅖䍂䙁䅉杏噂䕁䅍村䅁䅁䝯䅁奁䅁䅁兒佂䙁䅧䅖兂䕁䅅杏䉂䕁䅉杖奂䅁䅁睦䅕䉁䅯䅁䙂䕁䄴䅗啂䙁䅁兑㙁䕁䅅䅔䙂䙁䅉睕䅁䭁䙧䅁慁䅁䅁兒佂䙁䅧䅖兂䕁䅅杏䉂䕁䅷兓佂䙁䅑䅁䉂䅁䅁杇䅁䕁䅕杔奂䙁䅑䅕䉂䑁䅯兑䵂䕁䅷兓奂䅁䅁䅯䅁䉁䅯䅁䙂䕁䄴䅗啂䙁䅁兑㙁䕁䅅䅔呂䕁䅕杔䅁䥁䙑䅁坁䅁䅁兒佂䙁䅧䅖兂䕁䅅杏䑂䕁䅅䅉䅁䥁䍅䅁啁䅁䅁兒佂䙁䅧䅖兂䕁䅅杏䑂䕁䄸䅁䑃杁䅁杆䅁䕁䅕杔奂䙁䅑䅕䉂䑁䅯兓䕂䕁䅷䅁乄杁䅁杆䅁䕁䅕杔奂䙁䅑䅕䉂䑁䅯兓兂䕁䅧䅁潄兂䅁杆䅁䕁䅕杔奂䙁䅑䅕䉂䑁䅯兓坂䕁䅅䅁奃兂䅁杇䅁䕁䅕杔奂䙁䅑䅕䉂䑁䅯兔䵂䕁䅙兓卂䅁䅁兖䅍䉁䅯䅁䙂䕁䄴䅗啂䙁䅁兑㙁䙁䅍兓䡂䕁䅧䅖䅁䱁䝑䅁坁䅁䅁兒佂䙁䅧䅖兂䕁䅅杏呂䙁䅑杒䅁䱁䍷䅁坁䅁䅁兒佂䙁䅧䅖兂䕁䅅杏噂䕁䅉兓䅁䕁䍅䅁奁䅁䅁兒佂䙁䅧䅖兂䕁䅅杏坂䕁䅅睑杁䅁䅁朹䅉䅁䅧䅁䙂䙁䅕杕䅁佁䉁䅁敁䅁䅁兒奂䕁䅍䅓䉂䕁䄴睒䙂䍁䅁杕䉂䙁䅑兒呂䅁䅁眳䅅䕁䅉䅁䙂䝁䅅督㕂䍁䅁睔畂䝁䅕䅉䝂䝁䅫杢桂䝁䄴睙灂䝁䅅䅢杁䕁䅣杣療䡁䅕䅣杁䕁䅷兡瑂䝁䅫䅤求䝁䅑䅁㉁杁䅁杏䅕䕁䅕兙穂䡁䅫䅉偂䝁䄴党杁䕁䅙兡畂䝁䅅杢橂䝁䅫兙獂䍁䅁睒祂䝁䄸兤睂䍁䅁䅔灂䝁䄰兡あ䝁䅕䅚獁䍁䅁兙畂䍁䅁兡畂䡁䅙党穂䡁䅑兢求䝁䄴䅤杁䝁䅧睢獂䝁䅑兡畂䝁䅣䅉橂䝁䄸兢睂䝁䅅杢㕂䍁䅷䅉睂䡁䅉兡瑂䝁䅅杣灂䝁䅷入杁䡁䅁杣療䡁䅙兡歂䝁䅕督杁䝁䅙兡畂䝁䅅杢橂䝁䅫兙獂䍁䅁督求䡁䅉杤灂䝁䅍党穂䍁䅁兡畂䍁䅁䅓療䝁䄴睚杁䕁䅳睢畂䝁䅣杌杁䙁䅑䅡求䍁䅁睙療䝁䄰䅣桂䝁䄴入杁䝁䄸杚浂䝁䅕杣穂䍁䅁兢療䝁䄴党㕂䍁䅁䅢求䝁䄴䅚灂䝁䄴睚杁䡁䅍党祂䡁䅙兡橂䝁䅕督獁䍁䅁兡畂䝁䅍䅢ㅂ䝁䅑兡畂䝁䅣䅉瑂䝁䄸杣あ䝁䅣兙湂䝁䅕䅉桂䝁䄴䅚杁䡁䅁党祂䡁䅍睢畂䝁䅅䅢杁䝁䅷睢桂䝁䄴督㝁䍁䅁兙畂䝁䅑䅉穂䝁䅕睙ㅂ䡁䅉兡あ䝁䅫党穂䍁䅁兡畂䡁䅙党穂䡁䅑兢求䝁䄴䅤杁䝁䅅杢歂䍁䅁杙祂䝁䄸睡求䡁䅉兙湂䝁䅕䅉穂䝁䅕杣㉂䝁䅫睙求䡁䅍杌杁䕁䅫䅤杁䝁䅅䅢穂䝁䄸䅉歂䝁䅕杤求䝁䅷睢睂䡁䅍䅉祂䝁䅕督灂䝁䅑党畂䡁䅑兡桂䝁䅷䅉桂䝁䄴䅚杁䝁䅍睢瑂䝁䄰党祂䝁䅍兡桂䝁䅷䅉睂䡁䅉睢睂䝁䅕杣あ䝁䅫党穂䍁䅁兡畂䍁䅁睑潂䝁䅫杢桂䑁䅳䅉桂䝁䄴䅚杁䝁䄸杚浂䝁䅕杣穂䍁䅁兙歂䝁䄰兡畂䝁䅫督あ䡁䅉兙あ䝁䅫杤求䍁䅁督求䡁䅉杤灂䝁䅍党穂䍁䄴䅉啂䝁䅧党杁䝁䅍睢瑂䡁䅁兙畂䡁䅫䅉㍂䝁䅅督杁䝁䅙睢祂䝁䄰党祂䝁䅷入杁䝁䅳杢療䡁䅣杢杁䝁䅅督杁䙁䅁杔䡂䍁䅁杕求䡁䅍睢ㅂ䡁䅉睙求䡁䅍䅉䥂䝁䄸䅢歂䝁䅫杢湂䡁䅍䅉䵂䝁䅫兢灂䡁䅑党歂䍁䅁兙畂䝁䅑䅉橂䝁䅧兙畂䝁䅣党歂䍁䅁兡あ䡁䅍䅉畂䝁䅅兢求䍁䅁䅤療䍁䅁兒桂䡁䅍入杁䕁䄸杢求䍁䅁杒灂䝁䄴兙畂䝁䅍兡桂䝁䅷䅉䡂䡁䅉睢ㅂ䡁䅁䅉䵂䝁䅫兢灂䡁䅑党歂䍁䅁兡畂䍁䅁杔療䡁䅙党瑂䝁䅉党祂䍁䅁杍睁䑁䅅兎畁䍁䅁兒桂䡁䅍入杁䕁䄸杢求䍁䅁杒灂䝁䄴兙畂䝁䅍兡桂䝁䅷䅉䡂䡁䅉睢ㅂ䡁䅁䅉䵂䝁䅫兢灂䡁䅑党歂䍁䅁兡穂䍁䅁䅡求䝁䅅䅚硂䡁䅕兙祂䡁䅑党祂䝁䅕䅚杁䝁䅫杢杁䕁䅳睢㍂䝁䅷睢療䝁䄴䅉䍂䝁䅅入獁䍁䅁䅓療䝁䄴睚杁䕁䅳睢畂䝁䅣杌杁䕁䅅督杁䝁䄸杚杁䕁䄸睙あ䝁䄸杙求䡁䅉䅉硁䑁䅙䅌杁䑁䅉䅍祁䑁䅁䅌杁䕁䅕兙穂䡁䅫䅉偂䝁䄴党杁䕁䅙兡畂䝁䅅杢橂䝁䅫兙獂䍁䅁睒祂䝁䄸兤睂䍁䅁䅔灂䝁䄰兡あ䝁䅕䅚杁䝁䄸䅣求䡁䅉兙あ䝁䅕督杁䝁䅅督杁䝁䅅䅉穂䡁䅕杙穂䝁䅫䅚灂䝁䅅杣㕂䍁䅁睢浂䍁䅁睑桂䝁䅫督あ䝁䅕杣杁䕁䅷兡瑂䝁䅫䅤求䝁䅑杌䅁䑁䍯䅁奁䅁䅁兒歂䝁䅣兡獂䝁䅕䅌杁䕁䅷䅔䑂䅁䅁睰䅁䭁䱷䅁䙂䝁䅑睚灂䝁䅷党獁䍁䅁䅔䵂䕁䅍䅉睂䡁䅉睢㉂䝁䅫䅚求䡁䅍䅉穂䝁䅕睙ㅂ䡁䅉兡あ䡁䅫䅉穂䡁䅑杣桂䡁䅑党湂䡁䅫䅌杁䝁䅫䅚求䝁䄴䅤灂䡁䅑入杁䝁䅅杢歂䍁䅁兙橂䝁䅍党穂䡁䅍䅉瑂䝁䅅杢桂䝁䅣党瑂䝁䅕杢あ䍁䅷䅉歂䝁䅅䅤桂䍁䅁䅣祂䝁䄸䅤求䝁䅍䅤灂䝁䄸杢獁䍁䅁睙獂䝁䄸兤歂䍁䅁睙療䝁䄰䅣ㅂ䡁䅑兡畂䝁䅣䅉桂䝁䄴䅚杁䝁䅣睢㉂䝁䅕杣畂䝁䅅杢橂䝁䅕䅌杁䝁䅅杢歂䍁䅁杣灂䡁䅍睡杁䝁䅅杢歂䍁䅁睙療䝁䄰䅣獂䝁䅫兙畂䝁䅍党杁䡁䅍党祂䡁䅙兡橂䝁䅕督畁䍁䅁兓あ䡁䅍䅉呂䝁䅕睙ㅂ䡁䅉兡あ䡁䅫䅉呂䡁䅑杣桂䡁䅑党湂䡁䅫䅉穂䝁䅕杣㉂䝁䅫睙求䡁䅍䅉灂䝁䄴睙獂䡁䅕䅚求䍁䅁党畂䡁䅑党祂䡁䅁杣灂䡁䅍党杁䡁䅍党橂䡁䅕杣灂䡁䅑入杁䡁䅍䅤祂䝁䅅䅤求䝁䅣入㝁䍁䅁兡歂䝁䅕杢あ䝁䅫䅤㕂䍁䅁兢桂䝁䄴兙湂䝁䅕兢求䝁䄴䅤杁䡁䅍党橂䡁䅕杣灂䡁䅑入杁䡁䅍䅤祂䝁䅅䅤求䝁䅣入㝁䍁䅁睚療䡁䅙党祂䝁䄴兙畂䝁䅍党杁䡁䅉兡穂䝁䅳䅉桂䝁䄴䅚杁䝁䅍睢瑂䡁䅁䅢灂䝁䅅杢橂䝁䅕䅉穂䝁䅕睙ㅂ䡁䅉兡あ䡁䅫䅉穂䡁䅑杣桂䡁䅑党湂䡁䅫睏杁䝁䅑兙あ䝁䅅䅉睂䡁䅉睢あ䝁䅕睙あ䝁䅫睢畂䍁䅁督あ䡁䅉兙あ䝁䅕睚㕂䑁䅳䅉橂䝁䅷睢ㅂ䝁䅑䅉穂䝁䅕睙ㅂ䡁䅉兡あ䡁䅫䅉穂䡁䅑杣桂䡁䅑党湂䡁䅫䅉穂䝁䅕杣㉂䝁䅫睙求䡁䅍杌杁䙁䅑䅡求䍁䅁睙療䝁䄰䅣桂䝁䄴入婁䡉䅍䅉䩂䝁䅑党畂䡁䅑兡あ䡁䅫䅉桂䝁䄴䅚杁䕁䅅睙橂䝁䅕督穂䍁䅁兔桂䝁䄴兙湂䝁䅕兢求䝁䄴䅤杁䍁䅧兓䉂䕁䄰克杁䡁䅍党祂䡁䅙兡橂䝁䅕督杁䝁䅍睢瑂䡁䅁杣灂䡁䅍党杁䕁䅫兑乂䍁䅁督あ䡁䅉兙あ䝁䅕睚㕂䑁䅳䅉䩂䕁䅅兔杁䡁䅉党硂䡁䅕兡祂䝁䅕兢求䝁䄴䅤穂䍁䅁兙畂䝁䅑䅉睂䡁䅉睢橂䝁䅕督穂䍁䅁兢桂䡁䅁䅣灂䝁䄴睚㝁䍁䅁兙畂䝁䅑䅉灂䝁䅑党畂䡁䅑兡あ䡁䅫䅉桂䝁䄴䅚杁䝁䅅睙橂䝁䅕督穂䍁䅁睚療䡁䅙党祂䝁䄴兙畂䝁䅍党杁䍁䅧兓䉂䕁䅣克杁䝁䅅杢歂䍁䅁兓䉂䕁䄰䅉歂䝁䅕杤求䝁䅷睢睂䝁䄰党畂䡁䅑䅉桂䝁䄴䅚杁䝁䅑党睂䝁䅷睢㕂䝁䄰党畂䡁䅑杌杁䕁䅫杢杁䝁䅅䅚歂䝁䅫䅤灂䝁䄸杢獁䍁䅁兡あ䍁䅁睢浂䝁䅙党祂䡁䅍䅉䕂䝁䅅䅤桂䍁䅁兙畂䝁䅑䅉兂䡁䅉兡㉂䝁䅅睙㕂䍁䅁䅕祂䝁䄸䅤求䝁䅍䅤灂䝁䄸杢杁䡁䅍党祂䡁䅙兡橂䝁䅕督獁䍁䅁督ㅂ䝁䅍䅡杁䝁䅅督杁䝁䅑兙あ䝁䅅䅉獂䝁䄸督穂䍁䅁䅣祂䝁䅕杤求䝁䄴䅤灂䝁䄸杢杁䝁䅅杢歂䍁䅁兡畂䝁䅍兡歂䝁䅕杢橂䝁䅕䅉祂䝁䅕督睂䝁䄸杢穂䝁䅕䅉穂䝁䅕杣㉂䝁䅫睙求䡁䅍睏杁䝁䅅杢歂䍁䅁睑獂䝁䄸兤歂䍁䅁兙畂䝁䅑䅉䙂䡁䅧䅤求䝁䄴䅚求䝁䅑䅉䙂䝁䄴䅤求䡁䅉䅣祂䝁䅫督求䍁䅁督求䡁䅉杤灂䝁䅍党穂䍁䅷䅉灂䝁䄴睙獂䡁䅕䅚灂䝁䄴睚杁䝁䅍䅢療䡁䅕䅚杁䡁䅍党橂䡁䅕杣灂䡁䅑入杁䡁䅍䅤祂䝁䅅䅤求䝁䅣入獁䍁䅁睙獂䝁䄸兤歂䍁䅁兡歂䝁䅕杢あ䝁䅫䅤㕂䍁䅁兢桂䝁䄴兙湂䝁䅕兢求䝁䄴䅤獁䍁䅁睙獂䝁䄸兤歂䍁䅁䅚桂䡁䅑兙杁䡁䅁杣療䝁䅯党橂䡁䅑䅌杁䝁䅅杢歂䍁䅁睙獂䝁䄸兤歂䍁䅁杤求䝁䄴䅚療䡁䅉䅉瑂䝁䅅杢桂䝁䅣党瑂䝁䅕杢あ䍁䅁督求䡁䅉杤灂䝁䅍党穂䍁䄴䅉䝂䡁䅕杣あ䝁䅧党祂䍁䅷䅉あ䝁䅧党杁䝁䅍睢瑂䡁䅁兙畂䡁䅫䅉睂䡁䅉睢㉂䝁䅫䅚求䡁䅍䅉湂䝁䄸杤求䡁䅉杢桂䝁䄴睙求䍁䅷䅉祂䝁䅫督牂䍁䅷䅉桂䝁䄴䅚杁䝁䅍睢瑂䡁䅁䅢灂䝁䅅杢橂䝁䅕䅉潁䕁䅣杕䑂䍁䅫䅉穂䝁䅕杣㉂䝁䅫睙求䡁䅍䅌杁䡁䅍兤橂䝁䅧䅉桂䡁䅍䅉䡂䙁䅉睑杁䝁䅫兢睂䝁䅷党瑂䝁䅕杢あ䝁䅅䅤灂䝁䄸杢㝁䍁䅁䅣療䝁䅷兡橂䡁䅫䅉桂䝁䄴䅚杁䡁䅍䅤桂䝁䄴䅚桂䡁䅉䅚杁䝁䅑党㉂䝁䅕䅢療䡁䅁兢求䝁䄴䅤㝁䍁䅁督睂䝁䅕睙灂䝁䅅䅢灂䡁䅯党歂䍁䅁睙療䝁䄰䅣獂䝁䅫兙畂䝁䅍党杁䡁䅍党祂䡁䅙兡橂䝁䅕督㝁䍁䅁睙療䝁䄰䅣獂䝁䅫兙畂䝁䅍党杁䝁䄸䅣あ䝁䅫兢灂䡁䅯兙あ䝁䅫睢畂䑁䅳䅉祂䝁䅫督牂䍁䅁兙穂䡁䅍党穂䡁䅍兢求䝁䄴䅤㝁䍁䅁睡求䡁䅫䅉祂䝁䅫督牂䍁䅁兙畂䝁䅑䅉牂䝁䅕入杁䡁䅁党祂䝁䅙睢祂䝁䄰兙畂䝁䅍党杁䝁䄰睢畂䝁䅫䅤療䡁䅉兡畂䝁䅣睏杁䡁䅉党湂䡁䅕䅢桂䡁䅑睢祂䡁䅫䅉祂䝁䅕䅣療䡁䅉䅤灂䝁䄴睚㝁䍁䅁党畂䡁䅑党祂䡁䅁杣灂䡁䅍党杁䡁䅉兡穂䝁䅳䅉瑂䝁䅅杢桂䝁䅣党瑂䝁䅕杢あ䑁䅳䅉療䡁䅁党祂䝁䅅䅤灂䝁䄸杢桂䝁䅷䅉祂䝁䅫督牂䍁䅁兢桂䝁䄴兙湂䝁䅕兢求䝁䄴䅤㝁䍁䅁杤求䝁䄴䅚療䡁䅉䅉祂䝁䅫督牂䍁䅁兢桂䝁䄴兙湂䝁䅕兢求䝁䄴䅤杁䡁䅍睢獂䡁䅕䅤灂䝁䄸杢穂䑁䅳䅉桂䝁䄴䅚杁䝁䅙兡畂䝁䅑兡畂䝁䅣䅉桂䝁䄴䅚杁䡁䅉党瑂䝁䅕䅚灂䝁䅅䅤灂䝁䄸杢杁䝁䄰兙畂䝁䅅睚求䝁䄰党畂䡁䅑䅉穂䝁䅕杣㉂䝁䅫睙求䡁䅍杌杁䕁䅕䅚湂䝁䅫䅢求䍁䅷䅉䵂䕁䅷睑杁䡁䅣兙穂䍁䅁杚療䡁䅕杢歂䝁䅕䅚杁䝁䅫杢杁䑁䅉䅍睁䑁䅅䅉桂䝁䄴䅚杁䝁䅫督杁䝁䅉兙穂䝁䅕䅚杁䝁䅫杢杁䕁䅅兤穂䡁䅑兡畂䍁䅷䅉啂䝁䅕䅥桂䡁䅍䅉㍂䝁䅫䅤潂䍁䅁兙歂䝁䅑兡あ䝁䅫睢畂䝁䅅䅢杁䝁䄸杚浂䝁䅫睙求䡁䅍䅉灂䝁䄴䅉呂䝁䅅杢杁䕁䄰兙あ䝁䅕睢獁䍁䅁睑桂䝁䅷兡浂䝁䄸杣畂䝁䅫兙獁䍁䅁兙畂䝁䅑䅉䍂䝁䅕䅢獂䝁䅕杤ㅂ䝁䅕䅌杁䙁䅣兙穂䝁䅧兡畂䝁䅣䅤療䝁䄴杌杁䕁䅅督杁䝁䄸杚杁䕁䅑党橂䝁䅕兢楂䝁䅕杣杁䑁䅍免獁䍁䅁杍睁䑁䅉免獁䍁䅁兒歂䝁䅣兡獂䝁䅕䅌杁䕁䅷䅔䑂䍁䅁睢睂䝁䅕杣桂䡁䅑党穂䍁䅁兙穂䍁䅁兙杁䡁䅍兤楂䡁䅍兡歂䝁䅫兙祂䡁䅫䅉療䝁䅙䅉塂䝁䅫䅣祂䝁䄸䅉䵂䝁䅫兢灂䡁䅑党歂䍁䄴䅁睃䅁䅁䅌䅁䕁䅕䅚灂䡁䅑兙穂䍁䅁兔求䝁䅑兡橂䝁䅫杢求䍁䅷䅉䩂䝁䄴睙畁䅁䅁眳䅕䡁䩁䅁䙂䝁䅑兡あ䝁䅅督杁䕁䄰党歂䝁䅫睙灂䝁䄴党獁䍁䅁兓畂䝁䅍杌獁䍁䅁兙杁䝁䅍䅢灂䝁䄴兡橂䝁䅅䅢杁䡁䅍䅤桂䝁䅣党杁䝁䅣党畂䝁䄸兢求䍁䅁党歂䝁䅫䅤灂䝁䄴睚杁䝁䅍睢瑂䡁䅁兙畂䡁䅫䅌杁䝁䅙睢橂䡁䅕督求䡁䅍䅉療䝁䄴䅉歂䝁䅕杤求䝁䅷睢睂䝁䅫杢湂䍁䅁䅤祂䝁䅅杢穂䝁䅙睢祂䝁䄰兙あ䝁䅫杤求䍁䅁睚求䝁䄴睢瑂䝁䅫睙杁䝁䄰党歂䝁䅫睙灂䝁䄴党穂䍁䅁䅤療䍁䅁䅤祂䝁䅕兙あ䍁䅁兙杁䡁䅉兙畂䝁䅣党杁䝁䄸杚杁䡁䅍党祂䝁䅫睢ㅂ䡁䅍䅉歂䝁䅫督求䝁䅅督求䡁䅍杌杁䕁䅫䅤杁䝁䅑党㉂䝁䅕䅢療䡁䅁督杁䝁䅅䅉睂䡁䅉睢睂䡁䅉兡求䡁䅑兙祂䡁䅫䅉湂䝁䅕杢求䍁䅁党歂䝁䅫䅤灂䝁䄴睚杁䡁䅁䅢桂䡁䅑杚療䡁䅉兢杁䝁䅉兙穂䝁䅕䅚杁䝁䄸杢杁䕁䅍杕䩂䙁䅍䅕卂䍁䅁䅤求䝁䅍䅡畂䝁䄸䅢療䝁䅣入畁䍁䅁䅖潂䝁䅕䅉橂䝁䄸兢睂䝁䅅杢㕂䍁䅁䅚求䡁䅙党獂䝁䄸䅣穂䍁䅁兒䕂䕁䅫䅖瑁䑁䅅䅍硁䍁䅷䅉㍂䝁䅧兡橂䝁䅧䅉灂䡁䅍䅉灂䝁䄴䅉兂䝁䅧兙穂䝁䅕䅉硁䍁䄸杍杁䕁䅉杕䩂䕁䅷䅔䩂䕁䅅杔䑂䕁䅕䅉あ䡁䅉兡桂䝁䅷䅉浂䝁䄸杣杁䕁䅷党楂䝁䅕杣杁䕁䅍睢畂䝁䅣党畂䝁䅫䅤桂䝁䅷䅉䉂䝁䄰兙ㅂ䡁䅉睢穂䝁䅫督杁䑁䅅䅍㝁䍁䅁兙ㅂ䡁䅑睢穂䝁䄸兢桂䝁䅷䅉歂䝁䄸兢灂䝁䄴兙畂䡁䅑䅉祂䝁䅕䅤灂䝁䄴兡あ䝁䅫督杁䡁䅁兡湂䝁䄰党畂䡁䅑睢穂䝁䅅睏杁䝁䅅杢歂䍁䅁兒䕂䕁䅫䅖瑁䑁䅍䅍硁䍁䅷䅉桂䍁䅁睙獂䝁䅫杢灂䝁䅍兙獂䍁䅁䅚求䡁䅙党獂䝁䄸䅣瑂䝁䅕杢あ䍁䅁睚求䝁䄴党瑁䝁䅕䅚灂䡁䅑党歂䍁䅁兢求䝁䅑兡橂䝁䅫杢求䍁䅁䅤療䍁䅁䅤祂䝁䅕兙あ䍁䅁督灂䝁䅍睡獂䝁䅕䅉橂䝁䅕䅢獂䍁䅁䅚灂䡁䅍党桂䡁䅍党杁䝁䅅杢歂䍁䅁䅤祂䝁䅅杢穂䝁䅙兤穂䝁䅫睢畂䍁䄰䅚求䡁䅁党畂䝁䅑党畂䡁䅑䅉楂䝁䅕䅤桂䍁䄰䅤潂䝁䅅䅢桂䡁䅍督求䝁䄰兡桂䍁䄴䅉䩂䝁䄴䅉桂䝁䅑䅚灂䡁䅑兡療䝁䄴䅌杁䡁䅑䅡求䍁䅁睙療䝁䄰䅣桂䝁䄴入杁䝁䅫督杁䝁䅑党㉂䝁䅕䅢療䡁䅁兡畂䝁䅣䅉湂䝁䅕杢求䍁䄰党歂䝁䅫䅤求䝁䅑䅉佂䝁䅅䅤ㅂ䡁䅉兙獂䍁䅁睓灂䝁䅷䅢求䡁䅉䅉橂䝁䅕䅢獂䍁䅁兢求䝁䅑兡橂䝁䅫杢求䡁䅍䅉あ䝁䄸䅉あ䡁䅉党桂䡁䅑䅉穂䝁䄸䅢灂䝁䅑䅉あ䡁䅕兢療䡁䅉䅉橂䝁䅅杢橂䝁䅕杣穂䑁䅳䅉桂䝁䅷䅣潂䝁䅅兌楂䝁䅕䅤桂䍁䅁䅖杁䝁䅍党獂䝁䅷督杁䝁䅙睢祂䍁䅁兢ㅂ䝁䅷䅤灂䡁䅁䅢求䍁䅁睙桂䝁䄴睙求䡁䅉督㝁䍁䅁兙畂䝁䅑䅉湂䝁䅅兢瑂䝁䅅䅉歂䝁䅕䅢あ䝁䅅䅉啂䍁䅁睙求䝁䅷䅢杁䡁䅑䅡求䡁䅉兙睂䝁䅫党穂䍁䅁䅤療䍁䅁䅤祂䝁䅕兙あ䍁䅁睙桂䝁䄴睙求䡁䅉杌杁䕁䅫䅤杁䝁䅧兙穂䍁䅁兙杁䡁䅉党穂䝁䅕兙祂䝁䅍䅡杁䝁䅍睢獂䝁䅷兙楂䝁䄸杣桂䡁䅑兡療䝁䄴䅉㍂䝁䅫䅤潂䍁䅁杓ㅂ䝁䄴睢杁䙁䅑䅡求䡁䅉兙睂䝁䅕兤あ䝁䅫睙穂䍁䅷䅉䩂䝁䄴睙畁䍁䅁䅤療䍁䅁䅚求䡁䅙党獂䝁䄸䅣杁䝁䅕杢湂䝁䅫杢求䝁䅕杣求䝁䅑䅉啂䍁䅁睙求䝁䅷䅢穂䍁䅁杚療䡁䅉䅉橂䝁䅅杢橂䝁䅕杣㝁䍁䅁督あ䡁䅉兙あ䝁䅕睚灂䝁䅍䅉桂䝁䅷䅢灂䝁䅅杢橂䝁䅕䅉桂䝁䄴䅚杁䝁䄸䅣あ䝁䅫睢畂䍁䅁兙湂䡁䅉党求䝁䄰党畂䡁䅑䅉㍂䝁䅫䅤潂䍁䅁兑獂䝁䅷党祂䝁䅣兙畂䍁䅁䅕潂䝁䅅杣瑂䝁䅅睙求䡁䅕䅤灂䝁䅍兙獂䡁䅍䅉䩂䝁䄴䅤求䡁䅉杢桂䡁䅑兡療䝁䄴兙獂䍁䅁䅔灂䝁䄰兡あ䝁䅕䅚杁䡁䅑睢杁䝁䅑兡穂䝁䅍睢㉂䝁䅕杣獁䍁䅁䅚求䡁䅙党獂䝁䄸䅣獁䍁䅁兙畂䝁䅑䅉橂䝁䄸兢瑂䝁䅕杣橂䝁䅫兙獂䝁䅫来求䍁䅁杢求䡁䅣䅉湂䝁䅕杢求䍁䅁党歂䝁䅫䅤灂䝁䄴睚杁䝁䄰党歂䝁䅫睙灂䝁䄴党穂䍁䅁杚療䡁䅉䅉桂䍁䅁杣桂䝁䄴睚求䍁䅁睢浂䍁䅁睢橂䡁䅕䅢桂䡁䅉䅉歂䝁䅫督療䡁䅉䅚求䡁䅉督畁䍁䅁䅖潂䝁䅕䅉橂䝁䄸兢睂䝁䅅杢㕂䍁䅁睤桂䡁䅍䅉浂䝁䄸杣瑂䝁䅕杣獂䡁䅫䅉牂䝁䄴睢㍂䝁䄴䅉桂䡁䅍䅉䡂䝁䅕杢湂䝁䅫杢求䍁䅷䅉䩂䝁䄴睙畁䍁䅁兙畂䝁䅑䅉橂䝁䅧兙畂䝁䅣党歂䍁䅁兡あ䡁䅍䅉畂䝁䅅兢求䍁䅁䅤療䍁䅁兒歂䝁䅫䅤桂䡁䅍䅉乂䝁䅕䅚灂䝁䅍兡畂䝁䅕䅌杁䕁䅫杢橂䍁䄴䅉灂䝁䄴䅉佂䝁䄸杤求䝁䄰杙求䡁䅉䅉祁䑁䅁免穁䍁䄴䅉䙂䝁䅑兡あ䝁䅅督杁䕁䄰党歂䝁䅫睙灂䝁䄴党獁䍁䅁兓畂䝁䅍杌杁䡁䅣兙穂䍁䅁兡畂䝁䅍睢祂䡁䅁睢祂䝁䅅䅤求䝁䅑䅉灂䝁䄴䅉祁䑁䅁免穁䍁䅁兙畂䝁䅑䅉灂䡁䅍䅉楂䝁䅅督求䝁䅑䅉灂䝁䄴䅉䑂䝁䅅兢楂䡁䅉兡歂䝁䅣党獁䍁䅁兔桂䡁䅍督桂䝁䅍䅡ㅂ䡁䅍党あ䡁䅑督畁䅁䅁䄳䅕乁䡁䅁䙂䝁䅑兡あ䝁䅅督杁䕁䄰党歂䝁䅫睙灂䝁䄴党獁䍁䅁兓畂䝁䅍杌獁䍁䅁兙杁䝁䅍䅢灂䝁䄴兡橂䝁䅅䅢杁䡁䅍䅤桂䝁䅣党杁䝁䅣党畂䝁䄸兢求䍁䅁党歂䝁䅫䅤灂䝁䄴睚杁䝁䅍睢瑂䡁䅁兙畂䡁䅫䅌杁䝁䅙睢橂䡁䅕督求䡁䅍䅉療䝁䄴䅉歂䝁䅕杤求䝁䅷睢睂䝁䅫杢湂䍁䅁䅤祂䝁䅅杢穂䝁䅙睢祂䝁䄰兙あ䝁䅫杤求䍁䅁睚求䝁䄴睢瑂䝁䅫睙杁䝁䄰党歂䝁䅫睙灂䝁䄴党穂䍁䅁䅤療䍁䅁䅤祂䝁䅕兙あ䍁䅁兙杁䡁䅉兙畂䝁䅣党杁䝁䄸杚杁䡁䅍党祂䝁䅫睢ㅂ䡁䅍䅉歂䝁䅫督求䝁䅅督求䡁䅍杌杁䕁䅫䅤杁䝁䅑党㉂䝁䅕䅢療䡁䅁督杁䝁䅅䅉睂䡁䅉睢睂䡁䅉兡求䡁䅑兙祂䡁䅫䅉湂䝁䅕杢求䍁䅁党歂䝁䅫䅤灂䝁䄴睚杁䡁䅁䅢桂䡁䅑杚療䡁䅉兢杁䝁䅉兙穂䝁䅕䅚杁䝁䄸杢杁䕁䅍杕䩂䙁䅍䅕卂䍁䅁䅤求䝁䅍䅡畂䝁䄸䅢療䝁䅣入畁䍁䅁䅖潂䝁䅕䅉橂䝁䄸兢睂䝁䅅杢㕂䍁䅁䅚求䡁䅙党獂䝁䄸䅣穂䍁䅁兒䕂䕁䅫䅖瑁䑁䅅䅍硁䍁䅷䅉㍂䝁䅧兡橂䝁䅧䅉灂䡁䅍䅉灂䝁䄴䅉兂䝁䅧兙穂䝁䅕䅉硁䍁䄸杍杁䕁䅉杕䩂䕁䅷䅔䩂䕁䅅杔䑂䕁䅕䅉あ䡁䅉兡桂䝁䅷䅉浂䝁䄸杣杁䕁䅷党楂䝁䅕杣杁䕁䅍睢畂䝁䅣党畂䝁䅫䅤桂䝁䅷䅉䉂䝁䄰兙ㅂ䡁䅉睢穂䝁䅫督㝁䍁䅁兙畂䝁䅑䅉祂䝁䅕杢灂䍁䄰睙求䝁䅷䅌杁䝁䅅䅉橂䝁䅷兡畂䝁䅫睙桂䝁䅷䅉歂䝁䅕杤求䝁䅷睢睂䝁䄰党畂䡁䅑䅉湂䝁䅕杢求䍁䄰党歂䝁䅫䅤求䝁䅑䅉瑂䝁䅕䅚灂䝁䅍兡畂䝁䅕䅉あ䝁䄸䅉あ䡁䅉党桂䡁䅑䅉穂䝁䅫睙牂䝁䅷党杁䝁䅍党獂䝁䅷䅉歂䝁䅫督求䝁䅅督求䍁䅁兙畂䝁䅑䅉あ䡁䅉兙畂䡁䅍杚ㅂ䡁䅍兡療䝁䄴兌歂䝁䅕䅣求䝁䄴䅚求䝁䄴䅤杁䝁䅉党あ䝁䅅兌あ䝁䅧兙獂䝁䅅督穂䝁䅕兢灂䝁䅅杌杁䕁䅫杢杁䝁䅅䅚歂䝁䅫䅤灂䝁䄸杢獁䍁䅁䅤潂䝁䅕䅉橂䝁䄸兢睂䝁䅅杢㕂䍁䅁兡穂䍁䅁䅚求䡁䅙党獂䝁䄸䅣灂䝁䄴睚杁䝁䅅䅢睂䝁䅧兙瑁䝁䅉党あ䝁䅅䅉啂䍁䅁睙求䝁䅷䅢穂䍁䅁杚療䡁䅉䅉穂䝁䄸䅢灂䝁䅑䅉桂䝁䄴䅚杁䝁䅷兡硂䡁䅕兡歂䍁䅁䅤ㅂ䝁䄰睢祂䡁䅍睏杁䝁䅅杢歂䍁䅁睚桂䝁䄰兢桂䍁䅁䅚求䝁䅷䅤桂䍁䅁䅖杁䝁䅍党獂䝁䅷䅉あ䝁䅧党祂䝁䅅䅣灂䝁䅕督杁䡁䅑睢杁䡁䅑杣求䝁䅅䅤杁䝁䅍兙畂䝁䅍党祂䍁䄴䅉䩂䡁䅑䅉潂䝁䅅督杁䝁䅅䅉祂䝁䅕督求䝁䅅杣橂䝁䅧䅉橂䝁䄸䅢獂䝁䅅杙療䡁䅉兙あ䝁䅫睢畂䍁䅁睤灂䡁䅑䅡杁䕁䅯兤畂䝁䄸䅉啂䝁䅧党祂䝁䅅䅣求䡁䅕䅤灂䝁䅍督獁䍁䅁兓畂䝁䅍杌杁䡁䅑睢杁䝁䅑党㉂䝁䅕䅢療䡁䅁䅉求䝁䄴睚灂䝁䄴党求䡁䅉党歂䍁䅁䅖杁䝁䅍党獂䝁䅷督杁䝁䅙睢祂䍁䅁睙桂䝁䄴睙求䡁䅉睏杁䡁䅍䅤祂䝁䅅䅤求䝁䅣兡橂䍁䅁兙獂䝁䅷兡桂䝁䄴睙求䍁䅁兙畂䝁䅑䅉療䡁䅁䅤灂䝁䄸杢杁䝁䅅睚祂䝁䅕党瑂䝁䅕杢あ䍁䅁睤灂䡁䅑䅡杁䕁䅅䅢獂䝁䅕杣湂䝁䅅杢杁䙁䅁䅡桂䡁䅉兢桂䝁䅍党ㅂ䡁䅑兡橂䝁䅅䅢穂䍁䅁兓畂䡁䅑党祂䝁䄴兙あ䝁䅫睢畂䝁䅅䅢杁䕁䅷兡瑂䝁䅫䅤求䝁䅑杌杁䙁䅑䅡求䍁䅁睙療䝁䄰䅣桂䝁䄴入杁䡁䅣兙穂䍁䅁杚療䡁䅉兢求䡁䅉䅢㕂䍁䅁睡畂䝁䄸睤畂䍁䅁兙穂䍁䅁睒求䝁䄴睚灂䝁䄴党獁䍁䅁兓畂䝁䅍杌杁䝁䅅杢歂䍁䅁睙潂䝁䅅杢湂䝁䅕䅚杁䝁䅫䅤穂䍁䅁杢桂䝁䄰党杁䡁䅑睢杁䕁䅕䅚灂䡁䅑兙穂䍁䅁兔求䝁䅑兡橂䝁䅫杢求䍁䅷䅉䩂䝁䄴睙畁䍁䅁兡畂䍁䅁杔療䡁䅙党瑂䝁䅉党祂䍁䅁杍睁䑁䅅睍畁䍁䅁兒歂䝁䅫䅤桂䡁䅍䅉乂䝁䅕䅚灂䝁䅍兡畂䝁䅕䅌杁䕁䅫杢橂䍁䄴䅉㍂䝁䅅督杁䝁䅫杢橂䝁䄸杣睂䝁䄸杣桂䡁䅑党歂䍁䅁兡畂䍁䅁杍睁䑁䅅睍杁䝁䅅杢歂䍁䅁兡穂䍁䅁杙桂䡁䅍党歂䍁䅁兡畂䍁䅁睑桂䝁䄰杙祂䝁䅫䅚湂䝁䅕䅌杁䕁䄰兙穂䡁䅍兙橂䝁䅧兤穂䝁䅕䅤あ䡁䅍杌䅁䕁䝯䅁煁䅁䅁兒獂䝁䅕睙あ䡁䅉睢畂䝁䅫睙杁䕁䅅杣あ䡁䅍䅉䩂䝁䄴睙畁䅁䅁睓䅉䑁䅉䅁䙂䝁䄰杙祂䝁䅅睙求䡁䅉䅉䡂䡁䅉睢ㅂ䡁䅁䅉䉂䕁䅉䅉潁䡁䅁兤楂䝁䅷克䅁䙁䍷䅁煁䅁䅁兒畂䝁䅅睙あ䍁䅁䅓療䝁䅷䅚灂䝁䄴睚穂䍁䅷䅉䩂䝁䄴睙畁䅁䅁䅢䅍䉁䄴䅁䙂䝁䄴党桂䍁䅁兑䍂䍁䅁䅋睂䡁䅕杙獂䍁䅫䅁婁䅂䅁杓䅁䕁䅕杢求䡁䅉睚㕂䍁䅁杒灂䡁䅑杢求䡁䅍督杁䙁䅁杣療䝁䅙党穂䡁䅍兡療䝁䄴兙獂䡁䅍䅉䵂䝁䅫兢灂䡁䅑党歂䅁䅁䅦䅉䍁䍑䅁䙂䝁䄴党祂䝁䅣入杁䕁䅙兡あ䝁䄴党穂䡁䅍䅉兂䡁䅉睢浂䝁䅕督穂䝁䅫睢畂䝁䅅䅢穂䍁䅁䅔灂䝁䄰兡あ䝁䅕䅚杁䝁䄰兙畂䝁䅅睚求䡁䅍䅉浂䝁䅫䅤畂䝁䅕督穂䍁䅁睙求䝁䄴䅤祂䝁䅕督杁䡁䅁杣療䡁䅙兡歂䝁䅫杢湂䍁䅁睙療䡁䅉䅣療䡁䅉兙あ䝁䅕䅉浂䝁䅫䅤畂䝁䅕督穂䍁䅁督求䡁䅉杤灂䝁䅍党穂䍁䄴䅉啂䝁䅧党杁䝁䅍睢瑂䡁䅁兙畂䡁䅫䅉㍂䝁䅅督杁䝁䅙睢ㅂ䝁䄴䅚求䝁䅑䅉灂䝁䄴䅉硁䑁䅫兏睁䍁䅁兙畂䝁䅑䅉灂䡁䅍䅉楂䝁䅅督求䝁䅑䅉灂䝁䄴䅉䵂䝁䄸杢歂䝁䄸杢獁䍁䅁兖畂䝁䅫䅤求䝁䅑䅉䱂䝁䅫杢湂䝁䅑睢瑂䍁䄴䅉䉂䡁䅍䅉療䝁䅙䅉䕂䝁䅕睙求䝁䄰杙求䡁䅉䅉硁䑁䅙䅌杁䑁䅉䅍祁䑁䅅䅌杁䕁䅕杢求䡁䅉睚㕂䍁䅁杒灂䡁䅑杢求䡁䅍督杁䙁䅁杣療䝁䅙党穂䡁䅍兡療䝁䄴兙獂䡁䅍䅉䵂䝁䅫兢灂䡁䅑党歂䍁䅁睢睂䝁䅕杣桂䡁䅑党穂䍁䅁兙穂䍁䅁兙杁䡁䅍兤楂䡁䅍兡歂䝁䅫兙祂䡁䅫䅉療䝁䅙䅉啂䝁䄸䅤桂䝁䅷䅢㕂䍁䅁䅣獂䝁䅍杌䅁䡁䌴䅁奁䅁䅁兒睂䡁䅍兡獂䝁䄸睚杁䙁䅍兑呂䅁䅁儴䅉佁䍯䅁䙂䡁䅁督灂䝁䅷睢湂䍁䅁睕䉂䙁䅍䅉療䝁䅙杚求䡁䅉督杁䝁䅙杣求䝁䅫睚潂䡁䅑䅉浂䝁䄸杣㍂䝁䅅杣歂䝁䅫杢湂䍁䅷䅉あ䡁䅉兤橂䝁䅳兡畂䝁䅣䅌杁䝁䅅杢歂䍁䅁䅢療䝁䅣兡穂䡁䅑兡橂䍁䅁督求䡁䅉杤灂䝁䅍党穂䍁䄴䅉啂䝁䅧党杁䝁䅍睢瑂䡁䅁兙畂䡁䅫䅉睂䡁䅉睢㉂䝁䅫䅚求䍁䅁杤求䝁䄴䅚療䡁䅉䅉瑂䝁䅅杢桂䝁䅣党瑂䝁䅕杢あ䍁䅁督求䡁䅉杤灂䝁䅍党獁䍁䅁睙療䝁䄴督灂䝁䅣杢求䝁䅑䅉穂䡁䅑睢橂䝁䅳督獁䍁䅁䅣祂䝁䄸䅚ㅂ䝁䅍䅤灂䝁䄸杢杁䡁䅍兡あ䝁䅕䅉穂䡁䅕䅣睂䝁䅷兡求䡁䅍䅌杁䡁䅉党桂䝁䅷兌あ䝁䅫兢求䍁䅁督あ䝁䄸睙牂䍁䅁睙療䝁䄴䅤祂䝁䄸䅢獁䍁䅁兣ㅂ䝁䅅䅢灂䡁䅑入杁䝁䅍睢畂䡁䅑杣療䝁䅷䅌杁䡁䅍䅤療䡁䅉兙湂䝁䅕䅉療䝁䅙䅉浂䝁䅫杢灂䡁䅍䅡求䝁䅑䅉桂䝁䄴䅚杁䡁䅍党瑂䝁䅫兌浂䝁䅫杢灂䡁䅍䅡求䝁䅑䅉睂䡁䅉睢歂䡁䅕睙あ䡁䅍䅌杁䝁䄸杣歂䝁䅕杣杁䡁䅁杣求䡁䅁兙祂䝁䅅䅤灂䝁䄸杢獁䍁䅁睡灂䡁䅑䅤灂䝁䄴睚獁䍁䅁兙畂䝁䅑䅉睂䝁䅅睙牂䝁䅅睚灂䝁䄴睚杁䡁䅍党祂䡁䅙兡橂䝁䅕督畁䍁䅁兒睂䡁䅍兡獂䝁䄸睚杁䙁䅍兑呂䍁䅁睤桂䡁䅍䅉灂䝁䄴睙療䡁䅉䅣療䡁䅉兙あ䝁䅕䅚杁䝁䅫杢杁䑁䅅兏㕁䑁䅍䅉桂䝁䄴䅚杁䝁䅫督杁䝁䅉兙穂䝁䅕䅚杁䝁䅫杢杁䕁䄰兡療䝁䄴督獁䍁䅁杒祂䝁䅅杢橂䝁䅕杌䅁佁䍯䅁楁䅁䅁兒睂䡁䅍兡獂䝁䄸杢杁䕁䄴党あ䍁䅁睕畁䕁䅅杌䅁偁䌴䅁䵂䅁䅁兒ㅂ䡁䅉兙㙂䝁䅕睢杁䙁䅍兒㝁䍁䅁睕桂䝁䅣兙祂䝁䅑䅉呂䕁䅅睕㝁䍁䅁睕桂䝁䅣兙祂䝁䅑䅉佂䝁䅕睤䡂䝁䅕杢䅁䥁䉳䅁㑁䅁䅁兒㉂䝁䅕杣穂䝁䅕睙杁䙁䅑党橂䝁䅧杢療䝁䅷睢湂䡁䅫䅉䑂䝁䄸杌獁䕁䅷䅤歂䍁䄴䅁䱄允䅁䅈䅁䕁䅕䅥桂䝁䅉党桂䝁䄰䅌杁䕁䅫杢橂䍁䄴䅁㉃允䅁䅋䅁䕁䅕䅥睂䝁䅕䅚灂䝁䅅䅉䡂䡁䅉睢ㅂ䡁䅁䅌杁䕁䅫杢橂䍁䄴䅁祄杁䅁杌䅁䕁䅕䅥あ䡁䅉党瑂䝁䅕䅉佂䝁䅕䅤㍂䝁䄸杣牂䡁䅍䅌杁䕁䅫杢橂䍁䄴䅁㥁允䅁䅒䅁䕁䅙兌呂䝁䅕睙ㅂ䡁䅉党杁䕁䄸入煂䍁䅁䅋畂䝁䅳兙㙁䙁䅣兡あ䝁䅧睕求䝁䅍兤祂䝁䅕䅉偂䡁䅫条灁䅁䅁八䅅䑁䅁䅁䝂䕁䅅杕偂䍁䅁䅖求䝁䅍䅡畂䝁䄸䅢療䝁䅣兡求䡁䅍䅌杁䕁䅫杢橂䍁䄴䅁䉂允䅁杂䅁䕁䅙兗䅁䅁䄸䅁䥁䅁䅁杒婂䑁䅁䅁䝁䅁䅁杄䅁䕁䅙兗祁䑁䅁免㍁䅁䅁杆䅁䅁䄴䅁䝂䙁䅫杍睁䑁䅅䅏䅁䍁䅁䅁佁䅁䅁杒婂䑁䅉䅍硁䑁䅫䅁䥁䅁䅁杄䅁䕁䅙兗祁䑁䅁杍睁䅁䅁光䅁䅁䄴䅁䝂䙁䅫杍睁䑁䅉免䅁䉁䅷䅁佁䅁䅁杒婂䑁䅉䅍祁䑁䅉䅁呁䅁䅁杄䅁䕁䅙兗祁䑁䅁杍穁䅁䅁睃䅁䝁䄴䅁䝂䝁䅅䅢桂䝁䄴䅥杁䕁䅣杣療䡁䅕䅣杁䕁䅷兡瑂䝁䅫䅤求䝁䅑䅉潁䝁䄴睡桂䑁䅯睑獂䝁䄸兤歂䝁䅙兡求䝁䅷䅚杁䕁䅧睢獂䝁䅑兡畂䝁䅣督杁䕁䅷兡瑂䝁䅫䅤求䝁䅑克䅁䉁䕷䅁祂䅁䅁杒桂䝁䅷兙畂䡁䅧䅉䡂䡁䅉睢ㅂ䡁䅁䅉䵂䝁䅫兢灂䡁䅑党歂䍁䅁䅋畂䝁䅳兙㙁䕁䅙兙獂䝁䅅杢㑂䍁䅁睑㕂䝁䅉党祂䍁䅁睕求䝁䅍兤祂䝁䅫䅤㕂䍁䅁䅔灂䝁䄰兡あ䝁䅕䅚灁䅁䅁杸䅁䍁䅷䅁䝂䝁䅫杢煂䝁䅅杢杁䕁䅧睢獂䝁䅑兡畂䝁䅣督獁䍁䅁兓畂䝁䅍杌䅁乁䉫䅁㑁䅁䅁杒灂䡁䅉督あ䍁䅁村桂䡁䅍党杁䙁䅑党橂䝁䅧杢療䝁䅷睢湂䝁䅫党穂䍁䅁䅔䵂䙁䅁䅁䙄䅁䅁杂䅉䕁䅙兡祂䡁䅍䅤杁䕁䅉兙穂䝁䅕䅉啂䝁䅕睙潂䝁䄴睢獂䝁䄸睚灂䝁䅕督杁䕁䅷䅔兂䍁䅁䅣祂䝁䄸杤灂䝁䅑党穂䍁䅁睙㕂䝁䅉党祂䍁䅁督求䝁䅍兤祂䝁䅫䅤㕂䍁䅁䅤求䡁䅍䅤灂䝁䄴睚杁䝁䅅杢歂䍁䅁睙療䝁䄴督ㅂ䝁䅷䅤灂䝁䄴睚杁䡁䅍党祂䡁䅙兡橂䝁䅕督畁䍁䅁䅖潂䝁䅕䅉橂䝁䄸兢睂䝁䅅杢㕂䍁䅁睤桂䡁䅍䅉浂䝁䄸兤畂䝁䅑党歂䍁䅁兡畂䍁䅁免㕁䑁䅧兏杁䝁䅅杢歂䍁䅁兡穂䍁䅁杙桂䡁䅍党歂䍁䅁兡畂䍁䅁䅓桂䡁䅍督療䝁䅍睡穂䍁䅷䅉噂䝁䄴兡あ䝁䅕䅚杁䕁䅳兡畂䝁䅣䅚療䝁䄰杌杁䕁䅅督杁䝁䄸杚杁䕁䄰兙祂䝁䅍䅡杁䑁䅅杍獁䍁䅁杍睁䑁䅅䅏獁䍁䅁杒灂䡁䅉督あ䍁䅁村桂䡁䅍党杁䙁䅑党橂䝁䅧杢療䝁䅷睢湂䝁䅫党穂䍁䅁䅔䵂䙁䅁䅉療䡁䅁党祂䝁䅅䅤求䡁䅍䅉桂䡁䅍䅉桂䍁䅁督ㅂ䝁䅉督灂䝁䅑兡桂䡁䅉入杁䝁䄸杚杁䕁䅙兙獂䝁䅅杢㑂䍁䅁睒祂䝁䄸兤睂䍁䅁䅔灂䝁䄰兡あ䝁䅕䅚畁䅁䅁兹䅁䍁䅁䅁䝂䝁䅫杣穂䡁䅑睙桂䡁䅕䅤灂䝁䄸杢杁䙁䅍兑䅁䝁䑧䅁歁䅁䅁杒灂䡁䅑杢求䡁䅍督杁䙁䅣睢祂䝁䅷䅚杁䕁䅅睌呂䅁䅁杤䅉䭁䑧䅁䝂䝁䅫䅤畂䝁䅕督穂䍁䅁睖療䡁䅉䅢歂䍁䅁兑癁䙁䅍䅉療䡁䅣杢穂䍁䅁兙畂䝁䅑䅉療䡁䅁党祂䝁䅅䅤求䡁䅍䅉桂䍁䅁睙潂䝁䅅兡畂䍁䅁睢浂䍁䅁杚灂䡁䅑杢求䡁䅍督杁䝁䅍党畂䡁䅑党祂䡁䅍䅉桂䝁䄴䅚杁䝁䅣入瑂䡁䅍杌杁䙁䅑䅡求䍁䅁睙療䝁䄰䅣桂䝁䄴入杁䡁䅁杣療䡁䅙兡歂䝁䅕督杁䡁䅁党祂䡁䅍睢畂䝁䅅䅢杁䡁䅑杣桂䝁䅫杢灂䝁䄴睚杁䝁䅅杢歂䍁䅁䅚灂䝁䅕䅤杁䝁䅅杢歂䍁䅁睙潂䝁䅅杣あ䍁䅁䅣獂䝁䅅杢穂䍁䄴䅉䩂䡁䅑䅉桂䝁䅷督療䍁䅁䅣祂䝁䄸杤灂䝁䅑党穂䍁䅁䅤祂䝁䅅兡畂䝁䅫杢湂䍁䅁䅤潂䡁䅉睢ㅂ䝁䅣䅡杁䝁䅅杢杁䝁䅅䅣睂䝁䅷兡橂䝁䅅䅤灂䝁䄸杢杁䡁䅍睢浂䡁䅑睤桂䡁䅉党畁䍁䅁杒灂䡁䅑杢求䡁䅍督杁䙁䅣睢祂䝁䅷䅚杁䕁䅅睌呂䍁䅁睤桂䡁䅍䅉浂䝁䄸杣瑂䝁䅕杣獂䡁䅫䅉牂䝁䄴睢㍂䝁䄴䅉桂䡁䅍䅉䝂䕁䅫䅖佂䕁䅕睕呂䍁䅁睖偂䙁䅉䅔䕂䍁䅁兑睂䙁䅍䅉桂䝁䄴䅚杁䝁䅍䅡桂䝁䄴睚求䝁䅑䅉灂䡁䅑督杁䝁䄴兙瑂䝁䅕䅉あ䝁䄸䅉䝂䝁䅫䅤畂䝁䅕督穂䍁䅁睖療䡁䅉䅢歂䍁䅁兑癁䙁䅍䅉灂䝁䄴䅉䭂䡁䅕杢求䍁䅁杍睁䑁䅁䅏畁䍁䅁䅖潂䝁䅕䅉橂䝁䄸兢睂䝁䅅杢㕂䍁䅁睤桂䡁䅍䅉灂䝁䄴睙療䡁䅉䅣療䡁䅉兙あ䝁䅕䅚杁䝁䅫杢杁䑁䅉䅍睁䑁䅁䅉桂䝁䄴䅚杁䝁䅫督杁䝁䅉兙穂䝁䅕䅚杁䝁䅫杢杁䙁䅙兙獂䝁䅉入獁䍁䅁䅒求䝁䄴兢桂䡁䅉睡畁䭁䅁兑穂䍁䅁睢浂䍁䅁杓桂䝁䄴兤桂䡁䅉入杁䑁䅅䅎獁䍁䅁杍睁䑁䅉䅍獁䍁䅁杒灂䡁䅑杢求䡁䅍督杁䙁䅣睢祂䝁䅷䅚杁䕁䅅睌呂䍁䅁睢睂䝁䅕杣桂䡁䅑党穂䍁䅁兙穂䍁䅁兙杁䡁䅍兤楂䡁䅍兡歂䝁䅫兙祂䡁䅫䅉療䝁䅙䅉兂䡁䅕杣求䍁䅁睒㕂䝁䄰䅉䵂䝁䅫兢灂䡁䅑党歂䍁䄴䅁㕂杁䅁䅉䅁䕁䅙睢祂䝁䅣党卂䝁䄸睙牂䍁䅷䅉䩂䝁䄴睙畁䅁䅁䅱䅁䉁佷䅁䝂䝁䄸杣湂䝁䅕杕療䝁䅍睡獁䍁䅁兓畂䝁䅍杌獁䍁䅁䅤潂䡁䅉睢ㅂ䝁䅣䅡杁䝁䅫䅤穂䍁䅁督ㅂ䝁䅉督灂䝁䅑兡桂䡁䅉兡求䡁䅍䅌杁䝁䄸䅣求䡁䅉兙あ䝁䅕督杁䝁䅅䅉歂䝁䅫睚灂䡁䅑兙獂䍁䅁兡歂䝁䅕杢あ䝁䅫䅤㕂䍁䅁䅣獂䝁䅅䅤浂䝁䄸杣瑂䍁䅁䅤療䍁䅁督求䝁䅍兤祂䝁䅕䅌杁䝁䄰兙畂䝁䅅睚求䍁䅷䅉桂䝁䄴䅚杁䝁䅣睢㉂䝁䅕杣畂䍁䅁䅤潂䝁䅕䅉灂䝁䅑党畂䡁䅑兡あ䝁䅫党穂䍁䅁睢浂䍁䅁睙ㅂ䡁䅍䅤療䝁䄰党祂䡁䅍䅌杁䝁䅕兢睂䝁䅷睢㕂䝁䅕党穂䍁䅷䅉睂䝁䅅杣あ䝁䄴党祂䡁䅍䅌杁䝁䅅䅣睂䝁䅷兡橂䝁䅅䅤灂䝁䄸杢杁䡁䅁杣療䝁䅣杣桂䝁䄰兢灂䝁䄴睚杁䝁䅫杢あ䝁䅕杣浂䝁䅅睙求䡁䅍䅉潁䕁䅅䅕䩂䡁䅍克獁䍁䅁兢灂䝁䅍杣療䡁䅍党祂䡁䅙兡橂䝁䅕督獁䍁䅁䅚求䡁䅙兡橂䝁䅕督獁䍁䅁兙畂䝁䅑䅉あ䝁䅧党杁䕁䅫杢あ䝁䅕杣畂䝁䅕䅤杁䝁䄸杚杁䙁䅑䅡灂䝁䄴睚穂䍁䅁睤療䡁䅉䅢歂䡁䅣兡歂䝁䅕杌杁䙁䅑䅡求䍁䅁睙療䝁䄰䅣桂䝁䄴入杁䝁䄸杚浂䝁䅕杣穂䍁䅁兡歂䝁䅕杢あ䝁䅫䅤㕂䍁䅁兢桂䝁䄴兙湂䝁䅕兢求䝁䄴䅤杁䡁䅁杣療䝁䅑兤橂䡁䅑督杁䡁䅑睢杁䝁䅅兤あ䝁䄸兢桂䡁䅑党杁䝁䄸杢楂䝁䄸兙祂䝁䅑兡畂䝁䅣睌祂䝁䅕睚灂䡁䅍䅤祂䝁䅅䅤灂䝁䄸杢杁䝁䅅杢歂䍁䅁䅣祂䝁䄸睚祂䝁䅕督穂䝁䅫杤求䍁䅁䅣祂䝁䄸杚灂䝁䅷兡畂䝁䅣䅌杁䝁䅫䅚求䝁䄴䅤灂䡁䅑入杁䝁䅷兡浂䝁䅕睙㕂䝁䅍䅢求䍁䅁兙畂䝁䅑䅉祂䝁䅕䅢桂䡁䅑兡療䝁䄴督潂䝁䅫䅣杁䝁䄰兙畂䝁䅅睚求䝁䄰党畂䡁䅑䅌杁䝁䅫䅚求䝁䄴䅤灂䡁䅑入杁䡁䅁杣療䡁䅙兡穂䝁䅫睢畂䝁䅫杢湂䍁䅁兙畂䝁䅑䅉穂䡁䅫杢橂䝁䅧杣療䝁䄴兡㙂䝁䅅䅤灂䝁䄸杢獁䍁䅁兤穂䝁䅕杣杁䡁䅍党獂䝁䅙兌穂䝁䅕杣㉂䝁䅫睙求䍁䅷䅉睂䝁䅕杣穂䝁䄸杢桂䝁䅷兡㙂䝁䅅䅤灂䝁䄸杢獁䍁䅁䅚求䝁䅷党湂䝁䅅䅤灂䝁䄸杢獁䍁䅁兙畂䝁䅑䅉睂䡁䅉兡㉂䝁䅅睙㕂䍁䅁兙畂䝁䅑䅉橂䝁䄸杢穂䝁䅕杢あ䍁䅁兢桂䝁䄴兙湂䝁䅕兢求䝁䄴䅤畁䍁䅁兓あ䍁䅁兙獂䡁䅍睢杁䡁䅁杣療䡁䅙兡歂䝁䅕督杁䝁䅅睙橂䝁䅕督穂䍁䅁兢桂䝁䄴兙湂䝁䅕兢求䝁䄴䅤杁䡁䅁杣療䝁䅑兤橂䡁䅑督獁䍁䅁督ㅂ䝁䅍䅡杁䝁䅅督杁䡁䅁兙穂䡁䅍睤療䡁䅉䅚杁䝁䅷党穂䡁䅍䅌杁䡁䅕督求䡁䅉杢桂䝁䄰党杁䝁䅷党穂䡁䅍䅌杁䝁䅅杢歂䍁䅁兢ㅂ䝁䅷䅤灂䍁䄰杚桂䝁䅍䅤療䡁䅉䅉桂䡁䅕䅤潂䝁䅕杢あ䝁䅫睙桂䡁䅑兡療䝁䄴睏杁䡁䅍兡畂䝁䅣䅢求䍁䅁督灂䝁䅣杢瑁䝁䄸杢㝁䍁䅁睙療䝁䄴䅤求䡁䅧䅤ㅂ䝁䅅䅢杁䝁䅅杢歂䍁䅁兙歂䝁䅅䅣あ䝁䅫杤求䍁䅁杣灂䡁䅍睡瑁䝁䅉兙穂䝁䅕䅚杁䝁䅅睙橂䝁䅕督穂䑁䅳䅉浂䝁䅫杢求䍁䄰睚祂䝁䅅兡畂䝁䅕䅚杁䝁䅅兤あ䝁䅧睢祂䝁䅫来桂䡁䅑兡療䝁䄴睏杁䕁䅅䅕䩂䍁䅁兙畂䝁䅑䅉瑂䝁䅫睙祂䝁䄸督求䡁䅉杤灂䝁䅍党穂䍁䅁督求䝁䅍兤祂䝁䅫䅤㕂䑁䅳䅉桂䝁䄴䅚杁䡁䅍党橂䡁䅕杣求䍁䅁兡瑂䡁䅁党祂䡁䅍睢畂䝁䅅䅤灂䝁䄸杢杁䝁䅅杢歂䍁䅁䅚桂䡁䅑兙杁䡁䅍䅡桂䡁䅉兡畂䝁䅣杌杁䕁䅫杢杁䝁䅅䅚歂䝁䅫䅤灂䝁䄸杢獁䍁䅁䅤潂䝁䅕䅉橂䝁䄸兢睂䝁䅅杢㕂䍁䅁睢浂䝁䅙党祂䡁䅍䅉灂䝁䅑党畂䡁䅑兡あ䡁䅫䅉湂䝁䄸杤求䡁䅉杢桂䝁䄴睙求䍁䅁䅣祂䝁䄸䅚ㅂ䝁䅍䅤穂䍁䅷䅉灂䝁䄴睙獂䡁䅕䅚灂䝁䄴睚杁䝁䅅睙橂䝁䅕督穂䍁䅁杣求䡁䅅兤求䡁䅍䅤穂䍁䅁䅤潂䝁䅅䅤杁䝁䅅䅢獂䝁䄸睤杁䡁䅕督求䡁䅉督杁䡁䅑睢杁䡁䅉党硂䡁䅕党穂䡁䅑䅉桂䝁䅍睙求䡁䅍督杁䡁䅑睢杁䡁䅍入穂䡁䅑党瑂䡁䅍䅉療䡁䅉䅉桂䡁䅁䅣獂䝁䅫睙桂䡁䅑兡療䝁䄴督杁䡁䅑䅡祂䝁䄸兤湂䝁䅧䅉灂䝁䄴䅤求䝁䅣杣桂䡁䅑兡療䝁䄴䅉㍂䝁䅫䅤潂䍁䅁䅡求䝁䅷䅣杁䝁䅑党穂䝁䅳䅉療䡁䅉䅉穂䝁䅕杣㉂䝁䅫睙求䍁䅁䅤灂䝁䅍睡求䡁䅑兡畂䝁䅣䅉穂䡁䅫督あ䝁䅕兢穂䑁䅳䅉桂䝁䅍睙求䡁䅍督杁䡁䅉党㉂䝁䅫党㍂䡁䅍䅉桂䝁䄴䅚杁䝁䅍党祂䡁䅑兡浂䝁䅫睙桂䡁䅑兡療䝁䄴督㝁䍁䅁督求䝁䅣杣求䝁䅣兙あ䝁䅫睢畂䍁䅁睢浂䍁䅁䅚ㅂ䡁䅑兡求䡁䅍睏杁䡁䅉睢獂䝁䅕䅉桂䝁䄴䅚杁䝁䅕杢あ䝁䅫䅤獂䝁䅕兢求䝁䄴䅤杁䝁䄰兙畂䝁䅅睚求䝁䄰党畂䡁䅑睏杁䡁䅁睢獂䝁䅫睙㕂䍁䅁兢桂䝁䄴兙湂䝁䅕兢求䝁䄴䅤㝁䍁䅁兡歂䝁䅕杢あ䝁䅫䅤㕂䍁䅁睤療䡁䅉睡浂䝁䅷睢㍂䡁䅍䅌杁䡁䅣䅡灂䝁䅍䅡杁䝁䅕杢桂䝁䅉䅢求䍁䅁党畂䡁䅑党祂䡁䅁杣灂䡁䅍党穂䍁䅁䅤療䍁䅁睙療䝁䄴杢求䝁䅍䅤杁䡁䅑䅡求䝁䅫杣杁䝁䅉兤穂䝁䅫杢求䡁䅍督杁䡁䅁杣療䝁䅍党穂䡁䅍党穂䍁䅁睤灂䡁䅑䅡杁䝁䅫䅚求䝁䄴䅤灂䡁䅑入杁䝁䅕杤求䝁䄴䅤穂䑁䅳䅉桂䝁䄴䅚杁䡁䅉党睂䝁䄸杣あ䝁䅫杢湂䍁䅁兙畂䝁䅑䅉桂䝁䄴兙獂䡁䅫䅤灂䝁䅍督畁䍁䅁杒ㅂ䡁䅉䅤潂䝁䅕杣獁䍁䅁兡あ䍁䅁䅣祂䝁䄸杤灂䝁䅑党穂䍁䅁兙ㅂ䡁䅑睢畂䝁䄸兢療䡁䅕督杁䝁䅫䅚求䝁䄴䅤灂䡁䅑入杁䡁䅁杣療䝁䅑兤橂䡁䅑督杁䡁䅑䅡桂䡁䅑䅉橂䝁䄸兢睂䡁䅉兡穂䝁䅕䅉睂䡁䅉党歂䝁䅫睙あ䝁䅫杤求䍁䅁睙療䝁䄴杚灂䝁䅑党畂䝁䅍党杁䡁䅍睙療䡁䅉党穂䍁䅁杚療䡁䅉䅉桂䝁䅍睙求䡁䅍督㝁䍁䅁睢㉂䝁䅕杣睂䡁䅉睢㉂䝁䅫督灂䝁䄸杢求䝁䅑䅉桂䝁䅍睙求䡁䅍督杁䝁䅑党あ䝁䅕睙あ䝁䅫睢畂䍁䅁兙畂䝁䅑䅉桂䝁䅍睙求䡁䅍督杁䡁䅉党㉂䝁䄸睙桂䡁䅑兡療䝁䄴䅉祂䝁䅕睙療䝁䄰兢求䝁䄴䅚桂䡁䅑兡療䝁䄴督㝁䍁䅁睢ㅂ䡁䅑䅢灂䝁䅕杣杁䝁䅑党あ䝁䅕睙あ䝁䅫睢畂䑁䅳䅉灂䝁䅑党畂䡁䅑兡あ䡁䅫䅉桂䡁䅕䅤療䝁䄰兙あ䝁䅫睢畂䍁䅁杣求䝁䅍睢瑂䝁䄰党畂䝁䅑兙あ䝁䅫睢畂䡁䅍睏杁䡁䅉睢獂䝁䅕䅉瑂䝁䅫杢灂䝁䄴睚杁䝁䅅杢歂䍁䅁杣求䝁䅍睢瑂䝁䄰党畂䝁䅑兙あ䝁䅫睢畂䡁䅍睏杁䝁䅯睢灂䝁䄴党祂䍁䅷䅉瑂䝁䄸杤求䡁䅉䅌杁䝁䅅杢歂䍁䅁䅢求䝁䅅杤求䡁䅉䅉桂䝁䅍睙求䡁䅍督杁䝁䅅兤あ䝁䄸兢桂䡁䅑兡療䝁䄴睏杁䝁䅅兤あ䝁䅧党畂䡁䅑兡橂䝁䅅䅤灂䝁䄸杢杁䝁䅅杢療䝁䄰兙獂䡁䅫䅉歂䝁䅕䅤求䝁䅍䅤灂䝁䄸杢㝁䍁䅁兙畂䝁䅑䅉橂䝁䄸兢瑂䝁䄸杢杁䝁䅅䅤あ䝁䅅睙牂䍁䅁䅣祂䝁䅕杤求䝁䄴䅤灂䝁䄸杢畁䍁䅁杒療䡁䅉睚求䙁䅉睢橂䝁䅳䅌杁䕁䅫杢橂䍁䄴䅉㍂䝁䅅督杁䝁䅙睢ㅂ䝁䄴䅚求䝁䅑䅉灂䝁䄴䅉祁䑁䅁䅍㕁䍁䅁兙畂䝁䅑䅉灂䡁䅍䅉潂䝁䅕兙歂䡁䅅兤桂䡁䅉䅤求䡁䅉党歂䍁䅁兡畂䍁䅁睕桂䝁䄴䅉䝂䡁䅉兙畂䝁䅍兡穂䝁䅍睢獁䍁䅁睑桂䝁䅷兡浂䝁䄸杣畂䝁䅫兙畁䍁䅁兑穂䍁䅁睢浂䍁䅁兑ㅂ䝁䅣兤穂䡁䅑䅉祁䑁䅍䅌杁䑁䅉䅍祁䑁䅍䅌杁䕁䅙睢祂䝁䅣党卂䝁䄸睙牂䍁䅷䅉䩂䝁䄴睙畁䍁䅁睤桂䡁䅍䅉あ䝁䅅睡求䝁䄴䅉睂䡁䅉兡㉂䝁䅅䅤求䍁䄴䅁楁䅂䅁杆䄴䕁䅙睢祂䝁䅣党卂䝁䄸睙牂䍁䅷䅉䩂䝁䄴睙畁䍁䅷䅉あ䝁䄸睚求䡁䅑䅡求䡁䅉䅉㍂䝁䅫䅤潂䍁䅁兡あ䡁䅍䅉穂䡁䅕杙穂䝁䅫䅚灂䝁䅅杣灂䝁䅕督獁䍁䅁睢睂䝁䅕杣桂䡁䅑党穂䍁䅁兙杁䝁䅑兡湂䝁䅫䅤桂䝁䅷䅉灂䝁䅑党畂䡁䅑兡あ䡁䅫䅉睂䝁䅷兙あ䝁䅙睢祂䝁䄰䅉あ䝁䄸䅉穂䝁䅕睙ㅂ䡁䅉党獁䍁䅁兢桂䝁䄴兙湂䝁䅕䅌杁䝁䅅杢歂䍁䅁睚療䡁䅙党祂䝁䄴䅉あ䝁䅧党杁䝁䅫䅚求䝁䄴䅤灂䡁䅑兡求䡁䅍䅉療䝁䅙䅉橂䡁䅕督あ䝁䄸兢求䡁䅉督獁䍁䅁党瑂䡁䅁䅢療䡁䅫党求䡁䅍䅌杁䡁䅁兙祂䡁䅑杢求䡁䅉督獁䍁䅁兙睂䡁䅁䅢灂䝁䅍兙あ䝁䅫睢畂䍁䅁䅣祂䝁䄸睚祂䝁䅅兢瑂䝁䅫杢湂䍁䅁兡畂䡁䅑党祂䝁䅙兙橂䝁䅕督杁䍁䅧兑兂䕁䅫督灁䍁䅷䅉瑂䝁䅫睙祂䝁䄸督求䡁䅉杤灂䝁䅍党穂䍁䅷䅉歂䝁䅕杤灂䝁䅍党穂䍁䅷䅉桂䝁䄴䅚杁䡁䅑䅡求䍁䅁兓畂䡁䅑党祂䝁䄴党あ䍁䅁睢浂䍁䅁䅖潂䝁䅫杢湂䡁䅍䅉㍂䝁䄸杣獂䝁䅑睤灂䝁䅑党畁䍁䅁䅖潂䝁䅕䅉橂䝁䄸兢睂䝁䅅杢㕂䍁䅁睢浂䝁䅙党祂䡁䅍䅉灂䝁䅑党畂䡁䅑兡あ䡁䅫䅉瑂䝁䅅杢桂䝁䅣党瑂䝁䅕杢あ䍁䅁䅣祂䝁䄸䅚ㅂ䝁䅍䅤穂䍁䅁䅤療䍁䅁兙ㅂ䡁䅑睢瑂䝁䅅䅤求䍁䅁睢畂䝁䅉睢桂䡁䅉䅚灂䝁䄴睚癁䡁䅉党湂䝁䅫督あ䡁䅉兙あ䝁䅫睢畂䍁䅁兙畂䝁䅑䅉睂䡁䅉睢湂䡁䅉党穂䡁䅍兡㉂䝁䅕䅉睂䡁䅉睢浂䝁䅫䅢灂䝁䄴睚獁䍁䅁兡歂䝁䅕杢あ䝁䅫䅤㕂䍁䅁䅢灂䝁䅙党橂䡁䅫睙獂䝁䅕䅉桂䝁䄴䅚杁䡁䅉党獂䝁䅅䅤灂䝁䄸杢穂䝁䅧兡睂䍁䅁兢桂䝁䄴兙湂䝁䅕兢求䝁䄴䅤獁䍁䅁兡歂䝁䅕杢あ䝁䅫䅤㕂䍁䅁䅣祂䝁䄸杤灂䡁䅍兡療䝁䄴兡畂䝁䅣䅉桂䝁䄴䅚杁䡁䅍入畂䝁䅍䅡祂䝁䄸杢灂䡁䅯兙あ䝁䅫睢畂䍁䅷䅉ㅂ䡁䅍党祂䍁䅁督求䝁䅷杚瑁䡁䅍党祂䡁䅙兡橂䝁䅕䅌杁䡁䅁党祂䡁䅍睢畂䝁䅅䅢灂䡁䅯兙あ䝁䅫睢畂䍁䅷䅉歂䝁䅕䅢求䝁䅣兙あ䝁䅫睢畂䍁䅷䅉桂䝁䄴䅚杁䡁䅁杣灂䡁䅙兙橂䡁䅫䅉桂䝁䄴䅚杁䝁䅍睢畂䡁䅍党畂䡁䅑䅉瑂䝁䅅杢桂䝁䅣党瑂䝁䅕杢あ䍁䄴䅉䩂䡁䅑䅉桂䝁䅷督療䍁䅁䅣祂䝁䄸杤灂䝁䅑党穂䍁䅁兙橂䝁䅍党穂䡁䅍䅉瑂䝁䅅杢桂䝁䅣党瑂䝁䅕杢あ䍁䅁䅣祂䝁䄸䅚ㅂ䝁䅍䅤穂䍁䅷䅉穂䡁䅕睙潂䍁䅁兙穂䍁䅁䅣桂䡁䅍督㍂䝁䄸杣歂䝁䅷党穂䡁䅍䅌杁䡁䅕督求䡁䅉杢桂䝁䄰党杁䝁䅷党穂䡁䅍䅌杁䝁䅅杢歂䍁䅁兢ㅂ䝁䅷䅤灂䍁䄰杚桂䝁䅍䅤療䡁䅉䅉桂䡁䅕䅤潂䝁䅕杢あ䝁䅫睙桂䡁䅑兡療䝁䄴睏杁䡁䅍兡畂䝁䅣䅢求䍁䅁督灂䝁䅣杢瑁䝁䄸杢㝁䍁䅁睙療䝁䄴䅤求䡁䅧䅤ㅂ䝁䅅䅢杁䝁䅅杢歂䍁䅁兙歂䝁䅅䅣あ䝁䅫杤求䍁䅁杣灂䡁䅍睡瑁䝁䅉兙穂䝁䅕䅚杁䝁䅅睙橂䝁䅕督穂䑁䅳䅉浂䝁䅫杢求䍁䄰睚祂䝁䅅兡畂䝁䅕䅚杁䝁䅅兤あ䝁䅧睢祂䝁䅫来桂䡁䅑兡療䝁䄴睏杁䕁䅅䅕䩂䍁䅁兙畂䝁䅑䅉瑂䝁䅫睙祂䝁䄸督求䡁䅉杤灂䝁䅍党穂䍁䅁督求䝁䅍兤祂䝁䅫䅤㕂䑁䅳䅉桂䝁䄴䅚杁䡁䅍党橂䡁䅕杣求䍁䅁兡瑂䡁䅁党祂䡁䅍睢畂䝁䅅䅤灂䝁䄸杢杁䝁䅅杢歂䍁䅁䅚桂䡁䅑兙杁䡁䅍䅡桂䡁䅉兡畂䝁䅣杌杁䕁䅫杢杁䝁䅅䅚歂䝁䅫䅤灂䝁䄸杢獁䍁䅁䅤潂䝁䅕䅉橂䝁䄸兢睂䝁䅅杢㕂䍁䅁睢浂䝁䅙党祂䡁䅍䅉灂䝁䅑党畂䡁䅑兡あ䡁䅫䅉湂䝁䄸杤求䡁䅉杢桂䝁䄴睙求䍁䅁䅣祂䝁䄸䅚ㅂ䝁䅍䅤穂䍁䅷䅉灂䝁䄴睙獂䡁䅕䅚灂䝁䄴睚杁䝁䅅睙橂䝁䅕督穂䍁䅁杣求䡁䅅兤求䡁䅍䅤穂䍁䅁䅤潂䝁䅅䅤杁䝁䅅䅢獂䝁䄸睤杁䡁䅕督求䡁䅉督杁䡁䅑睢杁䡁䅉党硂䡁䅕党穂䡁䅑䅉桂䝁䅍睙求䡁䅍督杁䡁䅑睢杁䡁䅍入穂䡁䅑党瑂䡁䅍䅉療䡁䅉䅉桂䡁䅁䅣獂䝁䅫睙桂䡁䅑兡療䝁䄴督杁䡁䅑䅡祂䝁䄸兤湂䝁䅧䅉灂䝁䄴䅤求䝁䅣杣桂䡁䅑兡療䝁䄴䅉㍂䝁䅫䅤潂䍁䅁䅡求䝁䅷䅣杁䝁䅑党穂䝁䅳䅉療䡁䅉䅉穂䝁䅕杣㉂䝁䅫睙求䍁䅁䅤灂䝁䅍睡求䡁䅑兡畂䝁䅣䅉穂䡁䅫督あ䝁䅕兢穂䑁䅳䅉桂䝁䅍睙求䡁䅍督杁䡁䅉党㉂䝁䅫党㍂䡁䅍䅉桂䝁䄴䅚杁䝁䅍党祂䡁䅑兡浂䝁䅫睙桂䡁䅑兡療䝁䄴督㝁䍁䅁督求䝁䅣杣求䝁䅣兙あ䝁䅫睢畂䍁䅁睢浂䍁䅁䅚ㅂ䡁䅑兡求䡁䅍睏杁䡁䅉睢獂䝁䅕䅉桂䝁䄴䅚杁䝁䅕杢あ䝁䅫䅤獂䝁䅕兢求䝁䄴䅤杁䝁䄰兙畂䝁䅅睚求䝁䄰党畂䡁䅑睏杁䡁䅁睢獂䝁䅫睙㕂䍁䅁兢桂䝁䄴兙湂䝁䅕兢求䝁䄴䅤㝁䍁䅁兡歂䝁䅕杢あ䝁䅫䅤㕂䍁䅁睤療䡁䅉睡浂䝁䅷睢㍂䡁䅍䅌杁䡁䅣䅡灂䝁䅍䅡杁䝁䅕杢桂䝁䅉䅢求䍁䅁党畂䡁䅑党祂䡁䅁杣灂䡁䅍党穂䍁䅁䅤療䍁䅁睙療䝁䄴杢求䝁䅍䅤杁䡁䅑䅡求䝁䅫杣杁䝁䅉兤穂䝁䅫杢求䡁䅍督杁䡁䅁杣療䝁䅍党穂䡁䅍党穂䍁䅁睤灂䡁䅑䅡杁䝁䅫䅚求䝁䄴䅤灂䡁䅑入杁䝁䅕杤求䝁䄴䅤穂䑁䅳䅉桂䝁䄴䅚杁䡁䅉党睂䝁䄸杣あ䝁䅫杢湂䍁䅁兙畂䝁䅑䅉桂䝁䄴兙獂䡁䅫䅤灂䝁䅍督畁䍁䅁杒ㅂ䡁䅉䅤潂䝁䅕杣獁䍁䅁兡あ䍁䅁䅣祂䝁䄸杤灂䝁䅑党穂䍁䅁兙ㅂ䡁䅑睢畂䝁䄸兢療䡁䅕督杁䝁䅫䅚求䝁䄴䅤灂䡁䅑入杁䡁䅁杣療䝁䅑兤橂䡁䅑督杁䡁䅑䅡桂䡁䅑䅉橂䝁䄸兢睂䡁䅉兡穂䝁䅕䅉睂䡁䅉党歂䝁䅫睙あ䝁䅫杤求䍁䅁睙療䝁䄴杚灂䝁䅑党畂䝁䅍党杁䡁䅍睙療䡁䅉党穂䍁䅁杚療䡁䅉䅉桂䝁䅍睙求䡁䅍督㝁䍁䅁睢㉂䝁䅕杣睂䡁䅉睢㉂䝁䅫督灂䝁䄸杢求䝁䅑䅉桂䝁䅍睙求䡁䅍督杁䝁䅑党あ䝁䅕睙あ䝁䅫睢畂䍁䅁兙畂䝁䅑䅉桂䝁䅍睙求䡁䅍督杁䡁䅉党㉂䝁䄸睙桂䡁䅑兡療䝁䄴䅉祂䝁䅕睙療䝁䄰兢求䝁䄴䅚桂䡁䅑兡療䝁䄴督㝁䍁䅁睢ㅂ䡁䅑䅢灂䝁䅕杣杁䝁䅑党あ䝁䅕睙あ䝁䅫睢畂䑁䅳䅉灂䝁䅑党畂䡁䅑兡あ䡁䅫䅉桂䡁䅕䅤療䝁䄰兙あ䝁䅫睢畂䍁䅁杣求䝁䅍睢瑂䝁䄰党畂䝁䅑兙あ䝁䅫睢畂䡁䅍睏杁䡁䅉睢獂䝁䅕䅉瑂䝁䅫杢灂䝁䄴睚杁䝁䅅杢歂䍁䅁杣求䝁䅍睢瑂䝁䄰党畂䝁䅑兙あ䝁䅫睢畂䡁䅍睏杁䝁䅯睢灂䝁䄴党祂䍁䅷䅉瑂䝁䄸杤求䡁䅉䅌杁䝁䅅杢歂䍁䅁䅢求䝁䅅杤求䡁䅉䅉桂䝁䅍睙求䡁䅍督杁䝁䅅兤あ䝁䄸兢桂䡁䅑兡療䝁䄴睏杁䝁䅅兤あ䝁䅧党畂䡁䅑兡橂䝁䅅䅤灂䝁䄸杢杁䝁䅅杢療䝁䄰兙獂䡁䅫䅉歂䝁䅕䅤求䝁䅍䅤灂䝁䄸杢㝁䍁䅁兙畂䝁䅑䅉橂䝁䄸兢瑂䝁䄸杢杁䝁䅅䅤あ䝁䅅睙牂䍁䅁䅣祂䝁䅕杤求䝁䄴䅤灂䝁䄸杢畁䍁䅁杒療䡁䅉睚求䙁䅉睢橂䝁䅳䅌杁䕁䅫杢橂䍁䄴䅉㍂䝁䅅督杁䝁䅙睢ㅂ䝁䄴䅚求䝁䅑䅉灂䝁䄴䅉祁䑁䅁䅍㕁䍁䅁兙畂䝁䅑䅉灂䡁䅍䅉楂䝁䅅督求䝁䅑䅉灂䝁䄴䅉呂䝁䅅杢杁䕁䅙杣桂䝁䄴睙灂䡁䅍睙療䍁䅷䅉䑂䝁䅅䅢灂䝁䅙睢祂䝁䄴兡桂䍁䄴䅉䉂䡁䅍䅉療䝁䅙䅉䉂䡁䅕睚ㅂ䡁䅍䅤杁䑁䅉睍獁䍁䅁杍睁䑁䅉睍獁䍁䅁杒療䡁䅉睚求䙁䅉睢橂䝁䅳䅌杁䕁䅫杢橂䍁䄴䅉㍂䝁䅅督杁䡁䅑兙牂䝁䅕杢杁䡁䅁杣灂䡁䅙兙あ䝁䅕杌䅁䭁䄴䅁敁䅁䅁杒療䡁䅉䅤乂䝁䅕督桂䍁䅷䅉䩂䝁䄴睙畁䅁䅁杹䅅䉁䄴䅁䝂䝁䄸杣あ䝁䅫杢求䡁䅑䅌杁䕁䅫杢橂䍁䄴䅁獂䅁䅁䅌䅁䕁䅙睢ㅂ䝁䄴䅤桂䝁䅫杢坂䝁䅕督あ䍁䅁䅕桂䡁䅉䅤畂䝁䅕杣穂䅁䅁眴䅉䅁䄴䅁䝂䡁䅉兙畂䝁䅍党䅁䕁䅣䅁㑁䅁䅁杒祂䝁䅕兣ㅂ䝁䅕杢橂䡁䅫䅉䙂䝁䅷党橂䡁䅑杣療䝁䄴兡橂䡁䅍䅌杁䕁䅫杢橂䍁䄴䅁硄䅁䅁䅃䅁䕁䅣村兂䅁䅁儴䅅䍁䅧䅁䡂䙁䅧睔杁䕁䅷睢湂䝁䅫督あ䝁䅫睙穂䍁䅷䅉䩂䝁䄴睙畁䅁䅁儰䅉䉁䅧䅁䡂䝁䅅杣瑂䝁䅫杢杁䕁䅷䅤歂䍁䄴䅁ぁ䅁䅁杉䅁䕁䅣党畂䍁䅁䅒灂䝁䅣兡あ䝁䅅䅢杁䕁䅫杢橂䍁䄴䅁湄允䅁䅉䅁䕁䅣党療䙁䅍䅔䉂䕁䄰䅉䵂䝁䅫兢灂䡁䅑党歂䅁䅁克䅅䥁䑙䅁䡂䝁䅕睢呂䕁䅷兑乂䍁䅁䅔灂䝁䄰兡あ䝁䅕䅚杁䝁䅑党穂䝁䅫睚畂䡁䅍䅉桂䝁䄴䅚杁䝁䄰兙畂䡁䅕杚桂䝁䅍䅤ㅂ䡁䅉党穂䍁䅁睍䕂䍁䅁睚求䝁䄸督睂䝁䅅䅤灂䝁䅅䅢杁䡁䅑党橂䝁䅧杢療䝁䅷睢湂䡁䅫䅉穂䝁䄸䅢ㅂ䡁䅑兡療䝁䄴督杁䝁䅙睢祂䍁䅁督ㅂ䡁䅉杤求䡁䅫兡畂䝁䅣䅌杁䝁䅕杢湂䝁䅫杢求䝁䅕杣灂䝁䄴睚獁䍁䅁杚療䡁䅉党穂䡁䅑杣㕂䍁䅷䅉浂䝁䅅睙灂䝁䅷兡あ䝁䅫党穂䍁䅁兙畂䝁䅑䅉桂䡁䅍督求䡁䅑䅉瑂䝁䅅杢桂䝁䅣党瑂䝁䅕杢あ䍁䅷䅉桂䝁䄴䅚杁䝁䄰兡畂䝁䅫杢湂䍁䅁兡畂䝁䅑兤穂䡁䅑杣灂䝁䅕督畁䍁䅁睒求䝁䄸睕䵂䕁䅅兔杁䕁䅷兡瑂䝁䅫䅤求䝁䅑䅉㍂䝁䅅督杁䝁䅙睢祂䝁䄰党祂䝁䅷入杁䝁䅳杢療䡁䅣杢杁䝁䅅督杁䕁䅙杣灂䝁䅅杣杁䑁䅅睍ㅁ䍁䅁䅔灂䝁䄰兡あ䝁䅕䅚杁䝁䅅杢歂䍁䅁睙潂䝁䅅杢湂䝁䅕䅚杁䝁䅫䅤穂䍁䅁杢桂䝁䄰党杁䡁䅑睢杁䕁䅣党療䙁䅍䅔䉂䕁䄰䅉䵂䝁䅫兢灂䡁䅑党歂䍁䅁兡畂䍁䅁杔療䡁䅙党瑂䝁䅉党祂䍁䅁杍睁䑁䅅杍畁䍁䅁䅖潂䝁䅕䅉橂䝁䄸兢睂䝁䅅杢㕂䍁䅁睤桂䡁䅍䅉灂䝁䄴睙療䡁䅉䅣療䡁䅉兙あ䝁䅕䅚杁䝁䅫杢杁䑁䅉䅍硁䑁䅅䅉桂䝁䄴䅚杁䝁䅫督杁䝁䅉兙穂䝁䅕䅚杁䝁䅫杢杁䕁䄴睢あ䡁䅑兡畂䝁䅣䅡桂䝁䄰䅌杁䙁䅕杢灂䡁䅑党歂䍁䅁睓灂䝁䄴睚歂䝁䄸兢畁䕁䅣党療䙁䅍䅔䉂䕁䄰䅉䵂䝁䅫兢灂䡁䅑党歂䍁䅁兡穂䍁䅁兙杁䝁䅯睢灂䝁䄴䅤杁䡁䅙党畂䡁䅑兤祂䝁䅕䅉療䝁䅙䅉佂䝁䅣䅡杁䕁䅧睢獂䝁䅑兡畂䝁䅣督杁䕁䅷兡瑂䝁䅫䅤求䝁䅑䅉䉂䝁䄴䅚杁䕁䅣杢杁䕁䅫杢㉂䝁䅕督あ䝁䄰党畂䡁䅑督杁䕁䅷兡瑂䝁䅫䅤求䝁䅑杌䅁䙁䉧䅁允䅁䅁睒求䡁䅉兢桂䝁䄴入䅁䥁䌸䅁㡁䅁䅁睒灂䝁䅷兙あ䍁䅁睕桂䡁䅑党獂䝁䅷兡あ䝁䅕䅉佂䝁䅕䅤㍂䝁䄸杣牂䡁䅍䅉䵂䡁䅑䅚畁䅁䅁䅍䅅䅁䵷䅁䡂䝁䅫䅢桂䡁䅑䅉呂䝁䅅䅤求䝁䅷䅢灂䡁䅑党杁䕁䄴党あ䡁䅣睢祂䝁䅳督杁䕁䅷䅤歂䍁䄴䅌杁䡁䅑睢湂䝁䅕䅤潂䝁䅕杣杁䡁䅣兡あ䝁䅧䅉灂䡁䅑督杁䡁䅍兤楂䡁䅍兡歂䝁䅫兙祂䝁䅫党穂䍁䅷䅉睂䡁䅉睢㉂䝁䅫䅚求䡁䅍䅉穂䝁䅅䅤求䝁䅷䅢灂䡁䅑党瑁䝁䅉兙穂䝁䅕䅚杁䝁䅉杣療䝁䅅䅚楂䝁䅅杢歂䍁䅁睙療䝁䄰兢ㅂ䝁䄴兡橂䝁䅅䅤灂䝁䄸杢杁䡁䅍睢獂䡁䅕䅤灂䝁䄸杢穂䍁䅁兡畂䍁䅁兓穂䡁䅉兙求䝁䅷䅌杁䡁䅑䅡求䍁䅁兖畂䝁䅫䅤求䝁䅑䅉呂䡁䅑兙あ䝁䅕督獁䍁䅁䅕求䡁䅉兤獁䍁䅁兙畂䝁䅑䅉灂䝁䄴䅤求䡁䅉杢桂䡁䅑兡療䝁䄴兙獂䝁䅷入畁䍁䅁兓あ䍁䅁睢睂䝁䅕杣桂䡁䅑党穂䍁䅁兡畂䍁䅁䅤潂䡁䅉党求䍁䅁督求䝁䅣兢求䝁䄴䅤穂䑁䅯䅉呂䝁䅅䅤求䝁䅷䅢灂䡁䅑党杁䕁䄴党あ䡁䅣睢祂䝁䅳督獁䍁䅁兓畂䡁䅑党湂䡁䅉兙あ䝁䅕䅚杁䙁䅍睢獂䡁䅕䅤灂䝁䄸杢穂䍁䅷䅉桂䝁䄴䅚杁䕁䄴党あ䡁䅣睢祂䝁䅳䅉䩂䝁䄴杚祂䝁䅅督あ䡁䅉兤橂䡁䅑兤祂䝁䅕䅉桂䝁䄴䅚杁䙁䅍党祂䡁䅙兡橂䝁䅕督畁䍁䅁䅖潂䝁䅕䅉橂䝁䄸兢睂䝁䅅杢㕂䍁䅁䅚求䡁䅍兡湂䝁䄴督杁䝁䅅杢歂䍁䅁兢桂䝁䄴兤浂䝁䅅睙あ䡁䅕杣求䡁䅍䅉湂䡁䅉睢ㅂ䝁䄴䅚瑁䝁䅉兙穂䝁䅕䅚杁䡁䅍兙あ䝁䅕䅢獂䝁䅫䅤求䍁䅁睙療䝁䄰兢ㅂ䝁䄴兡橂䝁䅅䅤灂䝁䄸杢穂䍁䅁党硂䡁䅕兡睂䝁䄰党畂䡁䅑睏杁䝁䅅杢歂䍁䅁䅣祂䝁䄸杤灂䝁䅑党穂䍁䅁督療䝁䅷兤あ䝁䅫睢畂䡁䅍䅉桂䝁䄴䅚杁䝁䅕杢歂䍁䄰䅤療䍁䄰党畂䝁䅑䅉穂䝁䅕杣㉂䝁䅫睙求䡁䅍杌杁䕁䅫䅤穂䍁䅁䅣療䡁䅉䅤浂䝁䄸䅢灂䝁䄸䅉橂䝁䄸杢穂䝁䅫督あ䡁䅍䅉療䝁䅙䅉橂䝁䅷睢ㅂ䝁䅑兌楂䝁䅅督求䝁䅑䅉穂䝁䅅䅤求䝁䅷䅢灂䡁䅑党杁䝁䄴党あ䡁䅣睢祂䝁䅳䅉睂䝁䅷兙あ䝁䅙睢祂䝁䄰䅌杁䡁䅙党祂䡁䅫䅉穂䝁䄰兙獂䝁䅷䅉桂䡁䅁党祂䡁䅑兤祂䝁䅕䅉あ䝁䅕杣瑂䝁䅫杢桂䝁䅷督獁䍁䅁兙瑂䡁䅁䅢灂䝁䅙兡求䡁䅉督獁䍁䅁兢療䝁䅑党瑂䡁䅍䅌杁䝁䄸杢瑁䡁䅑䅡求䍁䄰兢療䡁䅙党杁䝁䅅杢あ䝁䅕杢畂䝁䅅督獁䍁䅁督療䝁䅷兡歂䍁䅁督あ䝁䅅䅤求䍁䅁䅣療䡁䅣党祂䍁䅁兙瑂䡁䅁䅢灂䝁䅙兡求䡁䅉督獁䍁䅁杙獂䝁䄸睙牂䍁䅁兤睂䝁䅍睢畂䡁䅙党祂䡁䅑党祂䡁䅍䅌杁䡁䅑杣桂䝁䄴督橂䝁䅕兡㉂䝁䅕杣穂䍁䄴䅉啂䝁䅧党杁䝁䅍睢瑂䡁䅁兙畂䡁䅫䅉桂䝁䅷督療䍁䅁睢浂䝁䅙党祂䡁䅍䅉あ䡁䅕杣畂䝁䅳党㕂䍁䅁兡畂䡁䅑党湂䡁䅉兙あ䝁䅕䅚杁䡁䅍睢獂䡁䅕䅤灂䝁䄸杢穂䍁䅷䅉灂䝁䄴睙獂䡁䅕䅚灂䝁䄴睚杁䝁䄰兙畂䝁䅅睚求䝁䅑䅉穂䝁䅅䅤求䝁䅷䅢灂䡁䅑党杁䝁䄴党あ䡁䅣睢祂䝁䅳䅉穂䝁䅕杣㉂䝁䅫睙求䡁䅍䅌杁䝁䄴党あ䡁䅣睢祂䝁䅳䅉睂䝁䅷兙畂䝁䄴兡畂䝁䅣䅉桂䝁䄴䅚杁䝁䄸䅣あ䝁䅫兢灂䡁䅯兙あ䝁䅫睢畂䍁䅷䅉祂䝁䅕兢療䡁䅑党杁䝁䄴党あ䡁䅣睢祂䝁䅳䅉療䡁䅁党祂䝁䅅䅤灂䝁䄸杢獁䍁䅁睙桂䝁䅷䅢杁䝁䅍党畂䡁䅑党祂䍁䅁督ㅂ䡁䅁䅣療䡁䅉䅤獁䍁䅁䅡ㅂ䝁䅉䅉桂䝁䄴䅚杁䝁䅙兡求䝁䅷䅚杁䝁䄸䅣求䡁䅉兙あ䝁䅫睢畂䡁䅍䅌杁䝁䅅杢歂䍁䅁睙療䝁䄰兢ㅂ䝁䄴兡橂䝁䅅䅤灂䝁䄸杢杁䝁䄴党あ䡁䅣睢祂䝁䅳督杁䝁䅍睢畂䡁䅍䅤祂䡁䅕睙あ䝁䅫睢畂䍁䅁兙畂䝁䅑䅉灂䝁䄴督あ䝁䅅䅢獂䝁䅅䅤灂䝁䄸杢杁䡁䅍党祂䡁䅙兡橂䝁䅕督畁䍁䅁兓畂䍁䅁兙歂䝁䅑兡あ䝁䅫睢畂䍁䅷䅉灂䡁䅑䅉睂䡁䅉睢㉂䝁䅫䅚求䡁䅍䅉橂䝁䄸杢畂䝁䅕睙あ䝁䅫杤灂䡁䅑入杁䡁䅍党祂䡁䅙兡橂䝁䅕督獁䍁䅁兡畂䡁䅑党祂䝁䄴党あ䍁䅁兙橂䝁䅍党穂䡁䅍䅌杁䝁䅅杢歂䍁䅁䅤求䝁䅷党睂䝁䅧睢畂䡁䅫䅉穂䝁䅕杣㉂䝁䅫睙求䡁䅍䅉あ䝁䄸䅉求䝁䄴䅤求䡁䅉䅣祂䝁䅫督求䍁䅷䅉湂䝁䄸杤求䡁䅉杢瑂䝁䅕杢あ䍁䅷䅉桂䝁䄴䅚杁䡁䅉党穂䝁䅫䅚求䝁䄴䅤灂䝁䅅䅢杁䝁䅍兤穂䡁䅑睢瑂䝁䅕杣穂䑁䅳䅉桂䝁䄴䅚杁䝁䅉兤灂䝁䅷䅚穂䍁䅁䅤求䝁䅷党橂䝁䄸兢瑂䡁䅕杢灂䝁䅍兙あ䝁䅫睢畂䍁䅁兡畂䝁䅙杣桂䡁䅍䅤祂䡁䅕睙あ䡁䅕杣求䍁䅁兤穂䝁䅫杢湂䍁䅁杚灂䝁䅉党祂䍁䄰睢睂䡁䅑兡橂䍁䅁兙畂䝁䅑䅉㍂䝁䅫杣求䝁䅷党穂䡁䅍䅉あ䝁䅕睙潂䝁䄴睢獂䝁䄸睚灂䝁䅕督杁䝁䅙睢祂䍁䅁杙祂䝁䄸兙歂䝁䅉兙畂䝁䅑䅉橂䝁䄸杢畂䝁䅕睙あ䝁䅫杤灂䡁䅑入畁䍁䅁䅖潂䝁䅕䅉橂䝁䄸兢睂䝁䅅杢㕂䍁䅁督求䝁䅷䅢穂䍁䅁兡あ䡁䅍䅉睂䡁䅉睢歂䡁䅕睙あ䡁䅍䅉桂䝁䄴䅚杁䡁䅍睢獂䡁䅕䅤灂䝁䄸杢穂䍁䅁䅤療䍁䅁督桂䡁䅑党獂䝁䅷兡あ䝁䅕䅉療䡁䅁党祂䝁䅅䅤療䡁䅉督獁䍁䅁睚療䡁䅙党祂䝁䄴兢求䝁䄴䅤穂䍁䅷䅉穂䡁䅫督あ䝁䅕兢杁䝁䅫杢あ䝁䅕睚祂䝁䅅䅤療䡁䅉督獁䍁䅁䅤求䝁䅷党橂䝁䄸兢瑂䡁䅕杢灂䝁䅍兙あ䝁䅫睢畂䍁䅁睙療䝁䄰䅣桂䝁䄴兡求䡁䅍䅉桂䝁䄴䅚杁䝁䄰睢楂䝁䅫䅢求䍁䅁杢求䡁䅑睤療䡁䅉睡杁䝁䄸䅣求䡁䅉兙あ䝁䄸杣穂䍁䅷䅉穂䝁䅅䅤求䝁䅷䅢灂䡁䅑党杁䝁䅍睢瑂䝁䄰兤畂䝁䅫睙桂䡁䅑兡療䝁䄴䅉睂䡁䅉睢㉂䝁䅫䅚求䡁䅉督獁䍁䅁兓呂䙁䅁督獁䍁䅁兙畂䝁䅑䅉潂䝁䄸兢求䝁䅷兙畂䝁䅑䅉穂䝁䅕睙ㅂ䡁䅉兡あ䡁䅫䅉桂䝁䄴䅚杁䝁䅑党浂䝁䅕杢穂䝁䅕䅉桂䝁䅣党畂䝁䅍兡求䡁䅍䅌杁䝁䅅督杁䡁䅣党獂䝁䅷䅉桂䡁䅍䅉歂䝁䅫杣求䝁䅍䅤獂䡁䅫䅉あ䝁䄸䅉求䝁䄴䅚瑁䡁䅕督求䡁䅉督畁䍁䅁睒灂䝁䅷兙あ䍁䅁睕桂䡁䅑党獂䝁䅷兡あ䝁䅕䅉佂䝁䅕䅤㍂䝁䄸杣牂䡁䅍䅉䵂䡁䅑䅚畁䍁䅁睤桂䡁䅍䅉灂䝁䄴睙療䡁䅉䅣療䡁䅉兙あ䝁䅕䅚杁䝁䅫杢杁䑁䅅兏㑁䑁䅣䅉桂䝁䄴䅚杁䝁䅫督杁䝁䅧党桂䝁䅑兣ㅂ䝁䅅杣あ䝁䅕杣求䝁䅑䅉灂䝁䄴䅉兂䝁䅕䅤桂䝁䅧䅉啂䝁䅫睡㉂䝁䅅䅌杁䕁䅫督祂䝁䅅党獂䍁䄴䅁慂允䅁杈䅁䕁䅣䅢療䝁䅉兙獂䕁䅑兙あ䝁䅅䅉兂䝁䅷睙䅁䝁䐸䅁流䅁䅁睒療䝁䅷䅚求䝁䄴䅉䥂䝁䅅杣楂䝁䄸杣杁䕁䅷䅤歂䍁䄴䅁㑁允䅁杆䅁䕁䅣睢療䝁䅣䅢求䍁䅁䅔䵂䕁䅍䅁偃䅁䅁䅑䅁䕁䅣杣療䡁䅕䅣瑁䕁䅫村杁䕁䅣䅢療䝁䅉兙獂䍁䅁䅕祂䝁䅫杤桂䡁䅑党杁䕁䅷兡瑂䝁䅫䅤求䝁䅑䅁乄允䅁杏䅁䕁䅣杣療䡁䅕䅣求䝁䄰党畂䡁䅑䅉䵂䝁䅕督杁䕁䄰睢ㅂ䡁䅍兣ㅂ䝁䅕䅤桂䝁䅫杣求䡁䅍䅁ㅃ杁䅁杌䅁䕁䅣兤灂䝁䅷䅚杁䕁䅧睢獂䝁䅑兡畂䝁䅣督杁䕁䅍睢瑂䡁䅁兙畂䡁䅫䅁牁杁䅁䅗䅁䕁䅣兤灂䡁䅯䅡療䡁䅕䅉塂䝁䅅兡あ䝁䅅杢杁䙁䅍党橂䡁䅕杣灂䡁䅑入杁䕁䅕兣ㅂ䝁䅫䅣瑂䝁䅕杢あ䍁䅁睑療䍁䄴䅌杁䕁䅷䅤歂䍁䄴䅁汄䅁䅁䅆䅁䕁䅧兖婂䕁䅅䅉䩂䝁䄴睙畁䅁䅁䅖䅉䑁䅁䅁䥂䙁䅣睒杁䕁䅣杣療䡁䅕䅣杁䕁䅧睢獂䝁䅑睑療䍁䅁睕畁䡁䅁杌䉂䍁䄴䅁䑄䅁䅁李䅁䕁䅧兙祂䡁䅁睢療䝁䄴䅉啂䝁䅧党祂䝁䅅䅣求䡁䅕䅤灂䝁䅍督獁䍁䅁兓畂䝁䅍杌䅁乁䙧䅁祄睂䅁䅓桂䡁䅉䅣療䝁䄸杢杁䙁䅑䅡求䡁䅉兙睂䝁䅕兤あ䝁䅫睙穂䍁䅷䅉䩂䝁䄴睙畁䍁䅷䅉桂䍁䅁睙獂䝁䅫杢灂䝁䅍兙獂䍁䄰督あ䝁䅅睚求䍁䅁兡瑂䝁䄰兤畂䝁䄸䅤潂䝁䅕杣桂䡁䅁入杁䝁䅍睢瑂䡁䅁兙畂䡁䅫䅌杁䝁䅕杢湂䝁䅅睚求䡁䅍䅉灂䝁䄴䅉あ䝁䅧党杁䝁䅑党㉂䝁䅕䅢療䡁䅁兢求䝁䄴䅤杁䝁䄸杚杁䝁䅅䅉畂䝁䄸杤求䝁䅷䅉橂䝁䅷兙穂䡁䅍䅉療䝁䅙䅉啂䍁䅁睙求䝁䅷䅢杁䝁䅕杢湂䝁䅅睚求䡁䅉督杁䡁䅑䅡桂䡁䅑䅉潂䝁䅅杣畂䝁䅕督穂䍁䅁䅤潂䝁䅕䅉睂䝁䄸睤求䡁䅉䅉療䝁䅙䅉あ䝁䅧党杁䝁䅉睢歂䡁䅫升穂䍁䅁兡瑂䝁䄰兤畂䝁䅕䅉穂䡁䅫督あ䝁䅕兢杁䡁䅑睢杁䡁䅑杣求䝁䅅䅤杁䡁䅁兙あ䝁䅫党畂䡁䅑督杁䡁䅍兤浂䝁䅙党祂䝁䅫杢湂䍁䅁杚祂䝁䄸兢杁䝁䅍兙畂䝁䅍党祂䍁䅁兙畂䝁䅑䅉療䡁䅑䅡求䡁䅉䅉歂䝁䅫督求䝁䅅督求䡁䅍䅉灂䝁䄴䅉あ䝁䅧党杁䙁䅕杢灂䡁䅑党歂䍁䅁睕あ䝁䅅䅤求䡁䅍杌杁䙁䅑䅡求䍁䅁睙療䝁䄰䅣桂䝁䄴入杁䝁䅑党㉂䝁䅕䅢療䡁䅁督杁䡁䅑杣灂䍁䄰督睂䝁䅕睙灂䝁䅙兡橂䍁䅁䅖杁䝁䅍党獂䝁䅷䅉桂䝁䅍䅤灂䡁䅙兙あ䝁䅫杢湂䍁䅁睙療䝁䄴督あ䡁䅉兤橂䡁䅑䅉潁䙁䅑杣灂䙁䅑兑䑂䍁䅫䅉睂䡁䅉睢歂䡁䅕睙あ䍁䅁睙桂䝁䄴䅚灂䝁䅑兙あ䝁䅕䅌杁䝁䅫杢橂䝁䅷兤歂䝁䅫杢湂䍁䅁䅓兂䕁䄴睍祁䑁䅧䅌杁䡁䅣䅡灂䝁䅍䅡杁䝁䅫督杁䝁䅫杢杁䙁䅁䅡桂䡁䅍党杁䕁䅫睌䩂䕁䅫䅉橂䝁䅷兡畂䝁䅫睙桂䝁䅷䅉あ䡁䅉兡桂䝁䅷督杁䝁䅙睢祂䍁䅁䅤潂䝁䅕䅉あ䡁䅉党桂䡁䅑兢求䝁䄴䅤杁䝁䄸杚杁䡁䅍兢桂䝁䅷䅢杁䝁䅍党獂䝁䅷䅉獂䡁䅕杢湂䍁䅁睙桂䝁䄴睙求䡁䅉䅉桂䝁䄴䅚杁䝁䄸䅤潂䝁䅕杣杁䕁䅑党獂䡁䅑兙瑁䝁䅷兡牂䝁䅕䅉橂䝁䅅杢療䝁䄴兡橂䝁䅅䅢杁䕁䄴睢あ䝁䅍䅡杁䝁䅷兡湂䝁䅅杢歂䍁䅁睍瑁䝁䅕䅥睂䡁䅉党穂䡁䅍兡畂䝁䅣䅉あ䡁䅕兢療䡁䅉督㝁䍁䅁兙畂䝁䅑䅉䥂䙁䅁杔祁䑁䅅睎杁䡁䅑䅡桂䡁䅑䅉灂䡁䅍䅉灂䝁䄴䅉兂䝁䅧兙穂䝁䅕䅉䩂䍁䅁睙獂䝁䅫杢灂䝁䅍兙獂䍁䅁䅤祂䝁䅫兙獂䡁䅍䅉浂䝁䄸杣杁䡁䅑䅡求䍁䅁䅤祂䝁䅕兙あ䝁䄰党畂䡁䅑䅉療䝁䅙䅉瑂䡁䅕䅢あ䝁䅫䅣獂䝁䅕䅉瑂䡁䅫党獂䝁䄸兢桂䍁䄴䅉䩂䡁䅑督杁䡁䅁杣求䝁䅍䅢灂䝁䄴兡橂䝁䅅䅢杁䡁䅍䅤桂䝁䅣党杁䡁䅁杣療䝁䅑兤橂䡁䅑䅉灂䡁䅍䅉䥂䙁䅁杔㉁䑁䅁免杁䝁䅙睢祂䍁䅁䅤潂䝁䅕䅉あ䡁䅉党桂䡁䅑兢求䝁䄴䅤杁䝁䄸杚杁䝁䄰兤獂䡁䅑兡睂䝁䅷党杁䡁䅍睢獂䝁䅫䅚杁䡁䅑兤瑂䝁䄸杣杁䝁䅫杢歂䝁䅫睙桂䡁䅑兡療䝁䄴督畁䍁䅁兓あ䍁䅁䅡桂䡁䅍䅉桂䍁䅁䅚灂䡁䅍睙療䡁䅙党祂䡁䅫䅉橂䝁䄸䅢獂䝁䅅杙療䡁䅉兙あ䝁䅫睢畂䍁䅁兙畂䝁䅑䅉獂䝁䅫睙求䝁䄴督求䍁䅁兙湂䡁䅉党求䝁䄰党畂䡁䅑䅉㍂䝁䅫䅤潂䍁䅁兑楂䝁䅉杖灂䝁䅕䅉䍂䝁䅫睢あ䝁䅕睙潂䝁䄴睢獂䝁䄸睚㕂䍁䅁䅔あ䝁䅑杌杁䡁䅑睢杁䝁䅑党㉂䝁䅕䅢療䡁䅁䅉桂䝁䄴䅚杁䝁䅍睢瑂䝁䄰党祂䝁䅍兡桂䝁䅷兡㙂䝁䅕䅉睂䡁䅉睢歂䡁䅕睙あ䡁䅍䅉あ䝁䅧兙あ䍁䅁兡畂䝁䅍睢祂䡁䅁睢祂䝁䅅䅤求䍁䅁兡あ䡁䅍䅉睂䡁䅉睢睂䡁䅉兡求䡁䅑兙祂䡁䅫䅉啂䡁䅉兡啂䕁䅅睑杁䡁䅁䅢桂䡁䅑杚療䡁䅉兢杁䡁䅑党橂䝁䅧杢療䝁䅷睢湂䡁䅫䅉あ䝁䄸睚求䡁䅑䅡求䡁䅉䅉㍂䝁䅫䅤潂䍁䅁督療䝁䅷兤楂䝁䅷党杁䙁䅑䅉橂䝁䅕䅢獂䍁䅁杣求䝁䅍党睂䡁䅑睢祂䡁䅍杌杁䙁䅑䅡求䍁䅁睙療䝁䄰䅣桂䝁䄴入杁䡁䅣兙穂䍁䅁兡畂䝁䅍睢祂䡁䅁睢祂䝁䅅䅤求䝁䅑䅉灂䝁䄴䅉祁䑁䅁免ㅁ䍁䅁兙畂䝁䅑䅉灂䡁䅍䅉潂䝁䅕兙歂䡁䅅兤桂䡁䅉䅤求䡁䅉党歂䍁䅁兡畂䍁䅁睕療䡁䅕䅤潂䍁䅁睕桂䝁䄴䅉䝂䡁䅉兙畂䝁䅍兡穂䝁䅍睢獁䍁䅁睑桂䝁䅷兡浂䝁䄸杣畂䝁䅫兙畁䅁䅁杦䅕䕁䅙䅁䥂䝁䅕䅢睂䙁䅍入穂䡁䅑党瑂䡁䅍䅌杁䕁䅷䅔䑂䍁䅁䅋畂䝁䅳兙㙁䕁䅙睢祂䡁䅑杣桂䍁䅷䅉䵂䕁䅷睑灁䅁䅁睁䅍䕁䅁䅁䥂䝁䅫䅤橂䝁䅧睙療䝁䅍睡杁䕁䅍兙睂䝁䅫䅤桂䝁䅷䅉兂䝁䅅杣あ䝁䄴党祂䡁䅍䅌杁䕁䅷䅔䑂䅁䅁睒䅅䑁䄴䅁䥂䝁䄸䅢瑂䝁䅕督杁䙁䅁䅢桂䝁䅍党杁䕁䅫杢あ䝁䅕杣畂䝁䅅䅤灂䝁䄸杢桂䝁䅷䅉䵂䡁䅑䅚䅁䡁䍣䅁歁䅁䅁䅓療䡁䅉䅤療䝁䄴睤療䡁䅉睡穂䍁䅷䅉䩂䝁䄴睙畁䅁䅁眲䅁䥁䵧䅁䥂䝁䄸杣あ䝁䄸杢㍂䝁䄸杣牂䡁䅍䅌杁䕁䅫杢橂䍁䄴䅉睂䡁䅉睢㉂䝁䅫䅚求䡁䅍䅉歂䝁䅅䅤桂䍁䅁兢桂䝁䄴兙湂䝁䅕兢求䝁䄴䅤杁䡁䅁䅢桂䡁䅑杚療䡁䅉兢穂䍁䅷䅉穂䝁䅕杣㉂䝁䅫睙求䡁䅍䅌杁䝁䅅杢歂䍁䅁督療䝁䅷兤あ䝁䅫睢畂䡁䅍䅉灂䝁䄴䅉佂䝁䄸杣あ䝁䅧䅉䉂䝁䄰党祂䝁䅫睙桂䍁䅷䅉あ䝁䅧党杁䕁䅅督灂䝁䅅䅉兂䝁䅅睙灂䝁䅙兡橂䍁䅷䅉䙂䡁䅕杣療䡁䅁党獁䍁䅁兙畂䝁䅑䅉䵂䝁䅅䅤灂䝁䄴䅉䉂䝁䄰党祂䝁䅫睙桂䍁䄴䅉啂䝁䅧党杁䝁䅍睢瑂䡁䅁兙畂䡁䅫䅉療䝁䅙杚求䡁䅉督杁䕁䅧睢祂䡁䅑睢畂䡁䅣睢祂䝁䅳督杁䕁䅑兙あ䝁䅅䅉兂䝁䅷兙あ䝁䅙睢祂䝁䄰䅉潁䕁䅧䅒兂䍁䅫䅌杁䝁䅅杢杁䝁䄸䅣求䝁䄴兌穂䝁䄸兤祂䝁䅍党杁䝁䅙杣桂䝁䄰党㍂䝁䄸杣牂䍁䅁杚療䡁䅉䅉歂䝁䅫督あ䡁䅉兡楂䡁䅕䅤求䝁䅑䅉穂䡁䅑睢祂䝁䅅睚求䍁䅁兙畂䝁䅑䅉睂䡁䅉睢橂䝁䅕督穂䝁䅫杢湂䍁䅁睢浂䍁䅁䅢桂䡁䅉睚求䍁䅁兙畂䝁䅑䅉瑂䡁䅕䅢あ䝁䅫兌穂䝁䄸兤祂䝁䅍党杁䝁䅑兙あ䝁䅅䅉穂䝁䅕䅤穂䑁䅳䅉㝁䍁䅁䅓療䡁䅉䅤療䝁䄴睤療䡁䅉睡穂䍁䅁䅒桂䡁䅑兙䝂䝁䅷睢㍂䍁䅷䅉桂䍁䅁督橂䝁䅅䅢桂䝁䅉䅢求䍁䅁兙畂䝁䅑䅉祂䝁䅕兙獂䍁䄰䅤灂䝁䄰党杁䡁䅍䅤祂䝁䅕兙瑂䝁䅫杢湂䍁䅁兙畂䝁䅅䅢㕂䡁䅑兡橂䡁䅍䅉睂䝁䅷兙あ䝁䅙睢祂䝁䄰䅉あ䝁䅧兙あ䍁䅁兡畂䝁䅣党穂䡁䅑督獁䍁䅁睙ㅂ䡁䅉兙あ䝁䅕督獁䍁䅁兙畂䝁䅑䅉桂䝁䄴兙獂䡁䅫来求䡁䅍䅉歂䝁䅅䅤桂䍁䅁杚療䡁䅉䅉牂䝁䅕入杁䝁䅫杢穂䝁䅫睚潂䡁䅑督杁䝁䅅杢歂䍁䅁兡瑂䝁䄰党歂䝁䅫兙あ䝁䅕䅉桂䝁䅍䅤灂䝁䄸杢桂䝁䅉䅢求䍁䅁兡畂䡁䅑党獂䝁䅷兡湂䝁䅕杢橂䝁䅕睏杁䕁䅧睢祂䡁䅑睢畂䡁䅣睢祂䝁䅳督杁䕁䅑兙あ䝁䅅䅕獂䝁䅅杢求䍁䅁睕求䡁䅉杤灂䝁䅍党杁䍁䅧䅒兂䙁䅍克獁䍁䅁兙杁䡁䅁睢祂䡁䅑杚療䝁䅷兡療䍁䅁睢浂䍁䅁䅚桂䡁䅑兙杁䡁䅍睢獂䡁䅕䅤灂䝁䄸杢穂䍁䅁䅤潂䝁䅅䅤杁䝁䅕杢桂䝁䅉䅢求䡁䅍䅉楂䡁䅕督灂䝁䄴党穂䡁䅍党穂䍁䅁䅤療䍁䅁䅚灂䡁䅍睙療䡁䅙党祂䍁䅷䅉瑂䝁䅅杢桂䝁䅣党獁䍁䅁睚療䡁䅙党祂䝁䄴䅌杁䝁䅅杢歂䍁䅁睢睂䡁䅑兡瑂䝁䅫来求䍁䅁䅤潂䝁䅕兡祂䍁䅁䅚桂䡁䅑兙杁䡁䅍䅣祂䝁䅕兙歂䍁䅁兙橂䡁䅉睢穂䡁䅍䅉潂䡁䅫杙祂䝁䅫䅚杁䝁䅕杢㉂䝁䅫杣療䝁䄴兢求䝁䄴䅤穂䑁䅳䅉䥂䝁䄸杣あ䝁䄸杢㍂䝁䄸杣牂䡁䅍䅉䑂䡁䅫杙求䡁䅉督求䝁䅍兤祂䝁䅫䅤㕂䍁䅁䅕獂䝁䅅䅤浂䝁䄸杣瑂䍁䅁䅋䥂䕁䅍䅕灁䍁䅷䅉桂䍁䅁杣求䝁䅅䅢瑁䡁䅑兡瑂䝁䅕䅉穂䝁䅕睙ㅂ䡁䅉兡あ䡁䅫䅉桂䝁䄴兙獂䡁䅫䅤灂䝁䅍督杁䡁䅁䅢桂䡁䅑杚療䡁䅉兢㝁䍁䅁兙畂䝁䅑䅉療䡁䅁党畂䍁䅁督療䡁䅕杣橂䝁䅕䅉穂䡁䅑杣求䝁䅅兢杁䡁䅁杣療䝁䅍党穂䡁䅍兡畂䝁䅣䅉桂䝁䄴䅚杁䡁䅍䅤祂䝁䅕兙瑂䍁䅁兙畂䝁䅅䅢㕂䡁䅑兡橂䡁䅍䅌杁䝁䅅督杁䡁䅣党獂䝁䅷䅉桂䡁䅍䅉ㅂ䝁䄴兡浂䝁䅫党歂䍁䅁督求䝁䅍兤祂䝁䅫䅤㕂䍁䅁兙畂䝁䅑䅉湂䝁䄸杤求䡁䅉杢桂䝁䄴睙求䍁䅁督療䝁䅷兤あ䝁䅫睢畂䡁䅍杌杁䕁䅫䅤杁䝁䅅䅢穂䝁䄸䅉睂䡁䅉睢㉂䝁䅫䅚求䡁䅍䅉䥂䝁䄸杣あ䝁䄸杢㍂䝁䄸杣牂䡁䅍䅉呂䝁䅅杢歂䝁䅉睢㑂䍁䅁䅤潂䝁䅅䅤杁䝁䅧党獂䡁䅁督杁䝁䅫杢杁䝁䅷党桂䡁䅉杢灂䝁䄴睚獁䍁䅁䅚求䡁䅙党獂䝁䄸䅣灂䝁䄴睚獁䍁䅁䅤求䡁䅍䅤灂䝁䄴睚獁䍁䅁兙畂䝁䅑䅉あ䡁䅉入灂䝁䄴睚杁䝁䅙党桂䡁䅑兤祂䝁䅕督杁䝁䄸杢杁䕁䅧䅒兂䍁䅁兙畂䝁䅑䅉䥂䕁䅑杒㝁䍁䅁䅚桂䡁䅑兙杁䡁䅍党祂䡁䅙兡橂䝁䅕督㝁䍁䅁兙畂䝁䅑䅉あ䡁䅉兙灂䝁䄴兡畂䝁䅣䅉桂䝁䄴䅚杁䡁䅍兤睂䡁䅁睢祂䡁䅑䅉穂䝁䅕杣㉂䝁䅫睙求䡁䅍杌杁䙁䅑䅡求䍁䅁睙療䝁䄰䅣桂䝁䄴入婁䡉䅍䅉穂䝁䄸杚あ䡁䅣兙祂䝁䅕䅉灂䡁䅍䅉ㅂ䡁䅍党歂䍁䅁兡畂䍁䅁䅚桂䡁䅑兙杁䡁䅍睙灂䝁䅕杢橂䝁䅕睌瑂䝁䅅睙潂䝁䅫杢求䍁䅁䅢求䝁䅅杣畂䝁䅫杢湂䍁䅷䅉求䝁䄴䅤求䡁䅉䅣祂䝁䅫督求䍁䅁䅚桂䡁䅑兙杁䡁䅣兙祂䝁䅕䅡療䡁䅕督求䍁䅷䅉睂䡁䅉党歂䝁䅫睙あ䝁䅫杤求䍁䅁兙畂䝁䅅䅢㕂䡁䅑兡橂䡁䅍䅌杁䡁䅍党橂䡁䅕杣灂䡁䅑入杁䝁䅅杢歂䍁䅁睚療䡁䅙党祂䝁䄴兙畂䝁䅍党獁䍁䅁督灂䝁䄴睚獂䝁䅕䅉㉂䝁䅫党㍂䍁䅷䅉穂䡁䅑杣求䝁䅅兢灂䝁䄴睚杁䝁䅅杢桂䝁䅷入あ䝁䅫睙穂䍁䅁兙畂䝁䅑䅉䩂䝁䄸䅖獁䍁䅁党畂䡁䅍兤祂䝁䅫杢湂䍁䅁杙灂䝁䅣䅉歂䝁䅅䅤桂䍁䅁督ㅂ䝁䅍睙求䡁䅍督獁䍁䅁兙畂䝁䅑䅉楂䝁䅫睚杁䝁䅑兙あ䝁䅅䅉煂䝁䄸兤祂䝁䄴党㕂䍁䅁兙祂䝁䅕兙穂䍁䅁兡畂䍁䅁兡畂䝁䅑兤穂䡁䅑杣灂䝁䅕督獁䍁䅁督ㅂ䝁䅍䅡杁䝁䅅督杁䝁䅅䅚㉂䝁䅕杣あ䝁䅫督灂䝁䄴睚獁䍁䅁杚灂䝁䄴兙畂䝁䅍兡桂䝁䅷䅉穂䝁䅕杣㉂䝁䅫睙求䡁䅍䅌杁䝁䅧党桂䝁䅷䅤潂䝁䅍兙祂䝁䅕䅌杁䝁䅫杢穂䡁䅕杣桂䝁䄴睙求䍁䅷䅉瑂䝁䅅杢ㅂ䝁䅙兙橂䡁䅑兤祂䝁䅫杢湂䍁䅷䅉療䝁䅫䅢杁䝁䅅杢歂䍁䅁睚桂䡁䅍䅌杁䡁䅁䅡桂䡁䅉兢桂䝁䅍党ㅂ䡁䅑兡橂䝁䅅䅢穂䍁䅷䅉睂䡁䅕杙獂䝁䅫睙杁䡁䅍党橂䡁䅑睢祂䍁䅷䅉祂䝁䅕䅤桂䝁䅫䅢獁䍁䅁䅤求䝁䅷党橂䝁䄸兢瑂䡁䅕杢灂䝁䅍兙あ䝁䅫睢畂䡁䅍䅌杁䝁䅅杢歂䍁䅁党畂䝁䅕杣湂䡁䅫杌杁䕁䅧睢祂䡁䅑睢畂䡁䅣睢祂䝁䅳督獁䍁䅁兓畂䝁䅍杌杁䡁䅣兙穂䍁䅁兡畂䝁䅍睢祂䡁䅁睢祂䝁䅅䅤求䝁䅑䅉灂䝁䄴䅉祁䑁䅁免硁䍁䅁兙畂䝁䅑䅉灂䡁䅍䅉楂䝁䅅督求䝁䅑䅉灂䝁䄴䅉呂䝁䅅杢あ䝁䅅䅉䑂䝁䅷兙祂䝁䅅䅌杁䕁䅍兙獂䝁䅫杚療䡁䅉杢灂䝁䅅䅉㍂䝁䅫䅤潂䍁䅁兙歂䝁䅑兡あ䝁䅫睢畂䝁䅅䅢杁䝁䅷睢橂䝁䅅䅤灂䝁䄸杢穂䍁䅁睤療䡁䅉䅢歂䡁䅣兡歂䝁䅕杌杁䕁䅧睢祂䡁䅑睢畂䡁䅣睢祂䝁䅳督獁䍁䅁兓畂䝁䅍杌杁䝁䄸䅣求䡁䅉兙あ䝁䅕督杁䝁䅅督杁䝁䅅䅉穂䡁䅕杙穂䝁䅫䅚灂䝁䅅杣㕂䍁䅁睢浂䍁䅁睑獂䝁䄸兤歂䝁䅕杣桂䍁䅷䅉䩂䝁䄴睙畁䅁䅁眳䅁䕁䅑䅁䥂䡁䅕杢桂䝁䄴䅉䍂䝁䅕兡㕂䡁䅕杢杁䙁䅑党橂䝁䅧杢療䝁䅷睢湂䡁䅫䅉䑂䝁䄸杌獁䍁䅁䅔あ䝁䅑杌䅁佁䅉䅁捁䅁䅁兓瑁䙁䅑杣桂䝁䅍兡畂䝁䅣䅉呂䕁䅅睕䅁䥁䈴䅁䅁䅂䅁兓瑁䙁䅑杣桂䝁䅍兡畂䝁䅣䅉呂䕁䅅睕杁䝁䄸杚浂䝁䅕杣穂䍁䅁睙療䝁䄴督ㅂ䝁䅷䅤灂䝁䄴睚杁䝁䅅杢歂䍁䅁睚療䡁䅙党祂䝁䄴兙畂䝁䅍党杁䡁䅑睢杁䡁䅑䅡求䍁䅁督ㅂ䡁䅉杤求䝁䅫䅢獂䝁䅅杢橂䝁䅕䅉桂䝁䄴䅚杁䡁䅑䅡求䍁䅁兢桂䝁䄴兙湂䝁䅕兢求䝁䄴䅤杁䝁䄸杚杁䝁䄸䅣求䡁䅉兙あ䝁䅫睢畂䝁䅅䅢杁䡁䅍党橂䡁䅕杣灂䡁䅑入獁䍁䅁睤灂䡁䅑䅡杁䝁䅕杢湂䝁䅫杢求䝁䅕杣灂䝁䄴睚杁䝁䅅杢歂䍁䅁兡畂䡁䅑党湂䡁䅉兙あ䝁䅫睢畂䍁䅁睢浂䍁䅁督療䝁䅷兤あ䝁䅫睢畂䡁䅍杌杁䕁䅫䅤杁䡁䅁杣療䡁䅙兡歂䝁䅕督杁䝁䅍入楂䝁䅕杣穂䝁䅕睙ㅂ䡁䅉兡あ䡁䅫䅉穂䝁䅕杣㉂䝁䅫睙求䡁䅍䅌杁䝁䅍入楂䝁䅕杣歂䝁䅕杚求䝁䄴督求䍁䅷䅉穂䡁䅕䅣睂䝁䄸杣あ䍁䅁兙畂䝁䅑䅉瑂䝁䅅杢桂䝁䅣党歂䍁䅷䅉橂䝁䄸杢穂䡁䅕䅢あ䝁䅫杢湂䍁䅁督求䡁䅉杤灂䝁䅍党穂䍁䅷䅉灂䝁䄴杚療䡁䅉兢桂䡁䅑兡療䝁䄴䅉あ䝁䅕睙潂䝁䄴睢獂䝁䄸睚㕂䍁䅁督求䝁䅍兤祂䝁䅫䅤㕂䍁䅁兙畂䝁䅑䅉歂䝁䅅䅤桂䍁䅁䅤祂䝁䅅睙牂䝁䅫杢湂䍁䅷䅉䩂䝁䄴䅤求䡁䅉杢求䡁䅑䅉穂䝁䅕睙ㅂ䡁䅉兡あ䡁䅫䅌杁䝁䅕兌歂䝁䅫督橂䝁䄸杤求䡁䅉入杁䡁䅍睢獂䡁䅕䅤灂䝁䄸杢穂䍁䅷䅉歂䝁䅕党睂䍁䄰䅣桂䝁䅍睡求䡁䅑䅉灂䝁䄴督睂䝁䅕睙あ䝁䅫睢畂䍁䅷䅉獂䝁䄸睚杁䝁䄰兙畂䝁䅅睚求䝁䄰党畂䡁䅑䅉桂䝁䄴䅚杁䝁䅫杢あ䝁䅕䅢獂䝁䅫睚求䝁䄴睙求䍁䅷䅉穂䝁䅕睙ㅂ䡁䅉兡あ䡁䅫䅉浂䝁䄸杣求䝁䄴督灂䝁䅍䅉桂䝁䄴兙獂䡁䅫督灂䡁䅍䅌杁䝁䅅杢歂䍁䅁睕偂䕁䅍䅉穂䝁䄸䅢ㅂ䡁䅑兡療䝁䄴督畁䍁䅁䅖潂䝁䅕䅉橂䝁䄸兢睂䝁䅅杢㕂䍁䅁睤桂䡁䅍䅉浂䝁䄸兤畂䝁䅑党歂䍁䅁兡畂䍁䅁杍睁䑁䅁兎杁䝁䅅杢歂䍁䅁兡穂䍁䅁杙桂䡁䅍党歂䍁䅁兡畂䍁䅁䅕ㅂ䡁䅑党桂䡁䅕䅥獁䍁䅁杒祂䝁䅅杢橂䝁䅕杌䅁䩁䉳䅁坁䅁䅁兓䍂䙁䅍兒㙁䙁䅍䅒啂䙁䅑杕䅁䙁䅙䅁獁䅁䅁兓䕂䍁䅁䅔療䝁䅣兡穂䡁䅑兡橂䡁䅍䅉䡂䡁䅉睢ㅂ䡁䅁䅉呂䕁䅅䅁噄杁䅁䅺䅫䕁䅫杒䑂䕁䄸䅉呂䙁䅫睕啂䕁䅕兔呂䍁䅁杔畁䙁䅙杌杁䡁䅁杣療䡁䅙兡歂䝁䅕督杁䝁䅷睢湂䝁䅫督あ䝁䅫睙穂䍁䅁督求䡁䅉杤灂䝁䅍党穂䍁䅁睤療䡁䅉䅢歂䡁䅣兡歂䝁䅕杌杁䙁䅑䅡求䍁䅁睙療䝁䄰䅣桂䝁䄴入杁䝁䄸䅣求䡁䅉兙あ䝁䅕督杁䝁䅫杢杁䡁䅑睤療䍁䅁督求䝁䅣兢求䝁䄴䅤穂䍁䅷䅉卂䙁䅁睑杁䕁䄰兙畂䝁䅅睚求䝁䄰党畂䡁䅑䅉呂䝁䅕杣㉂䝁䅫睙求䡁䅍䅉桂䝁䄴䅚杁䙁䅁兙獂䝁䅷党あ䍁䅁兔桂䝁䄴兙湂䝁䅕兢求䝁䄴䅤杁䙁䅍党祂䡁䅙兡橂䝁䅕督畁䍁䅁䅖潂䝁䅕䅉卂䙁䅁睑杁䕁䄰兙畂䝁䅅睚求䝁䄰党畂䡁䅑䅉呂䝁䅕杣㉂䝁䅫睙求䡁䅍䅉穂䝁䅕睚瑂䝁䅕杢あ䍁䅁䅣祂䝁䄸杤灂䝁䅑党穂䍁䅁杣求䡁䅕督桂䝁䅉䅢求䍁䅁䅣獂䝁䅅督あ䝁䅫睙杁䝁䅍睢畂䡁䅑兙灂䝁䄴党祂䡁䅍䅉潁䙁䅉䅕䑂䍁䅫䅌杁䡁䅑杣桂䝁䄴督睂䝁䄸杣あ䍁䅷䅉桂䝁䄴䅚杁䡁䅍党祂䡁䅙兡橂䝁䅕䅉穂䝁䄸䅢ㅂ䡁䅑兡療䝁䄴督杁䝁䅙睢祂䍁䅁杤桂䡁䅉兡療䡁䅕督杁䝁䅫杢歂䡁䅕督あ䡁䅉兡求䡁䅍杌杁䕁䅫䅤杁䡁䅁杣療䡁䅙兡歂䝁䅕督杁䝁䅍睢獂䝁䅷兙睂䡁䅍兡楂䝁䅷党杁䙁䅉䅕䑂䡁䅍䅉灂䝁䄴䅉䙂䡁䅕杣療䡁䅁党杁䡁䅣兡あ䝁䅧䅉睂䝁䅅杣あ䝁䅫睙ㅂ䝁䅷兙祂䍁䅁杚療䝁䅍兤穂䍁䅁睢畂䍁䅁杣求䡁䅕督桂䝁䅉䅢求䍁䅁䅣桂䝁䅍睡桂䝁䅣兡畂䝁䅣䅉穂䝁䄸䅢ㅂ䡁䅑兡療䝁䄴督杁䝁䅙睢祂䍁䅁杚祂䡁䅕兡あ䡁䅍䅉桂䝁䄴䅚杁䡁䅙党湂䝁䅕䅤桂䝁䅉䅢求䡁䅍䅌杁䝁䅅督杁䡁䅣党獂䝁䅷䅉桂䡁䅍䅉療䡁䅑䅡求䡁䅉䅉浂䡁䅉党穂䝁䅧䅉睂䡁䅉睢歂䡁䅕睙あ䡁䅍䅌杁䡁䅍兤橂䝁䅧䅉桂䡁䅍䅉瑂䝁䅕兙あ䍁䅁兙畂䝁䅑䅉求䝁䅣睚穂䍁䄴䅉啂䝁䅧兡穂䍁䅁督求䝁䅣兢求䝁䄴䅤杁䝁䅅䅢穂䝁䄸䅉療䝁䅙杚求䡁䅉督杁䡁䅙兙祂䝁䅫睢ㅂ䡁䅍䅉穂䝁䄸䅢ㅂ䡁䅑兡療䝁䄴督獁䍁䅁兡畂䝁䅍䅢ㅂ䝁䅑兡畂䝁䅣䅉楂䝁䅕杤求䡁䅉兙湂䝁䅕䅉卂䙁䅁睑穂䍁䅷䅉楂䡁䅕䅢牂䍁䅁睙療䝁䄴䅤桂䝁䅫杢求䡁䅉督獁䍁䅁兙畂䝁䅑䅉睂䝁䅷兙穂䡁䅑兡橂䍁䅁䅣桂䝁䅷䅢求䡁䅑督畁䍁䅁䅖潂䝁䅕䅉兂䝁䅅䅢獂䝁䅕䅤杁䕁䄰兙畂䝁䅅睚求䝁䄰党畂䡁䅑䅉呂䝁䅕杣㉂䝁䅫睙求䡁䅍䅉穂䝁䅕睚瑂䝁䅕杢あ䍁䅁党畂䝁䅣兙湂䝁䅕督杁䝁䅫杢杁䡁䅑䅡求䍁䅁䅣祂䝁䄸睙ㅂ䡁䅉党瑂䝁䅕杢あ䍁䅷䅉祂䝁䅕睙療䝁䄴䅚灂䡁䅑兡療䝁䄴兡畂䝁䅣䅌杁䝁䅅杢歂䍁䅁䅚灂䡁䅍䅤祂䝁䅫杙ㅂ䡁䅑兡療䝁䄴䅉療䝁䅙䅉㍂䝁䄸睢歂䍁䅁䅣桂䝁䅷䅢求䡁䅑督杁䡁䅑睢杁䝁䅅杢歂䍁䅁杚祂䝁䄸兢杁䡁䅑䅡求䍁䅁兢桂䝁䄴兤浂䝁䅅睙あ䡁䅕杣灂䝁䄴睚獁䍁䅁䅚灂䡁䅍䅤祂䝁䅫杙ㅂ䡁䅑兡療䝁䄴䅌杁䝁䅅杢歂䍁䅁杣求䡁䅑兙灂䝁䅷䅉穂䝁䅕睙あ䝁䄸杣穂䍁䄴䅉䩂䡁䅑䅉桂䝁䅷督療䍁䅁杚療䝁䅍兤穂䝁䅕督杁䝁䄸杢杁䡁䅁兙獂䝁䅷党あ䍁䅁杣求䝁䅍入橂䝁䅷兡畂䝁䅣睏杁䝁䅅杢歂䍁䅁䅤潂䝁䅕䅉穂䡁䅕䅣睂䝁䅷入杁䝁䅍䅡桂䝁䅫杢杁䝁䅷睢湂䝁䅫督あ䝁䅫睙穂䍁䅁督求䡁䅉杤灂䝁䅍党穂䍁䅷䅉灂䝁䄴睙獂䡁䅕䅚灂䝁䄴睚杁䡁䅁兙獂䝁䅷党あ䍁䅁杣求䡁䅑杣灂䝁䅕杤桂䝁䅷䅌杁䡁䅁杣療䝁䅍兤祂䝁䅕兢求䝁䄴䅤獁䍁䅁䅡桂䝁䄴䅚獂䝁䅫杢湂䍁䅷䅉祂䝁䅕䅣桂䝁䅫杣獁䍁䅁䅤祂䝁䅅杢穂䡁䅁睢祂䡁䅑兙あ䝁䅫睢畂䍁䅷䅉桂䝁䄴䅚杁䡁䅑杣桂䝁䅍睡灂䝁䄴睚杁䡁䅍睢獂䡁䅕䅤灂䝁䄸杢穂䍁䅷䅉桂䡁䅍䅉㍂䝁䅕䅢獂䍁䅁兙穂䍁䅁䅣桂䝁䅷䅢求䡁䅑䅉穂䝁䄸杣あ䍁䅁兙畂䝁䅑䅉祂䝁䅕䅣桂䝁䅫杣獁䍁䅁兙畂䝁䅑䅉㍂䝁䅅杣求䝁䅧睢ㅂ䡁䅍党杁䝁䄰兙畂䝁䅅睚求䝁䄰党畂䡁䅑䅉穂䝁䅕杣㉂䝁䅫睙求䡁䅍杌杁䕁䅫杢杁䝁䅅䅚歂䝁䅫䅤灂䝁䄸杢獁䍁䅁䅤潂䝁䅫督杁䡁䅍党湂䝁䄰党畂䡁䅑䅉療䝁䅙杚求䡁䅉督杁䝁䅍兤穂䡁䅑睢瑂䍁䅁睤療䝁䄸䅚杁䝁䅍杣桂䡁䅑党穂䍁䅁兙畂䝁䅑䅉睂䝁䅅睙牂䝁䅅睚灂䝁䄴睚杁䝁䄰兙あ䝁䅕杣灂䝁䅅䅢杁䡁䅑睢杁䝁䅍兤穂䡁䅑睢瑂䝁䅕杣穂䍁䅁兡畂䍁䅁䅢桂䡁䅣杢杁䝁䅅杢歂䍁䅁睚桂䡁䅉䅚求䝁䄴䅌杁䝁䅧党桂䡁䅑兡畂䝁䅣䅉桂䝁䄴䅚杁䝁䅍睢療䝁䅷兡畂䝁䅣䅌杁䝁䅅杢歂䍁䅁䅣求䡁䅉督療䝁䄴兙獂䍁䅁杣求䝁䅍杣求䝁䅅䅤灂䝁䄸杢桂䝁䅷䅉㉂䝁䅕䅡灂䝁䅍䅢求䍁䅁兡畂䝁䅑兤穂䡁䅑杣灂䝁䅕督畁䍁䅁䅖潂䝁䅕䅉橂䝁䄸兢睂䝁䅅杢㕂䍁䅁睤桂䡁䅍䅉灂䝁䄴睙療䡁䅉䅣療䡁䅉兙あ䝁䅕䅚杁䝁䅫杢杁䑁䅅兏㕁䑁䅫䅉桂䝁䄴䅚杁䝁䅫督杁䝁䅧党桂䝁䅑兣ㅂ䝁䅅杣あ䝁䅕杣求䝁䅑䅉灂䝁䄴䅉呂䝁䅍䅡灂䡁䅁䅡療䝁䅷䅌杁䕁䅣党祂䝁䄰兙畂䡁䅫杌䅁佁䍳䅁歁䅁䅁兓䝂䕁䅍睔杁䙁䅍入穂䡁䅑党瑂䡁䅍䅉䍂䍁䄴杖畁䅁䅁朳䅉䅁䅧䅁䩂䕁䄴杕䅁佁䉕䅁煁䅁䅁兓佂䙁䅙䅔杁䙁䅑党橂䝁䅧杢療䝁䅷睢湂䡁䅫䅉噂䙁䅑兓䍂䅁䅁兦䅁䉁䅧䅁䩂䙁䅅免睁䑁䅉睍穁䑁䅉免祁䑁䅙䅁歃杁䅁䅇䅁䕁䅫兕硁䑁䅅䅎㑁䑁䅫睎穁䑁䅧兏䅁䕁䉧䅁奁䅁䅁兓剂䑁䅅免㍁䑁䅕杍㑁䑁䅁睍ぁ䅁䅁兮䅉䉁䅙䅁䩂䙁䅅免穁䑁䅙杍㉁䑁䅫免ぁ䅁䅁兘䅉䉁䅧䅁䩂䙁䅅免穁䑁䅙睎ぁ䑁䅕兏㉁䑁䅕䅁摄䅁䅁杅䅁䕁䅫兕硁䑁䅕兎睁䑁䅑兏䅁䕁䉫䅁慁䅁䅁兓剂䑁䅅李㍁䑁䅉李㑁䑁䅁免祁䑁䅍䅁䭃䅁䅁杇䅁䕁䅫兕硁䑁䅙睎㕁䑁䅕睍㕁䑁䅑睎㕁䅁䅁兖䅉䉁䅯䅁䩂䙁䅅免㉁䑁䅣兏㍁䑁䅉李㑁䑁䅁䅎䅁佁䍑䅁慁䅁䅁兓剂䑁䅅李㑁䑁䅅䅍穁䑁䅑杍祁䑁䅅䅁䡄䅁䅁杇䅁䕁䅫兕硁䑁䅣睎硁䑁䅑李㕁䑁䅕睎祁䅁䅁眫䅉䉁䅯䅁䩂䙁䅅免㑁䑁䅁䅍穁䑁䅫䅏睁䑁䅫睍䅁偁䌸䅁啁䅁䅁兓剂䑁䅉免硁䑁䅅杍㍁䑁䅙䅁剂允䅁䅇䅁䕁䅫兕祁䑁䅅杍㑁䑁䅁兎睁䑁䅍李䅁䅁䍙䅁坁䅁䅁兓剂䑁䅉杍㉁䑁䅍䅏㕁䑁䅙睍䅁䭁䍉䅁坁䅁䅁兓剂䑁䅉杍㉁䑁䅧李穁䑁䅧免䅁䱁䍁䅁坁䅁䅁兓剂䑁䅉杍㕁䑁䅑李㑁䑁䅉䅏䅁䡁䉧䅁奁䅁䅁兓剂䑁䅉䅎硁䑁䅉睎硁䑁䅉兎穁䅁䅁䅗䅉䉁䅧䅁䩂䙁䅅杍ぁ䑁䅑免ㅁ䑁䅑䅎睁䑁䅕䅁塃允䅁杆䅁䕁䅫兕祁䑁䅑睎㉁䑁䅣杍㉁䑁䅣䅁浄杁䅁䅇䅁䕁䅫兕祁䑁䅕䅍㉁䑁䅙睎穁䑁䅙睎䅁䭁䍁䅁奁䅁䅁兓剂䑁䅉兎祁䑁䅁兎㉁䑁䅑免ぁ䅁䅁兗䅁䉁䅙䅁䩂䙁䅅杍ㅁ䑁䅑免ぁ䑁䅉免㕁䅁䅁睄䅉䉁䅧䅁䩂䙁䅅杍ㅁ䑁䅣兎睁䑁䅅睍祁䑁䅑䅁桁䅂䅁杆䅁䕁䅫兕祁䑁䅙免㍁䑁䅁李睁䑁䅉䅁牁允䅁杆䅁䕁䅫兕祁䑁䅙䅏ぁ䑁䅁兎穁䑁䅕䅁晁䅂䅁杆䅁䕁䅫兕祁䑁䅙䅏㕁䑁䅣睎硁䑁䅧䅁敂䅁䅁杆䅁䕁䅫兕祁䑁䅙兏㕁䑁䅅䅏ぁ䑁䅕䅁䩃䅁䅁䅇䅁䕁䅫兕祁䑁䅧睍㑁䑁䅙兏㉁䑁䅧兎䅁䭁䅑䅁允䅁䅁兓剂䑁䅍杍祁䑁䅙免䅁䑁䉕䅁坁䅁䅁兓剂䑁䅍杍穁䑁䅫䅍㕁䑁䅕䅏䅁䥁䅧䅁十䅁䅁兓剂䑁䅍杍㑁䑁䅕免穁䅁䅁䅌䅅䉁䅙䅁䩂䙁䅅睍祁䑁䅧兎㉁䑁䅧䅏㍁䅁䅁兔䅅䉁䅉䅁䩂䙁䅅睍ぁ䑁䅙杍睁䑁䅁䅁䉁杁䅁杆䅁䕁䅫兕穁䑁䅑李㉁䑁䅕免㑁䑁䅕䅁流允䅁䅆䅁䕁䅫兕穁䑁䅕李㉁䑁䅙䅏穁䅁䅁䅎䅉䉁䅁䅁䩂䙁䅅睍ㅁ䑁䅣兏㉁䅁䅁杁䅍䉁䅉䅁䩂䙁䅅睍ㅁ䑁䅫䅍硁䑁䅣䅁ㅄ允䅁杆䅁䕁䅫兕穁䑁䅕兏睁䑁䅍兎㑁䑁䅣䅁ㅄ䅁䅁䅇䅁䕁䅫兕穁䑁䅣兎㍁䑁䅉䅎㍁䑁䅧睎䅁䭁䅷䅁坁䅁䅁兓剂䑁䅑䅍硁䑁䅕免穁䑁䅉䅏䅁䙁䍯䅁坁䅁䅁兓剂䑁䅑䅍ぁ䑁䅕免㍁䑁䅫睎䅁䭁䅙䅁十䅁䅁兓剂䑁䅑免祁䑁䅕杍祁䅁䅁睺䅉䉁䅧䅁䩂䙁䅅䅎硁䑁䅕兎㉁䑁䅫䅍穁䑁䅣䅁扃杁䅁䅇䅁䕁䅫兕ぁ䑁䅉李㑁䑁䅍䅎睁䑁䅉䅏䅁䕁䉷䅁啁䅁䅁兓剂䑁䅑睍ㅁ䑁䅫䅏ㅁ䑁䅙䅁湄杁䅁杆䅁䕁䅫兕ぁ䑁䅕䅎㉁䑁䅕杍㑁䑁䅫䅁ㅂ杁䅁杆䅁䕁䅫兕ぁ䑁䅣䅏ぁ䑁䅅李ㅁ䑁䅁䅁浃杁䅁杆䅁䕁䅫兕ㅁ䑁䅅李硁䑁䅣李祁䑁䅅䅁䭂允䅁杆䅁䕁䅫兕ㅁ䑁䅅䅏㕁䑁䅁䅎睁䑁䅁䅁噃允䅁杆䅁䕁䅫兕ㅁ䑁䅑䅍㍁䑁䅁李㕁䑁䅙䅁ㅂ允䅁䅇䅁䕁䅫兕ㅁ䑁䅕杍ぁ䑁䅙兎硁䑁䅧兎䅁䑁䌴䅁奁䅁䅁兓剂䑁䅕兎ぁ䑁䅧李ㅁ䑁䅣睍㉁䅁䅁杷䅁䉁䅧䅁䩂䙁䅅兎ㅁ䑁䅕䅏ㅁ䑁䅕李硁䑁䅉䅁䝃䅁䅁䅇䅁䕁䅫兕ㅁ䑁䅙李㉁䑁䅅睎㍁䑁䅕䅏䅁乁䌸䅁奁䅁䅁兓剂䑁䅕睎睁䑁䅁杍祁䑁䅅䅍㉁䅁䅁具䅁䉁䅧䅁䩂</t>
  </si>
  <si>
    <t>䙁䅅兎㍁䑁䅍杍硁䑁䅅兏㕁䑁䅉䅁㝂䅁䅁䅇䅁䕁䅫兕ㅁ䑁䅣兎㑁䑁䅫李穁䑁䅁䅍䅁䕁䉳䅁奁䅁䅁兓剂䑁䅕睎㍁䑁䅫睍㍁䑁䅍睎㉁䅁䅁朵䅁䉁䅧䅁䩂䙁䅅兎㑁䑁䅁䅏硁䑁䅧杍㉁䑁䅕䅁慄䅁䅁杆䅁䕁䅫兕ㅁ䑁䅧免穁䑁䅁睎硁䑁䅫䅁歄䅁䅁䅇䅁䕁䅫兕ㅁ䑁䅫兏硁䑁䅅䅍㕁䑁䅍睍䅁䭁䄰䅁奁䅁䅁兓剂䑁䅙䅍穁䑁䅅睍硁䑁䅁䅏ぁ䅁䅁杭䅅䉁䅧䅁䩂䙁䅅李睁䑁䅑李穁䑁䅉䅎㍁䑁䅣䅁畃杁䅁䅆䅁䕁䅫兕㉁䑁䅁兏㕁䑁䅉杍睁䅁䅁入䅁䉁䅧䅁䩂䙁䅅李硁䑁䅁杍穁䑁䅉睍㍁䑁䅫䅁㍃杁䅁䅇䅁䕁䅫兕㉁䑁䅍免硁䑁䅉䅏穁䑁䅧䅍䅁䡁䌰䅁坁䅁䅁兓剂䑁䅙䅎㍁䑁䅧免ㅁ䑁䅕兏䅁乁䍷䅁奁䅁䅁兓剂䑁䅙兎穁䑁䅑䅏ㅁ䑁䅑李㕁䅁䅁䅭䅅䉁䅧䅁䩂䙁䅅李ㅁ䑁䅣兎㑁䑁䅣免睁䑁䅅䅁佁杁䅁杅䅁䕁䅫兕㉁䑁䅣䅏穁䑁䅉䅍䅁䝁䍙䅁奁䅁䅁兓剂䑁䅙兏ㅁ䑁䅁䅎硁䑁䅫䅍㑁䅁䅁六䅅䉁䅧䅁䩂䙁䅅睎睁䑁䅅䅏睁䑁䅫䅎㑁䑁䅉䅁元䅁䅁䅆䅁䕁䅫兕㍁䑁䅙兎祁䑁䅫睍㕁䅁䅁䅏䅉䉁䅑䅁䩂䙁䅅睎㉁䑁䅣杍ぁ䑁䅫李䅁䙁䉉䅁啁䅁䅁兓剂䑁䅣䅏㕁䑁䅉免祁䑁䅍䅁佂允䅁杅䅁䕁䅫兕㑁䑁䅕睎硁䑁䅫睍䅁䅁䈸䅁允䅁䅁兓剂䑁䅫䅎穁䑁䅕䅎䅁䙁䉁䅁十䅁䅁兓剂䑁䅫李硁䑁䅙䅎ぁ䅁䅁睦䅅䉁䅙䅁䩂䙁䅅兏㑁䑁䅅䅏ㅁ䑁䅙兏㑁䅁䅁䅁䅉䉁䅉䅁䩂䙁䅅兏㑁䑁䅫兏祁䑁䅍䅁偂允䅁杆䅁䕁䅫兕㕁䑁䅫兎㍁䑁䅉䅎祁䑁䅉䅁坃允䅁杈䅁䕁䅫兕啂䙁䅉免㉁䑁䅣杍㉁䑁䅧兎㍁䑁䅫睍䅁䡁䅕䅁敁䅁䅁兓剂䙁䅑杕硁䑁䅙睎ぁ䑁䅅杍硁䑁䅁兏穁䅁䅁杆䅑䉁䄴䅁䩂䙁䅅䅖卂䑁䅅李㍁䑁䅙䅏祁䑁䅑䅏穁䑁䅙䅁䍃允䅁杈䅁䕁䅫兕啂䙁䅉免㉁䑁䅣睎睁䑁䅍睍ぁ䑁䅣䅎䅁䉁䕧䅁敁䅁䅁兓剂䙁䅑杕硁䑁䅙睎㕁䑁䅕睍㕁䑁䅧兏穁䅁䅁杕䅉䉁䄴䅁䩂䙁䅅䅖卂䑁䅅李㍁䑁䅫睎㑁䑁䅁兎硁䑁䅅䅁摁允䅁杈䅁䕁䅫兕啂䙁䅉免㉁䑁䅧䅍睁䑁䅕兏㑁䑁䅕免䅁䙁䅉䅁敁䅁䅁兓剂䙁䅑杕硁䑁䅙䅏ㅁ䑁䅙睍ㅁ䑁䅍兎㍁䅁䅁杲䅅䉁䄴䅁䩂䙁䅅䅖卂䑁䅅睎ㅁ䑁䅣兎ぁ䑁䅅睎穁䑁䅧䅁剃杁䅁杈䅁䕁䅫兕啂䙁䅉免㍁䑁䅕䅏㉁䑁䅣䅍㍁䑁䅧䅎䅁䑁䍳䅁敁䅁䅁兓剂䙁䅑杕硁䑁䅣兎㕁䑁䅕䅎穁䑁䅁䅏㑁䅁䅁杩䅉䉁䄴䅁䩂䙁䅅䅖卂䑁䅅睎ㅁ䑁䅫兏㉁䑁䅣兏㍁䑁䅕䅁桃允䅁杈䅁䕁䅫兕啂䙁䅉免㍁䑁䅙䅍㍁䑁䅉李ぁ䑁䅫䅏䅁偁䅉䅁敁䅁䅁兓剂䙁䅑杕硁䑁䅣李睁䑁䅧䅍睁䑁䅣睍硁䅁䅁睆䅅䉁䄴䅁䩂䙁䅅䅖卂䑁䅅睎㉁䑁䅅䅎硁䑁䅑兏硁䑁䅧䅁䱃杁䅁杈䅁䕁䅫兕啂䙁䅉免㍁䑁䅙免㉁䑁䅕李㕁䑁䅍杍䅁䡁䍯䅁敁䅁䅁兓剂䙁䅑杕硁䑁䅣李祁䑁䅁䅏穁䑁䅑免㉁䅁䅁杮䅁䉁䄴䅁䩂䙁䅅䅖卂䑁䅅睎㉁䑁䅍兏睁䑁䅫兎ㅁ䑁䅍䅁兂杁䅁杈䅁䕁䅫兕啂䙁䅉免㍁䑁䅣䅍ぁ䑁䅁兎ぁ䑁䅍杍䅁䱁䉯䅁敁䅁䅁兓剂䙁䅑杕硁䑁䅣睎硁䑁䅍睎ぁ䑁䅑䅎㑁䅁䅁朰䅉䉁䄴䅁䩂䙁䅅䅖卂䑁䅅睎㍁䑁䅅䅎㉁䑁䅫李硁䑁䅑䅁㑄杁䅁杈䅁䕁䅫兕啂䙁䅉免㍁䑁䅣杍睁䑁䅣杍祁䑁䅕䅏䅁乁䍑䅁敁䅁䅁兓剂䙁䅑杕硁䑁䅣睎穁䑁䅣䅏㉁䑁䅫李祁䅁䅁䅨䅁䉁䄴䅁䩂䙁䅅䅖卂䑁䅅睎㍁䑁䅍䅏ㅁ䑁䅉兏睁䑁䅧䅁偄允䅁杈䅁䕁䅫兕啂䙁䅉免㍁䑁䅣睍㕁䑁䅧睎㕁䑁䅁兎䅁䥁䍉䅁敁䅁䅁兓剂䙁䅑杕硁䑁䅣睎㑁䑁䅉杍穁䑁䅕免ぁ䅁䅁睈䅅䉁䄴䅁䩂䙁䅅䅖卂䑁䅅睎㑁䑁䅙免睁䑁䅙免㉁䑁䅣䅁䅄允䅁杈䅁䕁䅫兕啂䙁䅉免㍁䑁䅧兏㍁䑁䅉免ㅁ䑁䅅睍䅁䥁䉙䅁敁䅁䅁兓剂䙁䅑杕硁䑁䅣兏穁䑁䅅免穁䑁䅧李ぁ䅁䅁眱䅉䉁䄴䅁䩂䙁䅅䅖卂䑁䅅睎㕁䑁䅑杍ㅁ䑁䅑兎硁䑁䅕䅁桃䅁䅁杈䅁䕁䅫兕啂䙁䅉免㍁䑁䅫䅏㕁䑁䅣䅍祁䑁䅕睍䅁䉁䈴䅁敁䅁䅁兓剂䙁䅑杕硁䑁䅧䅍睁䑁䅑䅍硁䑁䅉䅏㍁䅁䅁眹䅉䉁䄴䅁䩂䙁䅅䅖卂䑁䅅䅏睁䑁䅑杍㉁䑁䅁李㉁䑁䅕䅁楃䅁䅁杈䅁䕁䅫兕啂䙁䅉免㑁䑁䅁兎祁䑁䅣兏ぁ䑁䅕䅏䅁䭁䉑䅁敁䅁䅁兓剂䙁䅑杕硁䑁䅧杍穁䑁䅕免祁䑁䅫杍睁䅁䅁䅶䅁䉁䄴䅁䩂䙁䅅䅖卂䑁䅅䅏穁䑁䅉兏硁䑁䅕免ぁ䑁䅁䅁啁允䅁杈䅁䕁䅫兕啂䙁䅉免㑁䑁䅍䅎ㅁ䑁䅕兎㉁䑁䅁兎䅁䵁䉷䅁敁䅁䅁兓剂䙁䅑杕硁䑁䅧睍㑁䑁䅕䅏㑁䑁䅧䅍祁䅁䅁兂䅉䉁䄴䅁䩂䙁䅅䅖卂䑁䅅䅏穁䑁䅫免㉁䑁䅁睍穁䑁䅁䅁䍄允䅁杈䅁䕁䅫兕啂䙁䅉免㑁䑁䅍兏硁䑁䅫䅎硁䑁䅕兏䅁䙁䅧䅁敁䅁䅁兓剂䙁䅑杕硁䑁䅧䅎㍁䑁䅙兎㍁䑁䅕兏祁䅁䅁杸䅅䉁䅙䅁䩂䙁䅅䅖卂䑁䅍免㉁䑁䅣睍睁䅁䅁睃䅅䉁䅷䅁䩂䙁䅅䅖卂䑁䅑睍睁䑁䅉䅏㕁䑁䅫兎穁䅁䅁朸䅅䉁䅷䅁䩂䙁䅅䅖卂䑁䅑睍祁䑁䅧䅍穁䑁䅣睎硁䅁䅁䅄䅅䉁䅷䅁䩂䙁䅅䅖卂䑁䅕睍㕁䑁䅅免㑁䑁䅙兎ㅁ䅁䅁䅥䅁䉁䅷䅁䩂䙁䅅䅖卂䑁䅕䅎睁䑁䅕䅍㉁䑁䅑李㍁䅁䅁眴䅁䉁䅷䅁䩂䙁䅅䅖卂䑁䅕䅎ㅁ䑁䅁䅍㑁䑁䅙兏㍁䅁䅁䅃䅉䉁䅷䅁䩂䙁䅅䅖卂䑁䅕䅎ㅁ䑁䅅兎穁䑁䅣杍ぁ䅁䅁杇䅅䉁䅷䅁䩂䙁䅅䅖卂䑁䅕兎ぁ䑁䅧李ㅁ䑁䅣兎ㅁ䅁䅁䅷䅁䉁䅷䅁䩂䙁䅅䅖卂䑁䅕兎ㅁ䑁䅅䅍㉁䑁䅍兎硁䅁䅁䅸䅅䉁䅷䅁䩂䙁䅅䅖卂䑁䅕兎㑁䑁䅙䅍㍁䑁䅉兎㍁䅁䅁䅳䅅䉁䅷䅁䩂䙁䅅䅖卂䑁䅕李穁䑁䅫䅍祁䑁䅑兎睁䅁䅁睵䅅䉁䅷䅁䩂䙁䅅䅖卂䑁䅕睎睁䑁䅁杍祁䑁䅅免㑁䅁䅁其䅁䉁䅷䅁䩂䙁䅅䅖卂䑁䅕睎硁䑁䅁睍ㅁ䑁䅑杍睁䅁䅁睨䅅䉁䅷䅁䩂䙁䅅䅖卂䑁䅕睎祁䑁䅉䅏硁䑁䅧睍祁䅁䅁䅨䅅䉁䅷䅁䩂䙁䅅䅖卂䑁䅕睎穁䑁䅕睍㉁䑁䅫䅍睁䅁䅁朰䅅䉁䅷䅁䩂䙁䅅䅖卂䑁䅕睎㍁䑁䅕睍ぁ䑁䅕兎穁䅁䅁睲䅅䉁䅷䅁䩂䙁䅅䅖卂䑁䅕睎㍁䑁䅫睍㍁䑁䅍兏祁䅁䅁䄴䅁䉁䅷䅁䩂䙁䅅䅖卂䑁䅕䅏睁䑁䅧免㑁䑁䅧兎睁䅁䅁朱䅁䉁䅷䅁䩂䙁䅅䅖卂䑁䅕䅏ㅁ䑁䅉䅍㑁䑁䅑䅏睁䅁䅁眱䅁䉁䅷䅁䩂䙁䅅䅖卂䑁䅕䅏ㅁ䑁䅧䅏㕁䑁䅍睎㑁䅁䅁䅦䅅䉁䅷䅁䩂䙁䅅䅖卂䑁䅕兏睁䑁䅉䅎ぁ䑁䅫䅍硁䅁䅁杯䅅䉁䅷䅁䩂䙁䅅䅖卂䑁䅕兏睁䑁䅕䅏ぁ䑁䅣免ぁ䅁䅁杍䅉䉁䅷䅁䩂䙁䅅䅖卂䑁䅕兏睁䑁䅣李㍁䑁䅉䅎穁䅁䅁杅䅅䉁䅷䅁䩂䙁䅅䅖卂䑁䅕兏ぁ䑁䅁䅎穁䑁䅣兎㉁䅁䅁䅫䅉䉁䅷䅁䩂䙁䅅䅖卂䑁䅕兏ㅁ䑁䅣䅍ぁ䑁䅧䅎祁䅁䅁睇䅅䉁䅷䅁䩂䙁䅅䅖卂䑁䅙䅍睁䑁䅕兎㍁䑁䅙䅏㑁䅁䅁睦䅁䉁䅷䅁䩂䙁䅅䅖卂䑁䅙䅍祁䑁䅁李㕁䑁䅉睍祁䅁䅁東䅅䉁䅷䅁䩂䙁䅅䅖卂䑁䅙䅍ぁ䑁䅅免ぁ䑁䅧杍祁䅁䅁杺䅉䉁䅷䅁䩂䙁䅅䅖卂䑁䅙䅍ぁ䑁䅙睍ぁ䑁䅣䅍穁䅁䅁兲䅉䉁䅷䅁䩂䙁䅅䅖卂䑁䅙䅍㍁䑁䅧睎㕁䑁䅙䅎ㅁ䅁䅁兇䅅䉁䅷䅁䩂䙁䅅䅖卂䑁䅙䅍㕁䑁䅫睎硁䑁䅉䅍㍁䅁䅁睰䅅䉁䅷䅁䩂䙁䅅䅖卂䑁䅙免睁䑁䅉睍祁䑁䅑兎睁䅁䅁杳䅉䉁䅷䅁䩂䙁䅅䅖卂䑁䅙免硁䑁䅙兏硁䑁䅍䅍穁䅁䅁儰䅅䉁䅷䅁䩂䙁䅅䅖卂䑁䅙免祁䑁䅙䅏ㅁ䑁䅑兎睁䅁䅁眱䅅䉁䅷䅁䩂䙁䅅䅖卂䑁䅙免ぁ䑁䅅兏㍁䑁䅣睍ㅁ䅁䅁兵䅅䉁䅷䅁䩂䙁䅅䅖卂䑁䅙免ㅁ䑁䅣睎㕁䑁䅣李祁䅁䅁䅩䅉䉁䅷䅁䩂䙁䅅䅖卂䑁䅙免㑁䑁䅁免ㅁ䑁䅍杍祁䅁䅁来䅁䉁䅷䅁䩂䙁䅅䅖卂䑁䅙杍ㅁ䑁䅫兎ㅁ䑁䅣䅏㉁䅁䅁睅䅅䉁䅷䅁䩂䙁䅅䅖卂䑁䅙杍㉁䑁䅧李ㅁ䑁䅅免㑁䅁䅁兰䅁䉁䅷䅁䩂䙁䅅䅖卂䑁䅙杍㑁䑁䅣䅍ぁ䑁䅑睎ㅁ䅁䅁兆䅅䉁䅷䅁䩂䙁䅅䅖卂䑁䅙杍㕁䑁䅑兎硁䑁䅅䅍穁䅁䅁睲䅉䉁䅷䅁䩂䙁䅅䅖卂䑁䅙睍穁䑁䅅免ぁ䑁䅑睎㑁䅁䅁共䅅䉁䅷䅁䩂䙁䅅䅖卂䑁䅙睍ぁ䑁䅙䅏祁䑁䅑杍ㅁ䅁䅁关䅅䉁䅷䅁䩂䙁䅅䅖卂䑁䅙䅎祁䑁䅍䅍㉁䑁䅙䅏㉁䅁䅁䅉䅅䉁䅷䅁䩂䙁䅅䅖卂䑁䅙䅎穁䑁䅁䅍㑁䑁䅑睎㑁䅁䅁兰䅅䉁䅷䅁䩂䙁䅅䅖卂䑁䅙䅎ぁ䑁䅁䅍祁䑁䅁免㉁䅁䅁杺䅅䉁䅷䅁䩂䙁䅅䅖卂䑁䅙䅎㑁䑁䅉䅎㑁䑁䅉兏㍁䅁䅁督䅉䉁䅷䅁䩂䙁䅅䅖卂䑁䅙䅎㕁䑁䅍睍ㅁ䑁䅧䅍㑁䅁䅁眲䅉䉁䅷䅁䩂䙁䅅䅖卂䑁䅙䅎㕁䑁䅙杍ㅁ䑁䅁睍㉁䅁䅁䅹䅅䉁䅷䅁䩂䙁䅅䅖卂䑁䅙兎睁䑁䅅睍硁䑁䅙䅍硁䅁䅁杰䅅䉁䅷䅁䩂䙁䅅䅖卂䑁䅙兎祁䑁䅧李㕁䑁䅧睎㑁䅁䅁䅈䅅䉁䅷䅁䩂䙁䅅䅖卂䑁䅙兎ㅁ䑁䅉䅍㉁䑁䅙睍ㅁ䅁䅁睙䅉䉁䅷䅁䩂䙁䅅䅖卂䑁䅙兎ㅁ䑁䅍䅍ㅁ䑁䅉兏ㅁ䅁䅁䄲䅅䉁䅷䅁䩂䙁䅅䅖卂䑁䅙兎ㅁ䑁䅑䅍㍁䑁䅅䅏㑁䅁䅁睕䅉䉁䅷䅁䩂䙁䅅䅖卂䑁䅙兎㕁䑁䅍䅏睁䑁䅧杍祁䅁䅁睂䅉䉁䅷䅁䩂䙁䅅䅖卂䑁䅙李硁䑁䅙䅎㕁䑁䅅兏ㅁ䅁䅁杳䅅䉁䅷䅁䩂䙁䅅䅖卂䑁䅙李㉁䑁䅣杍祁䑁䅙兎㉁䅁䅁免䅉䉁䅷䅁䩂䙁䅅䅖卂䑁䅙睎睁䑁䅧䅏㑁䑁䅙杍㑁䅁䅁睤䅅䉁䅷䅁䩂䙁䅅䅖卂䑁䅙睎硁䑁䅧䅎㑁䑁䅉兏㍁䅁䅁朲䅅䉁䅷䅁䩂䙁䅅䅖卂䑁䅙睎ㅁ䑁䅙睎祁䑁䅧䅎祁䅁䅁睳䅅䉁䅷䅁䩂䙁䅅䅖卂䑁䅙䅏祁䑁䅅䅍ぁ䑁䅕睎硁䅁䅁光䅅䉁䅷䅁䩂䙁䅅䅖卂䑁䅙䅏㑁䑁䅧睎硁䑁䅁兏㕁䅁䅁杆䅅䉁䅷䅁䩂䙁䅅䅖卂䑁䅙兏硁䑁䅉兏㉁䑁䅁䅍ぁ䅁䅁杤䅁䉁䅷䅁䩂䙁䅅䅖卂䑁䅙兏ㅁ䑁䅁䅎硁䑁䅫免ぁ䅁䅁兩䅅䉁䅷䅁䩂䙁䅅䅖卂䑁䅙兏㉁䑁䅙睎ㅁ䑁䅁免㉁䅁䅁眹䅅䉁䅷䅁䩂䙁䅅䅖卂䑁䅙兏㍁䑁䅁免祁䑁䅉睎穁䅁䅁睷䅅䉁䅷䅁䩂䙁䅅䅖卂䑁䅣䅍硁䑁䅧䅍㕁䑁䅕李ㅁ䅁䅁杦䅁䉁䅷䅁䩂䙁䅅䅖卂䑁䅣䅍穁䑁䅧䅍㑁䑁䅑杍ㅁ䅁䅁睱䅅䉁䅷䅁䩂䙁䅅䅖卂䑁䅣䅍ぁ䑁䅑䅍ㅁ䑁䅍睍㑁䅁䅁杔䅉䉁䅷䅁䩂䙁䅅䅖卂䑁䅣䅍ぁ䑁䅑䅏穁䑁䅣睎祁䅁䅁朱䅉䉁䅷䅁䩂䙁䅅䅖卂䑁䅣䅍㉁䑁䅅免祁䑁䅑睍㍁䅁䅁其䅅䉁䅷䅁䩂䙁䅅䅖卂䑁䅣䅍㍁䑁䅣杍㉁䑁䅧睎ぁ䅁䅁䅲䅅䉁䅷䅁䩂䙁䅅䅖卂䑁䅣䅍㍁䑁䅧免祁䑁䅙李㍁䅁䅁䄰䅅䉁䅷䅁䩂䙁䅅䅖卂䑁䅣䅍㍁䑁䅫兎㑁䑁䅙免ㅁ䅁䅁兹䅅䉁䅷䅁䩂䙁䅅䅖卂䑁䅣免硁䑁䅁䅏㍁䑁䅙䅎㍁䅁䅁朷䅅䉁䅷䅁䩂䙁䅅䅖卂䑁䅣免穁䑁䅕䅎㉁䑁䅙䅎ぁ䅁䅁杶䅅䉁䅷䅁䩂䙁䅅䅖卂䑁䅣免穁䑁䅙杍ぁ䑁䅕䅎㉁䅁䅁䅇䅅䉁䅷䅁䩂䙁䅅䅖卂䑁䅣免ぁ䑁䅙䅏祁䑁䅅䅎㕁䅁䅁䅩䅅䉁䅷䅁䩂䙁䅅䅖卂䑁䅣免㉁䑁䅫兏㉁䑁䅫免㑁䅁䅁督䅅䉁䅷䅁䩂䙁䅅䅖卂䑁䅣免㍁䑁䅁免㑁䑁䅫䅏穁䅁䅁兴䅅䉁䅷䅁䩂䙁䅅䅖卂䑁䅣免㍁䑁䅫兏㉁䑁䅉杍ぁ䅁䅁䅶䅅䉁䅯䅁䩂䙁䅅䅖卂䕁䅑免㍁䑁䅕䅏㉁䑁䅣杍䅁䅁䉯䅁睁䅁䅁兓剂䙁䄸村噂䙁䅍兓佂䕁䅕睕呂䙁䄸䅒䙂䙁䅍睑卂䕁䅫䅕啂䕁䅫睔佂䅁䅁児䅁䍁䅉䅁䩂䙁䅅睘䙂䕁䅉兓啂䕁䅑兑時䕁䄰兑卂䕁䅣兓佂䅁䅁克䅁䍁䅉䅁䩂䙁䅅睘䵂䕁䅅睕啂䙁䅍兑䵂䕁䅕䅕卂䕁䅫睑䙂䅁䅁充䅁䉁䅯䅁䩂䙁䅅睘乂䕁䅅杕䱂䕁䅕䅖䑂䕁䅅䅕䅁䉁䄴䅁慁䅁䅁兓剂䙁䄸兔桂䡁䅉睡求䡁䅑睙桂䡁䅁䅁摁䅁䅁杄䅁䕁䅫兕時䙁䅉兒坂䅁䅁杉䅁䅁䄴䅁䩂䙁䅅睘啂䕁䅕杖䅁䉁䅣䅁捁䅁䅁兓剂䙁䄸䅖䙂䙁䅙睘䙂䕁䅉兓啂䕁䅑兑䅁䍁䄸䅁楁䅁䅁兓剂䙁䄸䅖䙂䙁䅙睘啂䕁䄸䅖䉂䕁䅷睘卂䕁䅕杖䅁䅁䄴䅁杁䅁䅁兓剂䙁䄸䅖卂䙁䄸村噂䙁䅫兒卂䕁䄴兑乂䕁䅕䅁穁䅁䅁䅊䅁䕁䅫兕時䙁䅑杕時䕁䅍䅔偂䙁䅍兒䕂䙁䄸䅒䉂䙁䅑兒䅁䑁䅅䅁睁䅁䅁兓剂䙁䄸䅖卂䙁䄸兓乂䙁䅁䅔䩂䕁䅕䅒時䕁䅕兕時䕁䄴兓時䕁䅷䅖乂䅁䅁杏䅁䑁䅁䅁䩂䙁䅅睘啂䙁䅉睘䩂䕁䄰䅕䵂䕁䅫兒䕂䙁䄸兒坂䙁䄸兒䍂䕁䅫䅖䕂䕁䅅䅁㕁䅁䅁杋䅁䕁䅫兕時䙁䅑杕時䕁䅫兔兂䕁䅷兓䙂䕁䅑睘䙂䙁䅙睘卂䕁䅕杖䅁䑁䅧䅁⭁䅁䅁兓剂䙁䄸䅖卂䙁䄸睕兂䕁䅫杔時䕁䅫兔兂䕁䅷兓䙂䕁䅑睘䙂䙁䅅睘䍂䙁䅙睘偂䕁䅙杒䙂䙁䅉䅁歁䅁䅁杉䅁䕁䅫兕時䙁䅑杕時䙁䅑兑卂䕁䅣兒啂䕁䄴兑乂䕁䅕䅁牁䅁䅁䅉䅁䕁䅫兕時䙁䅑杕時䙁䅑兑卂䕁䅣兒啂䙁䄸兓䕂䅁䅁䅐䅁䅁䅷䅁䩂䝁䄴䅚灂䝁䅅䅁扁杁䅁杉䅁䕁䅫杢浂䝁䄸杣瑂䝁䅅䅤灂䝁䅍兙杁䕁䅫杢橂䍁䄴䅁祂允䅁䅈䅁䕁䅫杢穂䝁䅕党湂䝁䄸䅉䑂䝁䄸杣睂䍁䄴䅁祁允䅁李䄰䕁䅫杢穂䝁䅕党湂䝁䄸䅉䑂䝁䄸杣睂䍁䄴䅉求䝁䄴睚桂䝁䅣党穂䍁䅁兡畂䍁䅁䅤潂䝁䅕䅉歂䝁䅕督灂䝁䅣杢杁䝁䅅杢歂䍁䅁䅚求䡁䅙党獂䝁䄸䅣瑂䝁䅕杢あ䍁䅁睢浂䍁䅁杚灂䡁䅧党歂䍁䅁兙畂䝁䅑䅉瑂䝁䄸杙灂䝁䅷党杁䡁䅣兡祂䝁䅕䅢求䡁䅍督杁䡁䅍睢獂䡁䅕䅤灂䝁䄸杢穂䍁䅷䅉灂䝁䄴䅚ㅂ䡁䅍䅤祂䝁䅫兙獂䍁䅁兓畂䡁䅑党祂䝁䄴党あ䍁䅁睢浂䍁䅁䅖潂䝁䅫杢湂䡁䅍䅉潁䕁䅫兓療䙁䅑克獁䍁䅁兙畂䝁䅑䅉橂䝁䅷睢ㅂ䝁䅑䅉穂䝁䄸䅢ㅂ䡁䅑兡療䝁䄴督杁䝁䅙睢祂䍁䅁䅢桂䡁䅉睚求䍁䅁党畂䡁䅑党祂䡁䅁杣灂䡁䅍党杁䡁䅙党祂䡁䅑兡橂䝁䅅䅢穂䍁䅷䅉穂䝁䅕杣㉂䝁䅫睙求䍁䅁䅣祂䝁䄸杤灂䝁䅑党祂䡁䅍䅌杁䡁䅍兢桂䝁䅷䅢杁䝁䅅杢歂䍁䅁兢求䝁䅑兡ㅂ䝁䄰兌穂䝁䅫来求䝁䅑䅉楂䡁䅕督灂䝁䄴党穂䡁䅍党穂䍁䅷䅉湂䝁䄸杤求䡁䅉杢瑂䝁䅕杢あ䡁䅍䅌杁䝁䅅杢歂䍁䅁睙療䝁䄴督ㅂ䝁䄰党祂䡁䅍䅉㍂䝁䄸杣獂䝁䅑睤灂䝁䅑党畁䍁䅁䅖潂䝁䅕䅉橂䝁䄸兢睂䝁䅅杢㕂䍁䅁䅣祂䝁䄸杤灂䝁䅑党穂䍁䅁睤灂䡁䅉党獂䝁䅕督穂䍁䅁䅎䡂䍁䅁兙畂䝁䅑䅉ㅁ䕁䅣䅉潂䝁䅅杣歂䡁䅣兙祂䝁䅕䅉睂䡁䅉睢歂䡁䅕睙あ䡁䅍䅌杁䝁䅫杢橂䝁䅷兤歂䝁䅫杢湂䍁䅁䅣祂䝁䅫杤桂䡁䅑党杁䕁䅷䅖䙂䍁䄸兎䡂䍁䅁杢求䡁䅑睤療䡁䅉睡穂䍁䅷䅉䝂䝁䅫杣穂䡁䅑䅉祂䝁䅕督睂䝁䄸杢歂䝁䅕杣穂䍁䅁杢求䡁䅑睤療䡁䅉睡杁䝁䅅兤あ䝁䅧睢祂䝁䅫䅤㕂䍁䄸杒灂䡁䅉督あ䝁䄴党あ䍁䅷䅉呂䕁䅑兌塂䕁䅅杔獁䍁䅁䅤求䝁䅷党瑂䝁䅅䅤灂䝁䅍督獁䍁䅁杣求䝁䄰睢あ䝁䅕䅉瑂䝁䄸杢灂䡁䅑睢祂䝁䅫杢湂䍁䅁兙畂䝁䅑䅉穂䡁䅕杣㉂䝁䅕兡獂䝁䅷兙畂䝁䅍党獁䍁䅁兙畂䝁䅑䅉浂䝁䅫䅥求䝁䅑䅉㍂䝁䅫杣求䝁䅷党穂䡁䅍䅉桂䝁䅍睙求䡁䅍督杁䝁䅅杢歂䍁䅁兢療䝁䅉兡獂䝁䅕䅉楂䡁䅉睢桂䝁䅑杙桂䝁䄴䅚杁䝁䅑党㉂䝁䅫睙求䡁䅍杌杁䕁䅫䅤穂䍁䅁䅣祂䝁䄸䅚ㅂ䝁䅍䅤穂䍁䅁兡畂䝁䅍䅢ㅂ䝁䅑党杁䑁䅑睒杁䝁䅅杢歂䍁䅁兎䡂䍁䅁杚灂䡁䅧党歂䍁䅁睤灂䡁䅉党獂䝁䅕督穂䍁䅁杣療䡁䅕䅤求䡁䅉督杁䝁䅅杢歂䍁䅁睚桂䡁䅑党㍂䝁䅅入穂䍁䅷䅉瑂䝁䄸杙灂䝁䅷党杁䝁䅧睢あ䡁䅍䅣療䡁䅑督獁䍁䅁兙畂䝁䅑䅉㍂䝁䅫杣求䝁䅷党穂䡁䅍䅉湂䝁䅅䅤求䡁䅣兙㕂䡁䅍䅉桂䝁䄴䅚杁䡁䅉睢ㅂ䡁䅑党祂䡁䅍䅉浂䝁䄸杣杁䕁䅫兓療䙁䅑䅉桂䡁䅁䅣獂䝁䅫睙桂䡁䅑兡療䝁䄴督㝁䍁䅁兙畂䝁䅑䅉䡂䝁䅉䅉穂䡁䅁党求䝁䅑䅉ぁ䕁䅣䅉䵂䙁䅑兒杁䝁䅧睢あ䡁䅍䅣療䡁䅑督杁䝁䅅杢歂䍁䅁兖呂䕁䅉䅉瑂䝁䄸䅚求䝁䄰督獁䍁䅁兡畂䡁䅑党湂䡁䅉兙あ䝁䅕䅚杁䡁䅑党獂䝁䅕兢桂䡁䅑兡橂䡁䅍䅌杁䝁䅅杢歂䍁䅁兢療䝁䅉兡獂䝁䅕䅉あ䡁䅉兙橂䝁䅳兡畂䝁䅣䅉潂䝁䅅杣歂䡁䅣兙祂䝁䅕䅉歂䝁䅕杤灂䝁䅍党穂䍁䅷䅉㍂䝁䅧兡橂䝁䅧䅉桂䡁䅉党杁䡁䅍兤睂䡁䅁睢祂䡁䅑党歂䍁䅁杙㕂䍁䅁兙睂䡁䅁䅢灂䝁䅍兙あ䝁䅫睢畂䡁䅍䅉穂䝁䄸杚あ䡁䅣兙祂䝁䅕䅉桂䝁䄴䅚杁䝁䅍䅢療䡁䅕䅚杁䡁䅍党祂䡁䅙兡橂䝁䅕督杁䝁䅑党穂䝁䅫睚畂䝁䅕䅚杁䡁䅑睢杁䝁䅕杢桂䝁䅉䅢求䍁䅁睙ㅂ䡁䅍䅤療䝁䄰党祂䡁䅍䅉あ䝁䄸䅉桂䝁䄴兙獂䡁䅫来求䍁䅁䅚桂䡁䅑兙杁䝁䅫杢穂䝁䅫睚潂䡁䅑督杁䝁䅅杢歂䍁䅁睙療䝁䄴杚灂䝁䅣兤祂䝁䅕睌瑂䝁䅅杢桂䝁䅣党杁䡁䅑䅡求䝁䅫杣杁䝁䅧兙祂䝁䅑睤桂䡁䅉党杁䡁䅉党瑂䝁䄸䅤求䝁䅷入畁䍁䅁兓畂䍁䅁兙歂䝁䅑兡あ䝁䅫睢畂䍁䅷䅉あ䝁䅧党杁䝁䅍睢瑂䡁䅁兙畂䡁䅫䅉穂䝁䅕䅢獂䡁䅍䅉穂䝁䄸杚あ䡁䅣兙祂䝁䅕兌桂䡁䅍兌桂䍁䄰督求䡁䅉杤灂䝁䅍党杁䍁䅧睕桂䝁䅅睕灁䍁䅷䅉穂䝁䄸杚あ䡁䅣兙祂䝁䅕䅌杁䝁䅅杢歂䍁䅁督求䡁䅉杤灂䝁䅍党穂䍁䅁督療䝁䅷兤あ䝁䅫睢畂䡁䅍䅉灂䝁䄴䅉㉂䝁䅅杣灂䝁䄸兤穂䍁䅁兢療䝁䅉兡獂䝁䅕䅉桂䝁䄴䅚杁䕁䅫兓療䙁䅑䅉㉂䝁䅕杣あ䝁䅫睙桂䝁䅷䅉瑂䝁䅅杣牂䝁䅕䅤穂䍁䅁睙療䝁䄰䅣祂䝁䅫督灂䝁䄴睚杁䝁䅙䅢求䝁䅕䅤杁䝁䄰兙畂䝁䅅睚求䝁䄰党畂䡁䅑䅌杁䡁䅙党潂䝁䅫睙獂䝁䅕䅉あ䝁䅕䅢求䝁䄰兙あ䝁䅫睙穂䍁䅷䅉穂䡁䅑睢獂䝁䅕杢杁䡁䅙党潂䝁䅫睙獂䝁䅕䅉祂䝁䅕睙療䡁䅙党祂䡁䅫䅌杁䝁䅅督穂䝁䅕䅤杁䡁䅑杣桂䝁䅍睡灂䝁䄴睚獁䍁䅁兢療䝁䄴兡あ䝁䄸杣灂䝁䄴睚獁䍁䅁杙ㅂ䡁䅍兡畂䝁䅕督穂䍁䅁睙療䝁䄴杢求䝁䅍䅤灂䡁䅙兡あ䡁䅫䅌杁䝁䅅杢歂䍁䅁督ㅂ䝁䅉督橂䡁䅉兡睂䡁䅑兡療䝁䄴䅉瑂䝁䅅杢桂䝁䅣党瑂䝁䅕杢あ䍁䄴䅉䩂䡁䅑督杁䙁䅍兙桂䙁䅍䅉歂䝁䅕䅢灂䡁䅙党祂䡁䅫䅉睂䝁䅷兙あ䝁䅙睢祂䝁䄰督杁䝁䅫杢橂䝁䅷兤歂䝁䅕䅉あ䝁䅕䅢求䝁䄰兙あ䝁䅫睙穂䍁䅷䅉桂䡁䅍督求䡁䅑䅉あ䡁䅉兙橂䝁䅳兡畂䝁䅣䅌杁䝁䅅杢歂䍁䅁兢桂䝁䄴兙湂䝁䅕兢求䝁䄴䅤杁䡁䅁䅢桂䡁䅑杚療䡁䅉兢穂䍁䅁睤潂䝁䅫睙潂䍁䅁䅣祂䝁䄸杤灂䝁䅑党杁䝁䅙䅢求䝁䅕䅤獁䍁䅁杤求䝁䅧兡橂䝁䅷党獁䍁䅁兙㉂䝁䅫兙あ䝁䅫睢畂䍁䅷䅉桂䡁䅍督求䡁䅑䅌杁䝁䅅杢歂䍁䅁睢あ䝁䅧党祂䍁䅁䅤求䝁䅷党瑂䝁䅅䅤灂䝁䅍督杁䝁䅅䅣睂䝁䅷兡橂䝁䅅䅤灂䝁䄸杢穂䑁䅳䅉桂䝁䄴䅚杁䕁䅫杢穂䝁䅕党湂䝁䄸䅉呂䡁䅕杙穂䝁䅍杣灂䝁䅉党獁䍁䅁兙杁䝁䅧睢穂䡁䅑党歂䍁䅁睕桂䝁䅅睕杁䡁䅁䅢桂䡁䅑杚療䡁䅉兢杁䡁䅑䅡桂䡁䅑䅉潂䝁䅕䅢睂䡁䅍䅉療䡁䅉睚桂䝁䄴兡㙂䝁䅅䅤灂䝁䄸杢穂䍁䅁兡畂䍁䅁兢桂䝁䄴兙湂䝁䅫杢湂䍁䅁䅤潂䝁䅕䅉穂䝁䅕䅢求䝁䅍䅤灂䝁䄸杢獁䍁䅁䅚求䡁䅁䅢療䡁䅫兢求䝁䄴䅤獁䍁䅁兙畂䝁䅑䅉穂䡁䅁党畂䝁䅑䅉療䝁䅙䅉あ䝁䅧党灂䡁䅉䅉橂䡁䅕督あ䝁䄸兢求䡁䅉督杁䡁䅣兡祂䝁䅕䅢求䡁䅍督杁䝁䅅督穂䝁䅕䅤穂䍁䅁杙㕂䍁䅁䅡求䝁䅷䅣灂䝁䄴睚杁䡁䅑䅡求䝁䄰䅉あ䝁䄸䅉穂䝁䅅杤求䍁䅁兢療䝁䄴党㕂䍁䅁睢畂䍁䅁䅣求䡁䅉督療䝁䄴杢求䝁䅷䅉桂䝁䄴䅚杁䡁䅑党獂䝁䅕睙療䝁䄰䅉求䡁䅧䅣求䝁䄴督求䡁䅍杌杁䙁䅑䅡求䍁䅁睙療䝁䄰䅣桂䝁䄴入杁䡁䅣兙穂䍁䅁杚療䡁䅕杢歂䝁䅕䅚杁䝁䅫杢杁䑁䅅兏㕁䑁䅙䅉桂䝁䄴䅚杁䝁䅫督杁䝁䅉兙穂䝁䅕䅚杁䝁䅫杢杁䙁䅍兙畂䍁䅁䅒灂䝁䅕睚療䍁䅷䅉䑂䝁䅅䅢灂䝁䅙睢祂䝁䄴兡桂䍁䄴䅁扂允䅁䅈䅁䕁䅫杢あ䝁䅕睚祂䝁䅅睒求䝁䄴䅉呂䕁䅅䅁䩂䅁䅁杊䅁䕁䅫杢あ䝁䅕杣あ䝁䅕睡杁䕁䅣杣療䡁䅕䅣杁䡁䅁䅢橂䅁䅁睶䅁䝁䅯䅁䩂䝁䄴䅤祂䝁䅅䅚療䍁䅁睑療䡁䅉䅣療䡁䅉兙あ䝁䅫睢畂䍁䅁䅋畂䝁䅳兙㙁䙁䅣党穂䡁䅑䅉啂䝁䅕睙潂䝁䄴睢獂䝁䄸睚㕂䍁䅁睒祂䝁䄸兤睂䍁䅷䅉䵂䕁䅷睑灁䅁䅁眯䅅䍁䅑䅁䩂䡁䅉兡穂䝁䅫䅤㕂䍁䅁兑䍂䍁䅁䅋睂䡁䅕杙獂䍁䅫䅁呂䅁䅁杄䅁䕁䅫督祂䝁䅅党獂䅁䅁杌䅁䅁䅷䅁䩂䡁䅑兙獂䡁䅫䅁煄䅁䅁䅉䅁䕁䅯䅉呂䝁䅅兡畂䡁䅍杙ㅂ䡁䅉入杁䡁䅁䅢橂䅁䅁杪䅉䅁䅧䅁䭂䙁䅁兗䅁佁䉧䅁䵁䅁䅁杓桂䡁䅁兙畂䅁䅁䅓䅁䍁䅷䅁䭂䝁䅕睢畂䝁䅣入療䝁䄸睡湂䝁䅅睡杁䕁䅍睔畁䍁䅷䅔啂䕁䅑杌䅁䭁䍍䅁坂䅁䅁杓灂䝁䅅杢湂䡁䅍兤杁䕁䅷党灂䝁䅳党杁䕁䅑党浂䝁䅕杢穂䝁䅕䅉啂䝁䅕睙潂䝁䄴睢獂䝁䄸睚㕂䍁䅁睑療䍁䄴䅌杁䕁䅷䅤歂䍁䄴䅁剂䅁䅁䅩䅧䕁䅯兡桂䝁䄴睚穂䡁䅕䅉䵂䝁䅕兡牂䝁䅕䅉䕂䝁䅕杚求䝁䄴督求䍁䅁䅖求䝁䅍䅡畂䝁䄸䅢療䝁䅣入杁䕁䅍睢畁䍁䅷䅉䵂䡁䅑䅚畁䍁䅁杣求䡁䅍党桂䡁䅉睙潂䝁䅕督獁䍁䅁䅚求䡁䅙党獂䝁䄸䅣穂䍁䅷䅉瑂䝁䅅杢ㅂ䝁䅙兙橂䡁䅑兤祂䝁䅕督獁䍁䅁兙畂䝁䅑䅉穂䝁䅕䅢獂䡁䅍䅉穂䝁䅅䅤求䝁䅷䅢灂䡁䅑党杁䝁䅅䅣睂䝁䅷兡橂䝁䅅䅤灂䝁䄸杢穂䍁䅷䅉祂䝁䅅䅚桂䡁䅉䅉穂䡁䅫督あ䝁䅕兢穂䍁䅷䅉灂䝁䄴䅤求䝁䅷䅢灂䝁䅣党畂䡁䅑䅉橂䝁䄸杢あ䡁䅉睢獂䍁䅷䅉穂䝁䅕睙ㅂ䡁䅉党杁䡁䅍䅤療䡁䅉兙湂䝁䅕䅌杁䝁䅫杢あ䝁䅕䅢獂䝁䅫睚求䝁䄴䅤杁䝁䄴党あ䡁䅣睢祂䝁䅳兡畂䝁䅣䅌杁䝁䅅杢歂䍁䅁睢あ䝁䅧党祂䍁䅁䅣祂䝁䄸䅚ㅂ䝁䅍䅤穂䍁䄴䅉啂䝁䅧党杁䝁䅍睢瑂䡁䅁兙畂䡁䅫䅉療䝁䅙杚求䡁䅉督杁䡁䅉党瑂䝁䄸䅤求䍁䅁督求䝁䄴督灂䝁䄴睚杁䝁䄸杙穂䝁䅕杣㉂䝁䅅䅤灂䝁䄸杢杁䡁䅉兙歂䝁䅅杣杁䡁䅍党祂䝁䅫党穂䍁䅷䅉桂䡁䅉党桂䍁䅁督ㅂ䡁䅉杤求䝁䅫䅢獂䝁䅅杢橂䝁䅕䅉祂䝁䅅䅚桂䡁䅉䅉穂䝁䅕杣灂䝁䅕督獁䍁䅁督桂䝁䅙党あ䡁䅫䅉瑂䝁䄸杢灂䡁䅑睢祂䝁䅫杢湂䍁䅁杣桂䝁䅑兙祂䍁䅁督求䡁䅉兡求䡁䅍䅌杁䝁䅍兙祂䍁䅁杣桂䝁䅑兙祂䡁䅍䅌杁䡁䅍兡湂䝁䄴兙獂䍁䅁䅣祂䝁䄸睙求䡁䅍督灂䝁䄴睚杁䡁䅍党祂䝁䅫党穂䍁䅷䅉桂䝁䄴䅚杁䡁䅉兙歂䝁䅅杣杁䡁䅍兡瑂䡁䅕䅢桂䡁䅑兡療䝁䄴䅉あ䝁䅕督あ䍁䅁杤求䡁䅉兡浂䝁䅫睙桂䡁䅑兡療䝁䄴䅉穂䝁䅕杣灂䝁䅕督㝁䍁䅁兙畂䝁䅑䅉穂䝁䄰兙祂䡁䅑䅉桂䝁䄰兢ㅂ䝁䄴兡あ䝁䅫睢畂䍁䅁䅣祂䝁䄸䅚ㅂ䝁䅍䅤穂䍁䄴䅉䩂䡁䅑䅉桂䝁䅷督療䍁䅁䅣祂䝁䄸杤灂䝁䅑党穂䍁䅁兢ㅂ䝁䅷䅤灂䍁䄰杚祂䝁䅕兣ㅂ䝁䅕杢橂䡁䅫䅉穂䝁䅅䅤求䝁䅷䅢灂䡁䅑党杁䝁䄴兙㉂䝁䅫睚桂䡁䅑兡療䝁䄴䅉楂䝁䅅督求䝁䅉兙畂䝁䅑䅉睂䡁䅉睢橂䝁䅕督穂䝁䅫杢湂䍁䅁睙潂䝁䅫䅣穂䍁䅷䅉穂䝁䅫睚畂䝁䅅䅢杁䡁䅁杣療䝁䅍党穂䡁䅍兡畂䝁䅣䅉橂䝁䅧兡睂䡁䅍䅌杁䡁䅍兙あ䝁䅕䅢獂䝁䅫䅤求䍁䅁杢桂䡁䅙兡湂䝁䅅䅤灂䝁䄸杢杁䝁䄰睢歂䡁䅕䅢求䡁䅍䅌杁䡁䅍䅣求䝁䅍兡桂䝁䅷䅉穂䝁䅅䅤求䝁䅷䅢灂䡁䅑党杁䝁䄴兙㉂䝁䅫睚桂䡁䅑兡療䝁䄴䅉あ䝁䅕杣瑂䝁䅫杢桂䝁䅷督獁䍁䅁睙灂䡁䅙兡獂䍁䅁督桂䡁䅑党獂䝁䅷兡あ䝁䅕䅉畂䝁䅅杤灂䝁䅣兙あ䝁䅫睢畂䍁䅁䅤求䡁䅉兢灂䝁䄴兙獂䡁䅍䅌杁䝁䅅杢歂䍁䅁督桂䡁䅑党獂䝁䅷兡あ䝁䅕䅉畂䝁䅅杤灂䝁䅣兙あ䝁䅫睢畂䍁䅁督灂䝁䄰兤獂䝁䅅䅤療䡁䅉督㝁䍁䅁督あ䝁䄸杣桂䝁䅣党杁䝁䅑兡穂䝁䅳督獁䍁䅁督あ䝁䄸杣桂䝁䅣党杁䝁䅑党㉂䝁䅫睙求䡁䅍䅌杁䝁䅅杢歂䍁䅁督あ䝁䄸杣桂䝁䅣党杁䡁䅍入穂䡁䅑党瑂䡁䅍睏杁䝁䅅杢歂䍁䅁兡畂䡁䅑党獂䝁䅷兡湂䝁䅕杢あ䍁䅁杣療䝁䅅䅚穂䝁䅫䅚求䍁䅁䅣求䡁䅉睙求䡁䅁䅤灂䝁䄸杢杁䡁䅍入穂䡁䅑党瑂䡁䅍䅉桂䝁䄴䅚杁䝁䅅䅚㉂䝁䅅杢橂䝁䅕䅚杁䝁䅑杣灂䡁䅙兡畂䝁䅣䅉桂䡁䅍督灂䡁䅍䅤桂䝁䄴睙求䍁䅁督㕂䡁䅍䅤求䝁䄰督畁䍁䅁䅖潂䝁䅕䅉橂䝁䄸兢睂䝁䅅杢㕂䍁䅁睤桂䡁䅍䅉浂䝁䄸杣瑂䝁䅕杣獂䡁䅫䅉牂䝁䄴睢㍂䝁䄴䅉桂䡁䅍䅉䭂䝁䅫兙畂䝁䅣督ㅂ䍁䅁睑潂䝁䅅杢湂䝁䅙兙杁䙁䅉党浂䡁䅉兡湂䝁䅕杣桂䡁䅑兡療䝁䄴䅉䑂䝁䄸杌獁䍁䅁䅔あ䝁䅑杌杁䝁䅅杢歂䍁䅁睙潂䝁䅅杢湂䝁䅕䅚杁䝁䅫䅤穂䍁䅁杢桂䝁䄰党杁䡁䅑睢杁䕁䅯兡桂䝁䄴睚穂䡁䅕䅉䵂䝁䅕兡牂䝁䅕䅉䕂䝁䅕杚求䝁䄴督求䍁䅁䅖求䝁䅍䅡畂䝁䄸䅢療䝁䅣入杁䕁䅍睢畁䍁䅷䅉䵂䡁䅑䅚畁䍁䅁兡畂䍁䅁杔療䡁䅙党瑂䝁䅉党祂䍁䅁杍睁䑁䅅兎畁䍁䅁杓灂䝁䅅杢湂䡁䅍兤杁䕁䅷党灂䝁䅳党杁䕁䅑党浂䝁䅕杢穂䝁䅕䅉啂䝁䅕睙潂䝁䄴睢獂䝁䄸睚㕂䍁䅁睑療䍁䄴䅌杁䕁䅷䅤歂䍁䄴䅉㍂䝁䅅督杁䝁䅙睢ㅂ䝁䄴䅚求䝁䅑䅉灂䝁䄴䅉祁䑁䅁䅍祁䍁䅁兙畂䝁䅑䅉灂䡁䅍䅉楂䝁䅅督求䝁䅑䅉灂䝁䄴䅉䍂䝁䅕兡煂䝁䅫杢湂䍁䅷䅉䑂䝁䅧兡畂䝁䅅杌䅁佁䅣䅁慂䅁䅁杓灂䝁䄴䅡ㅂ䝁䅅䅉塂䡁䅕䅤療䝁䄴睚杁䕁䅫杢㉂䝁䅕督あ䝁䄰党畂䡁䅑䅉乂䝁䅅杢桂䝁䅣党瑂䝁䅕杢あ䍁䅁睑療䍁䄴䅌杁䕁䅷䅤歂䅁䅁睐䅅䉁䄴䅁䱂䕁䄸睕䕂䕁䅅兕㙁䕁䅅䅍㉁䑁䅕睍㍁䑁䅁䅁偄䅁䅁䅃䅁䕁䅳杕塂䅁䅁杦䅙䍁䅯䅁䱂䝁䅅杢求䍁䅁䅔療䝁䅣兡穂䡁䅑兡橂䡁䅍䅌杁䕁䅫杢橂䍁䄴䅁摄杁䅁杹䅑䕁䅳兙畂䝁䅕䅉䵂䝁䄸睚灂䡁䅍䅤灂䝁䅍督獁䍁䅁兓畂䝁䅍杌杁䡁䅁杣療䡁䅙兡歂䝁䅕督杁䝁䅫杢あ䝁䅕睚祂䝁䅅䅤求䝁䅑䅉獂䝁䄸睚灂䡁䅍䅤灂䝁䅍督杁䡁䅍党祂䡁䅙兡橂䝁䅕督杁䝁䅫杢杁䡁䅑䅡求䍁䅁兖畂䝁䅫䅤求䝁䅑䅉呂䡁䅑兙あ䝁䅕督畁䍁䅁䅖潂䝁䅕䅉橂䝁䄸兢睂䝁䅅杢㕂䍁䅁睢浂䝁䅙党祂䡁䅍䅉歂䝁䅫督あ䡁䅉兡楂䡁䅕䅤灂䝁䄸杢杁䝁䅅杢歂䍁䅁杚ㅂ䝁䅷杚灂䝁䅷䅢瑂䝁䅕杢あ䍁䅷䅉瑂䝁䅅杢ㅂ䝁䅙兙橂䡁䅑兤祂䝁䅫杢湂䍁䅁䅢療䝁䅣兡穂䡁䅑兡橂䡁䅍䅌杁䝁䅍睢畂䡁䅑杣桂䝁䅍䅤杁䡁䅁兙橂䝁䅳兙湂䝁䅫杢湂䍁䅷䅉橂䡁䅉睢穂䡁䅍䅉歂䝁䄸睙牂䝁䅫杢湂䍁䅷䅉あ䡁䅉兙畂䡁䅍䅣療䡁䅉䅤桂䡁䅑兡療䝁䄴䅉瑂䝁䅅杢桂䝁䅣党瑂䝁䅕杢あ䍁䅷䅉桂䝁䄴䅚杁䡁䅣睢祂䝁䅳杚療䡁䅉睙求䍁䅁兢桂䝁䄴兙湂䝁䅕兢求䝁䄴䅤杁䡁䅍睢獂䡁䅕䅤灂䝁䄸杢穂䍁䄴䅉䩂䡁䅑䅉穂䝁䅕杣㉂䝁䅕督杁䝁䅍兤穂䡁䅑睢瑂䝁䅕杣穂䍁䅁兡畂䍁䅁杙求䡁䅙党祂䝁䅅睚求䍁䄸睤灂䝁䄴党杁䝁䅅杢歂䍁䅁督睂䝁䅫杣灂䡁䅑督獁䍁䅁睙療䝁䄴杚求䝁䅍䅤灂䝁䄸杢求䡁䅉入獁䍁䅁杚療䝁䄸䅚獁䍁䅁䅡求䝁䅅䅢あ䝁䅧䅉桂䝁䄴䅚杁䝁䅉党桂䡁䅕䅤㕂䍁䅁兙灂䝁䅑督獁䍁䅁兙畂䝁䅑䅉祂䝁䅕䅤桂䝁䅫䅢杁䝁䅷睢湂䝁䅫督あ䝁䅫睙杁䝁䅫杢歂䡁䅕督あ䡁䅉兡求䡁䅍杌杁䕁䅳兙畂䝁䅕䅉䵂䝁䄸睚灂䡁䅍䅤灂䝁䅍督獁䍁䅁兓畂䝁䅍杌杁䡁䅣兙穂䍁䅁杚療䡁䅉兢求䡁䅉䅢㕂䍁䅁睡畂䝁䄸睤畂䍁䅁兙穂䍁䅁睓桂䝁䄴党杁䕁䅫督杁䕁䅅杙獂䝁䅕䅌杁䕁䅫杢橂䍁䄴䅉啂䝁䅧党杁䝁䅍睢瑂䡁䅁兙畂䡁䅫䅉㍂䝁䅅督杁䝁䅙睢ㅂ䝁䄴䅚求䝁䅑䅉灂䝁䄴䅉硁䑁䅫睍睁䍁䅁兙畂䝁䅑䅉灂䡁䅍䅉潂䝁䅕兙歂䡁䅅兤桂䡁䅉䅤求䡁䅉党歂䍁䅁兡畂䍁䅁睕橂䡁䅉兙畂䡁䅑睢畂䍁䅷䅉兂䝁䅕杢畂䡁䅍入獂䡁䅙兙畂䝁䅫兙畁䍁䅁兑穂䍁䅁睢浂䍁䅁兑睂䡁䅉兡獂䍁䅁杍睁䑁䅉杍獁䍁䅁睓桂䝁䄴党杁䕁䅷睢湂䝁䅫督あ䝁䅫睙穂䍁䅷䅉䩂䝁䄴睙畁䍁䅁睢睂䝁䅕杣桂䡁䅑党穂䍁䅁兙穂䍁䅁兙杁䡁䅍兤楂䡁䅍兡歂䝁䅫兙祂䡁䅫䅉療䝁䅙䅉䩂䕁䅑䅉䵂䝁䄸睚灂䡁䅍䅤灂䝁䅍督杁䕁䅣杣療䡁䅕䅣杁䙁䅍兑畁䅁䅁儷䅉䕁䅙䅁䱂䝁䅕杣祂䡁䅫䅉啂䕁䅯䅉䵂䝁䄸睚灂䡁䅍䅤灂䝁䅍督杁䕁䅍睢瑂䡁䅁兙畂䡁䅫䅉䵂䝁䅫兢灂䡁䅑党歂䅁䅁睷䅉䕁䅁䅁䱂䝁䄸杢灂䝁䄴睡獂䝁䅫条牂䝁䅕䅉䉂䝁䅧睢獂䝁䅑䅉䕂䝁䅕䅢潂䝁䅅兡㙂䝁䅕䅉佂䍁䄴杖畁䅁䅁杭䅉䑁䅙䅁䱂䝁䄸杢療䝁䅫睡求䍁䅁䅖祂䝁䅅杢穂䡁䅁睢祂䡁䅑䅉䑂䝁䄸杌獁䕁䅷䅤歂䍁䄴䅁䙄杁䅁䅆䅁䕁䅷兓䕂䕁䅷䅌杁䙁䅍杔䑂䅁䅁杴䅉䉁䅁䅁䵂䙁䅍兒㙁䕁䅅杗佂䅁䅁䄱䅕䉁䅉䅁䵂䙁䅍兒㙁䕁䅑兑卂䕁䅳䅁捄允䅁䅅䅁䕁䅷睕䙂䑁䅯睒婂䕁䄰䅁煂杁䅁杅䅁䕁䅷睕䙂䑁䅯䅕卂䙁䅑睑䅁䭁䙁䅁十䅁䅁䅔呂䕁䅕杏呂䕁䅉杕婂䅁䅁兩䅉䉁䅉䅁䵂䙁䅍兒㙁䙁䅑睕䑂䕁䄸䅁䝃杁䅁䅃䅁䕁䅷䅖乂䅁䅁睉䅁䑁䄴䅁䵂䝁䅅睡求䡁䅙兡求䡁䅣䅉䩂䝁䄴杤求䡁䅍䅤瑂䝁䅕杢あ䍁䅁睒祂䝁䄸兤睂䍁䅷䅉䵂䕁䅷睑䅁䕁䉑䅁楂䅁䅁䅔求䝁䅕䅉䙂䡁䅅兤灂䡁䅑入杁䙁䅁兙祂䡁䅑杢求䡁䅉督獁䍁䅁䅔䵂䕁䅍睏杁䙁䅑睤灂䝁䄴䅉兂䝁䄸兡畂䡁䅑䅉䑂䝁䅅䅣灂䡁䅑兙獂䍁䅁䅔䵂䕁䅍䅁䙂允䅁䅍䅁䕁䅷党畂䝁䅑兡畂䝁䅣睑獂䡁䅕杙杁䕁䅍睢祂䡁䅁睢祂䝁䅅䅤灂䝁䄸杢䅁䍁䍕䅁歁䅁䅁䅔求䝁䄴䅚灂䝁䄴睚啂䡁䅉党求䍁䅷䅉䩂䝁䄴睙畁䅁䅁睌䅉䉁䅷䅁䵂䝁䅕睢畂䝁䄸杤ㅂ䡁䅍䅉䩂䝁䄴睙畁䅁䅁兡䅅䑁䄴䅁䵂䝁䅫杚求䍁䅁䅖灂䝁䄰党杁䕁䅣杣療䡁䅕䅣杁䕁䅧睢獂䝁䅑兡畂䝁䅣督獁䍁䅁兓畂䝁䅍杌䅁䝁䌴䅁䅂䅁䅁䅔灂䝁䄴党桂䝁䅣党杁䕁䅍党獂䝁䅷䅉啂䝁䅧党祂䝁䅅䅣求䡁䅕䅤灂䝁䅍督獁䍁䅁兓畂䝁䅍杌䅁佁䙍䅁捁䅄䅁䅔灂䝁䄴党桂䝁䅣党杁䕁䅍党獂䝁䅷䅉啂䝁䅧党祂䝁䅅䅣求䡁䅕䅤灂䝁䅍督獁䍁䅁兓畂䝁䅍杌獁䍁䅁兙杁䝁䅍䅢灂䝁䄴兡橂䝁䅅䅢瑁䡁䅍䅤桂䝁䅣党杁䝁䅉兡療䡁䅑党橂䝁䅧杢療䝁䅷睢湂䡁䅫䅉橂䝁䄸兢睂䝁䅅杢㕂䍁䅷䅉歂䝁䅕杤求䝁䅷睢睂䡁䅍䅉畂䝁䄸杤求䝁䅷䅉橂䝁䅕䅢獂䍁䅁䅤潂䝁䅕杣桂䡁䅁兡求䡁䅍䅉浂䝁䄸杣杁䡁䅑䅡求䍁䅁䅤祂䝁䅕兙あ䝁䄰党畂䡁䅑䅉療䝁䅙䅉歂䝁䅕睚求䝁䄴党祂䝁䅅䅤灂䡁䅙党杁䝁䅑兡穂䝁䅕兙穂䝁䅕督杁䝁䅫杢杁䡁䅑䅡求䍁䅁兖畂䝁䅫䅤求䝁䅑䅉呂䡁䅑兙あ䝁䅕督杁䝁䅅杢歂䍁䅁兡畂䡁䅑党祂䝁䄴兙あ䝁䅫睢畂䝁䅅䅢獂䡁䅫杌杁䙁䅑䅡求䍁䅁睙療䝁䄰䅣桂䝁䄴入杁䝁䅑党㉂䝁䅕䅢療䡁䅁督杁䕁䄸䅣卂䝁䅕睚求䝁䄴䅌杁䝁䅅杢杁䝁䅅䅢獂䝁䄸睚求䝁䄴党灂䝁䅍䅉祂䝁䅕䅤灂䝁䄴兙獂䍁䅁䅣灂䝁䅣兢求䝁䄴䅤杁䝁䅕䅣灂䡁䅑䅡求䝁䅷兡ㅂ䝁䄰䅉橂䝁䅕䅢獂䍁䅁杣求䡁䅁䅢桂䝁䅍党瑂䝁䅕杢あ䍁䅁䅤潂䝁䅕杣桂䡁䅁入獁䍁䅁睤潂䝁䅫睙潂䍁䅁兡穂䍁䅁兡畂䍁䅁䅕潂䝁䅅督求䍁䅁杍桂䍁䅁睙獂䝁䅫杢灂䝁䅍兙獂䍁䅁䅤祂䝁䅫兙獂䍁䅁杚療䡁䅉䅉あ䝁䅧党杁䡁䅑杣求䝁䅅䅤瑂䝁䅕杢あ䍁䅁睢浂䍁䅁䅤潂䝁䅕䅉歂䡁䅉入杁䝁䅅睚求䍁䄰杣求䝁䅷兙あ䝁䅕䅚杁䝁䄰兙橂䡁䅕䅢桂䡁䅉䅉歂䝁䅕睚求䝁䄴党祂䝁䅅䅤灂䝁䄸杢㝁䍁䅁睔兂䕁䅍免獁䍁䅁兙畂䍁䅁兙獂䝁䅷睢湂䝁䅕杢求䝁䅫睙杁䝁䄸䅢灂䝁䅣睢歂䝁䅕杢歂䡁䅉睢橂䡁䅫䅤求䍁䅁䅣祂䝁䄸睚求䝁䄴兡あ䝁䄸杣杁䝁䅍党獂䝁䅷䅉あ䝁䅧党祂䝁䅅䅣㕂䍁䅁䅤潂䝁䅅䅤杁䝁䅫督杁䝁䅫杢杁䙁䅁䅡桂䡁䅍党杁䑁䅅睌祁䝁䅅䅉瑂䡁䅕䅢あ䝁䅫睙求䝁䄴䅤求䡁䅉䅉橂䝁䅷兡畂䝁䅫睙桂䝁䅷䅉あ䡁䅉兡桂䝁䅷䅉浂䝁䄸杣杁䡁䅑䅡求䍁䅁䅤祂䝁䅕兙あ䝁䄰党畂䡁䅑䅉療䝁䅙䅉橂䝁䅕杣㉂䝁䅫睙桂䝁䅷䅉穂䡁䅁兡畂䝁䅅䅢杁䝁䅍睢祂䝁䅑䅉灂䝁䄴条ㅂ䡁䅉兡求䡁䅍睏杁䝁䅅杢歂䍁䅁杖䉂䕁䅍杍獁䍁䅁兙畂䍁䅁兙獂䝁䅷睢湂䝁䅕杢求䝁䅫睙杁䝁䅍兙畂䝁䅍党祂䍁䅁兡瑂䝁䄰兤畂䝁䄸䅤潂䝁䅕杣桂䡁䅁入杁䝁䄸杚杁䝁䅅杢あ䝁䅫睚求䝁䄴兌睂䡁䅉党穂䝁䅕杢あ䝁䅫杢湂䍁䅁䅚求䝁䄴䅚祂䝁䅫䅤灂䝁䅍䅉橂䝁䅕䅢獂䡁䅍䅌杁䡁䅣䅡灂䝁䅍䅡杁䝁䅫督杁䝁䅫杢杁䙁䅁䅡桂䡁䅍党杁䕁䅫䅉橂䝁䅷兡畂䝁䅫睙桂䝁䅷䅉あ䡁䅉兡桂䝁䅷䅉あ䝁䄸䅉あ䡁䅉党桂䡁䅑䅉畂䝁䄸杢瑁䡁䅍兢桂䝁䅷䅢杁䝁䅍党獂䝁䅷䅉獂䡁䅕杢湂䍁䅁睙桂䝁䄴睙求䡁䅉杌杁䕁䅫䅤杁䝁䅅䅢穂䝁䄸䅉療䝁䅙杚求䡁䅉督杁䕁䅅杔兂䑁䅅䅌杁䝁䅅杢杁䝁䅅䅢獂䝁䄸睚求䝁䄴党灂䝁䅍䅉桂䡁䅕䅚灂䡁䅑睢祂䡁䅫䅉畂䝁䅕兤祂䝁䄸杢杁䡁䅁杣療䝁䅣党畂䝁䅫䅤療䡁䅉䅉橂䝁䅕䅢獂䍁䅁䅤祂䝁䅅杢穂䡁䅁䅢桂䝁䄴䅤獁䍁䅁睤潂䝁䅫睙潂䍁䅁兡穂䍁䅁兡畂䍁䅁䅣祂䝁䅕睙獂䝁䅫杢灂䝁䅍兙獂䍁䅁䅚求䡁䅙党獂䝁䄸䅣瑂䝁䅕杢あ䍁䅁杚療䡁䅉䅉あ䝁䅧党杁䡁䅑杣求䝁䅅䅤瑂䝁䅕杢あ䍁䅁睢浂䍁䅁䅚求䝁䅉兡獂䝁䅫䅤桂䡁䅑兡畂䝁䅣䅉潂䝁䅕兙祂䝁䅫杢湂䍁䅁䅢療䡁䅍督㝁䍁䅁兙畂䝁䅑䅉兂䕁䄴睑硁䍁䅷䅉桂䝁䄴䅉桂䝁䅷䅢療䝁䅣党畂䝁䅕兡橂䍁䅁䅣潂䝁䄸䅤療䡁䅉党橂䝁䅕䅣あ䝁䄸杣杁䝁䅍党獂䝁䅷䅉あ䡁䅉兙畂䡁䅍䅣獂䝁䅅杢あ䍁䅷䅉㍂䝁䅧兡橂䝁䅧䅉灂䡁䅍䅉灂䝁䄴䅉睂䡁䅉党橂䝁䅷兡畂䝁䅫睙桂䝁䅷䅉歂䝁䅕杤求䝁䅷睢睂䝁䄰党畂䡁䅑䅉浂䝁䄸杣杁䡁䅑䅡求䍁䅁䅤祂䝁䅕兙あ䝁䄰党畂䡁䅑䅉療䝁䅙䅉㉂䝁䅫督灂䝁䄸杢杁䝁䅷睢穂䡁䅍䅉歂䡁䅕党杁䡁䅑睢杁䡁䅁䅡療䡁䅑睢祂䝁䅕睙求䡁䅁䅤療䡁䅉䅉歂䡁䅫督浂䡁䅕杢橂䡁䅑兡療䝁䄴䅉療䡁䅉䅉歂䝁䅅兢桂䝁䅣党畁䍁䅁兓畂䍁䅁兙歂䝁䅑兡あ䝁䅫睢畂䍁䅷䅉あ䝁䅧党杁䝁䅍睢瑂䡁䅁兙畂䡁䅫䅉求䝁䄴睚桂䝁䅣党穂䍁䅁兡畂䍁䅁䅤潂䝁䅕䅉祂䝁䅕督求䝁䅅杣橂䝁䅧䅉桂䝁䄴䅚杁䝁䅑党㉂䝁䅕䅢療䡁䅁兢求䝁䄴䅤杁䝁䄸杚杁䡁䅑䅡求䡁䅉兙睂䝁䅕兤あ䝁䅫睙杁䡁䅁杣療䝁䅑兤橂䡁䅑督杁䝁䅙睢祂䍁䅁杣求䡁䅑兡畂䝁䅅䅢杁䝁䅑兡穂䝁䅕兙穂䝁䅕督獁䍁䅁杢求䡁䅕杣療䝁䅷睢湂䝁䅫睙桂䝁䅷䅉歂䝁䅫督求䝁䅅督求䡁䅍䅌杁䝁䅅杢歂䍁䅁䅚灂䡁䅍睢祂䝁䅑党祂䡁䅍䅉桂䝁䄴䅚杁䝁䄸杢橂䝁䄸䅢療䝁䅣入畁䍁䅁䅔灂䝁䄴党桂䝁䅣党杁䕁䅍党獂䝁䅷䅉啂䝁䅧党祂䝁䅅䅣求䡁䅕䅤灂䝁䅍督獁䍁䅁兓畂䝁䅍杌杁䝁䅧兙穂䍁䅁兙杁䝁䅍睢獂䝁䅷兙楂䝁䄸杣桂䡁䅑兡療䝁䄴䅉㍂䝁䅫䅤潂䍁䅁兓瑂䝁䄰兤畂䝁䄸兢灂䝁䅍䅉啂䝁䅧党祂䝁䅅䅣求䡁䅕䅤灂䝁䅍督獁䍁䅁兓畂䝁䅍杌獁䍁䅁杚療䡁䅉䅉あ䝁䅧党杁䡁䅑杣求䝁䅅䅤瑂䝁䅕杢あ䍁䅁睢浂䍁䅁睚獂䝁䅫睢楂䝁䅷兙穂䡁䅑睢瑂䝁䅅䅉瑂䡁䅕䅢あ䝁䅫杚療䡁䅉兢求䍁䄴䅉啂䝁䅧党杁䝁䅍睢瑂䡁䅁兙畂䡁䅫䅉㍂䝁䅅督杁䝁䅙睢祂䝁䄰党祂䝁䅷入杁䝁䅳杢療䡁䅣杢杁䝁䅅督杁䕁䅉兡療䙁䅑兡瑂䝁䅕䅌杁䕁䅫杢橂䍁䄴䅉桂䝁䄴䅚杁䝁䅍䅡桂䝁䄴睚求䝁䅑䅉灂䡁䅑督杁䝁䄴兙瑂䝁䅕䅉あ䝁䄸䅉䵂䝁䅫杢求䝁䅅睚求䍁䅁睑求䝁䅷䅢杁䙁䅑䅡求䡁䅉兙睂䝁䅕兤あ䝁䅫睙穂䍁䅷䅉䩂䝁䄴睙畁䍁䅁兡畂䍁䅁兑ㅂ䝁䅣兤穂䡁䅑䅉祁䑁䅁免㕁䍁䄴䅉䵂䝁䅫杢求䝁䅅睚求䍁䅁睑求䝁䅷䅢杁䙁䅑䅡求䡁䅉兙睂䝁䅕兤あ䝁䅫睙穂䍁䅷䅉䩂䝁䄴睙畁䍁䅁睤桂䡁䅍䅉灂䝁䄴睙療䡁䅉䅣療䡁䅉兙あ䝁䅕䅚杁䝁䅫杢杁䑁䅅兏㕁䑁䅁䅉桂䝁䄴䅚杁䝁䅫督杁䝁䅧党桂䝁䅑兣ㅂ䝁䅅杣あ䝁䅕杣求䝁䅑䅉灂䝁䄴䅉䑂䝁䅅杣獂䡁䅍杙桂䝁䅑䅌杁䕁䅍兙獂䝁䅫杚療䡁䅉杢灂䝁䅅杌䅁䱁䙁䅁い睃䅁䅔灂䝁䄴党桂䝁䅣党杁䕁䅍党獂䝁䅷䅉啂䝁䅧党祂䝁䅅䅣求䡁䅕䅤灂䝁䅍督獁䍁䅁兓畂䝁䅍杌獁䍁䅁兙杁䝁䅍䅢灂䝁䄴兡橂䝁䅅䅢瑁䡁䅍䅤桂䝁䅣党杁䝁䅉兡療䡁䅑党橂䝁䅧杢療䝁䅷睢湂䡁䅫䅉橂䝁䄸兢睂䝁䅅杢㕂䍁䅷䅉歂䝁䅕杤求䝁䅷睢睂䡁䅍䅉畂䝁䄸杤求䝁䅷䅉橂䝁䅕䅢獂䍁䅁䅤潂䝁䅕杣桂䡁䅁兡求䡁䅍䅉浂䝁䄸杣杁䡁䅕杢瑂䝁䅕䅤杁䝁䄰党歂䝁䅫睙桂䝁䅷䅉畂䝁䅕党歂䡁䅍䅉灂䝁䄴䅉あ䝁䅧党杁䙁䅕杢灂䡁䅑党歂䍁䅁睕あ䝁䅅䅤求䡁䅍䅉桂䝁䄴䅚杁䝁䅫杢あ䝁䅕杣畂䝁䅅䅤灂䝁䄸杢桂䝁䅷䅢㕂䍁䄴䅉啂䝁䅧党杁䝁䅍睢瑂䡁䅁兙畂䡁䅫䅉歂䝁䅕杤求䝁䅷睢睂䡁䅍䅉偂䡁䅁杕求䝁䅣党畂䍁䅷䅉桂䝁䄴䅉桂䝁䅷䅢療䝁䅣党畂䝁䅕兡橂䍁䅁杣求䡁䅑兡畂䝁䅅䅢杁䡁䅁兡湂䝁䄰党畂䡁䅑䅉求䡁䅁兡あ䝁䅧党獂䝁䅫兤瑂䍁䅁睙求䝁䅷䅢杁䡁䅉党睂䝁䅷兙橂䝁䅕兢求䝁䄴䅤杁䡁䅑䅡求䡁䅉兙睂䡁䅫䅌杁䡁䅣䅡灂䝁䅍䅡杁䝁䅫督杁䝁䅫杢杁䙁䅁䅡桂䡁䅍党杁䑁䅉兙杁䝁䅍䅢灂䝁䄴兡橂䝁䅅䅢杁䡁䅑杣灂䝁䅅䅢杁䝁䅙睢祂䍁䅁䅤潂䝁䅕䅉あ䡁䅉党桂䡁䅑兢求䝁䄴䅤杁䝁䄸杚杁䡁䅑䅡求䍁䅁䅚祂䡁䅫䅉桂䝁䅣党瑁䡁䅉党獂䝁䅅䅤求䝁䅑䅉瑂䝁䅅睙ㅂ䝁䅷兙祂䍁䅁䅚求䝁䅣党畂䝁䅕杣桂䡁䅑兡療䝁䄴睏杁䕁䄸䅕䑂䑁䅅䅌杁䝁䅅杢杁䝁䅅䅢獂䝁䄸睚求䝁䄴党灂䝁䅍䅉療䝁䅷兡湂䝁䄸䅚求䝁䄴䅚祂䝁䄸睙㕂䡁䅑党杁䡁䅁杣療䝁䅣党畂䝁䅫䅤療䡁䅉䅉橂䝁䅕䅢獂䍁䅁䅤潂䝁䅕杣桂䡁䅁入杁䡁䅑䅡桂䡁䅑䅉灂䡁䅍䅉灂䝁䄴䅉兂䝁䅧兙穂䝁䅕䅉硁䍁䄸杍桂䍁䅁兢ㅂ䝁䅷䅤灂䝁䅍党畂䡁䅑党祂䍁䅁睙獂䝁䅫杢灂䝁䅍兙獂䍁䅁䅤祂䝁䅫兙獂䍁䅁杚療䡁䅉䅉あ䝁䅧党杁䡁䅑杣求䝁䅅䅤瑂䝁䅕杢あ䍁䅁睢浂䍁䅁睙求䡁䅉杤灂䝁䅍兙獂䍁䅁督睂䝁䅫杢桂䝁䅷䅉橂䝁䄸杣歂䍁䅁兡畂䝁䅯兤祂䝁䅫党穂䑁䅳䅉桂䝁䄴䅚杁䙁䅙兑䑂䍁䅷䅉桂䝁䄴䅉桂䝁䅷䅢療䝁䅣党畂䝁䅕兡橂䍁䅁睙桂䝁䄴睙求䡁䅉䅉灂䝁䄰兢ㅂ䝁䄴睢あ䝁䅧党祂䝁䅅䅣㕂䍁䅁睢浂䍁䅁兙畂䡁䅑兡湂䝁䅕杢瑁䡁䅁杣求䡁䅍党畂䡁䅑兡畂䝁䅣䅉歂䝁䅕杢歂䡁䅉兡あ䝁䅫睙杁䝁䅍党獂䝁䅷督獁䍁䅁睤潂䝁䅫睙潂䍁䅁兡穂䍁䅁兡畂䍁䅁䅕潂䝁䅅督求䍁䅁兓杁䝁䅍䅢灂䝁䄴兡橂䝁䅅䅢杁䡁䅑杣灂䝁䅅䅢杁䡁䅑睢杁䡁䅑杣求䝁䅅䅤杁䝁䄴睢畂䍁䄰督瑂䝁䅅䅢獂䍁䅁睙求䝁䅷䅢杁䝁䅷兤畂䝁䅣䅉橂䝁䅅杢橂䝁䅕杣畁䍁䅁兓あ䍁䅁兙獂䡁䅍睢杁䝁䄸杚浂䝁䅕杣穂䍁䅁兑佂䙁䅁免獁䍁䅁兙畂䍁䅁兙獂䝁䅷睢湂䝁䅕杢求䝁䅫睙杁䝁䅅兤歂䝁䅫䅤療䡁䅉入杁䝁䄴党ㅂ䡁䅉睢畂䍁䅁䅣祂䝁䄸睚求䝁䄴兡あ䝁䄸杣杁䝁䅍党獂䝁䅷䅉あ䡁䅉兙畂䡁䅍䅣獂䝁䅅杢あ䍁䅷䅉㍂䝁䅧兡橂䝁䅧䅉灂䡁䅍䅉灂䝁䄴䅉睂䡁䅉党橂䝁䅷兡畂䝁䅫睙桂䝁䅷䅉歂䝁䅕杤求䝁䅷睢睂䝁䄰党畂䡁䅑䅉浂䝁䄸杣杁䡁䅑䅡求䍁䅁䅤祂䝁䅕兙あ䝁䄰党畂䡁䅑䅉療䝁䅙䅉歂䝁䅕杙灂䝁䅷兡あ䝁䅅䅤灂䝁䄴睚杁䝁䅧党桂䡁䅉兡畂䝁䅣䅉獂䝁䄸督穂䑁䅳䅉桂䝁䄴䅚杁䙁䅁杔䑂䑁䅅䅌杁䝁䅅杢杁䝁䅅䅢獂䝁䄸睚求䝁䄴党灂䝁䅍䅉睂䝁䅧睢あ䝁䄸杣求䝁䅍党睂䡁䅑睢祂䍁䅁睙求䝁䅷䅢杁䡁䅑杣桂䝁䄴督睂䝁䅷兙畂䡁䅑䅌杁䡁䅣䅡灂䝁䅍䅡杁䝁䅫督杁䝁䅫杢杁䡁䅁杣求䝁䅍䅢灂䝁䄴兡橂䝁䅅䅢杁䝁䅑党㉂䝁䅕䅢療䡁䅁兢求䝁䄴䅤杁䝁䅙睢祂䍁䅁䅤潂䝁䅕䅉あ䡁䅉党桂䡁䅑兢求䝁䄴䅤杁䝁䄸杚杁䡁䅙兡穂䝁䅫睢畂䍁䅁䅢療䡁䅍督杁䝁䅑兤求䍁䅁䅤療䍁䅁䅣潂䝁䄸䅤療䡁䅉党橂䝁䅕䅣あ䝁䄸杣杁䝁䅑入穂䝁䅙兤畂䝁䅍䅤灂䝁䄸杢杁䝁䄸杣杁䝁䅑兙瑂䝁䅅睚求䍁䄴䅉䩂䝁䄴䅉桂䝁䅑䅚灂䡁䅑兡療䝁䄴䅌杁䡁䅑䅡求䍁䅁睙療䝁䄰䅣桂䝁䄴入杁䝁䅕杢湂䝁䅅睚求䡁䅍䅉灂䝁䄴䅉あ䝁䅧党杁䡁䅉党穂䝁䅕兙祂䝁䅍䅡杁䝁䅅杢歂䍁䅁䅚求䡁䅙党獂䝁䄸䅣瑂䝁䅕杢あ䍁䅁睢浂䍁䅁䅤潂䝁䅕杣桂䡁䅁党ㅂ䡁䅑兡橂䍁䅁䅣祂䝁䄸䅚ㅂ䝁䅍䅤穂䍁䅁杚療䡁䅉䅉祂䝁䅕䅤灂䝁䄴兙獂䍁䅁䅚灂䡁䅍党桂䡁䅍党穂䍁䅷䅉畂䝁䅕兤祂䝁䄸䅢療䝁䅣兡橂䝁䅅䅢杁䝁䅑兡穂䝁䅕兙穂䝁䅕督獁䍁䅁兙畂䝁䅑䅉歂䝁䅫督療䡁䅉䅚求䡁䅉督杁䝁䅅杢歂䍁䅁睢畂䝁䅍睢獂䝁䄸睚㕂䍁䄴䅉䵂䝁䅫杢求䝁䅅睚求䍁䅁睑求䝁䅷䅢杁䙁䅑䅡求䡁䅉兙睂䝁䅕兤あ䝁䅫睙穂䍁䅷䅉䩂䝁䄴睙畁䍁䅁䅡桂䡁䅍䅉桂䍁䅁睙療䝁䅷䅢桂䝁䅉睢祂䝁䅅䅤灂䝁䄸杢杁䡁䅣兡あ䝁䅧䅉䩂䝁䄰兢ㅂ䝁䄴睢瑂䝁䅫睙杁䙁䅑䅡求䡁䅉兙睂䝁䅕兤あ䝁䅫睙穂䍁䅷䅉䩂䝁䄴睙畁䍁䅷䅉浂䝁䄸杣杁䡁䅑䅡求䍁䅁䅤祂䝁䅕兙あ䝁䄰党畂䡁䅑䅉療䝁䅙䅉湂䝁䅷兡療䝁䅉䅢桂䡁䅍䅤療䝁䄰兙杁䝁䄰兤獂䡁䅑兡浂䝁䄸杣瑂䝁䅕杌杁䙁䅑䅡求䍁䅁睙療䝁䄰䅣桂䝁䄴入杁䡁䅣兙穂䍁䅁杚療䡁䅉兢求䡁䅉䅢㕂䍁䅁睡畂䝁䄸睤畂䍁䅁兙穂䍁䅁村灂䝁䄸䅖灂䝁䄰党獁䍁䅁兓畂䝁䅍杌杁䝁䅅杢歂䍁䅁睙潂䝁䅅杢湂䝁䅕䅚杁䝁䅫䅤穂䍁䅁杢桂䝁䄰党杁䡁䅑睢杁䕁䅷兡畂䝁䅕兙湂䝁䅕䅉䑂䝁䅕䅢獂䍁䅁䅖潂䝁䅕杣桂䡁䅁党ㅂ䡁䅑兡橂䡁䅍䅌杁䕁䅫杢橂䍁䄴䅉灂䝁䄴䅉䉂䡁䅕睚ㅂ䡁䅍䅤杁䑁䅉䅍硁䑁䅫杌杁䕁䅷兡畂䝁䅕兙湂䝁䅕䅉䑂䝁䅕䅢獂䍁䅁䅖潂䝁䅕杣桂䡁䅁党ㅂ䡁䅑兡橂䡁䅍䅌杁䕁䅫杢橂䍁䄴䅉㍂䝁䅅督杁䝁䅫杢橂䝁䄸杣睂䝁䄸杣桂䡁䅑党歂䍁䅁兡畂䍁䅁免㕁䑁䅫䅍杁䝁䅅杢歂䍁䅁兡穂䍁䅁䅡求䝁䅅䅚硂䡁䅕兙祂䡁䅑党祂䝁䅕䅚杁䝁䅫杢杁䕁䅍兙祂䝁䅷督楂䝁䅅䅚獁䍁䅁睑桂䝁䅷兡浂䝁䄸杣畂䝁䅫兙畁䅁䅁睵䅙䍁䅉䅁䵂䝁䅫杤求䙁䅁党祂䡁䅍睢畂䍁䅷䅉䩂䝁䄴睙畁䅁䅁䄸䅅䕁䅑䅁䵂䡁䅕睙求䡁䅫䅉啂䡁䅉兙畂䡁䅍䅣療䡁䅉䅤杁䕁䅷睢湂䝁䅫督あ䝁䅫睙穂䍁䅁䅔灂䝁䄰兡あ䝁䅕䅚䅁乁䍯䅁䅁杁䅁䅔ㅂ䝁䅍党㕂䍁䅁䅖祂䝁䅅杢穂䡁䅁睢祂䡁䅑䅉䵂䝁䄸睚灂䡁䅍䅤灂䝁䅍督杁䕁䅷兡瑂䝁䅫䅤求䝁䅑䅉求䝁䄴睚桂䝁䅣党穂䍁䅁兡畂䍁䅁䅣祂䝁䄸杤灂䝁䅑兡畂䝁䅣䅉あ䡁䅉兙畂䡁䅍䅣療䡁䅉䅤杁䝁䅅杢歂䍁䅁䅢療䝁䅣兡穂䡁䅑兡橂䡁䅍䅉穂䝁䅕杣㉂䝁䅫睙求䡁䅍杌杁䙁䅑䅡求䍁䅁睙療䝁䄰䅣桂䝁䄴入杁䡁䅣兙穂䍁䅁杚療䡁䅕杢歂䝁䅕䅚杁䝁䅫杢杁䑁䅅兏穁䑁䅉䅉桂䝁䄴䅚杁䝁䅫督杁䝁䅉兙穂䝁䅕䅚杁䝁䅫杢杁䕁䄰兡獂䝁䅷督あ䡁䅉党求䡁䅑䅌杁䕁䅫杣求䝁䅷兙畂䝁䅑杌杁䕁䅅督杁䝁䄸杚杁䙁䅍党睂䡁䅑党瑂䝁䅉党祂䍁䅁睍睁䍁䅷䅉祁䑁䅁杍祁䍁䅷䅉䵂䡁䅕睙求䡁䅫䅉啂䡁䅉兙畂䡁䅍䅣療䡁䅉䅤杁䕁䅷睢湂䝁䅫督あ䝁䅫睙穂䍁䅁䅔灂䝁䄰兡あ䝁䅕䅚杁䝁䄸䅣求䡁䅉兙あ䝁䅕督杁䝁䅅督杁䝁䅅䅉穂䡁䅕杙穂䝁䅫䅚灂䝁䅅杣㕂䍁䅁睢浂䍁䅁䅒䝂䕁䅑睕杁䕁䅅睌呂䍁䄴䅁灄杁䅁䅆䅁䕁䄰村䩂䕁䅅䅉䩂䝁䄴睙畁䅁䅁杚䅍䑁䅧䅁乂䕁䅣兓䑂䍁䅁兓畂䡁䅙党穂䡁䅑兢求䝁䄴䅤杁䕁䅍睢祂䡁䅁睢祂䝁䅅䅤灂䝁䄸杢䅁䝁䑳䅁祁䅁䅁兔塂䙁䅉䅉䩂䝁䄴杚療䙁䅍党橂䡁䅕杣灂䡁䅑入杁䕁䅷兡瑂䝁䅫䅤求䝁䅑䅁䭃允䅁䅚䅁䕁䄰睖卂䍁䅁兓畂䝁䅙睢呂䝁䅕睙ㅂ䡁䅉兡あ䡁䅫䅉䵂䝁䅫兢灂䡁䅑党歂䍁䅁䅋畂䝁䅳兙㙁䙁䅣兡あ䝁䅧督求䝁䅍兤祂䝁䅕䅉䵂䝁䅫兢灂䡁䅑党歂䍁䅫䅁敁䅂䅁杋䅣䕁䄰睖卂䍁䅁兓畂䝁䅙睢呂䝁䅕睙ㅂ䡁䅉兡あ䡁䅫䅉䵂䝁䅫兢灂䡁䅑党歂䍁䅁睢浂䝁䅙党祂䡁䅍䅉橂䡁䅫杙求䡁䅉䅉穂䝁䅕睙ㅂ䡁䅉兡あ䡁䅫䅉橂䝁䄸杢穂䡁䅕䅢あ䝁䅫杢湂䍁䅁督療䝁䅷兤あ䝁䅫睢畂䡁䅍杌杁䕁䅫䅤杁䡁䅁杣療䡁䅙兡歂䝁䅕督杁䡁䅍党橂䡁䅕杣灂䡁䅑入杁䡁䅉党穂䝁䅕兙祂䝁䅍䅡獁䍁䅁督求䝁䅍兤祂䝁䅫䅤㕂䍁䅁兙穂䡁䅍兤祂䝁䅅杢橂䝁䅕䅌杁䝁䄰睢楂䝁䅫䅢求䍁䅁督求䝁䅍兤祂䝁䅫䅤㕂䍁䅷䅉瑂䝁䅅杢桂䝁䅣党歂䍁䅁督求䡁䅉杤灂䝁䅍党穂䍁䅷䅉灂䝁䄴杤求䡁䅍䅤灂䝁䅣兙あ䝁䅫睢畂䡁䅍䅉桂䝁䄴䅚杁䝁䅫杢橂䝁䅫䅚求䝁䄴䅤杁䡁䅉党穂䡁䅁睢畂䡁䅍党穂䍁䅷䅉橂䡁䅫杙求䡁䅉䅉歂䝁䅕杚求䝁䄴督求䍁䅷䅉桂䝁䄴䅚杁䝁䄸䅣求䡁䅉兙あ䝁䅫睢畂䝁䅅䅢杁䡁䅑党橂䝁䅧杢療䝁䅷睢湂䡁䅫䅉穂䝁䅕睙ㅂ䡁䅉兡あ䡁䅫䅉穂䝁䄸䅢ㅂ䡁䅑兡療䝁䄴督畁䍁䅁䅖潂䝁䅕䅉橂䝁䄸兢睂䝁䅅杢㕂䍁䅁兙獂䡁䅍睢杁䝁䄸杚浂䝁䅕杣穂䍁䅁督睂䝁䅕睙灂䝁䅅䅢灂䡁䅍䅤杁䝁䅅䅚㉂䝁䅫睙求䍁䅁兙畂䝁䅑䅉穂䝁䄸䅢ㅂ䡁䅑兡療䝁䄴督杁䝁䅫杢杁䡁䅑䅡求䍁䅁兙祂䝁䅕兙穂䍁䅁睢浂䍁䅁䅣祂䝁䄸杚求䡁䅍督灂䝁䄸杢桂䝁䅷䅉桂䝁䄴䅚杁䝁䄰兙畂䝁䅅睚求䝁䅑䅉穂䝁䅕杣㉂䝁䅫睙求䡁䅍䅌杁䝁䅑党㉂䝁䅕䅢療䡁䅁兡畂䝁䅣䅉橂䝁䄸兢瑂䝁䅕杣橂䝁䅫兙獂䡁䅍䅌杁䝁䅅杢歂䍁䅁睢睂䝁䅕杢杁䡁䅍睢ㅂ䡁䅉睙求䍁䅁督求䝁䅍兤祂䝁䅫䅤㕂䍁䅁䅤療䝁䄸䅢穂䍁䄴䅉䉂䝁䅑䅚灂䡁䅑兡療䝁䄴兙獂䝁䅷入獁䍁䅁兡あ䍁䅁䅣祂䝁䄸杤灂䝁䅑党穂䍁䅁睙㕂䝁䅉党祂䍁䅁督求䝁䅍兤祂䝁䅫䅤㕂䍁䅁䅤祂䝁䅅兡畂䝁䅫杢湂䍁䅁睙療䡁䅕杣穂䝁䅕督杁䝁䅅杢歂䍁䅁杣求䡁䅍党桂䡁䅉睙潂䍁䅁兙畂䝁䅑䅉歂䝁䅕杤求䝁䅷睢睂䝁䄰党畂䡁䅑䅉睂䝁䅷兙あ䝁䅙睢祂䝁䄰杌杁䕁䅫䅤杁䡁䅍党祂䡁䅙党穂䍁䅁杚灂䝁䄴兙畂䝁䅍党獁䍁䅁党畂䝁䅕杣湂䡁䅫䅌杁䝁䅫杢穂䡁䅕杣桂䝁䄴睙求䍁䅷䅉あ䝁䅕睙潂䝁䄴睢獂䝁䄸睚㕂䍁䅷䅉瑂䝁䅕䅚灂䝁䅅䅌杁䝁䅅杢歂䍁䅁䅤求䝁䅷党橂䝁䄸兢瑂䡁䅕杢灂䝁䅍兙あ䝁䅫睢畂䍁䅁兡畂䝁䅑兤穂䡁䅑杣灂䝁䅕督畁䍁䅁䅖潂䝁䅕䅉橂䝁䄸兢睂䝁䅅杢㕂䍁䅁睤桂䡁䅍䅉灂䝁䄴睙療䡁䅉䅣療䡁䅉兙あ䝁䅕䅚杁䝁䅫杢杁䑁䅉䅍睁䑁䅉䅉桂䝁䄴䅚杁䝁䅫督杁䝁䅉兙穂䝁䅕䅚杁䝁䅫杢杁䕁䅉兙穂䝁䅫杢湂䡁䅍䅤療䝁䅳党獁䍁䅁兖畂䝁䅫䅤求䝁䅑䅉䱂䝁䅫杢湂䝁䅑睢瑂䍁䅁睤灂䡁䅑䅡杁䝁䅅䅚歂䝁䅫䅤灂䝁䄸杢桂䝁䅷䅉獂䝁䄸睙桂䡁䅑兡療䝁䄴督杁䝁䅫杢杁䕁䅣兙ㅂ䡁䅑党畂䝁䅣䅌杁䙁䅍睢ㅂ䡁䅑䅡杁䕁䅅杚祂䝁䅫睙桂䑁䅳䅉乂䝁䅅杢橂䝁䅧党穂䡁䅑党祂䍁䅁兙畂䝁䅑䅉䵂䝁䄸杢歂䝁䄸杢獁䍁䅁兖畂䝁䅫䅤求䝁䅑䅉䱂䝁䅫杢湂䝁䅑睢瑂䑁䅳䅉佂䝁䅕睤杁䙁䅫睢祂䝁䅳䅌杁䕁䄴党㍂䍁䅁兗療䡁䅉睡㝁䍁䅁睖桂䡁䅉督桂䡁䅣䅌杁䙁䅁睢獂䝁䅅杢歂䑁䅳䅉桂䝁䄴䅚杁䙁䅍兡畂䝁䅣兙睂䝁䄸杣求䍁䄴䅉䉂䡁䅍䅉療䝁䅙䅉䭂䡁䅕䅢㕂䍁䅁杍獁䍁䅁杍睁䑁䅅䅏獁䍁䅁兔塂䙁䅉䅉䩂䝁䄴杚療䙁䅍党橂䡁䅕杣灂䡁䅑入杁䕁䅷兡瑂䝁䅫䅤求䝁䅑䅉療䡁䅁党祂䝁䅅䅤求䡁䅍䅉桂䡁䅍䅉桂䍁䅁督ㅂ䝁䅉督灂䝁䅑兡桂䡁䅉入杁䝁䄸杚杁䕁䅙兌呂䝁䅕睙ㅂ䡁䅉党杁䕁䄸入煂䍁䄴䅁捃允䅁杈䅁䕁䄰兙畂䝁䅑兡桂䝁䄴䅤獁䍁䅁兓畂䝁䅍杌䅁䥁䅕䅁敂权䅁兔桂䝁䄴䅚灂䝁䅅杢あ䍁䅷䅉䩂䝁䄴睙畁䍁䅁䅚求䡁䅍兡湂䝁䄴督杁䝁䅅杢歂䍁䅁䅚求䡁䅙党獂䝁䄸䅣穂䍁䅁兙杁䝁䅍入楂䝁䅕杣杁䡁䅍党橂䡁䅕杣灂䡁䅑入杁䙁䅍兙桂䙁䅍䅉睂䝁䅷兙あ䝁䅙睢祂䝁䄰䅉あ䝁䅧兙あ䍁䅁睢浂䝁䅙党祂䡁䅍䅉あ䝁䅧杣求䝁䅅䅤杁䝁䅫杢あ䝁䅕䅢獂䝁䅫睚求䝁䄴睙求䍁䅷䅉穂䝁䅕睙ㅂ䡁䅉兡あ䡁䅫䅉㉂䝁䅅䅢灂䝁䅑兙あ䝁䅫睢畂䍁䅷䅉桂䡁䅑䅤桂䝁䅍睡杁䡁䅍兤祂䝁䅙兙橂䝁䅕䅉瑂䝁䅅杢桂䝁䅣党瑂䝁䅕杢あ䍁䅷䅉桂䝁䄴䅚杁䡁䅍党橂䡁䅕杣灂䡁䅑入杁䝁䅅兤あ䝁䄸兢桂䡁䅑兡療䝁䄴䅌杁䝁䅅督杁䡁䅣党獂䝁䅷䅉桂䡁䅍䅉瑂䝁䅅杢桂䝁䅣党歂䍁䅁兙畂䝁䅑䅉橂䝁䄸杢穂䡁䅕䅢あ䝁䅫杢湂䍁䅁督求䡁䅉杤灂䝁䅍党穂䍁䄴䅉啂䝁䅧党杁䝁䅍睢瑂䡁䅁兙畂䡁䅫䅉睂䡁䅉睢㉂䝁䅫䅚求䡁䅍䅉䉂䝁䅑杤桂䝁䄴䅤桂䝁䅣党杁䙁䅁䅢桂䡁䅑杚療䡁䅉兢獁䍁䅁兙杁䝁䄰兤獂䡁䅑兡瑁䡁䅙党畂䝁䅑睢祂䍁䅁䅗䕂䙁䅉䅉睂䝁䅷兙あ䝁䅙睢祂䝁䄰䅉あ䝁䅧兙あ䍁䅁䅚求䝁䅷兡㉂䝁䅕杣穂䍁䅁䅤潂䝁䅕䅉橂䝁䄸兢睂䝁䅅杢㕂䉁杫督杁䝁䅕䅥睂䝁䅕杣あ䝁䅫督求䍁䅁兙畂䝁䅑䅉浂䡁䅉睢畂䡁䅑䅢灂䝁䄴党杁䝁䅫杢あ䝁䅕䅢獂䝁䅫睚求䝁䄴睙求䍁䅁䅤療䍁䅁督求䝁䅍兤祂䝁䅫䅤㕂䍁䅁䅤求䝁䅅兢穂䑁䅳䅉乂䝁䅅杢桂䝁䅣党歂䍁䅁䅒求䝁䅙党畂䡁䅍党獁䍁䅁兙杁䡁䅍睢獂䡁䅕䅤灂䝁䄸杢杁䡁䅣兡あ䝁䅧䅉睂䡁䅉睢あ䝁䅕睙あ䝁䅫睢畂䍁䅁杚祂䝁䄸兢杁䡁䅑䅡祂䝁䅕兙あ䡁䅍睏杁䝁䅅杢歂䍁䅁兔桂䝁䄴䅚灂䝁䅅杢あ䍁䅁兑橂䝁䅅䅚求䝁䄰入獁䍁䅁睤潂䝁䅫睙潂䍁䅁䅣祂䝁䄸杤灂䝁䅑党穂䍁䅁睙㕂䝁䅉党祂䍁䅁督求䝁䅍兤祂䝁䅫䅤㕂䍁䅁䅤祂䝁䅅兡畂䝁䅫杢湂䍁䅁督求䡁䅉杤灂䝁䅍党穂䍁䄴䅉䩂䝁䄴䅉桂䝁䅑䅚灂䡁䅑兡療䝁䄴䅌杁䡁䅑䅡求䍁䅁睙療䝁䄰䅣桂䝁䄴入杁䝁䄸杚浂䝁䅕杣穂䍁䅁兡畂䝁䅍兡歂䝁䅕杢あ䍁䅁杣求䡁䅍䅣療䝁䄴督求䍁䅷䅉祂䝁䅅杢穂䝁䄸兢㍂䝁䅅杣求䍁䅷䅉祂䝁䅫督牂䍁䅁兢桂䝁䄴兙湂䝁䅕兢求䝁䄴䅤獁䍁䅁䅤桂䡁䅉睚求䡁䅑党歂䍁䅁兙あ䡁䅑兙橂䝁䅳䅉あ䝁䅕督あ䝁䅫杢湂䍁䅷䅉橂䡁䅫杙求䡁䅉䅉歂䝁䅕杚求䝁䄴睙求䍁䅁䅤祂䝁䅅杢穂䝁䅙睢祂䝁䄰兙あ䝁䅫睢畂䍁䅷䅉灂䝁䅑党畂䡁䅑兡あ䡁䅫兌浂䝁䅫杣穂䡁䅑䅉穂䝁䅕睙ㅂ䡁䅉兡あ䡁䅫䅌杁䝁䅫杢歂䡁䅕督あ䡁䅉兡桂䝁䅷䅉橂䝁䄸杢あ䡁䅉睢獂䍁䅁督㕂䡁䅍䅤求䝁䄰督杁䝁䅅杢歂䍁䅁睢睂䝁䅕杣桂䡁䅑兡療䝁䄴兙獂䍁䅁䅤求䝁䅍䅡畂䝁䄸䅢療䝁䅣入獁䍁䅁睙獂䝁䄸兤歂䍁䅁兙祂䝁䅍䅡灂䡁䅑党橂䡁䅑兤祂䝁䅕䅌杁䝁䅍入楂䝁䅕杣杁䡁䅍党橂䡁䅕杣灂䡁䅑入杁䝁䅑兤求䍁䅁䅚灂䝁䅷兡湂䝁䅕杢橂䝁䅕䅌杁䝁䅅杢歂䍁䅁䅤潂䡁䅉党桂䡁䅑䅉灂䝁䄴䅤求䝁䅷䅢灂䝁䅣党畂䝁䅍党杁䡁䅍党祂䡁䅙兡橂䝁䅕督畁䍁䅁兓あ䍁䅁䅣祂䝁䄸杤灂䝁䅑党穂䍁䅁兡あ䡁䅍䅉穂䝁䄸䅢ㅂ䡁䅑兡療䝁䄴督杁䝁䅅杢歂䍁䅁督求䡁䅉杤灂䝁䅍党穂䍁䅁兤畂䝁䅑党祂䍁䅁䅤潂䝁䅕䅉乂䝁䅅杢歂䝁䅫兙畂䡁䅑䅉楂䡁䅉兙畂䝁䅑䅉あ䝁䄸䅉あ䝁䅕䅢求䝁䅍睢瑂䝁䄰兤畂䝁䅫睙桂䡁䅑兡療䝁䄴督獁䍁䅁䅤求䝁䅍䅡畂䝁䄸䅢療䝁䅣入獁䍁䅁杚灂䝁䄴兙畂䝁䅍兡桂䝁䅷䅉穂䝁䅕杣㉂䝁䅫睙求䡁䅍䅌杁䡁䅁兤楂䝁䅷兡橂䍁䅁兤あ䝁䅫䅢灂䡁䅑兡求䡁䅍䅌杁䝁䅧党桂䝁䅷䅤潂䝁䅍兙祂䝁䅕䅌杁䡁䅑䅡求䍁䅁睢灂䝁䅷䅉桂䝁䄴䅚杁䝁䅣兙穂䍁䅁兡畂䝁䅑兤穂䡁䅑杣灂䝁䅕督獁䍁䅁兙畂䝁䅑䅉灂䝁䄴䅤求䡁䅉杢桂䡁䅑兡療䝁䄴兙獂䍁䅁睚療䡁䅙党祂䝁䄴兢求䝁䄴䅤桂䝁䅷䅉桂䝁䅣党畂䝁䅍兡求䡁䅍䅌杁䝁䅅督杁䡁䅣党獂䝁䅷䅉桂䡁䅍䅉求䝁䅑兤橂䝁䅅䅤灂䝁䄸杢桂䝁䅷䅉桂䝁䄴䅚杁䝁䄴睢畂䡁䅁杣療䝁䅙兡あ䍁䅁睢祂䝁䅣兙畂䝁䅫来桂䡁䅑兡療䝁䄴督畁䍁䅁兔桂䝁䄴䅚灂䝁䅅杢あ䍁䅷䅉䩂䝁䄴睙畁䍁䅁睤桂䡁䅍䅉浂䝁䄸杣瑂䝁䅕杣獂䡁䅫䅉牂䝁䄴睢㍂䝁䄴䅉桂䡁䅍䅉䝂䝁䅫杣求䕁䅕入求䍁䅷䅉䩂䝁䄴睙畁䍁䅁兙畂䝁䅑䅉橂䝁䅧兙畂䝁䅣党歂䍁䅁兡あ䡁䅍䅉畂䝁䅅兢求䍁䅁䅤療䍁䅁兔桂䝁䄴䅚灂䝁䅅杢あ䍁䅷䅉䩂䝁䄴睙畁䍁䅁兡畂䍁䅁睔橂䡁䅑睢楂䝁䅕杣杁䑁䅉䅍祁䑁䅅杌杁䙁䅑䅡求䍁䅁睙療䝁䄰䅣桂䝁䄴入杁䡁䅣兙穂䍁䅁兡畂䝁䅍睢祂䡁䅁睢祂䝁䅅䅤求䝁䅑䅉灂䝁䄴䅉祁䑁䅁䅍ぁ䍁䅁兙畂䝁䅑䅉灂䡁䅍䅉楂䝁䅅督求䝁䅑䅉灂䝁䄴䅉卂䝁䅕督あ䝁䄸杢獁䍁䅁杖灂䡁䅉睚灂䝁䄴兡桂䍁䄴䅉䉂䡁䅍䅉療䝁䅙䅉呂䝁䅕䅣あ䝁䅕兢楂䝁䅕杣杁䑁䅅杍獁䍁䅁杍睁䑁䅉杍獁䍁䅁兔桂䝁䄴䅚灂䝁䅅杢あ䍁䅷䅉䩂䝁䄴睙畁䍁䅁睢睂䝁䅕杣桂䡁䅑党穂䍁䅁兙穂䍁䅁兙杁䡁䅍兤楂䡁䅍兡歂䝁䅫兙祂䡁䅫䅉療䝁䅙䅉䡂䝁䄸睢湂䝁䅷党杁䕁䅷䅔䑂䍁䄴䅁䡁睁䅁杘䅯䕁䄰兙畂䝁䅑兡桂䝁䄴䅤獁䍁䅁兓畂䝁䅍杌杁䝁䅑党穂䝁䅫睚畂䡁䅍䅉桂䝁䄴䅚杁䝁䅑党㉂䝁䅕䅢療䡁䅁督杁䝁䅅䅉橂䡁䅫杙求䡁䅉䅉穂䝁䅕睙ㅂ䡁䅉兡あ䡁䅫䅉呂䝁䅅兙呂䍁䅁䅣獂䝁䅅䅤浂䝁䄸杣瑂䍁䅁䅤潂䝁䅅䅤杁䝁䄸杚浂䝁䅕杣穂䍁䅁䅤潂䡁䅉党桂䡁䅑䅉灂䝁䄴䅤求䝁䅷䅢灂䝁䅣党畂䝁䅍党獁䍁䅁督求䝁䅍兤祂䝁䅫䅤㕂䍁䅁杤桂䝁䅷兡歂䝁䅅䅤灂䝁䄸杢獁䍁䅁兙あ䡁䅑兙橂䝁䅳䅉穂䡁䅕杣浂䝁䅅睙求䍁䅁兢桂䝁䄴兙湂䝁䅕兢求䝁䄴䅤獁䍁䅁兙畂䝁䅑䅉穂䝁䅕睙ㅂ䡁䅉兡あ䡁䅫䅉桂䡁䅕䅤療䝁䄰兙あ䝁䅫睢畂䍁䅷䅉桂䡁䅍䅉㍂䝁䅕䅢獂䍁䅁兙穂䍁䅁兢桂䝁䄴兙湂䝁䅕䅚杁䝁䅅杢歂䍁䅁睙療䝁䄴督ㅂ䝁䅷䅤灂䝁䄴睚杁䡁䅍党祂䡁䅙兡橂䝁䅕督畁䍁䅁䅖潂䝁䅕䅉橂䝁䄸兢睂䝁䅅杢㕂䍁䅁䅣祂䝁䄸杤灂䝁䅑党穂䍁䅁兙歂䡁䅙兙畂䡁䅑兙湂䝁䅕䅉睂䝁䅷兙あ䝁䅙睢祂䝁䄰䅌杁䝁䅅䅉瑂䡁䅕䅢あ䝁䅫兌㉂䝁䅕杢歂䝁䄸杣杁䙁䅧䅒卂䍁䅁䅣獂䝁䅅䅤浂䝁䄸杣瑂䍁䅁䅤潂䝁䅅䅤杁䝁䅑党獂䝁䅫杤求䡁䅉督杁䡁䅑䅡求䍁䅁睙療䝁䄰䅣桂䝁䄴入婁䡉䅍䅉求䡁䅧䅣求䡁䅉䅤灂䡁䅍党杁䝁䅅杢歂䍁䅁杚祂䝁䄸杢あ䝁䅷兡畂䝁䅕䅉灂䝁䄴䅤求䝁䅷䅢灂䝁䅣党畂䝁䅍党杁䡁䅑睢杁䡁䅍党橂䡁䅕杣灂䡁䅑入杁䡁䅑党桂䝁䄰督㝁䍁䅁兔桂䝁䄴兙湂䝁䅕䅚杁䕁䅑党浂䝁䅕杢穂䝁䅕䅌杁䝁䅅䅉穂䝁䄸䅢ㅂ䡁䅑兡療䝁䄴䅉㍂䝁䅫䅤潂䍁䅁䅣祂䝁䄸䅤求䝁䅍䅤灂䝁䄸杢杁䝁䅙杣療䝁䄰䅉あ䝁䅧杣求䝁䅅䅤穂䑁䅳䅉桂䝁䄴䅚杁䕁䄰兙畂䝁䅑兡桂䝁䄴䅤杁䕁䅅睙桂䝁䅑党瑂䡁䅫䅌杁䡁䅣䅡灂䝁䅍䅡杁䡁䅁杣療䡁䅙兡歂䝁䅕督杁䝁䅍入楂䝁䅕杣杁䡁䅍党橂䡁䅕杣灂䡁䅑入杁䡁䅑杣桂䝁䅫杢灂䝁䄴睚杁䡁䅍党祂䡁䅙兡橂䝁䅕督畁䍁䅁兓畂䍁䅁兙歂䝁䅑兡あ䝁䅫睢畂䍁䅷䅉あ䝁䅧党杁䝁䅍睢瑂䡁䅁兙畂䡁䅫䅉療䝁䅙杚求䡁䅉督杁䝁䅫杢橂䝁䅫䅚求䝁䄴䅤杁䡁䅉党穂䡁䅁睢畂䡁䅍党獁䍁䅁杣桂䝁䄴督療䝁䄰睤桂䡁䅉党獁䍁䅁杣灂䡁䅍睡杁䝁䄰兙畂䝁䅅睚求䝁䄰党畂䡁䅑䅌杁䡁䅑兙祂䝁䅣党あ䝁䅕䅚杁䝁䅅䅤あ䝁䅅睙牂䍁䅁䅤求䡁䅍䅤灂䝁䄴睚獁䍁䅁睙㕂䝁䅉党祂䍁䅁䅚求䝁䅙党畂䝁䅍党杁䡁䅑杣桂䝁䄴督浂䝁䄸杣瑂䝁䅅䅤灂䝁䄸杢獁䍁䅁兡歂䝁䅕杢あ䝁䅫䅤㕂䍁䄰杚灂䡁䅉督あ䍁䅁督求䝁䅍兤祂䝁䅫䅤㕂䍁䅷䅉灂䝁䄴䅚ㅂ䡁䅍䅤祂䝁䅫兙獂䍁䅁睙療䝁䄴䅤祂䝁䄸䅢杁䡁䅍入穂䡁䅑党瑂䡁䅍䅉桂䝁䄴䅚杁䝁䄸䅣求䡁䅉兙あ䝁䅫睢畂䝁䅅䅢杁䡁䅑党橂䝁䅧杢療䝁䅷睢湂䡁䅫䅌杁䝁䅍䅢療䡁䅕䅚杁䝁䅅杣橂䝁䅧兡あ䝁䅕睙あ䡁䅕杣求䍁䅷䅉橂䡁䅫杙求䡁䅉䅉穂䝁䅕睙ㅂ䡁䅉兡あ䡁䅫䅉歂䡁䅕党杁䝁䅑兡獂䝁䅫睚求䝁䄴睙求䍁䅷䅉桂䝁䄴䅚杁䡁䅑䅡祂䝁䅕兙あ䍁䅁兡畂䡁䅑党獂䝁䅷兡湂䝁䅕杢橂䝁䅕䅉穂䝁䅕杣㉂䝁䅫睙求䡁䅍杌杁䕁䅫䅤杁䡁䅁杣療䡁䅙兡歂䝁䅕督杁䝁䅫䅤穂䍁䅁督療䝁䅷兤あ䝁䅫睢畂䡁䅍䅉桂䝁䄴䅚杁䡁䅍党祂䡁䅙兡橂䝁䅕督杁䡁䅕杢歂䝁䅕杣杁䡁䅑䅡求䍁䅁兔桂䝁䄴䅚灂䝁䅅杢あ䍁䅁杙祂䝁䅅杢歂䍁䅁䅤療䍁䅁䅤求䝁䅷党橂䝁䄸兢瑂䡁䅕杢灂䝁䅍兙あ䝁䅫睢畂䡁䅍䅌杁䡁䅑党橂䝁䅧杢療䝁䅷睢湂䡁䅫䅌杁䝁䅙兡畂䝁䅅杢橂䝁䅫兙獂䍁䅁督求䡁䅉杤灂䝁䅍党穂䍁䅷䅉睂䡁䅕杙獂䝁䅫睙杁䡁䅕䅤灂䝁䅷兡あ䝁䅫党穂䍁䅷䅉潂䝁䅕兙獂䡁䅑䅡橂䝁䅅杣求䍁䅷䅉あ䝁䅧党杁䝁䄸兡獂䍁䅁兙畂䝁䅑䅉湂䝁䅅督杁䝁䅫杢歂䡁䅕督あ䡁䅉兡求䡁䅍䅌杁䝁䅅杢歂䍁䅁兡畂䡁䅑党祂䝁䄴兙あ䝁䅫睢畂䝁䅅䅢杁䝁䅣睢㉂䝁䅕杣畂䝁䄰党畂䡁䅑兙獂䍁䅁兙湂䝁䅕杢橂䝁䅫党穂䍁䅷䅉桂䡁䅍䅉㍂䝁䅕䅢獂䍁䅁兙穂䍁䅁党歂䡁䅕睙桂䡁䅑兡療䝁䄴兙獂䍁䅁兙畂䝁䅑䅉畂䝁䄸杢睂䡁䅉睢浂䝁䅫䅤杁䝁䄸杣湂䝁䅅杢灂䡁䅯兙あ䝁䅫睢畂䡁䅍杌杁䕁䄰兙畂䝁䅑兡桂䝁䄴䅤獁䍁䅁兓畂䝁䅍杌杁䡁䅣兙穂䍁䅁杚療䡁䅉兢求䡁䅉䅢㕂䍁䅁睡畂䝁䄸睤畂䍁䅁兙穂䍁䅁杒灂䡁䅉党䙂䡁䅫党獁䍁䅁兓畂䝁䅍杌杁䝁䅅杢歂䍁䅁睙潂䝁䅅杢湂䝁䅕䅚杁䝁䅫䅤穂䍁䅁杢桂䝁䄰党杁䡁䅑睢杁䕁䄰兙畂䝁䅑兡桂䝁䄴䅤獁䍁䅁兓畂䝁䅍杌杁䝁䅫杢杁䕁䄸睙あ䝁䄸杙求䡁䅉䅉祁䑁䅁杍硁䍁䄴䅉啂䝁䅧党杁䝁䅍睢瑂䡁䅁兙畂䡁䅫䅉㍂䝁䅅督杁䝁䅫杢橂䝁䄸杣睂䝁䄸杣桂䡁䅑党歂䍁䅁兡畂䍁䅁杍睁䑁䅁䅎杁䝁䅅杢歂䍁䅁兡穂䍁䅁杙桂䡁䅍党歂䍁䅁兡畂䍁䅁杕求䡁䅍䅤療䝁䄴䅌杁䙁䅙兡祂䝁䅣兡畂䝁䅫兙畁䍁䅁兑穂䍁䅁睢浂䍁䅁睕求䡁䅁䅤求䝁䄰杙求䡁䅉䅉硁䑁䅉䅌杁䑁䅉䅍祁䑁䅉䅌杁䕁䄰兙畂䝁䅑兡桂䝁䄴䅤獁䍁䅁兓畂䝁䅍杌杁䝁䄸䅣求䡁䅉兙あ䝁䅕督杁䝁䅅督杁䝁䅅䅉穂䡁䅕杙穂䝁䅫䅚灂䝁䅅杣㕂䍁䅁睢浂䍁䅁睒療䝁䄸睚獂䝁䅕䅉䵂䕁䅷睑畁䅁䅁睬䅁䙁䭯䅁乂䝁䅅杢歂䝁䅫兙畂䡁䅑䅌杁䕁䅫杢橂䍁䄴䅉歂䝁䅕督灂䝁䅣杢穂䍁䅁兙畂䝁䅑䅉歂䝁䅕杤求䝁䅷睢睂䡁䅍䅉橂䡁䅫杙求䡁䅉䅉穂䝁䅕睙ㅂ䡁䅉兡あ䡁䅫䅉呂䝁䅅兙呂䍁䅁䅣獂䝁䅅䅤浂䝁䄸杣瑂䍁䅁䅤潂䝁䅅䅤杁䝁䄸杚浂䝁䅕杣穂䍁䅁䅤潂䡁䅉党桂䡁䅑䅉灂䝁䄴䅤求䝁䅷䅢灂䝁䅣党畂䝁䅍党獁䍁䅁督求䝁䅍兤祂䝁䅫䅤㕂䍁䅁杤桂䝁䅷兡歂䝁䅅䅤灂䝁䄸杢獁䍁䅁兙あ䡁䅑兙橂䝁䅳䅉穂䡁䅕杣浂䝁䅅睙求䍁䅁兢桂䝁䄴兙湂䝁䅕兢求䝁䄴䅤獁䍁䅁兙畂䝁䅑䅉穂䝁䅕睙ㅂ䡁䅉兡あ䡁䅫䅉桂䡁䅕䅤療䝁䄰兙あ䝁䅫睢畂䍁䅷䅉桂䡁䅍䅉㍂䝁䅕䅢獂䍁䅁兙穂䍁䅁兢桂䝁䄴兙湂䝁䅕䅚杁䝁䅅杢歂䍁䅁睙療䝁䄴督ㅂ䝁䅷䅤灂䝁䄴睚杁䡁䅍党祂䡁䅙兡橂䝁䅕督畁䍁䅁䅖潂䝁䅕䅉橂䝁䄸兢睂䝁䅅杢㕂䍁䅁䅣祂䝁䄸杤灂䝁䅑党穂䍁䅁兑歂䡁䅙兙畂䡁䅑兙湂䝁䅕䅉兂䝁䅷兙あ䝁䅙睢祂䝁䄰䅌杁䝁䅅䅉瑂䡁䅕䅢あ䝁䅫兌㉂䝁䅕杢歂䝁䄸杣杁䙁䅧䅒卂䍁䅁䅣獂䝁䅅䅤浂䝁䄸杣瑂䍁䅁䅤潂䝁䅅䅤杁䝁䅑党獂䝁䅫杤求䡁䅉督杁䡁䅑䅡求䍁䅁睙療䝁䄰䅣桂䝁䄴入婁䡉䅍䅉求䡁䅧䅣求䡁䅉䅤灂䡁䅍党杁䝁䅅杢歂䍁䅁杚祂䝁䄸杢あ䝁䅷兡畂䝁䅕䅉灂䝁䄴䅤求䝁䅷䅢灂䝁䅣党畂䝁䅍党杁䡁䅑睢杁䡁䅍党橂䡁䅕杣灂䡁䅑入杁䡁䅑党桂䝁䄰督㝁䍁䅁兔桂䝁䄴兙湂䝁䅕䅚杁䕁䅑党浂䝁䅕杢穂䝁䅕䅌杁䝁䅅䅉穂䝁䄸䅢ㅂ䡁䅑兡療䝁䄴䅉㍂䝁䅫䅤潂䍁䅁䅣祂䝁䄸䅤求䝁䅍䅤灂䝁䄸杢杁䝁䅙杣療䝁䄰䅉あ䝁䅧杣求䝁䅅䅤穂䑁䅳䅉桂䝁䄴䅚杁䕁䄰兙畂䝁䅑兡桂䝁䄴䅤杁䕁䅅睙桂䝁䅑党瑂䡁䅫䅌杁䡁䅣䅡灂䝁䅍䅡杁䡁䅁杣療䡁䅙兡歂䝁䅕督杁䝁䅍入楂䝁䅕杣杁䡁䅍党橂䡁䅕杣灂䡁䅑入杁䡁䅑杣桂䝁䅫杢灂䝁䄴睚杁䡁䅍党祂䡁䅙兡橂䝁䅕督畁䍁䅁兓畂䍁䅁兙歂䝁䅑兡あ䝁䅫睢畂䍁䅷䅉あ䝁䅧党杁䝁䅍睢瑂䡁䅁兙畂䡁䅫䅉療䝁䅙杚求䡁䅉督杁䝁䅫杢橂䝁䅫䅚求䝁䄴䅤杁䡁䅉党穂䡁䅁睢畂䡁䅍党獁䍁䅁杣桂䝁䄴督療䝁䄰睤桂䡁䅉党獁䍁䅁杣灂䡁䅍睡杁䝁䄰兙畂䝁䅅睚求䝁䄰党畂䡁䅑䅌杁䡁䅑兙祂䝁䅣党あ䝁䅕䅚杁䝁䅅䅤あ䝁䅅睙牂䍁䅁䅤求䡁䅍䅤灂䝁䄴睚獁䍁䅁睙㕂䝁䅉党祂䍁䅁䅚求䝁䅙党畂䝁䅍党杁䡁䅑杣桂䝁䄴督浂䝁䄸杣瑂䝁䅅䅤灂䝁䄸杢獁䍁䅁兡歂䝁䅕杢あ䝁䅫䅤㕂䍁䄰杚灂䡁䅉督あ䍁䅁督求䝁䅍兤祂䝁䅫䅤㕂䍁䅷䅉灂䝁䄴䅚ㅂ䡁䅍䅤祂䝁䅫兙獂䍁䅁睙療䝁䄴䅤祂䝁䄸䅢杁䡁䅍入穂䡁䅑党瑂䡁䅍䅉桂䝁䄴䅚杁䝁䄸䅣求䡁䅉兙あ䝁䅫睢畂䝁䅅䅢杁䡁䅑党橂䝁䅧杢療䝁䅷睢湂䡁䅫䅌杁䝁䅍䅢療䡁䅕䅚杁䝁䅅杣橂䝁䅧兡あ䝁䅕睙あ䡁䅕杣求䍁䅷䅉橂䡁䅫杙求䡁䅉䅉穂䝁䅕睙ㅂ䡁䅉兡あ䡁䅫䅉歂䡁䅕党杁䝁䅑兡獂䝁䅫睚求䝁䄴睙求䍁䅷䅉桂䝁䄴䅚杁䡁䅑䅡祂䝁䅕兙あ䍁䅁兡畂䡁䅑党獂䝁䅷兡湂䝁䅕杢橂䝁䅕䅉穂䝁䅕杣㉂䝁䅫睙求䡁䅍杌杁䕁䅫䅤杁䡁䅁杣療䡁䅙兡歂䝁䅕督杁䝁䅫䅤穂䍁䅁督療䝁䅷兤あ䝁䅫睢畂䡁䅍䅉桂䝁䄴䅚杁䡁䅍党祂䡁䅙兡橂䝁䅕督杁䡁䅕杢歂䝁䅕杣杁䡁䅑䅡求䍁䅁兔桂䝁䄴䅚灂䝁䅅杢あ䍁䅁杙祂䝁䅅杢歂䍁䅁䅤療䍁䅁䅤求䝁䅷党橂䝁䄸兢瑂䡁䅕杢灂䝁䅍兙あ䝁䅫睢畂䡁䅍䅌杁䡁䅑党橂䝁䅧杢療䝁䅷睢湂䡁䅫䅌杁䝁䅙兡畂䝁䅅杢橂䝁䅫兙獂䍁䅁督求䡁䅉杤灂䝁䅍党穂䍁䅷䅉睂䡁䅕杙獂䝁䅫睙杁䡁䅕䅤灂䝁䅷兡あ䝁䅫党穂䍁䅷䅉潂䝁䅕兙獂䡁䅑䅡橂䝁䅅杣求䍁䅷䅉あ䝁䅧党杁䝁䄸兡獂䍁䅁兙畂䝁䅑䅉湂䝁䅅督杁䝁䅫杢歂䡁䅕督あ䡁䅉兡求䡁䅍䅌杁䝁䅅杢歂䍁䅁兡畂䡁䅑党祂䝁䄴兙あ䝁䅫睢畂䝁䅅䅢杁䝁䅣睢㉂䝁䅕杣畂䝁䄰党畂䡁䅑兙獂䍁䅁兙湂䝁䅕杢橂䝁䅫党穂䍁䅷䅉桂䡁䅍䅉㍂䝁䅕䅢獂䍁䅁兙穂䍁䅁党歂䡁䅕睙桂䡁䅑兡療䝁䄴兙獂䍁䅁兙畂䝁䅑䅉畂䝁䄸杢睂䡁䅉睢浂䝁䅫䅤杁䝁䄸杣湂䝁䅅杢灂䡁䅯兙あ䝁䅫睢畂䡁䅍杌杁䕁䄰兙畂䝁䅑兡桂䝁䄴䅤獁䍁䅁兓畂䝁䅍杌杁䡁䅣兙穂䍁䅁杚療䡁䅉兢求䡁䅉䅢㕂䍁䅁睡畂䝁䄸睤畂䍁䅁兙穂䍁䅁杒灂䡁䅉党䙂䡁䅫党獁䍁䅁兓畂䝁䅍杌杁䝁䅅杢歂䍁䅁睙潂䝁䅅杢湂䝁䅕䅚杁䝁䅫䅤穂䍁䅁杢桂䝁䄰党杁䡁䅑睢杁䕁䄰兙畂䝁䅑兡桂䝁䄴䅤獁䍁䅁兓畂䝁䅍杌杁䝁䅫杢杁䕁䄸睙あ䝁䄸杙求䡁䅉䅉祁䑁䅁杍硁䍁䄴䅉啂䝁䅧党杁䝁䅍睢瑂䡁䅁兙畂䡁䅫䅉㍂䝁䅅督杁䝁䅫杢橂䝁䄸杣睂䝁䄸杣桂䡁䅑党歂䍁䅁兡畂䍁䅁杍睁䑁䅁䅎杁䝁䅅杢歂䍁䅁兡穂䍁䅁杙桂䡁䅍党歂䍁䅁兡畂䍁䅁杕求䡁䅍䅤療䝁䄴䅌杁䙁䅙兡祂䝁䅣兡畂䝁䅫兙畁䍁䅁兑穂䍁䅁睢浂䍁䅁睕求䡁䅁䅤求䝁䄰杙求䡁䅉䅉硁䑁䅉䅌杁䑁䅉䅍祁䑁䅉䅌杁䕁䄰兙畂䝁䅑兡桂䝁䄴䅤獁䍁䅁兓畂䝁䅍杌杁䝁䄸䅣求䡁䅉兙あ䝁䅕督杁䝁䅅督杁䝁䅅䅉穂䡁䅕杙穂䝁䅫䅚灂䝁䅅杣㕂䍁䅁睢浂䍁䅁睒療䝁䄸睚獂䝁䅕䅉䵂䕁䅷睑畁䅁䅁杊䅑䥁䅑䅁乂䝁䅅杣獂䝁䅫杢杁䕁䅕兣ㅂ䝁䅫䅤㕂䍁䅁䅕桂䡁䅉䅤畂䝁䅕杣穂䍁䅷䅉䵂䕁䅷睑㝁䍁䅁兔桂䡁䅉䅢灂䝁䄴䅉䙂䡁䅅兤灂䡁䅑入杁䕁䅫杖杁䕁䅷䅕㝁䍁䅁兔桂䡁䅉䅢灂䝁䄴䅉䙂䡁䅅兤灂䡁䅑入杁䙁䅙䅁䭁杁䅁䅋䅁䕁䄰兙あ䕁䅧党瑂䍁䅁兡杁䙁䅍杤求䡁䅉兡湂䝁䅕䅉䉂䕁䅉䅁䵃杁䅁䅍䅁䕁䄰兙あ䡁䅍党杁䕁䅧睢獂䝁䅑兡畂䝁䅣䅉䉂䕁䅉䅉潁䡁䅁兤楂䝁䅷克䅁䩁䌸䅁㑁兂䅁兔桂䡁䅑督求䍁䅁䅓療䝁䅷䅚灂䝁䄴睚杁䕁䅅村杁䍁䅧䅣ㅂ䝁䅉䅢灁䍁䅁睢睂䝁䅕杣桂䡁䅑党穂䍁䅁督ㅂ䡁䅁党祂䝁䄰兙祂䝁䅳党あ䡁䅍䅉灂䝁䄴䅉呂䡁䅣党歂䝁䅕杢畁䍁䅁兓あ䍁䅁睢浂䝁䅙党祂䡁䅍䅉楂䝁䅅睡求䡁䅉入杁䡁䅁杣療䝁䅑兤橂䡁䅑督獁䍁䅁杚獂䝁䄸睤求䡁䅉督獁䍁䅁杙求䡁䅙党祂䝁䅅睚求䡁䅍䅌杁䝁䅙兡穂䝁䅧䅉桂䝁䄴䅚杁䡁䅍党桂䝁䅙睢療䝁䅑䅉睂䡁䅉睢歂䡁䅕睙あ䡁䅍䅌杁䝁䅙杣ㅂ䝁䅫䅤穂䍁䅁兙畂䝁䅑䅉㉂䝁䅕睚求䡁䅑兙楂䝁䅷党穂䍁䅷䅉祂䝁䅕兙歂䡁䅫䅉瑂䝁䅕兙獂䡁䅍䅌杁䝁䅫睙求䍁䅁睙祂䝁䅕兙瑂䡁䅍䅌杁䡁䅍睤求䝁䅕䅤穂䍁䅁兙畂䝁䅑䅉穂䝁䄴兙橂䝁䅳督獁䍁䅁䅣求䡁䅑督獁䍁䅁兢求䝁䅅䅤杁䝁䅅杢歂䍁䅁兢求䝁䅅䅤杁䡁䅁杣療䝁䅑兤橂䡁䅑督獁䍁䅁兢求䝁䅑兡桂䍁䅁兙畂䝁䅑䅉求䝁䄴䅤求䡁䅉䅤桂䝁䅫杢瑂䝁䅕杢あ䍁䅁䅣祂䝁䄸䅚ㅂ䝁䅍䅤穂䍁䅷䅉求䝁䅣睚穂䍁䅁兙畂䝁䅑䅉歂䝁䅅兡祂䡁䅫䅉睂䡁䅉睢歂䡁䅕睙あ䡁䅍䅌杁䝁䄴睢畂䍁䄰䅣祂䝁䅕督橂䡁䅉兡睂䡁䅑兡療䝁䄴䅉歂䡁䅉兤湂䡁䅍䅌杁䡁䅁兙畂䡁䅑杣㕂䍁䅁䅣祂䝁䄸䅚ㅂ䝁䅍䅤穂䍁䅷䅉楂䝁䅕兙ㅂ䡁䅑入杁䝁䅅杢歂䍁䅁䅡㕂䝁䅣兡求䝁䄴党杁䡁䅁杣療䝁䅑兤橂䡁䅑督獁䍁䅁兙畂䝁䅑䅉あ䝁䄸杙桂䝁䅍睙療䍁䅁兙畂䝁䅑䅉療䡁䅑䅡求䡁䅉䅉浂䝁䄸睢歂䍁䅁䅣祂䝁䄸䅚ㅂ䝁䅍䅤穂䍁䅷䅉桂䡁䅍䅉㍂䝁䅕䅢獂䍁䅁兙穂䍁䅁䅣祂䝁䄸䅚ㅂ䝁䅍䅤穂䍁䅁杚療䡁䅉䅉ㅂ䡁䅍党杁䝁䅫杢杁䝁䅧睢瑂䝁䅕䅉桂䡁䅁䅣獂䝁䅫睙桂䡁䅑兡療䝁䄴督畁䍁䅁䅖潂䝁䅕䅉橂䝁䄸兢睂䝁䅅杢㕂䍁䅁兙獂䡁䅍睢杁䡁䅍党獂䝁䅷督杁䝁䅫䅤穂䍁䅁䅣祂䝁䄸䅚ㅂ䝁䅍䅤穂䍁䅁䅤潂䡁䅉睢ㅂ䝁䅣䅡杁䝁䅫䅤穂䍁䅁睖求䝁䅉督灂䡁䅑党獁䍁䅁兔桂䡁䅑杌穂䝁䅕杌杁䕁䄰兙あ䡁䅍党杁䕁䅧睢獂䝁䅑兡畂䝁䅣䅉䉂䕁䅉䅉潁䡁䅁兤楂䝁䅷克杁䝁䅫督杁䝁䅧党桂䝁䅑兣ㅂ䝁䅅杣あ䝁䅕杣求䝁䅑䅉灂䝁䄴䅉䡂䝁䄸䅤潂䝁䅕杢楂䡁䅕杣湂䍁䅷䅉呂䡁䅣党歂䝁䅕杢畁䍁䅁兑穂䍁䅁睢浂䍁䅁兔桂䡁䅉睙潂䍁䅁免獁䍁䅁杍睁䑁䅉杍獁䍁䅁兔桂䡁䅑督求䍁䅁䅓療䝁䅷䅚灂䝁䄴睚杁䕁䅅村杁䍁䅧䅣ㅂ䝁䅉䅢灁䍁䅁睢睂䝁䅕杣桂䡁䅑党穂䍁䅁兙穂䍁䅁兙杁䡁䅍兤楂䡁䅍兡歂䝁䅫兙祂䡁䅫䅉療䝁䅙䅉乂䝁䅅䅤䥂䝁䅕兢杁䝁䅫䅉呂䡁䅙党祂䝁䅫睚求䍁䅁兑䍂䍁䄴权䅁䭁䍷䅁㑁䅁䅁兔桂䡁䅙党祂䝁䅫睙牂䍁䅁睑㕂䝁䅉党祂䍁䄰䅒求䝁䅙党畂䡁䅍党獁䍁䅁䅔䵂䕁䅍䅁㍃允䅁杧䅁䕁䄰党歂䝁䅫兙杁䝁䅅杢歂䍁䅁睒桂䝁䄰党穂䍁䅁兓畂䡁䅙党穂䡁䅑䅉睂䝁䅷睙杁䍁䅧杢牂䝁䅅杏乂䕁䅣兓杁䍁䄰䅉乂䝁䅕䅚灂䝁䅅䅉桂䝁䄴䅚杁䕁䅣兙瑂䝁䅕督杁䕁䅫杢㉂䝁䅕督あ䍁䅁睕䙂䍁䅫䅁求杁䅁杅䅁䕁䄰党あ䡁䅉睢杁䕁䅅睒䅁䩁䍙䅁獁䅁䅁兔灂䝁䅍杣療䡁䅍睢浂䡁䅑䅉䑂䝁䄸杣睂䝁䄸杣桂䡁䅑兡療䝁䄴䅁癄允䅁朲䅷䕁䄰兡畂䝁䅫兢獁䍁䅁兓畂䝁䅍杌獁䍁䅁䅤療䝁䅣党あ䝁䅧党祂䍁䅁睤灂䡁䅑䅡杁䝁䅫䅤穂䍁䅁督ㅂ䝁䅉督灂䝁䅑兡桂䡁䅉兡求䡁䅍䅌杁䝁䅑党穂䝁䅫睚畂䡁䅍䅌杁䝁䄰兙畂䡁䅕杚桂䝁䅍䅤ㅂ䡁䅉党獁䍁䅁兙畂䝁䅑䅉穂䝁䅕䅢獂䡁䅍䅉桂䝁䄴䅚杁䕁䅫杢あ䝁䅕杣畂䝁䅕䅤杁䝁䅅睙橂䝁䅕督穂䍁䅁䅣祂䝁䄸䅚ㅂ䝁䅍䅤穂䍁䅁兡畂䍁䅁杔療䡁䅉䅤潂䍁䅁兑瑂䝁䅕杣灂䝁䅍兙杁䝁䅅杢歂䍁䅁兡畂䡁䅑党祂䝁䄴兙あ䝁䅫睢畂䝁䅅䅢獂䡁䅫杌杁䕁䅫䅤杁䝁䄸杚浂䝁䅕杣穂䍁䅁䅡桂䡁䅉䅚㍂䝁䅅杣求䍁䅁䅣祂䝁䄸䅚ㅂ䝁䅍䅤穂䍁䅷䅉灂䝁䄴睙獂䡁䅕䅚灂䝁䄴睚杁䝁䅍兙楂䝁䅷党杁䝁䄰睢歂䝁䅕兢穂䍁䅷䅉橂䝁䅅杙獂䝁䅕䅉瑂䝁䄸䅚求䝁䄰睌祂䝁䄸兤あ䝁䅕杣穂䍁䅷䅉湂䝁䅅䅤求䡁䅣兙㕂䡁䅍䅌杁䝁䄰睢楂䝁䅫䅢求䍁䅁杙祂䝁䄸兙歂䝁䅉兙畂䝁䅑䅉瑂䝁䄸䅚求䝁䄰督獁䍁䅁睤灂䡁䅉党獂䝁䅕督穂䍁䅁杣療䡁䅕䅤求䡁䅉督獁䍁䅁兢ㅂ䝁䅷䅤灂䝁䄰党歂䝁䅫兙杁䝁䄸杤求䡁䅉䅉橂䝁䄸兙㑂䍁䅁兙歂䝁䅅䅣あ䝁䅕杣穂䍁䅷䅉瑂䝁䅕督潂䍁䅁䅡療䝁䄰党杁䝁䄴党あ䡁䅣睢祂䝁䅳兡畂䝁䅣䅉歂䝁䅕杤灂䝁䅍党穂䍁䅷䅉桂䝁䄴䅚杁䝁䄸䅤潂䝁䅕杣杁䝁䅷睢橂䝁䅅䅢杁䝁䅅杣求䝁䅅䅉畂䝁䅕䅤㍂䝁䄸杣牂䍁䅁䅣祂䝁䄸䅚ㅂ䝁䅍䅤穂䍁䄴䅉啂䝁䅧党杁䝁䅍睢瑂䡁䅁兙畂䡁䅫䅉桂䝁䅷督療䍁䅁䅣祂䝁䄸杤灂䝁䅑党穂䍁䅁兔灂䝁䄴兡瑂䍁䅁兢療䝁䅉兡獂䝁䅕䅉桂䡁䅁䅣獂䝁䅫睙桂䡁䅑兡療䝁䄴督杁䝁䅙睢祂䍁䅁党畂䝁䅑䅉ㅂ䡁䅍党祂䡁䅍䅉あ䝁䄸䅉睂䝁䅕杣穂䝁䄸杢桂䝁䅷兡㙂䝁䅕䅉桂䝁䄴䅚杁䝁䄰睢畂䝁䅫䅤療䡁䅉䅉あ䝁䅧党灂䡁䅉䅉潂䝁䄸兢求䍁䅁兙畂䝁䅑䅉療䝁䅙杚灂䝁䅍党杁䝁䄴党あ䡁䅣睢祂䝁䅳䅉浂䝁䄸杣杁䡁䅍䅣求䝁䅕䅚杁䡁䅑党穂䡁䅑兡畂䝁䅣䅌杁䝁䅑兙あ䝁䅅䅉ㅂ䡁䅍兙湂䝁䅕䅉あ䡁䅉兙橂䝁䅳兡畂䝁䅣䅌杁䡁䅍党橂䡁䅕杣灂䡁䅑入杁䝁䅅䅢求䡁䅉䅤穂䍁䅷䅉瑂䝁䅅䅢㍂䝁䅅杣求䍁䅁杙獂䝁䄸睙牂䝁䅫杢湂䍁䅷䅉睂䡁䅉兡㉂䝁䅅睙㕂䍁䅁督求䡁䅑䅤灂䝁䄴睚穂䍁䅷䅉桂䝁䄴䅚杁䡁䅁兙祂䝁䅕杢あ䝁䅅䅢杁䝁䅍睢畂䡁䅑杣療䝁䅷督㝁䍁䅁兙畂䝁䅑䅉乂䝁䅫杢灂䝁䄰䅉㍂䝁䅕杙杁䝁䅅䅣睂䝁䅷兡橂䝁䅅䅤灂䝁䄸杢杁䡁䅑䅡桂䡁䅑䅉求䝁䄴兙楂䝁䅷党穂䍁䅁䅤求䝁䅍䅡畂䝁䅫睙桂䝁䅷䅉穂䡁䅕䅣睂䝁䄸杣あ䍁䅁杣求䡁䅁杣求䡁䅍党畂䡁䅑兙あ䝁䅫杤求䡁䅍䅉療䝁䅙䅉䩂䝁䄴䅤求䡁䅉杢求䡁䅑䅉呂䝁䅕杣㉂䝁䅫睙求䍁䅁䅕祂䝁䄸杤灂䝁䅑党祂䡁䅍䅉潁䕁䅫睕兂䡁䅍克杁䝁䅅杢歂䍁䅁杙ㅂ䡁䅍兡畂䝁䅕督穂䝁䅕督杁䡁䅑睢杁䝁䄸杚浂䝁䅕杣杁䡁䅉党瑂䝁䄸䅤求䍁䅁督ㅂ䡁䅁䅣療䡁䅉䅤杁䡁䅣兡あ䝁䅧䅉畂䝁䅕䅤㍂䝁䄸杣牂䍁䅁兡畂䡁䅍兡湂䝁䅧䅤穂䍁䄴䅉䩂䝁䄴䅉桂䝁䅑䅚灂䡁䅑兡療䝁䄴䅌杁䝁䅫䅤杁䝁䄸杚浂䝁䅕杣穂䍁䅁兔灂䝁䄴兡瑂䍁䅁兑兂䕁䅫䅉穂䡁䅕兡あ䝁䅕䅉桂䝁䄴䅚杁䕁䄰兡畂䝁䅫兢偂䙁䅍䅉浂䝁䄸杣杁䡁䅑䅡灂䡁䅉䅚瑁䡁䅁兙祂䡁䅑入杁䝁䅧兙祂䝁䅑睤桂䡁䅉党杁䡁䅙党畂䝁䅑睢祂䡁䅍䅌杁䕁䅫睕兂䡁䅍䅌杁䝁䅅杢歂䍁䅁睢あ䝁䅧党祂䍁䅁䅣桂䡁䅉䅤畂䝁䅕杣穂䍁䅁䅤療䍁䅁兡畂䡁䅑党湂䡁䅉兙あ䝁䅕䅉㍂䝁䅫䅤潂䍁䅁䅤潂䝁䅕䅉乂䝁䅫杢灂䝁䄰䅉睂䝁䅷兙あ䝁䅙睢祂䝁䄰䅉桂䝁䄴䅚杁䝁䅙兤畂䝁䅍䅤灂䝁䄸杢桂䝁䅷兡あ䡁䅫睏杁䡁䅑睢杁䝁䄰兙畂䝁䅅睚求䍁䅁䅤潂䝁䅕兡祂䍁䅁睢㍂䝁䄴䅉桂䝁䅍睙療䡁䅕杢あ䍁䅁䅚桂䡁䅑兙㝁䍁䅁兙畂䝁䅑䅉あ䝁䄸䅉灂䝁䄴䅤求䝁䅣杣桂䡁䅑党杁䡁䅣兡あ䝁䅧䅉あ䝁䅧兡祂䝁䅑兌睂䝁䅅杣あ䡁䅫䅉祂䝁䄸兤あ䝁䅕杣杁䝁䅙兡祂䝁䄰睤桂䡁䅉党畁䍁䅁䅖潂䝁䅕䅉橂䝁䄸兢睂䝁䅅杢㕂䍁䅁睢浂䝁䅙党祂䡁䅍䅉灂䡁䅑督杁䡁䅁杣療䝁䅑兤橂䡁䅑督杁䡁䅕杢歂䝁䅕杣杁䡁䅑䅡求䍁䅁杗偂䕁䄸兔獁䍁䅁兔療䡁䅑睢祂䝁䄸䅢桂䍁䅷䅉桂䝁䄴䅚杁䕁䄰兡畂䝁䅫兢杁䝁䅉杣桂䝁䄴䅚穂䍁䄴䅉䩂䡁䅑䅉穂䝁䅕䅢獂䡁䅍䅉灂䡁䅑督杁䡁䅁杣療䝁䅑兤橂䡁䅑督杁䡁䅑䅡祂䝁䄸兤湂䝁䅧䅉歂䝁䅫杣求䝁䅍䅤杁䡁䅍兙獂䝁䅕督杁䝁䅙睢祂䝁䅍党杁䝁䅅杢歂䍁䅁睙療䝁䄰兢灂䡁䅍督灂䝁䄸杢求䝁䅑䅉灂䝁䄴䅚求䡁䅁党畂䝁䅑党畂䡁䅑䅉穂䝁䅅䅢求䡁䅍䅉祂䝁䅕䅣祂䝁䅕督求䝁䄴䅤桂䡁䅑兡㉂䝁䅕督杁䡁䅑睢杁䡁䅉党あ䝁䅅兡獂䝁䅕杣穂䑁䅳䅉桂䝁䄴䅚杁䡁䅉党あ䝁䅅兡獂䝁䅕杣穂䍁䅷䅉歂䝁䅫督あ䡁䅉兡楂䡁䅕䅤療䡁䅉督獁䍁䅁兓呂䙁䅁督獁䍁䅁兡畂䝁䅑兡㉂䝁䅫䅚ㅂ䝁䅅䅢杁䝁䅉兤穂䝁䅫杢求䡁䅍督求䡁䅍䅌杁䡁䅍党祂䡁䅙兡橂䝁䅕䅉睂䡁䅉睢㉂䝁䅫䅚求䡁䅉督獁䍁䅁杤桂䝁䅷兤求䍁䄰兙歂䝁䅑党歂䍁䅁杣求䡁䅍党獂䝁䅷党祂䡁䅍䅌杁䙁䅁睑杁䡁䅍入穂䡁䅑党瑂䍁䅁兡畂䡁䅑党湂䡁䅉兙あ䝁䄸杣穂䍁䅷䅉療䡁䅉兡湂䝁䅫杢桂䝁䅷䅉求䡁䅅兤灂䡁䅁兢求䝁䄴䅤杁䝁䄰兙畂䡁䅕杚桂䝁䅍䅤ㅂ䡁䅉党祂䡁䅍䅌杁䝁䅍䅡桂䝁䄴杢求䝁䅷䅉祂䝁䅕督求䝁䅷䅢求䡁䅉督獁䍁䅁党獂䝁䅕睙あ䡁䅉睢畂䝁䅫睙穂䍁䅁䅚灂䡁䅍䅤祂䝁䅫杙ㅂ䡁䅑睢祂䡁䅍䅌杁䝁䅅杢歂䍁䅁党瑁䝁䅍睢瑂䝁䄰党祂䝁䅍党杁䡁䅁䅢桂䡁䅑杚療䡁䅉兢穂䍁䄴䅉啂䝁䅧党杁䝁䅍睢瑂䡁䅁兙畂䡁䅫䅉㍂䝁䅅督杁䝁䅙睢祂䝁䄰党祂䝁䅷入杁䝁䅳杢療䡁䅣杢杁䝁䅅督杁䙁䅯睢療䝁䄰䅖求䝁䅷党睂䝁䅧睢畂䝁䅫睙穂䍁䅷䅉䩂䝁䄴睙畁䍁䅁兙畂䝁䅑䅉橂䝁䅧兙畂䝁䅣党歂䍁䅁兡あ䡁䅍䅉畂䝁䅅兢求䍁䅁䅤療䍁䅁兔灂䝁䄴兡瑂䍁䅷䅉䩂䝁䄴睙畁䍁䅁兡畂䍁䅁杓ㅂ䝁䄴党杁䑁䅉䅍祁䑁䅅杌杁䕁䄰兡畂䝁䅫兢獁䍁䅁兓畂䝁䅍杌杁䡁䅣兙穂䍁䅁兡畂䝁䅍睢祂䡁䅁睢祂䝁䅅䅤求䝁䅑䅉灂䝁䄴䅉硁䑁䅫睎㍁䍁䅁兙畂䝁䅑䅉灂䡁䅍䅉潂䝁䅕兙歂䡁䅅兤桂䡁䅉䅤求䡁䅉党歂䍁䅁兡畂䍁䅁兔桂䝁䄴睙潂䝁䅕督あ䝁䅕杣獁䍁䅁杔求䡁䅣䅉䥂䝁䅅兢睂䡁䅍䅡灂䡁䅉党畁䅁䅁兙䅅䉁䅷䅁乂䝁䄸杢湂䝁䄸䅒䍂䍁䅷䅉䩂䝁䄴睙畁䅁䅁睢䅅䉁䅯䅁乂䝁䄸杣睂䝁䅧睢獁䍁䅁兓畂䝁䅍杌䅁乁䅷䅁獁䅁䅁兔祂䍁䄴䅉䑂䝁䄸睢睂䝁䅕杣杁䕁䅣杣療䡁䅕䅣杁䕁䅫杢橂䍁䄴䅁煁杁䅁杂䅁䕁䄴兑䅁䅁䅷䅁奁䅁䅁杔䉂䙁䅍䅒䉂䙁䅅杏䉂䙁䅑杖䩂䅁䅁睓䅍䉁䅷䅁佂䕁䅅睕䕂䕁䅅兕䑂䕁䄰杏䉂䕁䅣兒佂䅁䅁杪䅕䉁䄴䅁佂䕁䅅睕䕂䕁䅅兕䑂䕁䄰杏䍂䕁䅳兗䩂䍁䅁䅁婃䅁䅁䅈䅁䕁䄴兑呂䕁䅑兑剂䕁䅍兔㙁䕁䅍䅒啂䙁䅧䅁晃兂䅁䅈䅁䕁䄴兑呂䕁䅑兑剂䕁䅍兔㙁䕁䅍睔偂䙁䅁䅁流杁䅁䅈䅁䕁䄴兑呂䕁䅑兑剂䕁䅍兔㙁䕁䅍睔卂䙁䅑䅁灃兂䅁䅈䅁䕁䄴兑呂䕁䅑兑剂䕁䅍兔㙁䕁䅑䅖呂䙁䅑䅁瑂允䅁䅇䅁䕁䄴兑呂䕁䅑兑剂䕁䅍兔㙁䕁䄴杔䅁佁䄴䅁捁䅁䅁杔䉂䙁䅍䅒䉂䙁䅅睑乂䑁䅯杔呂䙁䅁杕䅁䩁䙫䅁捁䅁䅁杔䉂䙁䅍䅒䉂䙁䅅睑乂䑁䅯杕䕂䙁䅙䅖䅁䩁䅧䅁捁䅁䅁杔䉂䙁䅍䅒䉂䙁䅅睑乂䑁䅯杖䱂䙁䅑䅗䅁䱁䙅䅁捁䅁䅁杔䉂䙁䅍䅒䉂䙁䅅睒乂䑁䅯兑䑂䙁䅉杖䅁䱁䙉䅁捁䅁䅁杔䉂䙁䅍䅒䉂䙁䅅睒乂䑁䅯杒䙂䕁䅫兔䅁偁䅁䅁捁䅁䅁杔䉂䙁䅍䅒䉂䙁䅅睒乂䑁䅯兓乂䙁䅉䅗䅁䩁䙯䅁慁䅁䅁杔䉂䙁䅍䅒䉂䙁䅅睒乂䑁䅯兔䕂䕁䅉䅁畂允䅁䅈䅁䕁䄴兑呂䕁䅑兑剂䕁䅣兔㙁䕁䄰杔䱂䕁䅑䅁煃兂䅁䅈䅁䕁䄴兑呂䕁䅑兑剂䕁䅣兔㙁䕁䄴兔䩂䕁䅧䅁坂睁䅁杇䅁䕁䄴兑呂䕁䅑兑剂䕁䅣兔㙁䙁䅉䅕䕂䅁䅁杵䅁䉁䅷䅁佂䕁䅅睕䕂䕁䅅兕䡂䙁䅍杏䉂䕁䅉杔䍂䅁䅁朷䅉䉁䅯䅁佂䕁䅅睕䕂䕁䅅兕䡂䙁䅍杏䉂䕁䅍䅖䅁䙁䑯䅁捁䅁䅁杔䉂䙁䅍䅒䉂䙁䅅睒呂䑁䅯兑䱂䕁䅅兔䅁䝁䅫䅁捁䅁䅁杔䉂䙁䅍䅒䉂䙁䅅睒呂䑁䅯兑䵂䙁䅧睔䅁䱁䙍䅁捁䅁䅁杔䉂䙁䅍䅒䉂䙁䅅睒呂䑁䅯兑啂䙁䅙兓䅁䕁䑯䅁敁䅁䅁杔䉂䙁䅍䅒䉂䙁䅅睒呂䑁䅯兑啂䙁䅙兓杁䅁䅁兒䅉䉁䅷䅁佂䕁䅅睕䕂䕁䅅兕䡂䙁䅍杏䍂䕁䅑䅖奂䅁䅁䅴䅕䉁䅷䅁佂䕁䅅睕䕂䕁䅅兕䡂䙁䅍杏䍂䕁䅳杔䡂䅁䅁儸䅉䉁䅷䅁佂䕁䅅睕䕂䕁䅅兕䡂䙁䅍杏䑂䕁䅙䅔啂䅁䅁睹䅁䉁䅷䅁佂䕁䅅睕䕂䕁䅅兕䡂䙁䅍杏䑂䕁䅧睓兂䅁䅁䅚䅁䉁䅷䅁佂䕁䅅睕䕂䕁䅅兕䡂䙁䅍杏䑂䙁䅉村噂䅁䅁村䅁䉁䅷䅁佂䕁䅅睕䕂䕁䅅兕䡂䙁䅍杏䑂䙁䅉杔奂䅁䅁䅲䅕䉁䅷䅁佂䕁䅅睕䕂䕁䅅兕䡂䙁䅍杏䑂䙁䅉睖䕂䅁䅁兙䅁䉁䅷䅁佂䕁䅅睕䕂䕁䅅兕䡂䙁䅍杏䑂䙁䅍睑偂䅁䅁䅆䅑䉁䅷䅁佂䕁䅅睕䕂䕁䅅兕䡂䙁䅍杏䑂䙁䅙䅔䡂䅁䅁具䅉䉁䅷䅁佂䕁䅅睕䕂䕁䅅兕䡂䙁䅍杏䑂䙁䅫村卂䅁䅁睙䅁䉁䅧䅁佂䕁䅅睕䕂䕁䅅兕䡂䙁䅍杏䙂䕁䅅䅁䍂杁䅁䅈䅁䕁䄴兑呂䕁䅑兑剂䕁䅣睕㙁䕁䅕杔啂䕁䅅䅁浃兂䅁䅈䅁䕁䄴兑呂䕁䅑兑剂䕁䅣睕㙁䕁䅕䅗兂䕁䅕䅁睄杁䅁䅈䅁䕁䄴兑呂䕁䅑兑剂䕁䅣睕㙁䕁䅙䅖佂䙁䅑䅁楂䅁䅁杇䅁䕁䄴兑呂䕁䅑兑剂䕁䅣睕㙁䕁䅣兒佂䅁䅁朵䅅䉁䅷䅁佂䕁䅅睕䕂䕁䅅兕䡂䙁䅍杏䡂䕁䅫䅔啂䅁䅁杙䅅䉁䅷䅁佂䕁䅅睕䕂䕁䅅兕䡂䙁䅍杏䩂䕁䅷兔佂䅁䅁兵䅕䉁䅷䅁佂䕁䅅睕䕂䕁䅅兕䡂䙁䅍杏䵂䕁䅫杖佂䅁䅁睭䅕䉁䅷䅁佂䕁䅅睕䕂䕁䅅兕䡂䙁䅍杏佂䕁䅉兓奂䅁䅁杲䅕䉁䅷䅁佂䕁䅅睕䕂䕁䅅兕䡂䙁䅍杏佂䙁䅑兑兂䅁䅁党䅅䉁䅷䅁佂䕁䅅睕䕂䕁䅅兕䡂䙁䅍杏佂䙁䅑兒呂䅁䅁䅒䅉䉁䅷䅁佂䕁䅅睕䕂䕁䅅兕䡂䙁䅍杏偂䕁䅳䅖䉂䅁䅁党䅁䉁䅷䅁佂䕁䅅睕䕂䕁䅅兕䡂䙁䅍杏兂䕁䅅杔塂䅁䅁睚䅁䉁䅷䅁佂䕁䅅睕䕂䕁䅅兕䡂䙁䅍杏剂䕁䅷兗呂䅁䅁䅴䅁䉁䅯䅁佂䕁䅅睕䕂䕁䅅兕䡂䙁䅍杏卂䙁䅁䅒䅁䱁䅙䅁捁䅁䅁杔䉂䙁䅍䅒䉂䙁䅅睒呂䑁䅯睕䑂䙁䅣䅗䅁䝁䅙䅁捁䅁䅁杔䉂䙁䅍䅒䉂䙁䅅睒呂䑁䅯睕䩂䕁䅷睓䅁䩁䙷䅁捁䅁䅁杔䉂䙁䅍䅒䉂䙁䅅睒呂䑁䅯睕兂䙁䅉村䅁䥁䙷䅁捁䅁䅁杔䉂䙁䅍䅒䉂䙁䅅睒呂䑁䅯睕兂䙁䅉睔䅁䭁䙕䅁捁䅁䅁杔䉂䙁䅍䅒䉂䙁䅅睒呂䑁䅯䅖䙂䕁䄴村䅁䱁䅕䅁捁䅁䅁杔䉂䙁䅍䅒䉂䙁䅅睒呂䑁䅯䅖卂䕁䅕兒䅁䍁䌴䅁捁䅁䅁杔䉂䙁䅍䅒䉂䙁䅅睒呂䑁䅯䅖卂䕁䅫䅕䅁佁䌸䅁捁䅁䅁杔䉂䙁䅍䅒䉂䙁䅅睒呂䑁䅯䅖卂䕁䄰村䅁䅁䅁䅁捁䅁䅁杔䉂䙁䅍䅒䉂䙁䅅睒呂䑁䅯䅖啂䙁䅣睔䅁䕁䍙䅁慁䅁䅁杔䉂䙁䅍䅒䉂䙁䅅睒呂䑁䅯䅖奂䕁䅣䅁⭃兂䅁䅈䅁䕁䄴兑呂䕁䅑兑剂䕁䅣睕㙁䙁䅙杕佂䙁䅍䅁潂䅁䅁䅇䅁䕁䄴兑呂䕁䅑兑剂䕁䅣睕㙁䙁䅯睕䅁䝁䅯䅁䝁䅁䅁杔乂䅁䅁杍䅁䍁䅙䅁佂䕁䄰兓杁䕁䅧睢獂䝁䅑兡畂䝁䅣督獁䍁䅁兓畂䝁䅍杌䅁䝁䑯䅁坁䅁䅁杔呂䕁䅕兓㙁䕁䅅兑坂䕁䅅睕䅁䉁䍯䅁坁䅁䅁杔呂䕁䅕兓㙁䕁䅅䅕啂䙁䅕睕䅁䉁䍑䅁慁䅁䅁杔呂䕁䅕兓㙁䙁䅍杔偂䙁䅣兔䉂䕁䄴䅁㝃杁䅁䅋䅁䕁䄴䅖䉂䍁䅁兔療䝁䄴兡あ䝁䄸杣杁䕁䅷兡瑂䝁䅫䅤求䝁䅑䅁⭃䅁䅁䄳䅉䕁䄴䅖䉂䍁䅁兔療䝁䄴兡あ䝁䄸杣杁䕁䅷兡瑂䝁䅫䅤求䝁䅑䅉睂䡁䅉睢㉂䝁䅫䅚求䡁䅍䅉灂䝁䄴杚療䡁䅉兢桂䡁䅑兡療䝁䄴䅉穂䝁䅕睙ㅂ䡁䅉兡あ䡁䅫䅉穂䝁䅕杣㉂䝁䅫睙求䡁䅍䅌杁䡁䅍兤橂䝁䅧䅉桂䡁䅍䅉橂䝁䄸杢穂䡁䅕䅢あ䝁䅅杢橂䡁䅫䅌杁䝁䅅兤歂䝁䅫䅤灂䝁䄴睚獁䍁䅁兙畂䝁䅑䅉睂䝁䅕杢求䡁䅑杣桂䡁䅑兡療䝁䄴䅉あ䝁䅕督あ䝁䅫杢湂䍁䅁督求䡁䅉杤灂䝁䅍党穂䍁䄴䅉啂䝁䅧党杁䝁䅍睢瑂䡁䅁兙畂䡁䅫䅉㍂䝁䅅督杁䝁䅙睢ㅂ䝁䄴䅚求䝁䅑䅉灂䝁䄴䅉硁䑁䅫兏㉁䍁䅁兙畂䝁䅑䅉灂䡁䅍䅉楂䝁䅅督求䝁䅑䅉灂䝁䄴䅉䑂䝁䅧兙あ䝁䅧兙瑂䍁䅷䅉噂䝁䄴兡あ䝁䅕䅚杁䕁䅳兡畂䝁䅣䅚療䝁䄰杌杁䕁䅅督杁䝁䄸杚杁䕁䅯兤畂䝁䅕䅉㍁䍁䅷䅉祁䑁䅁免㑁䍁䅷䅉佂䙁䅑兑杁䕁䄰睢畂䝁䅫䅤療䡁䅉䅉療䡁䅁党祂䝁䅅䅤求䡁䅍䅉桂䡁䅍䅉桂䍁䅁督ㅂ䝁䅉督灂䝁䅑兡桂䡁䅉入杁䝁䄸杚杁䕁䅫杢あ䝁䅕杣あ䝁䅕睡杁䕁䅣杣療䡁䅕䅣杁䡁䅁䅢橂䍁䄴䅉䉂䡁䅍䅉療䝁䅙䅉䭂䡁䅕杢求䍁䅁兎獁䍁䅁杍睁䑁䅅䅏獁䍁䅁杔啂䕁䅅䅉乂䝁䄸杢灂䡁䅑睢祂䍁䅁䅔灂䝁䄰兡あ䝁䅕䅚杁䝁䄸䅣求䡁䅉兙あ䝁䅕督杁䝁䅅督杁䝁䅅䅉穂䡁䅕杙穂䝁䅫䅚灂䝁䅅杣㕂䍁䅁睢浂䍁䅁兓畂䡁䅑党祂䡁䅑党牂䍁䅁睒祂䝁䄸兤睂䍁䅁䅣獂䝁䅍杌䅁䵁䅯䅁あ䅂䅁杔啂䕁䅅䅉乂䝁䄸杢灂䡁䅑睢祂䍁䅁䅔灂䝁䄰兡あ䝁䅕䅚杁䡁䅁杣療䡁䅙兡歂䝁䅕督杁䝁䅫杢浂䝁䄸杣瑂䝁䅅䅤灂䝁䄸杢杁䡁䅍党橂䡁䅕杣灂䡁䅑入杁䡁䅍党祂䡁䅙兡橂䝁䅕督獁䍁䅁督ㅂ䝁䅍䅡杁䝁䅅督杁䝁䅍睢畂䡁䅍兤獂䡁䅑兙畂䝁䅍入獁䍁䅁兙ㅂ䝁䅑兡あ䝁䅫杢湂䍁䅷䅉桂䝁䄴䅚杁䡁䅁党畂䝁䅕䅤祂䝁䅅䅤灂䝁䄸杢杁䡁䅑党穂䡁䅑兡畂䝁䅣䅉穂䝁䅕杣㉂䝁䅫睙求䡁䅍杌杁䙁䅑䅡求䍁䅁睙療䝁䄰䅣桂䝁䄴入杁䡁䅣兙穂䍁䅁杚療䡁䅕杢歂䝁䅕䅚杁䝁䅫杢杁䑁䅅兏㕁䑁䅙䅉桂䝁䄴䅚杁䝁䅫督杁䝁䅉兙穂䝁䅕䅚杁䝁䅫杢杁䕁䅍䅡桂䡁䅑䅡桂䝁䄰䅌杁䙁䅕杢灂䡁䅑党歂䍁䅁睓灂䝁䄴睚歂䝁䄸兢畁䍁䅁兑穂䍁䅁睢浂䍁䅁杓ㅂ䝁䄴党杁䑁䅣䅌杁䑁䅉䅍硁䑁䅧䅌杁䕁䄴䅖䉂䍁䅁兔療䝁䄴兡あ䝁䄸杣杁䝁䄸䅣求䡁䅉兙あ䝁䅕督杁䝁䅅督杁䝁䅅䅉穂䡁䅕杙穂䝁䅫䅚灂䝁䅅杣㕂䍁䅁睢浂䍁䅁兓畂䡁䅑党祂䡁䅑党牂䍁䅁睒祂䝁䄸兤睂䍁䅁䅣獂䝁䅍杌杁䕁䅅督杁䝁䄸杚杁䕁䅯兤畂䝁䅕䅉ㅁ䍁䅷䅉祁䑁䅁免㑁䍁䅷䅉佂䙁䅑兑杁䕁䄰睢畂䝁䅫䅤療䡁䅉䅉䵂䝁䅫兢灂䡁䅑党歂䍁䅁睢睂䝁䅕杣桂䡁䅑党穂䍁䅁兙穂䍁䅁兙杁䡁䅍兤楂䡁䅍兡歂䝁䅫兙祂䡁䅫䅉療䝁䅙䅉䩂䝁䄴䅤求䡁䅉䅤求䝁䅳䅉䡂䡁䅉睢ㅂ䡁䅁䅉睂䝁䅷睙畁䍁䅁杔杁䙁䅑䅉䉂䍁䅁兔療䝁䄴兡あ䝁䄸杣杁䕁䅷兡瑂䝁䅫䅤求䝁䅑䅉療䡁䅁党祂䝁䅅䅤求䡁䅍䅉桂䡁䅍䅉桂䝁䄴䅉䩂䙁䅑䅉橂䝁䄸杢穂䡁䅕䅢あ䝁䅫杢湂䍁䅁兙畂䝁䅑䅉穂䝁䅕杣㉂䝁䅫睙求䡁䅍䅉橂䝁䄸兢睂䝁䅅杢㕂䍁䄴䅉䩂䡁䅑䅉療䝁䅙杚求䡁䅉督杁䝁䅍睢瑂䡁䅁兤あ䝁䅕杣杁䡁䅍入穂䡁䅑党瑂䍁䅁䅚求䡁䅍兡湂䝁䄴䅉桂䝁䄴䅚杁䡁䅉党獂䝁䅅䅤求䝁䅑䅉穂䝁䅕杣㉂䝁䅫睙求䡁䅍杌杁䙁䅑䅡求䍁䅁睙療䝁䄰䅣桂䝁䄴入杁䡁䅣兙穂䍁䅁兡畂䝁䅍睢祂䡁䅁睢祂䝁䅅䅤求䝁䅑䅉灂䝁䄴䅉硁䑁䅫兏㉁䍁䅁兙畂䝁䅑䅉灂䡁䅍䅉楂䝁䅅督求䝁䅑䅉灂䝁䄴䅉䙂䡁䅍督求䡁䅧䅌杁䙁䅕杢灂䡁䅑党歂䍁䅁睓灂䝁䄴睚歂䝁䄸兢畁䅁䅁杂䅍䅁䅧䅁佂䙁䅑兔䅁䉁䅁䅁佁䅁䅁杔婂䙁䅍兒㙁䕁䅅䅁湃兂䅁䅆䅁䕁䄴兗呂䕁䅕杏䉂䕁䅉村坂䅁䅁儹䅕䉁䅉䅁佂䙁䅫睕䙂䑁䅯兑䡂䕁䄸䅁塂睁䅁䅆䅁䕁䄴兗呂䕁䅕杏䉂䕁䄰村䑂䅁䅁兗䅍䉁䅑䅁佂䙁䅫睕䙂䑁䅯兑佂䙁䅙睕䅁䱁䘸䅁啁䅁䅁杔婂䙁䅍兒㙁䕁䅅睔卂䙁䅑䅁䙃兂䅁杅䅁䕁䄴兗呂䕁䅕杏䉂䙁䅫䅗䅁䝁䐴䅁十䅁䅁杔婂䙁䅍兒㙁䕁䅉兔婂䅁䅁睫䅕䉁䅉䅁佂䙁䅫睕䙂䑁䅯村呂䙁䅧䅁癄兂䅁䅆䅁䕁䄴兗呂䕁䅕杏䑂䕁䄸䅔䕂䅁䅁其䅉䉁䅁䅁佂䙁䅫睕䙂䑁䅯兒塂䅁䅁儷䅕䉁䅙䅁佂䙁䅫睕䙂䑁䅯睒䥂䕁䅷䅒杁䅁䅁䅋䅉䉁䅑䅁佂䙁䅫睕䙂䑁䅯睒卂䕁䄰杔䅁䅁䅉䅁十䅁䅁杔婂䙁䅍兒㙁䕁䅣䅗偂䅁䅁䄰䅉䉁䅑䅁佂䙁䅫睕䙂䑁䅯䅓噂䙁䅫兑䅁䕁䌸䅁坁䅁䅁杔婂䙁䅍兒㙁䕁䅫杔䝂䕁䅅䅉䅁䡁䉁䅁允䅁䅁杔婂䙁䅍兒㙁䕁䅳杕䅁䥁䍣䅁允䅁䅁杔婂䙁䅍兒㙁䕁䅷睑䅁䍁䍍䅁啁䅁䅁杔婂䙁䅍兒㙁䕁䅷䅒䩂䍁䅁䅁灁杁䅁䅆䅁䕁䄴兗呂䕁䅕杏䵂䙁䅑䅓杁䅁䅁睡䅉䉁䅉䅁佂䙁䅫睕䙂䑁䅯兔䍂䕁䅫䅁奂睁䅁杅䅁䕁䄴兗呂䕁䅕杏乂䕁䅑䅖䅁乁䘰䅁十䅁䅁杔婂䙁䅍兒㙁䕁䄰杕䱂䅁䅁眰䅕䉁䅉䅁佂䙁䅫睕䙂䑁䅯兔啂䕁䅣䅁扂睁䅁杅䅁䕁䄴兗呂䕁䅕杏佂䕁䅕䅖䅁䥁䉅䅁啁䅁䅁杔婂䙁䅍兒㙁䕁䄴睔啂䕁䅕䅁㥂杂䅁䅆䅁䕁䄴兗呂䕁䅕杏佂䙁䅙杕偂䅁䅁杵䅕䉁䅉䅁佂䙁䅫睕䙂䑁䅯睔䡂䕁䄴䅁䉁杂䅁䅆䅁䕁䄴兗呂䕁䅕杏偂䙁䅉睑䵂䅁䅁睙䅅䉁䅑䅁佂䙁䅫睕䙂䑁䅯睔塂䕁䅷䅖䅁䵁䄰䅁啁䅁䅁杔婂䙁䅍兒㙁䙁䅁杒呂䕁䅫䅁坁杁䅁杆䅁䕁䄴兗呂䕁䅕杏兂䕁䅷杔啂䍁䅁䅁灂杁䅁䅆䅁䕁䄴兗呂䕁䅕杏兂䕁䅷䅖卂䅁䅁兖䅁䉁䅑䅁佂䙁䅫睕䙂䑁䅯䅕呂䙁䅑睒䅁䉁䕕䅁啁䅁䅁杔婂䙁䅍兒㙁䙁䅅睒䙂䕁䄴䅁㡃兂䅁䅆䅁䕁䄴兗呂䕁䅕杏卂䕁䅳䅖杁䅁䅁睆䅉䉁䅉䅁佂䙁䅫睕䙂䑁䅯杕佂䕁䅣䅁牄允䅁䅆䅁䕁䄴兗呂䕁䅕杏卂䙁䅙䅖婂䅁䅁睵䅕䉁䅁䅁佂䙁䅫睕䙂䑁䅯睕䙂䅁䅁䅑䅉䉁䅑䅁佂䙁䅫睕䙂䑁䅯睕佂䕁䄸睖䅁䝁䉙䅁十䅁䅁杔婂䙁䅍兒㙁䙁䅑䅒䑂䅁䅁䅚䅅䉁䅑䅁佂䙁䅫睕䙂䑁䅯䅖塂䕁䅷睔䅁佁䉫䅁允䅁䅁杔婂䙁䅍兒㙁䙁䅕䅉䅁䕁䍍䅁啁䅁䅁杔婂䙁䅍兒㙁䙁䅕睖乂䕁䅍䅁湁杁䅁䅇䅁䕁䄴兗呂䕁䅕兑乂䑁䅯䅔䑂䙁䅑䅗䅁䭁䘸䅁慃䅁䅁杔桂䝁䄴条灂䝁䄴睚杁䕁䅍入楂䝁䅕杣杁䕁䄴党あ䡁䅣睢祂䝁䅳䅉呂䝁䅕睙ㅂ䡁䅉兡あ䡁䅫䅉啂䝁䅕睙潂䝁䄴睢獂䝁䄸睚㕂䍁䅁䅒求䡁䅙党獂䝁䄸䅣瑂䝁䅕杢あ䍁䅁䅕桂䡁䅉䅤畂䝁䅕杣穂䝁䅧兡睂䍁䅁兒畂䡁䅑党祂䡁䅁杣灂䡁䅍党䅁䡁䅣䅁䕂䅁䅁杔桂䝁䄴条灂䝁䄴睚杁䕁䅍入楂䝁䅕杣杁䙁䅁党桂䝁䅍党杁䙁䅑党橂䝁䅧䅉䑂䝁䄸杌獁䍁䅁䅔あ䝁䅑䅁乃䅁䅁杍䅉䕁䄴兙畂䝁䅯兡畂䝁䅣䅉䑂䡁䅫杙求䡁䅉䅉兂䝁䅕兙橂䝁䅕䅉啂䝁䅕睙潂䍁䅁睑療䍁䄴䅌杁䕁䅷䅤歂䍁䅁䅣祂䝁䄸杤灂䝁䅑党穂䍁䅁杢求䡁䅑睤療䡁䅉睡杁䡁䅍党橂䡁䅕杣灂䡁䅑入杁䡁䅍睢浂䡁䅑睤桂䡁䅉党畁䍁䅁兓あ䡁䅍䅉睂䡁䅉睢歂䡁䅕睙あ䡁䅍䅉灂䝁䄴睙獂䡁䅕䅚求䍁䅁䅣祂䝁䅅睙あ䝁䅫睙桂䝁䅷䅉あ䡁䅉兙灂䝁䄴兡畂䝁䅣䅉睂䝁䅷兙あ䝁䅙睢祂䝁䄰䅌杁䕁䅅杊䕂䍁䅁䅣獂䝁䅅䅤浂䝁䄸杣瑂䍁䅷䅉穂䝁䅕睙ㅂ䡁䅉兡あ䡁䅫䅉あ䝁䄸睢獂䝁䅉睢㑂䍁䅁督療䝁䅷兤あ䝁䅫睢畂䡁䅍䅌杁䝁䅅杢歂䍁䅁督求䝁䅍兤祂䝁䅫䅤㕂䍁䅁督求䡁䅉杤灂䝁䅍党杁䡁䅍睢獂䡁䅕䅤灂䝁䄸杢穂䍁䄴䅉佂䝁䅅杢煂䝁䅫杢湂䍁䅁睑㕂䝁䅉党祂䍁䅁䅕求䝁䅅睙求䍁䅁䅖求䝁䅍䅡杁䕁䅍睢畁䍁䅷䅉䵂䡁䅑䅚畁䍁䅁睤桂䡁䅍䅉浂䝁䄸兤畂䝁䅑党歂䍁䅁兡畂䍁䅁杍睁䑁䅅睍杁䝁䅅杢歂䍁䅁兡穂䍁䅁杙桂䡁䅍党歂䍁䅁兡畂䍁䅁杔桂䝁䄴条灂䝁䄴睚獁䍁䅁睑潂䝁䅫杢桂䍁䄴䅁噃䅁䅁䅈䅁䕁䄴兙穂䝁䅑兙硂䕁䅍兔㙁䕁䅅杒乂䕁䅑䅁䭃兂䅁䅈䅁䕁䄴兙穂䝁䅑兙硂䕁䅍兔㙁䕁䅅睓䍂䕁䅅䅁㥄兂䅁䅈䅁䕁䄴兙穂䝁䅑兙硂䕁䅍兔㙁䕁䅍睔婂䕁䅅䅁㥃兂䅁䅈䅁䕁䄴兙穂䝁䅑兙硂䕁䅍兔㙁䕁䅧兑卂䙁䅁䅁㥂兂䅁䅈䅁䕁䄴兙穂䝁䅑兙硂䕁䅣兔㙁䕁䅅兖兂䕁䅧䅁⭄兂䅁䅈䅁䕁䄴兙穂䝁䅑兙硂䕁䅣兔㙁䕁䅉杕佂䙁䅍䅁兄兂䅁䅈䅁䕁䄴兙穂䝁䅑兙硂䕁䅣兔㙁䕁䅍杕呂䙁䅁䅁㙄兂䅁䅈䅁䕁䄴兙穂䝁䅑兙硂䕁䅣兔㙁䕁䅙兑啂䕁䅕䅁䙄兂䅁䅈䅁䕁䄴兙穂䝁䅑兙硂䕁䅣兔㙁䕁䅣兔䕂䕁䅅䅁湄兂䅁䅈䅁䕁䄴兙穂䝁䅑兙硂䕁䅣兔㙁䙁䅍兑䡂䕁䅕䅁䝄兂䅁䅈䅁䕁䄴兙穂䝁䅑兙硂䕁䅣兔㙁䙁䅙兒卂䙁䅧䅁㕄兂䅁杇䅁䕁䄴兙穂䝁䅑兙硂䕁䅣兔㙁䙁䅣杖䙂䅁䅁䅇䅙䉁䅷䅁佂䝁䅅督歂䝁䅅兣䡂䙁䅍杏䉂䕁䅍兑䕂䅁䅁朷䅕䉁䅷䅁佂䝁䅅督歂䝁䅅兣䡂䙁䅍杏䉂䕁䅷兒䑂䅁䅁杄䅙䉁䅷䅁佂䝁䅅督歂䝁䅅兣䡂䙁䅍杏䉂䕁䅷䅔偂䅁䅁朵䅕䉁䅷䅁佂䝁䅅督歂䝁䅅兣䡂䙁䅍杏䉂䕁䅷杔婂䅁䅁睆䅙䉁䅷䅁佂䝁䅅督歂䝁䅅兣䡂䙁䅍杏䉂䕁䄰睒佂䅁䅁兮䅕䉁䅷䅁佂䝁䅅督歂䝁䅅兣䡂䙁䅍杏䉂䕁䄰䅔奂䅁䅁䅧䅕䉁䅷䅁佂䝁䅅督歂䝁䅅兣䡂䙁䅍杏䉂䕁䄴睒偂䅁䅁朶䅕䉁䅷䅁佂䝁䅅督歂䝁䅅兣䡂䙁䅍杏䉂䙁䅉睖卂䅁䅁兇䅙䉁䅷䅁佂䝁䅅督歂䝁䅅兣䡂䙁䅍杏䉂䙁䅑䅓䉂䅁䅁兴䅕䉁䅷䅁佂䝁䅅督歂䝁䅅兣䡂䙁䅍杏䉂䙁䅑杕䉂䅁䅁睴䅕䉁䅷䅁佂䝁䅅督歂䝁䅅兣䡂䙁䅍杏䉂䙁䅕䅖䵂䅁䅁儲䅕䉁䅷䅁佂䝁䅅督歂䝁䅅兣䡂䙁䅍杏䍂䕁䅅杔䕂䅁䅁儸䅅䉁䅷䅁佂䝁䅅督歂䝁䅅兣䡂䙁䅍杏䍂䕁䅫兓䍂䅁䅁睃䅙䉁䅷䅁佂䝁䅅督歂䝁䅅兣䡂䙁䅍杏䍂䕁䅷兖䙂䅁䅁眫䅕䉁䅷䅁佂䝁䅅督歂䝁䅅兣䡂䙁䅍杏䍂䕁䄰杕佂䅁䅁杮䅕䉁䅷䅁佂䝁䅅督歂䝁䅅兣䡂䙁䅍杏䑂䕁䅅村䉂䅁䅁杂䅙䉁䅯䅁佂䝁䅅督歂䝁䅅兣䡂䙁䅍杏䑂䕁䄸睔䅁偁䘸䅁捁䅁䅁杔桂䡁䅍䅚桂䡁䅅睒呂䑁䅯睑卂䙁䅣䅒䅁䉁䝷䅁捁䅁䅁杔桂䡁䅍䅚桂䡁䅅睒呂䑁䅯䅒䕂䕁䄸睒䅁䍁䝅䅁捁䅁䅁杔桂䡁䅍䅚桂䡁䅅睒呂䑁䅯䅒佂䕁䅷兓䅁䅁䝕䅁捁䅁䅁杔桂䡁䅍䅚桂䡁䅅睒呂䑁䅯兒䕂䕁䅫䅖䅁乁䙳䅁捁䅁䅁杔桂䡁䅍䅚桂䡁䅅睒呂䑁䅯睒䩂䕁䅷䅒䅁乁䙉䅁捁䅁䅁杔桂䡁䅍䅚桂䡁䅅睒呂䑁䅯睒呂䕁䅳兗䅁䍁䍑䅁捁䅁䅁杔桂䡁䅍䅚桂䡁䅅睒呂䑁䅯兓偂䕁䄴睕䅁䉁䝙䅁捁䅁䅁杔桂䡁䅍䅚桂䡁䅅睒呂䑁䅯䅔䩂䙁䅙杔䅁佁䙷䅁捁䅁䅁杔桂䡁䅍䅚桂䡁䅅睒呂䑁䅯䅔兂䙁䅍杔䅁佁䉷䅁捁䅁䅁杔桂䡁䅍䅚桂䡁䅅睒呂䑁䅯杔䍂䕁䅫䅗䅁䅁䜰䅁捁䅁䅁杔桂䡁䅍䅚桂䡁䅅睒呂䑁䅯杔䱂䙁䅑䅗䅁佁䙕䅁捁䅁䅁杔桂䡁䅍䅚桂䡁䅅睒呂䑁䅯兕噂䙁䅉兒䅁偁䙷䅁捁䅁䅁杔桂䡁䅍䅚桂䡁䅅睒呂䑁䅯杕䙂䕁䅣杔䅁佁䙁䅁捁䅁䅁杔桂䡁䅍䅚桂䡁䅅睒呂䑁䅯睕䡂䕁䄰睔䅁䥁䙧䅁捁䅁䅁杔桂䡁䅍䅚桂䡁䅅睒呂䑁䅯睕卂䙁䅁䅖䅁䉁䝯䅁捁䅁䅁杔桂䡁䅍䅚桂䡁䅅睒呂䑁䅯䅖呂䕁䅧兑䅁䥁䙉䅁捁䅁䅁杔桂䡁䅍䅚桂䡁䅅睒呂䑁䅯杖婂䕁䅣杕䅁䭁䘰䅁奁䅁䅁杔桂䡁䅍䅚桂䡁䅅睒呂䑁䅯杗乂䅁䅁朶䅅䉁䅧䅁佂䝁䅅督歂䝁䅅兣䡂䙁䅍杏慂䙁䅍䅁䱃兂䅁村䅁䕁䄴兙あ䝁䅫睢畂䝁䅅䅢杁䕁䅫杢穂䡁䅑杣ㅂ䝁䄰党畂䡁䅑督杁䕁䅫督祂䝁䅅党獂䍁䅁䅔あ䝁䅑杌䅁䡁䉯䅁㑁䅁䅁杔桂䡁䅯兙祂䝁䅅䅉啂䝁䅕睙潂䝁䄴睢獂䝁䄸睚灂䝁䅕督杁䕁䅷兡瑂䝁䅫䅤求䝁䅑䅁坂杁䅁杌䅁䕁䄴党桂䡁䅉杚灂䝁䅕䅢歂䍁䅁睕㕂䡁䅍䅤求䝁䄰督杁䕁䅫杢橂䍁䄴䅁癁允䅁桢䅁䕁䄴党桂䡁䅉杚灂䝁䅕䅢歂䍁䅁睕㕂䡁䅍䅤求䝁䄰督杁䕁䅫杢橂䍁䄴䅉歂䝁䅕督灂䝁䅣杢穂䍁䅷䅉瑂䝁䅅杢ㅂ䝁䅙兙橂䡁䅑兤祂䝁䅕督獁䍁䅁兙畂䝁䅑䅉歂䝁䅕䅢灂䡁䅙党祂䡁䅍䅉桂䝁䄴䅤求䝁䄴杢桂䍁䅁兢求䝁䅅督ㅂ䡁䅉党瑂䝁䅕杢あ䍁䅁兙畂䝁䅑䅉あ䝁䅕督あ䍁䅁督㕂䡁䅍䅤求䝁䄰督杁䝁䅙睢祂䍁䅁督桂䡁䅑党獂䝁䅷兡あ䝁䅕䅌杁䝁䅍睢瑂䝁䄰兤畂䝁䅫睙桂䡁䅑兡療䝁䄴督獁䍁䅁兢灂䝁䅷兡あ䝁䅅杣㕂䍁䅷䅉桂䝁䅕杣療䡁䅍䅣桂䝁䅍党獁䍁䅁睙療䝁䄰兢求䡁䅉睙灂䝁䅅䅢獁䍁䅁睤灂䡁䅉党獂䝁䅕督穂䍁䅷䅉桂䡁䅕䅤療䝁䄰睢あ䝁䅫杤求䍁䅷䅉桂䝁䄴䅚杁䝁䄸䅤潂䝁䅕杣杁䝁䄰兙祂䝁䅳党あ䡁䅍䅉㍂䝁䄸杣獂䝁䅑睤灂䝁䅑党畁䍁䅁䅖潂䝁䅕䅉橂䝁䄸兢睂䝁䅅杢㕂䍁䅁睢浂䝁䅙党祂䡁䅍䅉睂䝁䅷兙畂䝁䅅杣獁䍁䅁睙㕂䝁䅷兡畂䝁䅑杣灂䝁䅍兙獂䍁䅷䅉穂䡁䅁䅡求䡁䅉兡橂䝁䅅䅢獁䍁䅁睙ㅂ䡁䅍䅤療䝁䄰䅉穂䡁䅫督あ䝁䅕兢穂䍁䅷䅉桂䝁䄴䅚杁䝁䄰兤獂䡁䅑兡瑁䝁䅅䅥灂䡁䅍䅉祂䝁䄸杙療䡁䅑兡橂䍁䅁督㕂䡁䅍䅤求䝁䄰督㝁䍁䅁兙ㅂ䡁䅑睢瑂䝁䅅䅤求䝁䅑䅉浂䝁䅅杣瑁䝁䅙兡求䝁䅷䅚杁䝁䅅杢あ䝁䅕杢畂䝁䅅䅉瑂䝁䅕兙穂䡁䅕杣求䝁䄰党畂䡁䅑䅉穂䡁䅫督あ䝁䅕兢穂䑁䅳䅉橂䝁䄸兢睂䝁䅅睙あ䍁䅁兙畂䡁䅑党畂䝁䄴兙杁䡁䅑党穂䡁䅑䅉祂䝁䅅杢湂䝁䅕䅉穂䝁䄸䅢ㅂ䡁䅑兡療䝁䄴督㝁䍁䅁杕䝂䍁䅁䅣祂䝁䄸䅚ㅂ䝁䅍䅤穂䍁䅁兙畂䝁䅑䅉穂䡁䅫督あ䝁䅕兢穂䍁䅷䅉灂䝁䄴睙獂䡁䅕䅚灂䝁䄴睚杁䡁䅉党橂䝁䅕兡㉂䝁䅕杣穂䍁䅷䅉瑂䝁䅫睙祂䝁䄸睤桂䡁䅙党杁䡁䅍睢ㅂ䡁䅉睙求䡁䅍䅌杁䝁䅑兡穂䡁䅑杣灂䝁䅉兤あ䝁䅕䅚杁䝁䅙杣求䡁䅅兤求䝁䄴睙㕂䍁䅁睙療䝁䄴杤求䡁䅉䅤求䡁䅉督獁䍁䅁兙畂䡁䅑党畂䝁䄴兙杁䡁䅉兙畂䝁䅣党杁䝁䅅兤あ䝁䄸兢桂䡁䅑兡療䝁䄴䅉穂䡁䅫督あ䝁䅕兢穂䍁䅷䅉卂䕁䅙䅉桂䝁䅍睙求䡁䅍督療䡁䅉兡求䡁䅍䅌杁䝁䄰兡獂䝁䅷兡瑂䝁䅕䅤求䡁䅉兌㍂䝁䅅杤求䍁䅁兤睂䝁䅣杣桂䝁䅑党穂䍁䅷䅉睂䡁䅉睢楂䝁䅕督獁䍁䅁兙畂䝁䅑䅉湂䝁䅅兡畂䍁䅁䅡療䡁䅉杢穂䑁䅳䅉桂䝁䄴䅚杁䕁䄴睕䩂䍁䅁杍睁䑁䅁䅍獁䍁䅁兙杁䝁䄰兤獂䡁䅑兡瑁䡁䅑兙穂䝁䅳兡畂䝁䅣䅉塂䝁䅫杢歂䝁䄸睤穂䍁䄰杙桂䡁䅍党歂䍁䅁兙畂䡁䅑党畂䝁䄴兙杁䝁䄰党桂䡁䅍兤祂䝁䅕兢求䝁䄴䅤杁䡁䅍睢浂䡁䅑睤桂䡁䅉党杁䝁䅅䅣睂䝁䅷兡橂䝁䅅䅤灂䝁䄸杢畁䍁䅁䅖潂䝁䅕䅉橂䝁䄸兢睂䝁䅅杢㕂䍁䅁兙獂䡁䅍睢杁䡁䅁杣療䡁䅙兡歂䝁䅕督杁䡁䅍入穂䡁䅑党瑂䡁䅍䅉浂䝁䄸杣杁䡁䅑䅡求䍁䅁兢灂䝁䅍杣療䡁䅣兙㉂䝁䅕䅉灂䝁䄰兙湂䝁䅫杢湂䍁䅁睢浂䍁䅁兙畂䝁䅕睙潂䝁䄸兡橂䍁䅁睙潂䝁䅅兢楂䝁䅕杣穂䍁䅷䅉桂䡁䅍䅉㍂䝁䅕䅢獂䍁䅁兙穂䍁䅁睙潂䝁䅅兢楂䝁䅕杣杁䝁䅑党穂䝁䅫睚畂䍁䅁兙畂䝁䅑䅉橂䝁䄸杢穂䡁䅑杣ㅂ䝁䅍䅤灂䝁䄸杢杁䡁䅍党祂䡁䅙兡橂䝁䅕督㝁䍁䅁兙㙂䝁䅫兢ㅂ䡁䅑䅡杁䝁䅅杢歂䍁䅁䅣潂䝁䅫䅉祂䝁䄸䅤桂䡁䅑兡療䝁䄴兙獂䍁䅁䅣療䡁䅍兡あ䝁䅫睢畂䝁䅕杣穂䍁䅁䅤療䍁䅁兙ㅂ䝁䅣兢求䝁䄴䅤杁䡁䅑䅡求䍁䅁睙桂䡁䅁兙楂䝁䅫䅢灂䡁䅑入杁䝁䄸杚杁䝁䄴党桂䡁䅉兌浂䝁䅫党獂䝁䅑䅉療䡁䅉䅉浂䝁䅅杣瑁䝁䅙兡求䝁䅷䅚杁䝁䅅杢あ䝁䅕杢畂䝁䅅䅉あ䝁䅕督あ䍁䅁杣桂䝁䄴睚求䑁䅳䅉桂䝁䄴䅚杁䝁䅅睙橂䝁䅕督穂䝁䄸杣灂䝁䅕督獁䍁䅁兡畂䝁䅍䅢ㅂ䝁䅑兡畂䝁䅣䅉睂䡁䅉睢楂䝁䅕䅉祂䝁䄸䅢獂䍁䅁兙畂䝁䅑䅉あ䡁䅉兙畂䡁䅍䅢桂䡁䅑兡療䝁䄴䅉穂䡁䅑兙湂䝁䅕督獁䍁䅁杣療䡁䅑兙祂䡁䅫䅉穂䡁䅑兙湂䝁䅕督獁䍁䅁兑噂䙁䅑䅉あ䡁䅉兙畂䡁䅍䅢桂䡁䅑兡療䝁䄴䅉穂䡁䅑兙湂䝁䅕督獁䍁䅁兢療䡁䅑兡療䝁䄴䅉橂䝁䄸杢あ䡁䅉睢獂䝁䅷党祂䡁䅍䅌杁䕁䅅兖啂䍁䅁兢療䡁䅕杢あ䝁䅫杢湂䍁䅁杙祂䝁䅅睙牂䝁䅕䅤穂䍁䅁兙畂䝁䅑䅉桂䝁䅍睙求䡁䅍督療䡁䅉兡求䡁䅍䅌杁䝁䄸䅣あ䝁䅫睢畂䡁䅍䅉浂䝁䄸杣杁䡁䅍睙桂䝁䄴杢求䡁䅉督獁䍁䅁睢睂䡁䅑兡橂䡁䅍䅌杁䡁䅍睙桂䝁䄴杢求䡁䅉䅉橂䝁䅅䅣桂䝁䅉兡獂䝁䅫䅤㕂䍁䅁兤睂䝁䅣杣桂䝁䅑党穂䍁䅷䅉卂䕁䅙䅉祂䝁䅕䅢桂䡁䅑党歂䍁䅁睙療䝁䄰䅣療䝁䄴党畂䡁䅑督獁䍁䅁兢灂䡁䅍睙求䝁䅷䅢桂䝁䄴党療䡁䅕督杁䝁䄸䅣あ䝁䅫睢畂䡁䅍䅉桂䝁䄴䅚杁䝁䅅睙橂䝁䅕督穂䝁䄸杣灂䝁䅕督獁䍁䅁兙畂䝁䅑䅉穂䝁䄸杚あ䡁䅣兙祂䝁䅕䅉睂䝁䅅睙牂䝁䅅睚求䡁䅍杌杁䕁䅫杢杁䝁䅅䅚歂䝁䅫䅤灂䝁䄸杢獁䍁䅁兡あ䍁䅁睢浂䝁䅙党祂䡁䅍䅉㉂䝁䅅杣灂䝁䄸兤穂䍁䅁䅤求䝁䅍䅡畂䝁䅫睙桂䝁䅷䅉穂䝁䅕杣㉂䝁䅫睙求䡁䅍䅌杁䝁䅫杢橂䝁䅷兤歂䝁䅫杢湂䍁䅁睙ㅂ䡁䅍䅤療䝁䄰兡㙂䝁䅕䅚杁䡁䅍睢獂䡁䅕䅤灂䝁䄸杢杁䝁䅑党穂䝁䅫睚畂䍁䅁兙畂䝁䅑䅉桂䝁䄴兙獂䡁䅫督灂䡁䅍䅌杁䙁䅉杒杁䡁䅍兤楂䡁䅍入穂䡁䅑党瑂䍁䅁䅚求䡁䅍兡湂䝁䄴䅌杁䝁䅅杢あ䝁䅕杢畂䝁䅅䅉あ䝁䅕督あ䝁䅫杢湂䍁䅷䅉橂䝁䅧兙瑂䝁䅉党祂䍁䅁兡瑂䝁䅅睚灂䝁䄴睚獁䍁䅁督療䝁䅙䅤㍂䝁䅅杣求䍁䅁䅣祂䝁䄸睚祂䝁䅅兢瑂䝁䅫杢湂䍁䅷䅉療䝁䄴兌穂䝁䅫䅤求䍁䅁杣桂䝁䄴睚求䍁䅁䅤祂䝁䄸兤楂䝁䅷党穂䝁䅧睢療䡁䅑兡畂䝁䅣䅌杁䡁䅉兙畂䝁䅣党杁䝁䅍兙獂䝁䅫杙祂䝁䅅䅤灂䝁䄸杢杁䝁䅅杢歂䍁䅁兢桂䝁䅫杢あ䝁䅕杢桂䝁䄴睙求䍁䅷䅉祂䝁䅅杢湂䝁䅕䅉求䡁䅙兙獂䡁䅕兙あ䝁䅫睢畂䍁䅷䅉あ䝁䅧党祂䝁䄰兙獂䍁䅁睙療䝁䄴䅤祂䝁䄸䅢杁䝁䅅杢桂䝁䅷入穂䝁䅫督獁䍁䅁兙畂䡁䅑党畂䝁䄴兙杁䝁䄰党桂䡁䅍兤祂䝁䅕兢求䝁䄴䅤杁䡁䅑党橂䝁䅧杢灂䡁䅅兤求䡁䅍䅉求䝁䅑兤橂䝁䅅䅤灂䝁䄸杢杁䝁䅅杢歂䍁䅁䅤祂䝁䅅兡畂䝁䅫杢湂䍁䅷䅉穂䡁䅫督あ䝁䅕兢杁䡁䅉党浂䡁䅕杣楂䝁䅫督潂䝁䄰党畂䡁䅑䅌杁䝁䅫杢穂䡁䅑兙獂䝁䅷兙あ䝁䅫睢畂䍁䅷䅉桂䝁䄴䅚杁䝁䅍睢畂䡁䅍兤獂䡁䅑兡畂䝁䅣䅉穂䡁䅕䅣睂䝁䄸杣あ䍁䄴䅉啂䝁䅧党杁䝁䅍睢瑂䡁䅁兙畂䡁䅫升穂䍁䅁兙畂䡁䅑党畂䝁䄴兙杁䝁䄰党桂䡁䅍兤祂䝁䅕兢求䝁䄴䅤杁䡁䅍入穂䡁䅑党瑂䡁䅍䅉桂䡁䅉党杁䡁䅕督求䝁䅑䅉あ䝁䄸䅉瑂䝁䅕兙穂䡁䅕杣求䍁䅁䅤潂䝁䅕䅉卂䕁䅙䅉睂䝁䅕杣浂䝁䄸杣瑂䝁䅅杢橂䝁䅕䅉橂䝁䅧兙祂䝁䅅睙あ䝁䅕杣灂䡁䅍䅤灂䝁䅍督杁䝁䄸杚杁䝁䄰兡橂䡁䅉睢㍂䝁䅅杤求䍁䅁杣桂䝁䅑兡療䍁䅁兙畂䡁䅑党畂䝁䄴兙穂䍁䅁兤穂䝁䅕䅚杁䝁䅫杢杁䡁䅁党祂䡁䅍睢畂䝁䅅䅢杁䝁䅍睢瑂䝁䄰兤畂䝁䅫睙桂䡁䅑兡療䝁䄴督杁䡁䅍入穂䡁䅑党瑂䡁䅍䅌杁䝁䄰兡獂䝁䅫䅤桂䡁䅉入杁䡁䅉兙歂䝁䅅杣杁䝁䅅杢歂䍁䅁睙療䝁䄰兢ㅂ䝁䄴兡橂䝁䅅䅤灂䝁䄸杢杁䡁䅍入穂䡁䅑党瑂䡁䅍䅌杁䝁䅅杢歂䍁䅁督睂䝁䅅睙求䝁䅍杣桂䝁䅙䅤畁䍁䅁杔求䝁䅅杣浂䝁䅫党獂䝁䅑䅉呂䡁䅫督あ䝁䅕兢穂䍁䅁兓畂䝁䅍杌杁䡁䅣兙穂䍁䅁杚療䡁䅕杢歂䝁䅕䅚杁䝁䅫杢杁䑁䅅兏㑁䑁䅧䅉桂䝁䄴䅚杁䝁䅫督杁䝁䅉兙穂䝁䅕䅚杁䝁䅫杢杁䙁䅍兤㍂䝁䅅杢求䝁䅕䅌杁䕁䅣党療䡁䅉睚灂䝁䅅䅉㍂䝁䅫䅤潂䍁䅁兙歂䝁䅑兡あ䝁䅫睢畂䝁䅅䅢杁䝁䄸杚浂䝁䅫睙求䡁䅍䅉灂䝁䄴䅉啂䝁䄸杣祂䝁䅅杢橂䝁䅕䅌杁䕁䅍兙獂䝁䅫杚療䡁䅉杢灂䝁䅅睏杁䝁䅅杢歂䍁䅁睕潂䝁䅕杚浂䝁䅫党獂䝁䅑䅌杁䙁䅕杢灂䡁䅑党歂䍁䅁睓灂䝁䄴睚歂䝁䄸兢畁䍁䅁兑穂䍁䅁睢浂䍁䅁兑睂䡁䅉兡獂䍁䅁睍睁䍁䅷䅉祁䑁䅁杍硁䍁䅷䅉佂䝁䅕兙祂䝁䅙兡求䝁䅷䅚杁䙁䅍入穂䡁䅑党瑂䡁䅍䅉䩂䝁䄴睙畁䍁䅁睢睂䝁䅕杣桂䡁䅑党穂䍁䅁兙穂䍁䅁兙杁䡁䅍兤楂䡁䅍兡歂䝁䅫兙祂䡁䅫䅉療䝁䅙䅉䉂䕁䄰兒啂䕁䅕睓獁䍁䅁兓畂䝁䅍杌䅁䙁䉷䅁慁䅁䅁</t>
  </si>
  <si>
    <t>杔求䡁䅑兑睂䡁䅁䅌杁䕁䅫杢橂䍁䄴䅁牂允䅁䅈䅁䕁䄴党あ䕁䅕兙穂䝁䅕䅌杁䕁䅫杢橂䍁䄴䅁䵂杁䅁䅇䅁䕁䄴党あ䝁䅧党祂䝁䅷兙畂䝁䅑督䅁䍁䅙䅁獂䅁䅁杔求䡁䅣䅤求䝁䅍䅉䑂䡁䅫䅉佂䙁䅙䅉潁䝁䄴睡桂䑁䅯睕啂䍁䅁兒畂䝁䅣兡畂䝁䅕党祂䝁䅫杢湂䍁䅁兡䕂䝁䅫杣求䝁䅍䅤杁䍁䅧兒ㅂ䡁䅉睢睂䝁䅕克杁䕁䄴杖灁䅁䅁䅎䅅䉁䅯䅁佂䝁䅕䅥あ䕁䄴兙㉂䍁䅁兓畂䝁䅍杌䅁佁䄸䅁坂䅁䅁杔療䡁䅉䅤療䝁䄴䅔灂䝁䅙党䵂䝁䄸睙牂䍁䅁兓畂䝁䅍杌杁䍁䅧杢牂䝁䅅杏䡂䝁䅕杢杁䕁䅑兡湂䝁䅫䅤桂䝁䅷䅉䩂䝁䄴睙畁䍁䅫䅁扁䅂䅁杄䅁䕁䄴睢祂䡁䅣兙㕂䅁䅁睑䅁䉁䅯䅁佂䝁䄸杤灂䝁䅑入湁䡁䅍䅉呂䕁䅅睕䅁䥁䉕䅁㡃杁䅁杔療䡁䅙兡歂䡁䅫睊穂䍁䅁睕䉂䙁䅍䅉睂䡁䅉睢㉂䝁䅫䅚求䡁䅍䅉灂䝁䄴䅤求䝁䅣杣桂䡁䅑兡療䝁䄴䅉穂䝁䅕杣㉂䝁䅫睙求䡁䅍䅉桂䝁䄴䅚杁䡁䅍睢獂䡁䅕䅤灂䝁䄸杢穂䍁䅷䅉睂䡁䅉睢煂䝁䅕睙あ䍁䅁兢桂䝁䄴兙湂䝁䅕兢求䝁䄴䅤獁䍁䅁兙畂䝁䅑䅉橂䝁䄸杢穂䡁䅕䅢あ䝁䅅杢橂䡁䅫䅉灂䝁䄴䅉あ䝁䅧党杁䝁䅅杣求䝁䅅督杁䝁䄸杚杁䝁䅍入楂䝁䅕杣杁䡁䅍党橂䡁䅕杣灂䡁䅑入獁䍁䅁杢求䡁䅑睤療䡁䅉睡穂䍁䅷䅉瑂䝁䄸杙灂䝁䅷兡あ䡁䅫䅌杁䝁䅅杢歂䍁䅁兡畂䝁䅙睢祂䝁䄰兙あ䝁䅫睢畂䍁䅁䅤求䝁䅍䅡畂䝁䄸䅢療䝁䅣入杁䍁䅧兓啂䍁䅫杌杁䙁䅑䅡求䍁䅁睙療䝁䄰䅣桂䝁䄴入杁䡁䅣兙穂䍁䅁杚療䡁䅕杢歂䝁䅕䅚杁䝁䅫杢杁䑁䅉䅍睁䑁䅫䅉桂䝁䄴䅚杁䝁䅫督杁䝁䅉兙穂䝁䅕䅚杁䝁䅫杢杁䙁䅙党獂䝁䅫来㕂䍁䅁杖灂䝁䅷䅢桂䝁䅍睢ㅂ䝁䅉䅢桂䡁䅫䅌杁䕁䅙杣桂䝁䄴睙求䍁䄴䅉䉂䡁䅍䅉療䝁䅙䅉䭂䡁䅕杢求䍁䅁杍㉁䍁䅷䅉祁䑁䅁免㑁䍁䅷䅉佂䝁䄸杤灂䝁䅑入湁䡁䅍䅉呂䕁䅅睕杁䝁䄸䅣求䡁䅉兙あ䝁䅕督杁䝁䅅督杁䝁䅅䅉穂䡁䅕杙穂䝁䅫䅚灂䝁䅅杣㕂䍁䅁睢浂䍁䅁睑呂䍁䅁睑療䝁䄰兢ㅂ䝁䄴兡橂䝁䅅䅤灂䝁䄸杢杁䍁䅙䅉呂䡁䅫督あ䝁䅕兢求䡁䅍䅉呂䕁䅅杌䅁䩁䈰䅁㑁䅁䅁杔ㅂ䝁䅅杢橂䝁䅕䅉䑂䝁䄸兢瑂䡁䅕杢灂䝁䅍兙あ䝁䅫睢畂䡁䅍䅌杁䕁䅫杢橂䍁䄴䅁⭄允䅁䅙䄸䕁䄴兤桂䝁䄴睙求䍁䅁睑療䝁䄰兢ㅂ䝁䄴兡橂䝁䅅䅤灂䝁䄸杢穂䍁䅷䅉䩂䝁䄴睙畁䍁䅁䅚求䡁䅙党獂䝁䄸䅣穂䍁䅁睙療䝁䄴杤求䡁䅉督桂䡁䅑兡療䝁䄴兙獂䍁䅁兙畂䝁䅑䅉橂䝁䄸睚畂䝁䅫䅤灂䡁䅙党杁䝁䅅杣あ䝁䅫杚灂䝁䅍兡桂䝁䅷䅉灂䝁䄴䅤求䝁䅷䅢灂䝁䅣党畂䝁䅍党杁䍁䅧兑䩂䍁䅫䅉灂䝁䄴杢療䡁䅙兙あ䝁䅫睢畂䡁䅍䅉睂䝁䅷兙あ䝁䅙睢祂䝁䄰䅉あ䝁䅧兙あ䍁䅁杙祂䝁䅫杢湂䍁䅁兡畂䡁䅑党獂䝁䅷兡湂䝁䅕杢橂䝁䅕䅉あ䝁䄸䅉求䡁䅙党祂䡁䅫䅚桂䡁䅫䅉㍂䝁䄸杣牂䍁䅁兙畂䝁䅑䅉獂䝁䅫杚求䍁䄴䅉啂䝁䅧党杁䝁䅍睢瑂䡁䅁兙畂䡁䅫䅉歂䝁䅕䅢灂䡁䅙党祂䡁䅍䅉穂䝁䄸䅢ㅂ䡁䅑兡療䝁䄴督杁䡁䅑䅡桂䡁䅑䅉ㅂ䝁䄴䅚求䡁䅉督あ䝁䅅杢歂䍁䅷䅉桂䝁䄴兙獂䡁䅫来求䍁䅷䅉桂䝁䄴䅚杁䡁䅉党穂䡁䅁睢畂䝁䅑䅉あ䝁䄸䅉睂䝁䅕睢睂䝁䅷党杁䍁䄰䅉桂䝁䄰䅣獂䝁䅫杚㕂䝁䅫杢湂䍁䅁䅡ㅂ䝁䄰兙畂䍁䅁兡畂䡁䅑党獂䝁䅷兡湂䝁䅕杢橂䝁䅕䅉あ䝁䄸䅉灂䝁䄴睙祂䝁䅕兙穂䝁䅕䅉睂䡁䅉睢歂䡁䅕睙あ䝁䅫杤灂䡁䅑入杁䝁䅅杢歂䍁䅁督求䝁䅍兤祂䝁䅫䅤㕂䍁䄴䅉䩂䡁䅑督杁䝁䅧党桂䝁䅷䅤潂䝁䅍兙祂䝁䅕䅉穂䝁䅕睚瑂䝁䅕杢あ䍁䅁䅣祂䝁䄸杤灂䝁䅑党穂䍁䅁睙獂䝁䅫杢灂䝁䅍兙獂䍁䅁督睂䝁䅕党橂䝁䅧䅉桂䝁䄴䅚杁䝁䅍䅢灂䝁䄴兡橂䝁䅅䅢杁䝁䅷兙畂䝁䅣兤桂䝁䅣党杁䡁䅕杢歂䝁䅕杣穂䡁䅑兙畂䝁䅑兡畂䝁䅣䅉穂䝁䄸䅢ㅂ䡁䅑兡療䝁䄴督杁䡁䅑䅡桂䡁䅑䅉灂䝁䄰䅣祂䝁䄸杤求䍁䅁䅤潂䝁䅕䅉橂䝁䅷兡畂䝁䅫睙桂䝁䅷䅉歂䝁䄸睙ㅂ䝁䄰党畂䡁䅑兙あ䝁䅫睢畂䍁䅁䅣祂䝁䄸睙求䡁䅍督獁䍁䅁杚祂䝁䄸兢杁䝁䅍兙睂䡁䅑兤祂䝁䅫杢湂䍁䅁䅤潂䝁䅕䅉橂䝁䄸兢睂䝁䅷党あ䝁䅕䅉睂䝁䅅䅤灂䝁䅕杢あ䍁䅁杣求䝁䅍睢祂䝁䅑䅉あ䝁䄸䅉灂䝁䄰䅣祂䝁䄸杤灂䝁䄴睚杁䝁䅍䅢灂䝁䄴兡橂䝁䅅䅢杁䝁䅑睢橂䡁䅕兢求䝁䄴䅤桂䡁䅑兡療䝁䄴䅉桂䝁䄴䅚杁䡁䅅兤桂䝁䅷兡あ䡁䅫䅉瑂䝁䅕兙穂䡁䅕杣求䡁䅍䅉浂䝁䄸杣杁䡁䅉党灂䝁䄰杙ㅂ䡁䅉督求䝁䄰党畂䡁䅑杌杁䕁䅫䅤穂䍁䅁督療䝁䅷兤あ䝁䅫睢畂䡁䅍䅉灂䝁䄴睙獂䡁䅕䅚求䍁䅁䅒祂䝁䅅睚療䝁䄴䅉乂䝁䅕䅚灂䝁䅍兙獂䍁䅁睔畂䝁䅕䅌杁䝁䅍䅢療䡁䅕䅚瑁䝁䅉兙穂䝁䅕䅚杁䡁䅍䅣求䝁䅕睙潂䍁䅁督療䝁䅷兤あ䝁䅫睢畂䑁䅳䅉橂䝁䄸兢睂䡁䅕䅤求䡁䅉兌桂䡁䅍督灂䡁䅍䅤求䝁䅑䅉睂䝁䅧入穂䝁䅫睙灂䝁䅅杢杁䝁䅑睢橂䡁䅕兢求䝁䄴䅤桂䡁䅑兡療䝁䄴睏杁䝁䅑兡桂䝁䅣杢療䡁䅍䅤灂䝁䅍䅉灂䝁䄰兙湂䝁䅫杢湂䍁䅁督療䝁䅷兤あ䝁䅫睢畂䡁䅍睏杁䕁䄴兤桂䝁䄴睙求䍁䅁䅒祂䝁䅅睚療䝁䄴䅉䉂䝁䄰杙灂䝁䅕杢あ䍁䅁党奂䡁䅁党祂䝁䅫党畂䝁䅍党獁䍁䅁兙杁䡁䅙睢灂䝁䅍党瑁䝁䅕杢桂䝁䅉䅢求䝁䅑䅉穂䝁䄸䅢ㅂ䡁䅑兡療䝁䄴睏杁䝁䅅杢歂䍁䅁睙獂䝁䅫杢灂䝁䅍兙獂䍁䅁䅚療䝁䅍兤瑂䝁䅕杢あ䝁䅅䅤灂䝁䄸杢杁䝁䅫兢睂䡁䅉睢㉂䝁䅕兢求䝁䄴䅤杁䝁䅅杢歂䍁䅁睙療䝁䅑兡畂䝁䅣杌杁䙁䅑䅡求䍁䅁睙療䝁䄰䅣桂䝁䄴入婁䡉䅍䅉䙂䝁䄴䅤求䡁䅉䅣祂䝁䅫督求䍁䅁督求䝁䅣兢求䝁䄴䅤杁䡁䅁杣灂䝁䄰兙祂䝁䅫䅢㕂䍁䅁党畂䝁䅣兙湂䝁䅕督杁䝁䅫杢杁䡁䅕督灂䝁䄴睚杁䡁䅍䅣求䝁䅕睙潂䍁䅷䅉畂䝁䅅䅤ㅂ䡁䅉兙獂䍁䅁䅢桂䝁䄴睚ㅂ䝁䅅睚求䍁䅁兤畂䝁䅑党祂䡁䅍䅤桂䝁䄴䅚灂䝁䄴睚獁䍁䅁兙畂䝁䅑䅉桂䡁䅉䅤灂䝁䅙兡橂䝁䅫兙獂䍁䅁兡畂䡁䅑党獂䝁䅷兡湂䝁䅕杢橂䝁䅕䅉あ䝁䄸䅉睂䡁䅉睢㉂䝁䅫䅚求䍁䅁兙ㅂ䡁䅑睢瑂䝁䅅䅤求䝁䅑䅉橂䡁䅕督あ䝁䄸兢求䡁䅉䅉穂䝁䄸䅢ㅂ䡁䅑兡療䝁䄴督杁䝁䅅杢歂䍁䅁督求䡁䅉杤灂䝁䅍党穂䍁䅁杚療䡁䅉䅉㉂䝁䄸兡橂䝁䅕䅌杁䝁䄰睢楂䝁䅫䅢求䍁䅷䅉㍂䝁䅕杙獁䍁䅁兙畂䝁䅑䅉瑂䝁䅕督穂䝁䅅睚灂䝁䄴睚杁䝁䅍䅡桂䝁䄴杢求䝁䅷督畁䍁䅁兓あ䡁䅍䅉穂䝁䄸䅢ㅂ䡁䅑兡療䝁䄴督杁䝁䅫杢橂䝁䅷兤歂䝁䅕䅉灂䝁䄴䅤求䝁䅷䅢灂䝁䅣党畂䡁䅑䅉求䝁䄴睚桂䝁䅣党瑂䝁䅕杢あ䍁䅁督療䝁䅷兤あ䝁䅫睢畂䡁䅍睏杁䕁䅍睢畂䡁䅙党祂䡁䅍兙あ䝁䅫睢畂䝁䅅䅢杁䕁䅅兓㝁䍁䅁兒畂䝁䅣兙湂䝁䅕兢求䝁䄴䅤杁䕁䅅兓㝁䍁䅁兙畂䝁䅑䅉呂䝁䅕睙ㅂ䡁䅉兡あ䡁䅫䅉䉂䕁䅫杌杁䕁䅫䅤穂䍁䅁睢あ䝁䅧党祂䍁䅁督求䝁䅣兢求䝁䄴䅤杁䡁䅁杣療䡁䅙兡歂䝁䅕督杁䡁䅙睢灂䝁䅍党瑂䝁䅅兡獂䍁䅁䅤祂䝁䅅杢穂䝁䅍杣灂䡁䅁䅤灂䝁䄸杢杁䡁䅍党祂䡁䅙兡橂䝁䅕督畁䍁䅁兓あ䍁䅁䅣祂䝁䅫兢桂䡁䅉兡獂䡁䅫䅉穂䝁䅕杣㉂䝁䅕督杁䝁䄸杣湂䝁䅅杢灂䡁䅯兙あ䝁䅫睢畂䡁䅍䅉桂䝁䅍杣療䡁䅍督杁䝁䅧党桂䝁䅷䅤潂䝁䅍兙祂䝁䅕䅌杁䝁䅙兡畂䝁䅅杢橂䝁䅫兙獂䍁䅁督求䡁䅉杤灂䝁䅍党穂䍁䅷䅉あ䝁䅕䅢求䝁䅍睢瑂䝁䄰兤畂䝁䅫睙桂䡁䅑兡療䝁䄴督獁䍁䅁睚療䡁䅙党祂䝁䄴兢求䝁䄴䅤獁䍁䅁兙畂䝁䅑䅉祂䝁䅕䅤桂䝁䅫䅢畁䍁䅁䅖潂䝁䅕䅉橂䝁䄸兢睂䝁䅅杢㕂䍁䅁兢桂䡁䅉睡求䡁䅑督杁䝁䅅杢歂䍁䅁督求䝁䅷䅢穂䍁䅁兡あ䡁䅍䅉穂䝁䄸䅢ㅂ䡁䅑兡療䝁䄴督杁䝁䅅杢歂䍁䅁䅤求䝁䅍䅡畂䝁䄸䅢療䝁䅣兡求䡁䅍䅉歂䝁䅫杣求䝁䅍䅤獂䡁䅫䅉あ䝁䅧杣療䡁䅕睚潂䍁䅁督桂䝁䅷党穂䍁䅁杚療䡁䅉睙求䍁䅷䅉桂䡁䅍䅉㍂䝁䅕䅢獂䍁䅁兙穂䍁䅁䅤潂䡁䅉睢ㅂ䝁䅣䅡杁䝁䅅䅉畂䝁䅕䅤㍂䝁䄸杣牂䍁䅁睢浂䍁䅁杣求䡁䅍党獂䝁䅷党祂䡁䅍䅌杁䝁䅫杢橂䝁䅷兤歂䝁䅫杢湂䍁䅁督㕂䡁䅍䅤求䝁䄰䅉灂䝁䄴䅤求䝁䅣杣桂䡁䅑睢祂䡁䅍䅌杁䝁䅫杢歂䝁䅕䅣求䝁䄴䅚求䝁䄴䅤杁䡁䅍睢浂䡁䅑睤桂䡁䅉党杁䡁䅙党畂䝁䅑睢祂䡁䅍䅌杁䡁䅙兙獂䡁䅕党瑁䝁䅅䅚歂䝁䅕䅚杁䡁䅉党穂䝁䅕䅢獂䝁䅕杣穂䍁䅷䅉歂䝁䅫督あ䡁䅉兡楂䡁䅕䅤療䡁䅉督獁䍁䅁䅡桂䡁䅉䅚㍂䝁䅅杣求䍁䅁杤求䝁䄴䅚療䡁䅉督獁䍁䅁䅤求䝁䅷党橂䝁䄸兢瑂䡁䅕杢灂䝁䅍兙あ䝁䅫睢畂䡁䅍䅉橂䝁䅅杣祂䝁䅫党祂䡁䅍䅌杁䝁䅅杢歂䍁䅁党瑁䝁䅍睢瑂䝁䄰党祂䝁䅍党杁䙁䅣党楂䡁䅍兡あ䝁䅕督杁䡁䅣睢祂䝁䅷䅚㍂䝁䅫䅚求䍁䄴䅉佂䡁䅕兙畂䝁䅍党杁䕁䅍睢瑂䝁䄰兤畂䝁䅫睙桂䡁䅑兡療䝁䄴督獁䍁䅁兓畂䝁䅍杌杁䡁䅣兙穂䍁䅁杚療䡁䅉兢求䡁䅉䅢㕂䍁䅁睡畂䝁䄸睤畂䍁䅁兙穂䍁䅁睕橂䝁䅅杢呂䝁䄸杚あ䍁䅷䅉䩂䝁䄴睙畁䍁䅁兙畂䝁䅑䅉橂䝁䅧兙畂䝁䅣党歂䍁䅁兡あ䡁䅍䅉畂䝁䅅兢求䍁䅁䅤療䍁䅁杔ㅂ䝁䅅杢橂䝁䅕䅉䑂䝁䄸兢瑂䡁䅕杢灂䝁䅍兙あ䝁䅫睢畂䡁䅍䅌杁䕁䅫杢橂䍁䄴䅉灂䝁䄴䅉乂䝁䅅杣橂䝁䅧䅉祁䑁䅁䅍㉁䍁䄴䅉啂䝁䅧党杁䝁䅍睢瑂䡁䅁兙畂䡁䅫䅉㍂䝁䅅督杁䝁䅙睢ㅂ䝁䄴䅚求䝁䅑䅉灂䝁䄴䅉硁䑁䅫兏祁䍁䅁兙畂䝁䅑䅉灂䡁䅍䅉楂䝁䅅督求䝁䅑䅉灂䝁䄴䅉䍂䡁䅕杣獂䝁䅫杢湂䡁䅑睢畂䍁䅷䅉乂䝁䅅督穂䝁䅅睙潂䡁䅕督求䡁䅑䅤穂䍁䄴䅉䉂䡁䅍䅉療䝁䅙䅉乂䝁䅅杣橂䝁䅧䅉ぁ䍁䅷䅉祁䑁䅁杍祁䍁䅷䅉佂䡁䅕兙畂䝁䅍党杁䕁䅍睢瑂䝁䄰兤畂䝁䅫睙桂䡁䅑兡療䝁䄴督獁䍁䅁兓畂䝁䅍杌杁䝁䄸䅣求䡁䅉兙あ䝁䅕督杁䝁䅅督杁䝁䅅䅉穂䡁䅕杙穂䝁䅫䅚灂䝁䅅杣㕂䍁䅁睢浂䍁䅁兔灂䝁䅍杣療䡁䅍睢浂䡁䅑䅉䑂䝁䄸杣睂䝁䄸杣桂䡁䅑兡療䝁䄴杌䅁䅁䍍䅁允䅁䅁睔䍂䑁䅯兑噂䙁䅑睔䅁䑁䄴䅁十䅁䅁睔乂䑁䅯睑䉂䕁䅷䅖奂䅁䅁兴䅙䉁䅁䅁偂䕁䄰杏䙂䕁䄴兒䉂䅁䅁睅䅑䉁䅉䅁偂䕁䄰杏呂䕁䅫杔䑂䕁䅧䅁瑄允䅁䅅䅁䕁䄸兔㙁䙁䅙兓啂䙁䅉䅁䍁杂䅁材䅁䕁䄸杕䉂䕁䄴睒䙂䍁䅁睑婂䕁䅉兒卂䕁䅑兒䝂䕁䅕杔呂䕁䅕䅉噂䕁䅳䅉䵂䕁䅫兔䩂䙁䅑兒䕂䅁䅁先䅑䡁䝧䅁偂䙁䅉兑佂䕁䅣兒杁䕁䅍兗䍂䕁䅕杕䕂䕁䅕杒䙂䕁䄴睕䙂䍁䅁兖䱂䍁䅁䅔䩂䕁䄰兓啂䕁䅕䅒杁䡁䅁杣療䡁䅙兡歂䝁䅕督杁䝁䅍䅢療䡁䅕䅚瑁䝁䅉兙穂䝁䅕䅚杁䝁䅅杢歂䍁䅁兢桂䝁䄴兙湂䝁䅕䅚杁䝁䅍入楂䝁䅕杣瑁䡁䅍党橂䡁䅕杣灂䡁䅑入杁䡁䅍党祂䡁䅙兡橂䝁䅕督畁䍁䅁䅖潂䝁䅕䅉橂䝁䄸兢睂䝁䅅杢㕂䍁䅁睢浂䝁䅙党祂䡁䅍䅉呂䝁䅕睙ㅂ䡁䅉党䕂䝁䅅䅤桂䍁䅁睒䩂䍁䅷䅉桂䝁䄴䅉灂䝁䄴䅤求䝁䅣杣桂䡁䅑党歂䍁䅁督求䝁䅍兤祂䝁䅫䅤㕂䍁䅁䅣獂䝁䅅䅤浂䝁䄸杣瑂䍁䅁䅤潂䝁䅅䅤杁䝁䅫督杁䝁䅧睢穂䡁䅑党歂䍁䅁兙畂䝁䅑䅉瑂䝁䅅杢桂䝁䅣党歂䍁䅁兡畂䍁䅁䅤潂䝁䅕䅉橂䝁䅷睢ㅂ䝁䅑杌杁䕁䅫䅤杁䡁䅁杣療䡁䅙兡歂䝁䅕督杁䝁䅅䅉祂䝁䅅杢湂䝁䅕䅉療䝁䅙䅉灂䝁䄴䅤求䝁䅣杣桂䡁䅑党歂䍁䅁督療䝁䅷兤あ䝁䅫睢畂䡁䅍䅉あ䝁䅧兙あ䍁䅁兙穂䡁䅍党穂䡁䅍䅉祂䝁䅫督牂䍁䅷䅉歂䝁䅕䅤求䝁䅍䅤杁䡁䅍党橂䡁䅕杣灂䡁䅑入杁䝁䅉杣求䝁䅅睙潂䝁䅕督獁䍁䅁䅣祂䝁䄸䅤求䝁䅍䅤杁䝁䅍兤穂䡁䅑睢瑂䝁䅕杣穂䍁䅷䅉桂䝁䄴䅚杁䝁䅧党獂䡁䅁䅉あ䝁䅧党瑂䍁䅁杣求䡁䅍䅣療䝁䄴䅚杁䡁䅑睢杁䡁䅍党橂䡁䅕杣灂䡁䅑入杁䝁䅫杢橂䝁䅫䅚求䝁䄴䅤穂䍁䄴䅉啂䝁䅧党杁䝁䅍睢瑂䡁䅁兙畂䡁䅫升穂䍁䅁督療䝁䅷兤あ䝁䅫睢畂䡁䅍䅉灂䝁䄴睙獂䡁䅕䅚求䍁䅁兙睂䡁䅁䅢灂䝁䅍兙あ䝁䅫睢畂䍁䅁督求䝁䅍兤祂䝁䅫䅤㕂䍁䅷䅉橂䝁䅷睢ㅂ䝁䅑䅉穂䝁䅕睙ㅂ䡁䅉兡あ䡁䅫䅌杁䝁䅍睢瑂䡁䅁䅢灂䝁䅅杢橂䝁䅕䅉瑂䝁䅅杢桂䝁䅣党瑂䝁䅕杢あ䍁䅷䅉求䝁䄴䅚睂䝁䄸兡畂䡁䅑䅉穂䝁䅕睙ㅂ䡁䅉兡あ䡁䅫䅌杁䝁䅫䅚求䝁䄴䅤灂䡁䅑入杁䝁䅅杢歂䍁䅁兙橂䝁䅍党穂䡁䅍䅉瑂䝁䅅杢桂䝁䅣党瑂䝁䅕杢あ䍁䅷䅉畂䝁䅕䅤㍂䝁䄸杣牂䍁䅁督求䝁䅍兤祂䝁䅫䅤㕂䍁䅷䅉祂䝁䅕兢療䡁䅑党杁䝁䅅睙橂䝁䅕督穂䍁䅷䅉穂䝁䅕睙ㅂ䡁䅉党杁䡁䅣党楂䍁䄸党瑂䝁䅅兡獂䍁䅁睚桂䡁䅑党㍂䝁䅅入獁䍁䅁督求䝁䅍兤祂䝁䅫䅤㕂䍁䅁兢桂䝁䄴兙湂䝁䅕兢求䝁䄴䅤獁䍁䅁兙畂䝁䅑䅉㉂䡁䅕䅢畂䝁䅕杣桂䝁䅉兡獂䝁䅫䅤㕂䍁䅁兢桂䝁䄴兙湂䝁䅕兢求䝁䄴䅤畁䍁䅁䅖潂䝁䅕䅉橂䝁䄸兢睂䝁䅅杢㕂䍁䅁睤桂䡁䅍䅉浂䝁䄸兤畂䝁䅑党歂䍁䅁兡畂䍁䅁免㕁䑁䅫杍杁䝁䅅杢歂䍁䅁兡穂䍁䅁杙桂䡁䅍党歂䍁䅁兡畂䍁䅁兔桂䝁䅫䅚穂䡁䅑睢畂䝁䅕䅌杁䙁䅕杢灂䡁䅑党歂䍁䅁睓灂䝁䄴睚歂䝁䄸兢杁䡁䅣兡あ䝁䅧䅉桂䝁䅑䅚灂䡁䅑兡療䝁䄴兙獂䍁䅁睢浂䝁䅙兡橂䝁䅕督杁䝁䅫杢杁䕁䅷睢畂䝁䅑睢畂䍁䅷䅉䍂䝁䅫杣瑂䝁䅫杢湂䝁䅧兙瑂䍁䅷䅉卂䝁䅕兙歂䝁䅫杢湂䍁䅷䅉兂䡁䅉党あ䝁䄸杣灂䝁䅅䅌杁䝁䅅杢歂䍁䅁睑桂䡁䅁党杁䙁䅑睢㍂䝁䄴杌杁䕁䄸杕䉂䕁䄴睒䙂䍁䅁睑婂䕁䅉兒卂䕁䅑兒䝂䕁䅕杔呂䕁䅕䅉噂䕁䅳䅉䵂䕁䅫兔䩂䙁䅑兒䕂䍁䅁睢睂䝁䅕杣桂䡁䅑党穂䍁䅁兙穂䍁䅁兙杁䡁䅍兤楂䡁䅍兡歂䝁䅫兙祂䡁䅫䅉療䝁䅙䅉偂䡁䅉兙畂䝁䅣党杁䙁䅍杌䉂䍁䄴䅁汁䅂䅁杨䅙䕁䄸杕䉂䕁䄴睒䙂䍁䅁睑婂䕁䅉兒卂䕁䅑兒䝂䕁䅕杔呂䕁䅕䅉噂䕁䅳䅉䵂䕁䅫兔䩂䙁䅑兒䕂䍁䅁䅣祂䝁䄸杤灂䝁䅑党穂䍁䅁睙獂䝁䄸兤歂䍁䄰杙桂䡁䅍党歂䍁䅁兙畂䝁䅑䅉瑂䝁䅅杢桂䝁䅣党歂䍁䅁睙㕂䝁䅉党祂䍁䄰督求䝁䅍兤祂䝁䅫䅤㕂䍁䅁督求䡁䅉杤灂䝁䅍党穂䍁䄴䅉啂䝁䅧党杁䝁䅍睢瑂䡁䅁兙畂䡁䅫䅉療䝁䅙杚求䡁䅉督杁䙁䅍党橂䡁䅕杣求䕁䅑兙あ䝁䅅䅉䡂䕁䅫䅌杁䝁䅅杢杁䝁䅫杢あ䝁䅕睚祂䝁䅅䅤求䝁䅑䅉穂䝁䅕睙ㅂ䡁䅉兡あ䡁䅫䅉睂䝁䅷兙あ䝁䅙睢祂䝁䄰䅉あ䝁䅧兙あ䍁䅁兡穂䍁䅁䅡療䡁䅍䅤求䝁䅑䅉桂䝁䄴䅚杁䝁䄰兙畂䝁䅅睚求䝁䅑䅉灂䝁䄴䅉あ䝁䅧党杁䝁䅍䅢療䡁䅕䅚畁䍁䅁兓あ䍁䅁䅣祂䝁䄸杤灂䝁䅑党穂䍁䅁兙杁䡁䅉兙畂䝁䅣党杁䝁䄸杚杁䝁䅫杢あ䝁䅕睚祂䝁䅅䅤求䝁䅑䅉穂䝁䄸䅢ㅂ䡁䅑兡療䝁䄴督杁䡁䅑䅡桂䡁䅑䅉桂䡁䅍督求䡁䅍督杁䡁䅉兡穂䝁䅳䅌杁䝁䅑党あ䝁䅕睙あ䍁䅁督求䝁䅍兤祂䝁䅫䅤㕂䍁䅁杙祂䝁䅕兙橂䝁䅧党穂䍁䅷䅉睂䡁䅉睢あ䝁䅕睙あ䍁䅁睙ㅂ䡁䅍䅤療䝁䄰党祂䡁䅍䅌杁䝁䅅杢歂䍁䅁䅡求䝁䅷䅣杁䡁䅑䅡求䝁䄰䅉祂䝁䅕督睂䝁䄸杢歂䍁䅁䅤療䍁䅁督求䝁䅍兤祂䝁䅫䅤㕂䍁䅁兡畂䝁䅍兡歂䝁䅕杢あ䡁䅍杌杁䙁䅑䅡求䍁䅁睙療䝁䄰䅣桂䝁䄴入婁䡉䅍䅉穂䝁䄸䅢ㅂ䡁䅑兡療䝁䄴督杁䝁䅫杢橂䝁䅷兤歂䝁䅕䅉桂䡁䅁䅣獂䝁䅫睙桂䡁䅑兡療䝁䄴䅉穂䝁䅕睙ㅂ䡁䅉兡あ䡁䅫䅌杁䝁䅍䅢療䡁䅕䅚杁䡁䅍党橂䡁䅕杣灂䡁䅑入獁䍁䅁睙療䝁䄰䅣獂䝁䅫兙畂䝁䅍党杁䝁䄰兙畂䝁䅅睚求䝁䄰党畂䡁䅑䅌杁䝁䅕杢歂䡁䅁睢灂䝁䄴䅤杁䡁䅍党橂䡁䅕杣灂䡁䅑入獁䍁䅁兡歂䝁䅕杢あ䝁䅫䅤㕂䍁䅁兙畂䝁䅑䅉桂䝁䅍睙求䡁䅍督杁䝁䄰兙畂䝁䅅睚求䝁䄰党畂䡁䅑䅌杁䝁䄴党あ䡁䅣睢祂䝁䅳䅉穂䝁䅕睙ㅂ䡁䅉兡あ䡁䅫䅌杁䡁䅉党瑂䝁䄸䅤求䍁䅁兙橂䝁䅍党穂䡁䅍䅌杁䡁䅍党橂䡁䅕杣求䍁䅁睤求䝁䅉睌求䝁䄰兙灂䝁䅷䅉湂䝁䅅䅤求䡁䅣兙㕂䍁䅷䅉穂䝁䅕睙ㅂ䡁䅉兡あ䡁䅫䅉瑂䝁䅅杢桂䝁䅣党瑂䝁䅕杢あ䍁䅷䅉桂䝁䄴䅚杁䡁䅙兤獂䝁䄴党祂䝁䅅杙灂䝁䅷兡あ䡁䅫䅉瑂䝁䅅杢桂䝁䅣党瑂䝁䅕杢あ䍁䄴䅉啂䝁䅧党杁䝁䅍睢瑂䡁䅁兙畂䡁䅫䅉㍂䝁䅅督杁䝁䅙睢ㅂ䝁䄴䅚求䝁䅑䅉灂䝁䄴䅉硁䑁䅫兏祁䍁䅁兙畂䝁䅑䅉灂䡁䅍䅉楂䝁䅅督求䝁䅑䅉灂䝁䄴䅉乂䝁䅅兡歂䡁䅍䅤療䝁䄴党獁䍁䅁兖畂䝁䅫䅤求䝁䅑䅉䱂䝁䅫杢湂䝁䅑睢瑂䍁䅁睤灂䡁䅑䅡杁䝁䅅䅚歂䝁䅫䅤灂䝁䄸杢桂䝁䅷䅉療䝁䅙杚灂䝁䅍党穂䍁䅁兡畂䍁䅁䅔療䝁䄴䅚療䝁䄴䅌杁䕁䅉兡祂䝁䄰兡畂䝁䅣䅡桂䝁䄰䅌杁䙁䅉党桂䝁䅑兡畂䝁䅣䅌杁䙁䅁杣求䡁䅑睢祂䝁䅫兙獁䍁䅁兙畂䝁䅑䅉䑂䝁䅅䅣求䍁䅁䅖療䡁䅣杢畁䍁䅁睔卂䕁䅅杔䡂䕁䅕䅉䑂䙁䅫村䙂䙁䅉䅒䙂䕁䅙兒佂䙁䅍兒杁䙁䅕睓杁䕁䅷兓乂䕁䅫䅖䙂䕁䅑䅉療䡁䅁党祂䝁䅅䅤求䡁䅍䅉桂䡁䅍䅉桂䍁䅁督ㅂ䝁䅉督灂䝁䅑兡桂䡁䅉入杁䝁䄸杚杁䙁䅍䅚潂䍁䅁䅓療䝁䅷䅚橂䝁䄸䅉䵂䝁䅫兢灂䡁䅑党歂䅁䅁睍䅙䉁䅙䅁偂䙁䅑睑剂䕁䅉杏䝂䕁䄰睑䑂䅁䅁䅇䅉䉁䅙䅁偂䙁䅑睑剂䕁䅉杏䝂䕁䄴兔䉂䅁䅁睅䅉䉁䅙䅁偂䝁䅳䅤桂䍁䅷䅉䩂䝁䄴睙畁䅁䅁睢䅁䕁䅁䅁偂䡁䅁党畂䙁䅁䅢桂䡁䅫䅉啂䝁䅕睙潂䝁䄴睢獂䝁䄸睚灂䝁䅕督杁䙁䅁杤あ䍁䄴䅉䵂䡁䅑䅚畁䅁䅁睗䅉䝁䉁䅁偂䡁䅁党畂䙁䅁䅢桂䡁䅫䅉啂䝁䅕睙潂䝁䄴睢獂䝁䄸睚灂䝁䅕督杁䙁䅁杤あ䍁䄴䅉䵂䡁䅑䅚畁䍁䅁睢睂䝁䅕杣桂䡁䅑党穂䍁䅁兢ㅂ䝁䅷䅤灂䍁䄰睚桂䝁䄰党杁䝁䅍睢畂䡁䅍兤瑂䝁䅕杣杁䝁䅣兙瑂䝁䅫杢湂䍁䅁䅣獂䝁䅅䅤浂䝁䄸杣瑂䡁䅍䅉あ䝁䅧兙あ䍁䅁䅡療䡁䅍䅤杁䡁䅍睡灂䝁䅷䅢瑁䝁䅉兙穂䝁䅕䅚杁䝁䅣兙瑂䝁䅕督畁䍁䅁䅖潂䝁䅕䅉橂䝁䄸兢睂䝁䅅杢㕂䍁䅁睤桂䡁䅍䅉灂䝁䄴睙療䡁䅉䅣療䡁䅉兙あ䝁䅕䅚杁䝁䅫杢杁䑁䅉䅍硁䑁䅙䅉桂䝁䄴䅚杁䝁䅫督杁䝁䅉兙穂䝁䅕䅚杁䝁䅫杢杁䕁䅳睢獂䝁䅳兙あ䝁䅅䅌杁䕁䅫杢歂䝁䅫兙畁䅁䅁䅙䅉䍁䅉䅁偂䡁䅁䅤灂䝁䄰兙獂䙁䅁䅢ㅂ䡁䅍䅉䵂䡁䅑䅚畁䅁䅁入䅅佁䝧䅁偂䡁䅁䅤灂䝁䄰兙獂䙁䅁䅢ㅂ䡁䅍䅉䵂䡁䅑䅚畁䍁䅁䅚求䡁䅙党獂䝁䄸䅣穂䍁䅁䅚桂䡁䅑兙杁䝁䅅杢桂䝁䅷入あ䝁䅫睙穂䍁䅁督療䝁䅙䅤㍂䝁䅅杣求䍁䅁杚療䡁䅉䅉あ䝁䅧党杁䡁䅍党瑂䝁䅫睙療䝁䄴䅚ㅂ䝁䅍䅤療䡁䅉䅌杁䝁䅅兤あ䝁䄸兢療䡁䅑兡㉂䝁䅕䅌杁䝁䅅杢歂䍁䅁党獂䝁䅕睙あ䡁䅉睢畂䝁䅫睙穂䍁䅁兡畂䝁䅑兤穂䡁䅑杣灂䝁䅕督畁䍁䅁兓あ䍁䅁睢浂䝁䅙党祂䡁䅍䅉偂䡁䅁䅤灂䝁䄰兙獂䙁䅁䅢ㅂ䡁䅍䅉療䡁䅁党畂䍁䅁䅣獂䝁䅅䅤浂䝁䄸杣瑂䍁䅁䅤潂䝁䅅䅤杁䝁䅍睢瑂䝁䅉兡畂䝁䅕督杁䝁䄰兙橂䝁䅧兡畂䝁䅕兌獂䝁䅕兙祂䝁䄴兡畂䝁䅣䅉㍂䝁䅫䅤潂䍁䅁兙杁䝁䅑兙あ䝁䅅䅉灂䝁䄴杚祂䝁䅅督あ䡁䅉兤橂䡁䅑兤祂䝁䅕䅉あ䝁䄸䅉睂䡁䅉睢㉂䝁䅫䅚求䍁䅁杣求䝁䅅䅢瑁䡁䅑兡瑂䝁䅕䅉睂䡁䅉睢歂䡁䅕睙あ䍁䅁兙畂䝁䅅䅢㕂䡁䅑兡橂䡁䅍䅉桂䝁䄴䅚杁䡁䅑睢杁䝁䅕䅥あ䡁䅉兙橂䡁䅑䅉灂䝁䄴督灂䝁䅣䅡あ䡁䅍䅉浂䡁䅉睢瑂䍁䅁䅚桂䡁䅑兙杁䝁䅅睙祂䝁䄸督穂䍁䅁䅤潂䝁䅕䅉穂䡁䅕䅣睂䝁䅷入杁䝁䅍䅡桂䝁䅫杢畁䍁䅁兓あ䡁䅍䅉偂䡁䅁䅤灂䝁䄰兙獂䙁䅁䅢ㅂ䡁䅍䅉桂䝁䄴兙獂䡁䅫来求䡁䅍䅉歂䝁䅅䅤桂䍁䅁杚祂䝁䄸兢杁䡁䅙兙祂䝁䅫睢ㅂ䡁䅍䅉歂䝁䅕杤灂䝁䅍党穂䍁䅁兙畂䝁䄴兤桂䝁䅷䅢㕂䑁䅳䅉求䝁䄴兙楂䝁䅷党穂䍁䅁党畂䝁䅧兙畂䝁䅍党瑂䝁䅕杢あ䡁䅍䅉灂䝁䄴䅉牂䝁䅕入杁䝁䄰兙畂䡁䅕杚桂䝁䅍䅤ㅂ䡁䅉兡畂䝁䅣䅉瑂䝁䅕䅤祂䝁䅫睙穂䍁䅷䅉穂䡁䅕睙潂䍁䅁兙穂䍁䅁入灂䝁䅕䅢歂䍁䅁兙畂䝁䅑䅉求䝁䅙杚灂䝁䅍兡求䝁䄴睙㕂䑁䅳䅉灂䝁䄰䅣祂䝁䄸杤求䡁䅍䅉睂䡁䅉睢歂䡁䅕睙あ䍁䅁兣ㅂ䝁䅅䅢灂䡁䅑入杁䝁䅅杢歂䍁䅁杣求䝁䅷兡桂䝁䅉兡獂䝁䅫䅤㕂䑁䅳䅉桂䝁䄴䅚杁䡁䅁杣療䡁䅙兡歂䝁䅕督杁䡁䅍兤睂䡁䅁䅢㕂䍁䅁睙潂䝁䅅兡畂䍁䅁杤灂䡁䅍兡楂䝁䅫䅢灂䡁䅑入畁䍁䅁䅖潂䝁䅕䅉橂䝁䄸兢睂䝁䅅杢㕂䍁䅁督求䡁䅉杤求䡁䅍䅉あ䝁䅫党祂䍁䄰免杁䡁䅍兤睂䡁䅁䅢灂䝁䅕杣穂䍁䅁兙畂䝁䅑䅉偂䕁䅕兔穂䍁䄴䅉偂䡁䅁䅤灂䝁䄰兙獂䙁䅁䅢ㅂ䡁䅍䅉䵂䡁䅑䅚畁䍁䅁睤桂䡁䅍䅉浂䝁䄸杣瑂䝁䅕杣獂䡁䅫䅉牂䝁䄴睢㍂䝁䄴䅉桂䡁䅍䅉偂䡁䅁䅤灂䝁䄰兙獂䙁䅑党穂䡁䅑䅉䵂䡁䅑䅚畁䍁䅁兙畂䝁䅑䅉橂䝁䅧兙畂䝁䅣党歂䍁䅁兡あ䡁䅍䅉畂䝁䅅兢求䍁䅁䅤療䍁䅁睔睂䡁䅑兡瑂䝁䅅䅢兂䝁䅷兤穂䍁䅁䅔あ䝁䅑杌杁䝁䅫杢杁䕁䅅䅣祂䝁䅫䅢杁䑁䅉䅍硁䑁䅑杌杁䙁䅑䅡求䍁䅁睙療䝁䄰䅣桂䝁䄴入杁䡁䅣兙穂䍁䅁杚療䡁䅕杢歂䝁䅕䅚杁䝁䅫杢杁䑁䅉䅍睁䑁䅕䅉桂䝁䄴䅚杁䝁䅫督杁䝁䅉兙穂䝁䅕䅚杁䝁䅫杢杁䕁䅧睢獂䝁䄸杢獁䍁䅁兓穂䡁䅉兙求䝁䅷杌杁䕁䅫䅤杁䝁䅧兙穂䍁䅁睢睂䝁䅕杣桂䡁䅑兡療䝁䄴督杁䝁䅫杢杁䕁䅅督灂䝁䅅䅌杁䕁䅕兤祂䝁䄸䅣求䍁䅷䅉桂䝁䄴䅚杁䡁䅑䅡求䍁䅁兖畂䝁䅫䅤求䝁䅑䅉呂䡁䅑兙あ䝁䅕督畁䍁䅁睔睂䡁䅑兡瑂䝁䅅䅢兂䝁䅷兤穂䍁䅁䅔あ䝁䅑杌杁䝁䄸䅣求䡁䅉兙あ䝁䅕督杁䝁䅅督杁䝁䅅䅉穂䡁䅕杙穂䝁䅫䅚灂䝁䅅杣㕂䍁䅁睢浂䍁䅁杔桂䡁䅑兡療䝁䄴兙獂䍁䅁兓畂䡁䅍䅤祂䡁䅕兢求䝁䄴䅤穂䍁䅁睑療䡁䅉䅣療䡁䅉兙あ䝁䅫睢畂䅁䅁睥䅅䍁䅑䅁偂䡁䅁䅤灂䝁䄸杢穂䑁䅯䅉䑂䡁䅕杣祂䑁䄰兒噂䙁䅉䅁乃兂䅁䅑䅁䕁䄸䅣あ䝁䅫睢畂䡁䅍杏杁䕁䅍兤祂䡁䅉児䡂䕁䅉䅕獁䍁䅁睑療䝁䄴杤乂䝁䅕䅤潂䝁䄸䅚㥁䕁䅧䅁㉃杂䅁䅊䅁䕁䄸䅣あ䝁䅫睢畂䡁䅍杏杁䕁䅍兤祂䡁䅉児噂䙁䅍䅒䅁䥁䙣䅁䅂䅁䅁睔睂䡁䅑兡療䝁䄴督㙁䍁䅁睑ㅂ䡁䅉杣㥁䙁䅕睕䕂䍁䅷䅉䑂䝁䄸杢㉂䕁䄰党あ䝁䅧睢歂䑁䄰䅓䅁䡁䙷䅁䅂䅁䅁睔睂䡁䅑兡療䝁䄴督㙁䍁䅁睑ㅂ䡁䅉杣㥁䙁䅕睕䕂䍁䅷䅉乂䝁䅅睚㥁䕁䄰兡獂䝁䅷兡療䝁䄴督䅁䅁䅫䅁䥂䅁䅁睔睂䡁䅑兡療䝁䄴督㙁䕁䅍兤祂䡁䅉児噂䙁䅍䅒獁䕁䄰兙湂䑁䄰兔灂䝁䅷䅢灂䝁䄸杢穂䍁䅷杔䉂䑁䄰杔䉂䅁䅁䅄䅍䍁䅙䅁偂䡁䅉兙橂䝁䅷党杁䕁䅍睢祂䡁䅁睢祂䝁䅅䅤灂䝁䄸杢䅁䝁䉧䅁奁䅁䅁睔祂䝁䅅杢湂䝁䅕䅉呂䍁䄴兑畁䅁䅁杪䅁䍁䄴䅁偂䡁䅉杙灂䡁䅑䅉啂䝁䅕睙潂䝁䄴睢獂䝁䄸睚灂䝁䅕督杁䕁䅷䅤歂䅁䅁䅍䅁䉁䅑䅁偂䡁䅉睢獂䝁䅫兙杁䙁䅍兑䅁偁䅍䅁畃睂䅁睔祂䝁䄸䅢灂䝁䅅䅉呂䕁䅅䅉睂䡁䅉睢㉂䝁䅫䅚求䡁䅍䅉睂䝁䄸督灂䡁䅑兡療䝁䄴兡畂䝁䅣䅌杁䝁䄴兙㉂䝁䅫睚桂䡁䅑兡療䝁䄴䅌杁䡁䅑兡瑂䝁䅫杢湂䍁䅷䅉桂䝁䄴䅚杁䡁䅍兤睂䝁䅕杣㉂䝁䅫督灂䝁䄸杢杁䡁䅍睢獂䡁䅕䅤灂䝁䄸杢穂䍁䅁杚療䡁䅉䅉㉂䝁䅅杣灂䝁䄸兤穂䍁䅁兙睂䡁䅁䅢灂䝁䅍兙あ䝁䅫睢畂䡁䅍䅉灂䝁䄴䅉䝂䡁䅉兙畂䝁䅍党杁䝁䅅杢歂䍁䅁兡畂䡁䅑党祂䝁䄴兙あ䝁䅫睢畂䝁䅅䅢獂䡁䅫杌杁䕁䅫䅤杁䡁䅍兤睂䡁䅁睢祂䡁䅑督杁䡁䅑䅡求䍁䅁兡畂䡁䅑党湂䡁䅉兙あ䝁䅫睢畂䍁䅁睢浂䍁䅁杣求䡁䅍兡獂䝁䅫党畂䡁䅑䅉兂䕁䄴䅖杁䡁䅑党橂䝁䅧杢療䝁䅷睢湂䡁䅫䅉あ䝁䄸䅉求䝁䄴兙楂䝁䅷党杁䝁䄰兡穂䡁䅍兡療䝁䄴兌橂䡁䅉兡あ䝁䅫睙桂䝁䅷䅉桂䡁䅁䅣獂䝁䅫睙桂䡁䅑兡療䝁䄴督㝁䍁䅁兙畂䝁䅑䅉求䝁䄴䅡桂䝁䄴睙求䡁䅍䅉療䡁䅁党祂䝁䅅䅤灂䝁䄸杢穂䍁䅁兙畂䝁䅑䅉祂䝁䅕䅚ㅂ䝁䅍党穂䍁䅁杣灂䡁䅍睡杁䝁䅙睢祂䍁䅁兙求䡁䅉睢穂䡁䅁兙橂䝁䅕䅉桂䝁䄴䅚杁䝁䅑党浂䝁䅕杢穂䝁䅕䅌杁䝁䅅杢歂䍁䅁睙療䝁䄰兢求䡁䅉睙灂䝁䅅䅢杁䝁䄰兙祂䝁䅳党あ䡁䅍杌杁䙁䅑䅡求䍁䅁睙療䝁䄰䅣桂䝁䄴入杁䝁䅅䅢穂䝁䄸䅉療䝁䅙杚求䡁䅉督杁䡁䅍党桂䡁䅉睙潂䍁䅁兙畂䝁䅑䅉瑂䝁䅅杣灂䡁䅑兡瑂䝁䅕䅉歂䝁䄸兢桂䝁䅫杢杁䝁䅅睤桂䡁䅉党畂䝁䅕督穂䍁䅁督療䝁䅷兤あ䝁䅫睢畂䡁䅍䅌杁䝁䅫杢橂䝁䅷兤歂䝁䅫杢湂䍁䅁党瑂䝁䅕杣湂䝁䅕杢橂䡁䅫䅉睂䡁䅉党睂䝁䅅杣求䝁䅑杢求䡁䅍督獁䍁䅁杤求䡁䅍督求䝁䅷䅉瑂䝁䅅杢桂䝁䅣党瑂䝁䅕杢あ䍁䅷䅉桂䝁䄴䅚杁䡁䅉党穂䝁䅍兤求䍁䅁睢睂䝁䅕杣桂䡁䅑兡療䝁䄴督畁䍁䅁兓畂䍁䅁兙歂䝁䅑兡あ䝁䅫睢畂䍁䅷䅉灂䡁䅑䅉睂䡁䅉睢㉂䝁䅫䅚求䡁䅍䅉獂䝁䅫杚求䍁䅁督桂䡁䅙兡畂䝁䅣䅉桂䝁䄴䅚杁䡁䅑杣桂䝁䅍睡灂䝁䄴睚杁䡁䅍睢獂䡁䅕䅤灂䝁䄸杢穂䍁䅷䅉穂䡁䅕睙潂䍁䅁兙穂䍁䅁䅚灂䡁䅍䅤祂䝁䅕督穂䍁䅁杙求䝁䅅睙療䝁䄴督獁䍁䅁督桂䡁䅑党獂䝁䅷兡あ䝁䅕䅉橂䝁䄸杢畂䝁䅕睙あ䝁䅫杤灂䡁䅑入杁䝁䅫杢浂䡁䅉兙穂䡁䅑杣ㅂ䝁䅍䅤ㅂ䡁䅉党獁䍁䅁党瑂䝁䅕杣湂䝁䅕杢橂䡁䅫䅉祂䝁䅕督睂䝁䄸杢穂䝁䅕䅉瑂䝁䅅杢桂䝁䅣党瑂䝁䅕杢あ䍁䅷䅉瑂䝁䄸杢灂䡁䅑睢祂䝁䅫杢湂䍁䄸䅣療䡁䅍兡あ䝁䅫睢畂䝁䅫杢湂䍁䅁督療䝁䅙䅤㍂䝁䅅杣求䍁䅁兢桂䡁䅉兡あ䝁䅫兢求䍁䅁杚獂䝁䅕党あ䡁䅍杌杁䙁䅑䅡求䍁䅁睙療䝁䄰䅣桂䝁䄴入杁䡁䅍党祂䡁䅙党穂䍁䅁䅌歂䝁䅕杚求䝁䄴督求䍁䅷䅉桂䝁䅕杣療䡁䅍䅣桂䝁䅍党獁䍁䅁兡畂䝁䅙杣桂䡁䅍䅤祂䡁䅕睙あ䡁䅕杣求䍁䅷䅉睂䡁䅕杙獂䝁䅫睙杁䡁䅍兙浂䝁䅕䅤㕂䍁䅷䅉浂䝁䅫杢桂䝁䄴睙求䍁䅷䅉歂䝁䅅䅤桂䍁䅁睙求䝁䄴䅤求䡁䅉督獁䍁䅁党畂䡁䅑党祂䡁䅁杣灂䡁䅍党杁䝁䄴党あ䡁䅣睢祂䝁䅳督獁䍁䅁兙ㅂ䡁䅑睢瑂䝁䄸䅤灂䡁䅙党獁䍁䅁兙畂䝁䅑䅉穂䝁䅍兡求䝁䄴睙求䍁䅁兙畂䝁䅑䅉瑂䝁䅕䅤祂䝁䄸䅢療䝁䅣入杁䝁䅫杢歂䡁䅕督あ䡁䅉兡求䡁䅍杌杁䕁䄸杣療䝁䅷兡桂䍁䅁睕䉂䍁䅁睤桂䡁䅍䅉浂䝁䄸兤畂䝁䅑党歂䍁䅁兡畂䍁䅁杍睁䑁䅁李杁䝁䅅杢歂䍁䅁兡穂䍁䅁䅡求䝁䅅䅚硂䡁䅕兙祂䡁䅑党祂䝁䅕䅚杁䝁䅫杢杁䙁䅙兙獂䝁䅉睢畂䝁䄴党獁䍁䅁杒祂䝁䅅杢橂䝁䅕杌杁䕁䅅督杁䝁䄸杚杁䕁䅯兤獂䡁䅫䅉㍁䍁䅷䅉祁䑁䅁杍祁䍁䅷䅉偂䡁䅉睢獂䝁䅫兙杁䙁䅍兑杁䝁䄸䅣求䡁䅉兙あ䝁䅕督杁䝁䅅督杁䝁䅅䅉穂䡁䅕杙穂䝁䅫䅚灂䝁䅅杣㕂䍁䅁睢浂䍁䅁睕桂䝁䅙杣桂䝁䄴䅉呂䕁䅅杌䅁偁䅙䅁㑁䅁䅁睔㍂䝁䅕杢穂䍁䅁杕求䝁䅅䅢あ䡁䅫䅉乂䝁䄸杣あ䝁䅣兙湂䝁䅕䅌杁䕁䅫杢橂䍁䄴䅁ㅁ杁䅁朸䅑䕁䄸睤求䝁䄴督杁䙁䅉党桂䝁䅷䅤㕂䍁䅁兔療䡁䅉䅤湂䝁䅅睚求䍁䅷䅉䩂䝁䄴睙畁䍁䅷䅉桂䍁䅁兔桂䡁䅉入獂䝁䅅杢歂䍁䅁睙療䡁䅉䅣療䡁䅉兙あ䝁䅫睢畂䍁䅷䅉灂䡁䅍䅉桂䍁䅁督睂䝁䅕睙灂䝁䅅䅢あ䡁䅫䅉浂䝁䅫杢桂䝁䄴睙求䍁䅁兢療䡁䅉䅤湂䝁䅅睚求䍁䅁睙療䝁䄰䅣桂䝁䄴入杁䝁䄸杣湂䝁䅅杢灂䡁䅯党歂䍁䅁䅤療䍁䅁兣ㅂ䝁䅅䅢灂䝁䅙入杁䝁䅅督杁䝁䅅䅉卂䕁䅕兓啂䍁䅁䅤潂䝁䅅䅤杁䝁䅙睢橂䡁䅕督求䡁䅍䅉療䝁䄴䅉あ䝁䅧党杁䝁䄸杣灂䝁䅣兡畂䝁䅅䅤灂䝁䄸杢獁䍁䅁兡畂䡁䅙党穂䡁䅑兢求䝁䄴䅤獁䍁䅁兙畂䝁䅑䅉瑂䝁䅅杢桂䝁䅣党瑂䝁䅕杢あ䍁䅁睢浂䍁䅁睙療䝁䄰兢求䡁䅉睙灂䝁䅅䅢杁䡁䅉党桂䝁䅷䅉求䡁䅍䅤桂䡁䅑党杁䝁䄰睢祂䡁䅑睚桂䝁䅣党杁䝁䅷睢桂䝁䄴督畁䍁䅁睔卂䕁䄰䅉睂䡁䅉睢㉂䝁䅫䅚求䡁䅍䅉橂䡁䅕督あ䝁䄸兢灂䡁䅯党歂䍁䅷䅉穂䝁䅧睢祂䡁䅑兌あ䝁䅕杣瑂䍁䅁兙橂䡁䅅兤灂䡁䅍兡あ䝁䅫睢畂䍁䅁兙畂䝁䅑䅉あ䡁䅉兙畂䡁䅍兡あ䝁䅫睢畂䍁䅁睙桂䡁䅁兡あ䝁䅅䅢杁䡁䅑睢杁䡁䅍兢桂䝁䅷䅢杁䝁䅉兙獂䝁䅅杢橂䝁䅕䅉桂䝁䄴䅚杁䝁䄰兡歂䝁䅑䅢求䍁䄰兢桂䡁䅉睡求䡁䅑䅉灂䝁䄴杤求䡁䅍䅤療䡁䅉督杁䡁䅑䅡桂䡁䅑䅉祂䝁䅕兣ㅂ䝁䅫杣求䍁䅁督睂䝁䅕党歂䍁䅁兙畂䝁䅑䅉浂䝁䅷党㑂䝁䅫杙灂䝁䅷兡あ䡁䅫杌杁䕁䄸杕乂䍁䅣督杁䡁䅁杣灂䝁䄰兙祂䡁䅫䅉療䝁䅉条求䝁䅍䅤灂䡁䅙党杁䝁䅫督杁䡁䅑睢杁䡁䅁杣療䡁䅙兡歂䝁䅕䅉灂䝁䄴杤求䡁䅍䅤療䡁䅉督杁䡁䅣兡あ䝁䅧䅉桂䡁䅑䅤祂䝁䅅睙あ䝁䅫杤求䍁䅁睙ㅂ䡁䅉杣求䝁䄴䅤杁䝁䅫杢橂䝁䄸兢求䍁䅁兙畂䝁䅑䅉獂䝁䄸杢湂䍁䄰䅤求䡁䅉兢杁䡁䅍䅡桂䡁䅉党潂䝁䄸䅢歂䝁䅕杣杁䡁䅙兙獂䡁䅕党畁䍁䅁睔㍂䝁䅕杢穂䍁䅁杕求䝁䅅䅢あ䡁䅫䅉乂䝁䄸杣あ䝁䅣兙湂䝁䅕䅌杁䕁䅫杢橂䍁䄴䅉灂䡁䅍䅉潂䝁䅕兙歂䡁䅅兤桂䡁䅉䅤求䡁䅉党歂䍁䅁兡畂䍁䅁睖桂䝁䅷杢ㅂ䡁䅑䅉䑂䡁䅉党求䝁䅳䅌杁䕁䅍兙獂䝁䅫杚療䡁䅉杢灂䝁䅅䅌杁䝁䅅杢歂䍁䅁兡穂䍁䅁党㑂䡁䅑党祂䝁䄴兙獂䝁䅷入杁䝁䄰兙畂䝁䅅睚求䝁䅑䅉桂䝁䄴䅚杁䝁䅅䅚㉂䝁䅫督求䝁䅑䅉楂䡁䅫䅉偂䡁䅣党畂䡁䅍䅉䝂䝁䅫杢桂䝁䄴睙灂䝁䅅䅢杁䕁䅣杣療䡁䅕䅣獁䍁䅁兓畂䝁䅍杌䅁䑁䍫䅁奁䅁䅁睔㍂䝁䅷党あ䍁䅷䅉䩂䝁䄴睙畁䅁䅁䄱䅁䑁䅙䅁兂䝁䅅䅢桂䝁䄴䅤灂䡁䅉䅉啂䝁䅕睙潂䝁䄴睢獂䝁䄸睚灂䝁䅕督杁䕁䅫杢橂䍁䄴䅁捂䅁䅁杍䅁䙁䅁兙獂䝁䄸䅉䉂䝁䅷䅤療䍁䅁杔求䡁䅑睤療䡁䅉睡穂䍁䅷䅉䩂䝁䄴睙畁䅁䅁䅣䅁䕁䅑䅁兂䝁䅕杢畂䡁䅫兔桂䝁䅍䅉䝂䝁䅫杢桂䝁䄴睙灂䝁䅅䅢杁䙁䅍党祂䡁䅙兡橂䝁䅕督獁䍁䅁兓畂䝁䅍杌䅁䉁䌸䅁獁䅁䅁䅕灂䝁䅕杣祂䝁䅕䅉求䡁䅑䅉坂䝁䅅睙桂䝁䄴睙求䡁䅍䅉呂䕁䅅䅁㕄杁䅁䅏䅁䙁䅁兡畂䝁䅣䅉䩂䝁䅑党畂䡁䅑兡あ䡁䅫䅉䥂䝁䄸䅢歂䝁䅫杢湂䍁䅁睑療䡁䅉䅣畁䅁䅁東䅁䕁䨴䅁兂䝁䅫杢湂䍁䅁兓歂䝁䅕杢あ䝁䅫䅤㕂䍁䅁䅓療䝁䅷䅚灂䝁䄴睚杁䕁䅍睢祂䡁䅁杌杁䝁䅑党㉂䝁䅕䅢療䡁䅁督杁䝁䅅杢歂䍁䅁䅣祂䝁䄸杤灂䝁䅑党穂䍁䅁兡畂䡁䅑党獂䝁䅷兡湂䝁䅕杢あ䍁䅁兡歂䝁䅕杢あ䝁䅫䅤㕂䍁䅁䅣獂䝁䅅䅤浂䝁䄸杣瑂䍁䅁督療䝁䅷兤あ䝁䅫睢畂䡁䅍䅉浂䝁䄸杣杁䝁䅕杢あ䝁䅕杣睂䡁䅉兡穂䝁䅕督杁䝁䅫杢杁䡁䅑䅡求䍁䅁兖畂䝁䅫䅤求䝁䅑䅉呂䡁䅑兙あ䝁䅕督杁䝁䅅杢歂䍁䅁兡畂䡁䅑党祂䝁䄴兙あ䝁䅫睢畂䝁䅅䅢獂䡁䅫杌杁䕁䅫䅤穂䍁䅁䅕灂䝁䄴睚杁䕁䅫杢あ䝁䅕䅢獂䝁䅫睚求䝁䄴䅤杁䕁䅫䅚求䝁䄴䅤灂䡁䅑入杁䡁䅁䅢桂䡁䅑杚療䡁䅉兢杁䡁䅁杣療䡁䅙兡歂䝁䅕督杁䝁䅅睙橂䝁䅕督穂䍁䅁䅤療䍁䅁睙獂䝁䄸兤歂䍁䅷䅉瑂䝁䄸杙灂䝁䅷党獁䍁䅁督療䝁䅙䅤㍂䝁䅅杣求䍁䄰兙穂䍁䄰兙瑁䡁䅍党祂䡁䅙兡橂䝁䅕䅌杁䝁䅅杢歂䍁䅁睢畂䍁䄰䅣祂䝁䅕兢灂䡁䅍党穂䍁䅁兙睂䡁䅁䅢灂䝁䅍兙あ䝁䅫睢畂䡁䅍䅉㍂䝁䅫䅤潂䍁䅁睙ㅂ䡁䅍䅤療䝁䄰党祂䡁䅍䅌杁䡁䅣睢祂䝁䅳杚療䡁䅉睙求䍁䅷䅉桂䝁䄴䅚杁䡁䅁兙祂䡁䅑杢求䡁䅉督畁䍁䅁䅖潂䝁䅕䅉橂䝁䄸兢睂䝁䅅杢㕂䉁杫督杁䡁䅁䅢桂䡁䅑杚療䡁䅉兢杁䝁䄸杚浂䝁䅕杣穂䍁䅁督求䝁䅍兤祂䝁䅕䅉穂䝁䅫杢湂䝁䅷党杁䡁䅍兡湂䝁䄴兌療䝁䄴䅌杁䝁䄰兤獂䡁䅑兡瑁䝁䅙兙橂䡁䅑睢祂䍁䅁兙ㅂ䡁䅑䅡求䝁䄴䅤灂䝁䅍兙あ䝁䅫睢畂䍁䅷䅉桂䝁䅍睙求䡁䅍督杁䡁䅍党橂䡁䅕杣灂䡁䅑入獁䍁䅁䅚灂䡁䅉党橂䡁䅑睢祂䡁䅫䅉穂䝁䄸䅢ㅂ䡁䅑兡療䝁䄴督獁䍁䅁䅚㕂䝁䄴兙瑂䝁䅫睙杁䝁䅅兤あ䝁䅧睢祂䝁䅫来桂䡁䅑兡療䝁䄴䅌杁䡁䅉兡穂䝁䅳䅉瑂䝁䅅杢桂䝁䅣党瑂䝁䅕杢あ䍁䅷䅉灂䝁䅑党畂䡁䅑兡あ䡁䅫䅉㉂䝁䅕杣灂䝁䅙兡橂䝁䅅䅤灂䝁䄸杢獁䍁䅁兑兂䕁䅫䅉灂䝁䄴䅤求䝁䅷䅢灂䝁䅣党畂䝁䅍党獁䍁䅁睢祂䝁䅍䅡求䡁䅍䅤祂䝁䅅䅤灂䝁䄸杢獁䍁䅁兙畂䝁䅑䅉浂䡁䅉兙ㅂ䝁䅑䅉歂䝁䅕䅤求䝁䅍䅤灂䝁䄸杢畁䍁䅁兓あ䍁䅁兙獂䡁䅍睢杁䡁䅁杣療䡁䅙兡歂䝁䅕督杁䡁䅁杣療䝁䅙党穂䡁䅍兡療䝁䄴兙獂䍁䅁兙畂䝁䅑䅉橂䡁䅕督あ䝁䄸兢求䡁䅉䅉穂䡁䅕䅣睂䝁䄸杣あ䍁䅁督求䡁䅉杤灂䝁䅍党穂䍁䄴䅉啂䝁䅧党杁䝁䅍睢瑂䡁䅁兙畂䡁䅫䅉穂䝁䅕䅢獂䡁䅍䅉灂䡁䅑督杁䡁䅍睢獂䡁䅕䅤灂䝁䄸杢穂䍁䅁䅤潂䡁䅉睢ㅂ䝁䅣䅡杁䝁䅅䅉歂䝁䅫杣求䝁䅍䅤杁䡁䅍兙獂䝁䅕督杁䝁䅙睢祂䝁䅍党畁䍁䅁兓あ䍁䅁督求䡁䅉杤求䡁䅍䅉潂䝁䅕兙獂䡁䅑䅡橂䝁䅅杣求䍁䅁睙療䝁䄰䅣桂䝁䄴兡求䡁䅍䅌杁䝁䅅党祂䝁䄸督睂䝁䅅睙求䍁䅁睙療䝁䄰䅣桂䝁䄴兡求䡁䅍䅌杁䝁䅅兤あ䝁䄸䅉瑂䝁䅅杢ㅂ䝁䅙兙橂䡁䅑兤祂䝁䅕杣穂䍁䅷䅉桂䝁䄴䅚杁䕁䄴睢祂䡁䅑䅡杁䕁䅅兢求䡁䅉兡橂䝁䅅杢杁䡁䅉党あ䝁䅅兡獂䝁䅕杣穂䍁䄴䅉啂䝁䅧党杁䝁䅍睢瑂䡁䅁兙畂䡁䅫䅉㍂䝁䅅督杁䝁䅙睢祂䝁䄰党祂䝁䅷入杁䝁䅳杢療䡁䅣杢杁䝁䅅督杁䙁䅉睢桂䡁䅉兡畂䝁䅣䅉䝂䝁䄸杣牂䍁䅁䅓療䝁䅷䅚灂䝁䄴睚獁䍁䅁兓畂䝁䅍杌杁䝁䅅杢歂䍁䅁睙潂䝁䅅杢湂䝁䅕䅚杁䝁䅫䅤穂䍁䅁杢桂䝁䄰党杁䡁䅑睢杁䙁䅁兡畂䝁䅣䅉䩂䝁䅑党畂䡁䅑兡あ䡁䅫䅉䥂䝁䄸䅢歂䝁䅫杢湂䍁䅁睑療䡁䅉䅣畁䍁䅁兡畂䍁䅁兑ㅂ䝁䅣兤穂䡁䅑䅉祁䑁䅁免㕁䍁䄴䅉兂䝁䅫杢湂䍁䅁兓歂䝁䅕杢あ䝁䅫䅤㕂䍁䅁䅓療䝁䅷䅚灂䝁䄴睚杁䕁䅍睢祂䡁䅁杌杁䡁䅣兙穂䍁䅁杚療䡁䅕杢歂䝁䅕䅚杁䝁䅫杢杁䑁䅉䅍睁䑁䅉䅉桂䝁䄴䅚杁䝁䅫督杁䝁䅧党桂䝁䅑兣ㅂ䝁䅅杣あ䝁䅕杣求䝁䅑䅉灂䝁䄴䅉䕂䝁䅕杢㉂䝁䅕杣獁䍁䅁睑療䝁䅷睢祂䝁䅅䅚療䍁䄴䅉䩂䡁䅑䅉潂䝁䅅督杁䝁䅅䅚歂䝁䅫䅤灂䝁䄸杢桂䝁䅷䅉療䝁䅙杚灂䝁䅍党穂䍁䅁兡畂䍁䅁兑ㅂ䡁䅍䅤灂䝁䄴䅌杁䙁䅑党㑂䝁䅅督獁䍁䅁杖桂䝁䄴睙療䡁䅕杤求䡁䅉䅌杁䕁䅍兙畂䝁䅅䅚桂䍁䅷䅉䍂䝁䅅杢湂䝁䅅䅢療䡁䅉党獁䍁䅁兓畂䝁䅑兡桂䍁䅷䅉乂䝁䅕䅢楂䝁䄸兤祂䝁䄴党獁䍁䅁兑ㅂ䡁䅍䅤祂䝁䅅䅢灂䝁䅅䅌杁䙁䅁党あ䝁䅅睙潂䍁䅁䅖灂䝁䅳杤桂䍁䅷䅉䩂䡁䅍杣桂䝁䅕䅢獁䍁䅁䅔療䝁䄴䅚療䝁䄴䅌杁䙁䅕杢灂䡁䅑党歂䍁䅁睓灂䝁䄴睚歂䝁䄸兢獁䍁䅁兒歂䝁䅫杢楂䡁䅕杣湂䝁䅧䅌杁䙁䅕杢灂䡁䅑党歂䍁䅁睓灂䝁䄴睚歂䝁䄸兢獁䍁䅁兙畂䝁䅑䅉兂䝁䅅杣灂䡁䅍䅌杁䕁䅙杣桂䝁䄴睙求䍁䄴䅁橁䅂䅁䅨䅫䙁䅁兡畂䝁䅣䅉䩂䝁䅑党畂䡁䅑兡あ䡁䅫䅉䥂䝁䄸䅢歂䝁䅫杢湂䍁䅁睑療䡁䅉䅣畁䍁䅷䅉療䝁䅙杚求䡁䅉督杁䝁䅫杢あ䝁䅕䅢獂䝁䅫睚求䝁䄴䅤杁䝁䅫䅚求䝁䄴䅤灂䡁䅑入杁䡁䅍睢獂䡁䅕䅤灂䝁䄸杢穂䍁䅁杚療䡁䅉䅉あ䝁䅧党杁䝁䅕杢あ䝁䅕杣睂䡁䅉兡穂䝁䅕䅉灂䝁䄴䅉あ䝁䅧党杁䙁䅕杢灂䡁䅑党歂䍁䅁睕あ䝁䅅䅤求䡁䅍䅉桂䝁䄴䅚杁䝁䅫杢あ䝁䅕杣畂䝁䅅䅤灂䝁䄸杢桂䝁䅷䅢㕂䍁䄴䅉䩂䡁䅑督杁䙁䅁兡畂䝁䅣䅉䩂䝁䄴䅤求䝁䅷䅢灂䝁䅣党畂䡁䅑䅉䩂䝁䅑党畂䡁䅑兡あ䡁䅫䅉睂䝁䅷兙あ䝁䅙睢祂䝁䄰䅉睂䡁䅉睢㉂䝁䅫䅚求䡁䅍䅉桂䝁䅍睙求䡁䅍督杁䡁䅑睢杁䝁䅍䅢療䡁䅕䅚獁䍁䅁兢療䝁䅉兡獂䝁䅕䅌杁䙁䅍睢浂䡁䅑睤桂䡁䅉党瑁䝁䅅督瑁䝁䅅兌呂䝁䅕杣㉂䝁䅫睙求䍁䅷䅉桂䝁䄴䅚杁䝁䄸杢瑁䡁䅁杣求䝁䄰兡穂䝁䅕䅉桂䡁䅁䅣獂䝁䅫睙桂䡁䅑兡療䝁䄴督杁䡁䅣兡あ䝁䅧䅉橂䡁䅕督あ䝁䄸兢求䡁䅉督獁䍁䅁睤療䡁䅉睡浂䝁䄸杣橂䝁䅕䅌杁䝁䅅杢歂䍁䅁䅣桂䡁䅉䅤畂䝁䅕杣穂䍁䄴䅉啂䝁䅧党杁䝁䅍睢瑂䡁䅁兙畂䡁䅫升穂䍁䅁䅣獂䝁䅅䅤浂䝁䄸杣瑂䍁䅁睢浂䝁䅙党祂䡁䅍䅉穂䝁䅕睙ㅂ䡁䅉党杁䡁䅍兡畂䝁䅣䅢求䍁䅁督灂䝁䅣杢瑁䝁䄸杢㝁䍁䅁兢ㅂ䝁䅷䅤灂䍁䄰杚桂䝁䅍䅤療䡁䅉䅉桂䡁䅕䅤潂䝁䅕杢あ䝁䅫睙桂䡁䅑兡療䝁䄴睏杁䝁䅅睙橂䝁䅕督穂䍁䅁督求䝁䅍兤祂䝁䅫䅤㕂䑁䅳䅉歂䝁䅫杣求䝁䅍䅤療䡁䅉入杁䡁䅍睢獂䡁䅕䅤灂䝁䄸杢㝁䍁䅁䅚㕂䝁䄴兙瑂䝁䅫睙杁䝁䅅兤あ䝁䅧睢祂䝁䅫来桂䡁䅑兡療䝁䄴睏杁䡁䅉兡穂䝁䅳䅉瑂䝁䅅杢桂䝁䅣党瑂䝁䅕杢あ䑁䅳䅉灂䝁䅑党畂䡁䅑兡あ䡁䅫䅉㉂䝁䅕杣灂䝁䅙兡橂䝁䅅䅤灂䝁䄸杢㝁䍁䅁兑兂䕁䅫䅉灂䝁䄴䅤求䝁䅷䅢灂䝁䅣党畂䝁䅍党㝁䍁䅁睢祂䝁䅍䅡求䡁䅍䅤祂䝁䅅䅤灂䝁䄸杢㝁䍁䅁兙畂䝁䅑䅉浂䡁䅉兙ㅂ䝁䅑䅉歂䝁䅕䅤求䝁䅍䅤灂䝁䄸杢畁䍁䅁兓あ䍁䅁兙獂䡁䅍睢杁䡁䅁杣療䡁䅙兡歂䝁䅕督杁䡁䅁杣療䝁䅙党穂䡁䅍兡療䝁䄴兙獂䍁䅁兙畂䝁䅑䅉橂䡁䅕督あ䝁䄸兢求䡁䅉䅉穂䡁䅕䅣睂䝁䄸杣あ䍁䅁督求䡁䅉杤灂䝁䅍党穂䍁䄴䅉啂䝁䅧党杁䝁䅍睢瑂䡁䅁兙畂䡁䅫䅉穂䝁䅕䅢獂䡁䅍䅉灂䡁䅑督杁䡁䅍睢獂䡁䅕䅤灂䝁䄸杢穂䍁䅁䅤潂䡁䅉睢ㅂ䝁䅣䅡杁䝁䅅䅉歂䝁䅫杣求䝁䅍䅤杁䡁䅍兙獂䝁䅕督杁䝁䅙睢祂䝁䅍党畁䍁䅁兓あ䡁䅍䅉橂䡁䅕督あ䝁䄸兢求䡁䅉督杁䝁䅫杢橂䝁䅷兤歂䝁䅕䅉求䝁䄴䅤求䡁䅉䅣祂䝁䅫督求䡁䅍䅉灂䝁䄴䅉䝂䝁䄸杣あ䡁䅕杢求䍁䅁免睁䑁䅁䅌杁䙁䅕杌呂䍁䄴䅉楂䝁䅅杢牂䡁䅍䅌杁䝁䅧党桂䝁䅷䅤潂䝁䅍兙祂䝁䅕䅉橂䝁䄸兢睂䝁䅅杢灂䝁䅕督獁䍁䅁兙求䡁䅉睢穂䡁䅁兙橂䝁䅕䅉橂䝁䄸兢睂䝁䅅杢灂䝁䅕督獁䍁䅁兙ㅂ䡁䅑睢杁䝁䄰兙畂䡁䅕杚桂䝁䅍䅤ㅂ䡁䅉党祂䡁䅍䅌杁䝁䅅杢歂䍁䅁杔療䡁䅉䅤潂䍁䅁兑瑂䝁䅕杣灂䝁䅍兙畂䍁䅁杣求䡁䅑兙灂䝁䅷党祂䡁䅍杌杁䙁䅑䅡求䍁䅁睙療䝁䄰䅣桂䝁䄴入杁䡁䅣兙穂䍁䅁杚療䡁䅉兢求䡁䅉䅢㕂䍁䅁睡畂䝁䄸睤畂䍁䅁兙穂䍁䅁杕療䝁䅅杣灂䝁䄴睚杁䕁䅙睢祂䝁䅳䅉䥂䝁䄸䅢歂䝁䅫杢湂䍁䅷䅉䩂䝁䄴睙畁䍁䅁兙畂䝁䅑䅉橂䝁䅧兙畂䝁䅣党歂䍁䅁兡あ䡁䅍䅉畂䝁䅅兢求䍁䅁䅤療䍁䅁䅕灂䝁䄴睚杁䕁䅫䅚求䝁䄴䅤灂䡁䅑入杁䕁䅧睢獂䝁䅑兡畂䝁䅣䅉䑂䝁䄸杣睂䍁䄴䅉灂䝁䄴䅉䉂䡁䅕睚ㅂ䡁䅍䅤杁䑁䅉䅍硁䑁䅫杌杁䙁䅁兡畂䝁䅣䅉䩂䝁䅑党畂䡁䅑兡あ䡁䅫䅉䥂䝁䄸䅢歂䝁䅫杢湂䍁䅁睑療䡁䅉䅣畁䍁䅁睤桂䡁䅍䅉浂䝁䄸兤畂䝁䅑党歂䍁䅁兡畂䍁䅁杍睁䑁䅁杍杁䝁䅅杢歂䍁䅁兡穂䍁䅁䅡求䝁䅅䅚硂䡁䅕兙祂䡁䅑党祂䝁䅕䅚杁䝁䅫杢杁䕁䅑党畂䡁䅙党祂䍁䅷䅉䑂䝁䄸䅢療䡁䅉兙歂䝁䄸䅉㍂䝁䅫䅤潂䍁䅁兙歂䝁䅑兡あ䝁䅫睢畂䝁䅅䅢杁䝁䄸杚浂䝁䅫睙求䡁䅍䅉灂䝁䄴䅉䉂䡁䅕督あ䝁䅫杢獁䍁䅁䅖求䡁䅧兙穂䍁䅷䅉坂䝁䅅杢橂䝁䄸兤㉂䝁䅕杣獁䍁䅁睑桂䝁䄴兙歂䝁䅅䅌杁䕁䅉兙畂䝁䅣兙獂䝁䄸杣求䍁䅷䅉䩂䝁䄴䅚灂䝁䅅䅌杁䕁䄰党獂䝁䅉睢ㅂ䡁䅉杢求䍁䅷䅉䉂䡁䅕督あ䡁䅉兙獂䝁䅫兙獁䍁䅁䅕求䡁䅑兙橂䝁䅧䅉啂䝁䅫睡㉂䝁䅅䅌杁䕁䅫督祂䝁䅅党獂䍁䅷䅉䵂䝁䄸杢歂䝁䄸杢獁䍁䅁兖畂䝁䅫䅤求䝁䅑䅉䱂䝁䅫杢湂䝁䅑睢瑂䍁䅷䅉䙂䝁䅑兡畂䝁䅉兤祂䝁䅣䅡獁䍁䅁兖畂䝁䅫䅤求䝁䅑䅉䱂䝁䅫杢湂䝁䅑睢瑂䍁䅷䅉桂䝁䄴䅚杁䙁䅁兙祂䝁䅫督獁䍁䅁杒祂䝁䅅杢橂䝁䅕杌䅁佁䄰䅁䕁䅃䅁䅕灂䝁䄴睚杁䕁䅫䅚求䝁䄴䅤灂䡁䅑入杁䕁䅧睢獂䝁䅑兡畂䝁䅣䅉䑂䝁䄸杣睂䍁䄴䅌杁䝁䄸杚浂䝁䅕杣穂䍁䅁兡畂䡁䅑党獂䝁䅷兡湂䝁䅕杢あ䍁䅁兡歂䝁䅕杢あ䝁䅫䅤㕂䍁䅁督療䝁䅷兤あ䝁䅫睢畂䡁䅍䅉浂䝁䄸杣杁䡁䅑䅡求䍁䅁党畂䡁䅑党祂䡁䅁杣灂䡁䅍党杁䝁䅫杢杁䡁䅑䅡求䍁䅁兖畂䝁䅫䅤求䝁䅑䅉呂䡁䅑兙あ䝁䅕督杁䝁䅅杢歂䍁䅁兡畂䡁䅑党祂䝁䄴兙あ䝁䅫睢畂䝁䅅䅢獂䡁䅫杌杁䕁䅫䅤穂䍁䅁䅕灂䝁䄴睚杁䕁䅫杢あ䝁䅕䅢獂䝁䅫睚求䝁䄴䅤杁䕁䅫䅚求䝁䄴䅤灂䡁䅑入杁䡁䅁䅢桂䡁䅑杚療䡁䅉兢杁䡁䅁杣療䡁䅙兡歂䝁䅕督杁䝁䅅睙橂䝁䅕督穂䍁䅁䅤療䍁䅁睙獂䝁䄸兤歂䍁䅷䅉瑂䝁䄸杙灂䝁䅷党獁䍁䅁睕療䝁䅙䅤㍂䝁䅅杣求䍁䄰兙穂䍁䄰兙瑁䙁䅍党祂䡁䅙兡橂䝁䅕䅌杁䝁䅅杢歂䍁䅁睢畂䍁䄰䅣祂䝁䅕兢灂䡁䅍党杁䝁䅅䅣睂䝁䅷兡橂䝁䅅䅤灂䝁䄸杢穂䍁䅁睤灂䡁䅑䅡杁䝁䅍兤穂䡁䅑睢瑂䝁䅕杣穂䍁䅷䅉㍂䝁䄸杣牂䝁䅙睢祂䝁䅍党獁䍁䅁兙畂䝁䅑䅉睂䝁䅅杣あ䝁䄴党祂䡁䅍杌杁䙁䅑䅡求䍁䅁睙療䝁䄰䅣桂䝁䄴入婁䡉䅍䅉睂䝁䅷兙あ䝁䅙睢祂䝁䄰䅉療䝁䅙杚求䡁䅉督杁䡁䅍党橂䡁䅕杣求䍁䅁督灂䝁䄴睚獂䝁䅕䅉穂䝁䅫睚畂䍁䄰睢畂䑁䅳䅉瑂䡁䅕䅢あ䝁䅫兌浂䝁䅅睙あ䝁䄸杣杁䝁䅅兤あ䝁䅧党畂䡁䅑兡橂䝁䅅䅤灂䝁䄸杢㝁䍁䅁兙橂䝁䅍党穂䡁䅍䅉穂䝁䅕睙ㅂ䡁䅉兡あ䡁䅫睏杁䝁䅑兡祂䝁䅕睙あ䝁䄸杣㕂䍁䅁督療䝁䅷兤あ䝁䅫睢畂䑁䅳䅉歂䡁䅫杢桂䝁䄰兡橂䍁䅁兙ㅂ䡁䅑䅡療䡁䅉兡㙂䝁䅅䅤灂䝁䄸杢㝁䍁䅁杣灂䡁䅍睡杁䝁䄰兙畂䝁䅅睚求䝁䄰党畂䡁䅑睏杁䝁䅫䅚求䝁䄴䅤灂䡁䅑入杁䡁䅙党祂䝁䅫杚灂䝁䅍兙あ䝁䅫睢畂䑁䅳䅉䉂䙁䅁兓杁䝁䅫杢あ䝁䅕䅢獂䝁䅫睚求䝁䄴睙求䑁䅳䅉療䡁䅉睙潂䝁䅕督あ䡁䅉兙あ䝁䅫睢畂䑁䅳䅉桂䝁䄴䅚杁䝁䅙杣桂䡁䅕䅚杁䝁䅑党あ䝁䅕睙あ䝁䅫睢畂䍁䄴䅉䩂䡁䅑䅉桂䝁䅷督療䍁䅁䅣祂䝁䄸杤灂䝁䅑党穂䍁䅁䅣祂䝁䄸杚求䡁䅍督灂䝁䄸杢桂䝁䅷䅉桂䝁䄴䅚杁䝁䅍兤穂䡁䅑睢瑂䝁䅕杣杁䡁䅍兤睂䡁䅁睢祂䡁䅑䅉穂䝁䅕杣㉂䝁䅫睙求䡁䅍杌杁䙁䅑䅡求䍁䅁睙療䝁䄰䅣桂䝁䄴入杁䡁䅍党獂䝁䅷督杁䝁䅫䅤穂䍁䅁督療䝁䅷兤あ䝁䅫睢畂䡁䅍䅉あ䝁䅧杣療䡁䅕睚潂䍁䅁兙杁䝁䅑兡祂䝁䅕睙あ䍁䅁督桂䝁䅷党穂䍁䅁杚療䡁䅉睙求䍁䄴䅉䩂䡁䅑督杁䝁䅍兤穂䡁䅑睢瑂䝁䅕杣穂䍁䅁兡畂䝁䅍䅢ㅂ䝁䅑党杁䝁䅕杢あ䝁䅕杣睂䡁䅉兡穂䝁䅕督杁䝁䅫杢杁䕁䅙睢祂䡁䅑兤畂䝁䅕䅉硁䑁䅁䅍獁䍁䅁兖畁䙁䅍杌杁䝁䅉兙畂䝁䅳督獁䍁䅁䅡求䝁䅅䅢あ䝁䅧睙桂䡁䅉党杁䝁䅍睢瑂䡁䅁兙畂䝁䅫党穂䍁䅷䅉桂䝁䅕杣療䡁䅍䅣桂䝁䅍党杁䝁䅍睢瑂䡁䅁兙畂䝁䅫党穂䍁䅷䅉桂䡁䅕䅤療䍁䅁兢桂䝁䄴兤浂䝁䅅睙あ䡁䅕杣求䡁䅉督獁䍁䅁兙畂䝁䅑䅉佂䝁䄸杣あ䝁䅧䅉䉂䝁䄰党祂䝁䅫睙桂䝁䄴䅉祂䝁䅕䅤桂䝁䅫䅢求䡁䅉督畁䍁䅁䅖潂䝁䅕䅉橂䝁䄸兢睂䝁䅅杢㕂䍁䅁睤桂䡁䅍䅉浂䝁䄸杣瑂䝁䅕杣獂䡁䅫䅉牂䝁䄴睢㍂䝁䄴䅉桂䡁䅍䅉卂䝁䄸兙祂䝁䅫杢湂䍁䅁杒療䡁䅉睡杁䕁䅧睢獂䝁䅑兡畂䝁䅣䅌杁䕁䅫杢橂䍁䄴䅉桂䝁䄴䅚杁䝁䅍䅡桂䝁䄴睚求䝁䅑䅉灂䡁䅑督杁䝁䄴兙瑂䝁䅕䅉あ䝁䄸䅉兂䝁䅫杢湂䍁䅁兓歂䝁䅕杢あ䝁䅫䅤㕂䍁䅁䅓療䝁䅷䅚灂䝁䄴睚杁䕁䅍睢祂䡁䅁杌杁䝁䅫杢杁䕁䅅兤湂䡁䅕督あ䍁䅁杍睁䑁䅅兏畁䍁䅁䅕灂䝁䄴睚杁䕁䅫䅚求䝁䄴䅤灂䡁䅑入杁䕁䅧睢獂䝁䅑兡畂䝁䅣䅉䑂䝁䄸杣睂䍁䄴䅉㍂䝁䅅督杁䝁䅙睢ㅂ䝁䄴䅚求䝁䅑䅉灂䝁䄴䅉祁䑁䅁䅍祁䍁䅁兙畂䝁䅑䅉灂䡁䅍䅉潂䝁䅕兙歂䡁䅅兤桂䡁䅉䅤求䡁䅉党歂䍁䅁兡畂䍁䅁䅒求䝁䄴杤求䡁䅉䅌杁䕁䅍睢獂䝁䄸杣桂䝁䅑睢畁䅁䅁关䅁䍁䅯䅁兂䝁䅷兙畂䝁䅕䅤杁䕁䅙兡あ䝁䄴党穂䡁䅍䅌杁䕁䅫杢橂䍁䄴䅁瑂杁䅁杉䅁䙁䅁兤祂䝁䅕䅉䡂䡁䅫兢杁䕁䅷兡瑂䝁䅫䅤求䝁䅑䅁㑂杁䅁杊䅁䙁䅁兤祂䝁䅕䅉呂䡁䅑睢祂䝁䅅睚求䍁䅷䅉䩂䝁䄴睙畁䅁䅁杇䅑䍁䅧䅁兂䡁䅕杣求䙁䅑党橂䝁䅧䅉䥂䝁䅕兙獂䡁䅑䅡杁䡁䅁䅢橂䅁䅁杺䅕䩁䨴䅁兂䡁䅕杣求䙁䅑党橂䝁䅧䅉䥂䝁䅕兙獂䡁䅑䅡杁䡁䅁䅢橂䍁䅷䅉桂䍁䅁睙獂䝁䅫杢灂䝁䅍兙獂䍁䅁督あ䝁䅅睚求䍁䅁杙灂䝁䄸䅤潂䝁䅕杣桂䡁䅁党ㅂ䡁䅑兡橂䡁䅍䅉橂䝁䄸兢睂䝁䅅杢㕂䍁䅷䅉求䝁䄴睚桂䝁䅣党穂䍁䅁兡畂䍁䅁䅤潂䝁䅕䅉歂䝁䅫督橂䝁䄸杤求䡁䅉入獁䍁䅁䅚求䡁䅙党獂䝁䄸䅣瑂䝁䅕杢あ䍁䅷䅉桂䝁䄴䅚杁䝁䅍睢瑂䝁䄰党祂䝁䅍兡桂䝁䅷兡㙂䝁䅅䅤灂䝁䄸杢杁䝁䄸杚杁䝁䅉兡療䡁䅑党橂䝁䅧杢療䝁䅷睢湂䡁䅫䅉桂䝁䄴䅚杁䡁䅁䅡桂䡁䅉兢桂䝁䅍党ㅂ䡁䅑兡橂䝁䅅䅢杁䡁䅍睢獂䡁䅕䅤灂䝁䄸杢穂䍁䅁兡畂䍁䅁䅤潂䝁䅕䅉噂䝁䄴兡あ䝁䅕䅚杁䙁䅍䅤桂䡁䅑党穂䍁䄴䅉啂䝁䅧党杁䝁䅍睢瑂䡁䅁兙畂䡁䅫䅉灂䡁䅍䅉歂䝁䅕杤求䝁䅷睢睂䝁䅫杢湂䍁䅁䅔婂䙁䅑兌硁䑁䅁䅍獁䍁䅁睙ㅂ䡁䅉杣求䝁䄴䅤獂䡁䅫䅉ㅂ䝁䄴䅚求䡁䅉䅉兂䝁䅧兙穂䝁䅕䅉穁䍁䅁督あ䝁䅅睚求䍁䅷䅉あ䝁䄸䅉あ䡁䅉党桂䡁䅑䅉灂䝁䅑兡療䡁䅁兙あ䝁䅧兡橂䍁䅁䅣ㅂ䝁䅷兢療䝁䄴兙祂䡁䅫䅉浂䝁䅫杙祂䝁䄸督灂䡁䅍䅉潁䕁䅫䅕䝂䍁䅫睏杁䝁䅅杢歂䍁䅁䅔婂䙁䅑兌祁䑁䅁䅍獁䍁䅁兙杁䕁䅫睚䡂䑁䅑䅉瑂䝁䄸杢療䝁䅍䅢療䝁䄴兙獂䍁䅁兙畂䡁䅑兡楂䝁䄸䅚㕂䍁䅷䅉橂䡁䅕杣祂䝁䅕杢あ䝁䅷入杁䡁䅕杢歂䝁䅕杣杁䙁䅁䅡桂䡁䅍党杁䑁䅅睌祁䍁䅁督あ䝁䅅睚求䍁䅷䅉あ䝁䄸䅉灂䝁䄴䅡灂䝁䅉兡あ䍁䅁䅤潂䝁䅕䅉桂䝁䅍䅤灂䡁䅙兡あ䡁䅫䅉療䝁䅙䅉湂䝁䅅䅢求䝁䅍䅤灂䝁䄴兌㕁䍁䅁杚療䡁䅉䅉あ䡁䅉党桂䡁䅑兡畂䝁䅣䅉穂䝁䄸䅢灂䝁䅑䅉あ䡁䅕兢療䡁䅉督杁䝁䅅杢歂䍁䅁䅡求䝁䄰兙あ䝁䄸䅢療䝁䅣兡橂䝁䅅䅢杁䝁䄰兙獂䝁䅫睚畂䝁䅅杢橂䝁䅫党穂䍁䄴䅉䩂䡁䅑䅉灂䡁䅍䅉桂䝁䅷督療䍁䅁䅚求䡁䅙党獂䝁䄸䅣灂䝁䄴睚杁䕁䅷兗啂䍁䄰睍睁䑁䅁䅌杁䝁䅅杢杁䝁䄸杣桂䝁䅷䅉桂䝁䅷䅢療䡁䅁杣求䝁䅣杢桂䝁䄴睢獂䝁䄸杢求䍁䅷䅉橂䡁䅕杣祂䝁䅕杢あ䝁䅷入杁䝁䅍睢瑂䡁䅁䅢求䡁䅑党歂䍁䅁䅕潂䝁䅅督求䍁䅁免杁䡁䅍䅤桂䝁䅣党獁䍁䅁䅤療䍁䅁䅤祂䝁䅕兙あ䍁䅁䅚求䡁䅁杣求䡁䅍督灂䝁䄸杢獁䍁䅁兙畂䡁䅧兡求䡁䅑入獁䍁䅁兙畂䝁䅑䅉祂䝁䅕䅢桂䡁䅑党歂䍁䅁兡畂䝁䅑兡橂䝁䅅䅤灂䝁䄸杢穂䑁䅳䅉桂䝁䄴䅚杁䕁䅷兗啂䍁䄰睍硁䑁䅁䅌杁䝁䅅杢杁䝁䄸杣桂䝁䅷䅉橂䝁䅅杢畂䝁䅅杙灂䝁䅑兡療䝁䅷䅌杁䝁䅍兤祂䡁䅉党畂䡁䅑䅢㕂䍁䅁兤畂䝁䅑党祂䍁䅁䅣祂䝁䅕睙獂䝁䅫杢灂䝁䅍兙獂䍁䅁督あ䝁䅅睚求䍁䅷䅉あ䝁䄸䅉あ䡁䅉党桂䡁䅑䅉求䡁䅁兡獂䝁䅕䅣穂䝁䅫党穂䍁䅁兙畂䝁䅑䅉療䡁䅑䅡求䡁䅉䅉畂䝁䅕兤祂䝁䄸䅢療䝁䅣兡橂䝁䅅䅢杁䝁䅫杢歂䝁䅫睙桂䡁䅑兡療䝁䄴督畁䍁䅁兓畂䍁䅁兙歂䝁䅑兡あ䝁䅫睢畂䍁䅷䅉あ䝁䅧党杁䝁䅍睢瑂䡁䅁兙畂䡁䅫䅉灂䡁䅍䅉歂䝁䅕杤求䝁䅷睢睂䝁䅫杢湂䍁䅁䅔婂䙁䅑兌ㅁ䑁䅁睍癁䕁䅫兔䍂䍁䄰免ㅁ䑁䅁䅌杁䝁䅅䅉畂䝁䄸杢瑁䝁䄸䅣灂䝁䄸兡歂䍁䅁兡畂䝁䅙䅢桂䝁䄰兢桂䡁䅑兡療䝁䄴䅉あ䝁䅅杣湂䝁䅕䅤求䝁䅑䅉歂䝁䅫督求䝁䅅督求䍁䅁兡瑂䝁䄰兤畂䝁䄸兢療䝁䅑兤獂䝁䅅䅤灂䝁䄸杢杁䝁䅙睢祂䍁䅁䅤潂䝁䅕䅉睂䝁䄸䅤求䝁䄴䅤灂䝁䅅䅢杁䡁䅑杣求䝁䅅䅤瑂䝁䅕杢あ䍁䅁睢浂䍁䅁兡畂䡁䅑党祂䡁䅍䅤灂䡁䅑兡桂䝁䅷䅉橂䡁䅫督あ䝁䅫䅤灂䡁䅍䅌杁䝁䄸杣杁䝁䅉䅢桂䝁䅑䅚求䡁䅉䅉睂䝁䅅兡畂䍁䅁督㕂䝁䄴䅚祂䝁䄸兢求䑁䅳䅉桂䝁䄴䅚杁䕁䅣䅢㕂䡁䅁䅡杁䡁䅑党橂䝁䅧杢療䝁䅷睢湂䡁䅫䅉睂䝁䅷兙あ䝁䅙睢祂䝁䄰䅌杁䝁䅅䅉獂䡁䅫兢睂䝁䅧兙あ䝁䅫睙瑁䡁䅑兙祂䝁䅣党あ䝁䅫杢湂䍁䅁睙潂䝁䅕兢灂䡁䅍䅤祂䡁䅫䅉睂䝁䅷兙あ䝁䅙睢祂䝁䄰䅌杁䡁䅣䅡灂䝁䅍䅡杁䝁䅷党㉂䝁䅕杣桂䝁䅣党穂䍁䅁䅤潂䝁䅕䅉楂䝁䄸䅚㕂䍁䅣督杁䝁䄴兙あ䡁䅕杣桂䝁䅷䅉獂䝁䅫䅣灂䝁䅑䅉桂䝁䅉督療䡁䅉䅣あ䝁䅫睢畂䍁䅁兙畂䝁䅑䅉あ䡁䅉兙畂䡁䅍䅣療䡁䅉䅤穂䍁䅁䅤潂䝁䅕䅉睂䡁䅉睢橂䝁䅕督穂䍁䅁䅤療䍁䅁睢祂䝁䅅䅢獂䡁䅫䅉桂䝁䅑兢灂䝁䄴兡穂䡁䅑党祂䍁䅁䅚祂䡁䅕睚穂䍁䅁杤灂䝁䅅䅉あ䝁䅧党杁䝁䅷入瑂䡁䅁䅡桂䡁䅑兡橂䍁䅁督㕂䡁䅍䅤求䝁䄰杌杁䙁䅑䅡求䍁䅁睙療䝁䄰䅣桂䝁䄴入杁䡁䅣兙穂䍁䅁兡畂䝁䅍睢祂䡁䅁睢祂䝁䅅䅤求䝁䅑䅉灂䝁䄴䅉祁䑁䅁免ㅁ䍁䅁兙畂䝁䅑䅉灂䡁䅍䅉潂䝁䅕兙歂䡁䅅兤桂䡁䅉䅤求䡁䅉党歂䍁䅁兡畂䍁䅁村療䡁䅍䅤療䝁䄴䅌杁䕁䄰兙穂䡁䅍兙橂䝁䅧兤穂䝁䅕䅤あ䡁䅍杌䅁䭁䙅䅁捁䅁䅁䅕㑂䝁䄰兙祂䡁䅑䅉䑂䝁䄸䅉䵂䡁䅑䅚䅁䩁䍕䅁捁䅁䅁兕啂䙁䅉免㍁䑁䅕䅏㉁䑁䅣䅍㍁䑁䅧䅎䅁䑁䍁䅁慁䅁䅁兕ㅂ䝁䅅䅢㕂䡁䅍䅌杁䕁䅫杢橂䍁䄴䅁㍃䅁䅁䅃䅁䙁䅉兔䍂䅁䅁睦䅉䍁䅉䅁卂䙁䅍兑杁䙁䅍党橂䡁䅕杣灂䡁䅑入杁䕁䅷䅔䑂䅁䅁眲䅅䑁䅙䅁卂䙁䅑兌乂䕁䅅杕啂䍁䅁兓畂䡁䅑党祂䝁䄴兙あ䝁䅫睢畂䝁䅅䅢杁䕁䅷䅤歂䍁䄴䅁千杁䅁䄫䅉䙁䅉䅖瑁䕁䄰兑卂䙁䅑䅉䩂䝁䄴䅤求䡁䅉杢桂䡁䅑兡療䝁䄴兙獂䍁䅁䅔あ䝁䅑杌獁䍁䅁䅤祂䝁䅅䅚灂䝁䄴睚杁䝁䅅督杁䙁䅉䅖瑁䕁䄰兙祂䡁䅑䅌杁䝁䄸睤畂䡁䅍䅉桂䝁䄴䅚杁䝁䄸䅣求䡁䅉兙あ䝁䅕督杁䝁䅅䅉橂䝁䅧兙灂䝁䄴䅉療䝁䅙䅉潂䡁䅫䅣求䡁䅉兢桂䡁䅉睡求䡁䅑䅉穂䡁䅑睢祂䝁䅕督杁䝁䅫杢杁䙁䅑兙灂䡁䅣兙畂䍁䄴䅉啂䝁䅧党杁䝁䅍睢瑂䡁䅁兙畂䡁䅫䅉睂䡁䅉睢㉂䝁䅫䅚求䡁䅍䅉浂䝁䄸睢歂䍁䅁兙畂䝁䅑䅉畂䝁䄸杢瑁䝁䅙睢療䝁䅑䅉祂䝁䅕䅤桂䝁䅫䅢杁䡁䅁杣療䝁䅑兤橂䡁䅑督畁䍁䅁䅖潂䝁䅕䅉橂䝁䄸兢睂䝁䅅杢㕂䍁䅁兙獂䡁䅍睢杁䡁䅍党獂䝁䅷督杁䝁䅫䅤穂䍁䅁䅣祂䝁䄸䅚ㅂ䝁䅍䅤穂䍁䅁䅤潂䡁䅉睢ㅂ䝁䅣䅡杁䝁䄸杢獂䝁䅫杢求䍁䅁䅣獂䝁䅅䅤浂䝁䄸杣瑂䍁䄴䅉啂䝁䅧党杁䝁䅍睢瑂䡁䅁兙畂䡁䅫䅉㍂䝁䅅督杁䝁䅙睢ㅂ䝁䄴䅚求䝁䅑䅉灂䝁䄴䅉硁䑁䅫兏㑁䍁䅁兙畂䝁䅑䅉灂䡁䅍䅉楂䝁䅅督求䝁䅑䅉灂䝁䄴䅉啂䝁䅅兡睂䝁䅕兡獁䍁䅁䅖桂䝁䅫睤桂䝁䄴杌杁䕁䅅督杁䝁䄸杚杁䕁䅯兙畂䡁䅕兙祂䡁䅫䅉硁䍁䅷䅉祁䑁䅁杍祁䍁䅷䅉卂䙁䅑兌乂䝁䅅杣あ䍁䅁兓畂䡁䅑党祂䝁䄴兙あ䝁䅫睢畂䝁䅅䅢杁䕁䅷䅤歂䍁䅁睢睂䝁䅕杣桂䡁䅑党穂䍁䅁兙穂䍁䅁兙杁䡁䅍兤楂䡁䅍兡歂䝁䅫兙祂䡁䅫䅉療䝁䅙䅉兂䡁䅧兢桂䡁䅉䅤杁䕁䅍睢杁䕁䅷䅤歂䍁䄴䅁煃杁䅁䅌䅁䙁䅉兙畂䝁䅕䅉䥂䝁䄸䅢歂䝁䅫杢湂䡁䅍䅉䵂䝁䅫兢灂䡁䅑党歂䅁䅁睗䅁䉁䅯䅁卂䝁䅅䅣灂䝁䅑睎獁䍁䅁兓畂䝁䅍杌䅁䱁䅳䅁楁䅁䅁杕求䝁䅑䅉坂䝁䅫睢獂䝁䅕䅤獁䍁䅁兓畂䝁䅍杌䅁䩁䅳䅁䝂䅁䅁杕求䝁䅑兔桂䡁䅉䅢灂䝁䄴䅌杁䕁䅫杢橂䍁䄴䅉潁䝁䄴睡桂䑁䅯村療䝁䅷督あ䝁䅕杣杁䕁䅫杢橂䍁䄴克䅁乁䉕䅁䕂䅁䅁杕求䝁䅑䅢灂䝁䄴党杁䕁䅍睢瑂䝁䄰兤畂䝁䅫睙桂䡁䅑兡療䝁䄴督杁䕁䅣杣療䡁䅕䅣杁䕁䅫杢橂䍁䄴䅁㉁允䅁䄳䅷䙁䅉党歂䝁䅷兡畂䝁䅕䅉䑂䝁䄸兢瑂䡁䅕杢灂䝁䅍兙あ䝁䅫睢畂䡁䅍䅉䡂䡁䅉睢ㅂ䡁䅁䅉䩂䝁䄴睙畁䍁䅷䅉あ䝁䄸睚求䡁䅑䅡求䡁䅉䅉㍂䝁䅫䅤潂䍁䅁兡あ䡁䅍䅉穂䡁䅕杙穂䝁䅫䅚灂䝁䅅杣灂䝁䅕督獁䍁䅁䅚求䡁䅙党獂䝁䄸䅣穂䍁䅁杙祂䝁䄸兙歂䝁䅉兙畂䝁䅑䅉浂䝁䅫䅥求䝁䅑䅉㍂䝁䅫杣求䝁䅷党穂䡁䅍䅉楂䝁䅅督求䍁䅁督あ䝁䅅䅤灂䝁䄸杢穂䍁䅷䅉穂䡁䅕杙穂䝁䅍杣灂䝁䅉党祂䍁䅁督あ䝁䅅䅤灂䝁䄸杢穂䍁䅷䅉桂䝁䄴䅚杁䝁䄴党あ䡁䅣睢祂䝁䅳䅉瑂䝁䅅杢桂䝁䅣党瑂䝁䅕杢あ䍁䅁督㕂䡁䅍䅤求䝁䄰督杁䝁䅙睢祂䍁䅁䅣療䝁䅫杢あ䍁䄰䅤療䍁䄰䅣療䝁䅫杢あ䍁䅁兙畂䝁䅑䅉睂䝁䄸兡畂䡁䅑兌あ䝁䄸兌瑂䡁䅕䅢あ䝁䅫䅣療䝁䅫杢あ䍁䅁兙睂䡁䅁䅢灂䝁䅍兙あ䝁䅫睢畂䡁䅍䅉浂䝁䄸杣杁䝁䅍睢瑂䝁䄰党祂䝁䅍兡桂䝁䅷䅉求䝁䄴䅚瑁䡁䅕督求䡁䅉督畁䍁䅁兓あ䍁䅁睢睂䝁䅕杣桂䡁䅑党穂䍁䅁䅤潂䡁䅉睢ㅂ䝁䅣䅡杁䕁䅧兙祂䝁䅑睤桂䡁䅉党杁䝁䅅杢歂䍁䅁睕療䝁䅙䅤㍂䝁䅅杣求䍁䅷䅉兂䡁䅉睢浂䝁䅕督穂䝁䅫睢畂䝁䅅䅢杁䙁䅍党祂䡁䅙兡橂䝁䅕督杁䝁䅅杢歂䍁䅁睍祂䝁䅑䅉兂䝁䅅杣あ䡁䅫䅉䙂䡁䅅兤灂䡁䅁兢求䝁䄴䅤獁䍁䅁兙畂䝁䅑䅉乂䝁䅅兡畂䡁䅑党畂䝁䅅杢橂䝁䅕䅉桂䝁䄴䅚杁䙁䅍兤睂䡁䅁睢祂䡁䅑䅉穂䝁䅕睚瑂䝁䅕杢あ䡁䅍杌杁䙁䅑䅡求䍁䅁睙療䝁䄰䅣桂䝁䄴入杁䝁䄸杚浂䝁䅕杣穂䍁䅁兒獂䝁䅷兡睂䡁䅍党獁䍁䅁兙杁䡁䅍党祂䝁䅫党穂䍁䅁睢浂䍁䅁杙桂䡁䅍党杁䡁䅍䅤桂䡁䅑兡療䝁䄴督㝁䍁䅁兒歂䝁䅣党杁䝁䅅杢歂䍁䅁兒獂䡁䅑党杁䡁䅣兡祂䝁䅕䅢求䡁䅍督杁䡁䅑党祂䝁䄰兡畂䝁䅅䅢穂䑁䅳䅉䙂䝁䄴䅤求䡁䅉䅣祂䝁䅫督求䍁䅷䅉桂䍁䅁睤灂䡁䅉党獂䝁䅕督穂䍁䅁睙ㅂ䡁䅍䅤療䝁䄰党祂䍁䅁䅣祂䝁䅕兢灂䡁䅍党杁䝁䅕兣ㅂ䝁䅫䅣瑂䝁䅕杢あ䑁䅳䅉卂䕁䅅睕瑁䕁䅕䅢灂䡁䅑党獁䍁䅁兙杁䡁䅁睢祂䡁䅑兙楂䝁䅷党杁䝁䅅兤あ䝁䄸兌桂䝁䅍兣ㅂ䝁䅫杣求䍁䅁睢ㅂ䡁䅑䅚療䝁䄸杣杁䡁䅣兡祂䝁䅕䅢求䡁䅍督杁䡁䅍睢獂䡁䅕䅤灂䝁䄸杢㝁䍁䅁杕䉂䙁䅍兌䙂䡁䅧䅤求䝁䄴䅚獁䍁䅁兙杁䝁䄰党橂䝁䅧兙畂䝁䅫睙桂䝁䅷䅉桂䡁䅕䅤療䍁䅁䅤祂䝁䅅睙牂䝁䅫杢湂䍁䅁督㕂䡁䅍䅤求䝁䄰睏杁䙁䅉䅒䵂䍁䄰睍睁䑁䅁䅍杁䝁䅍睢畂䝁䄴党橂䡁䅑䅉穂䝁䅕杣灂䝁䅕督杁䝁䄸杚杁䡁䅉党瑂䝁䄸䅤求䍁䅁䅤求䡁䅉兢灂䝁䄴兙獂䡁䅍睏杁䙁䅁睢䙂䍁䅷䅉桂䝁䄴䅉灂䝁䄴䅚ㅂ䡁䅍䅤祂䝁䅫兙獂䍁䅁睚祂䝁䅅䅚求䍁䅁䅣療䡁䅣党祂䍁䅁兡畂䝁䅯党橂䡁䅑睢祂䑁䅳䅉桂䝁䄴䅚杁䕁䅙䅢求䡁䅧睑療䡁䅉党獁䍁䅁兙畂䍁䅁兒兂䕁䅍䅉穂䝁䄸杚あ䡁䅣兙祂䝁䅕杌杁䕁䅫䅤杁䝁䅅䅢穂䝁䄸䅉睂䡁䅉睢㉂䝁䅫䅚求䡁䅍䅉䝂䝁䅷党㑂䙁䅑兑䵂䕁䅳䅌杁䝁䅅䅉睂䡁䅕督潂䍁䄰䅤療䍁䄰䅤桂䝁䅷睡杁䡁䅍睢獂䡁䅕䅤灂䝁䄸杢㝁䍁䅁兙畂䝁䅑䅉䑂䝁䅷党桂䡁䅉杖灂䝁䅕睤杁䕁䄴兔呂䍁䅷䅉桂䍁䅁杢求䡁䅑睤療䡁䅉睡杁䝁䄰兙畂䝁䅅睚求䝁䄰党畂䡁䅑䅉穂䝁䄸杚あ䡁䅣兙祂䝁䅕䅌杁䝁䅅督杁䡁䅣党獂䝁䅷䅉桂䡁䅍䅉桂䝁䄴䅤求䝁䄴杢桂䡁䅍䅌杁䝁䅍兙楂䝁䅷党穂䍁䅷䅉瑂䝁䄸兤畂䡁䅑兡畂䝁䅣䅉牂䝁䅫䅤穂䍁䅷䅉兂䕁䄸兒杁䡁䅁睢㍂䝁䅕杣杁䝁䅫杢煂䝁䅕睙あ䝁䄸杣穂䍁䅷䅉桂䝁䄴䅚杁䡁䅍兤祂䝁䅣党杁䡁䅁杣療䡁䅑党橂䡁䅑睢祂䡁䅍杌杁䕁䅫杢杁䝁䅅䅚歂䝁䅫䅤灂䝁䄸杢獁䍁䅁䅤潂䝁䅕䅉橂䝁䄸兢睂䝁䅅杢㕂䍁䅁睢浂䝁䅙党祂䡁䅍䅉卂䕁䅙䅉睂䝁䅷兙畂䝁䄴兡畂䝁䅣䅉桂䝁䄴䅚杁䡁䅍兡あ䝁䅕䅉穂䡁䅕杣㉂䝁䅕入獁䍁䅁䅎䡂䍁䅁兙畂䝁䅑䅉ㅁ䕁䅣䅉瑂䝁䄸杙灂䝁䅷党杁䝁䄴党あ䡁䅣睢祂䝁䅳䅉歂䝁䅕督灂䝁䅣杢杁䝁䅅杢歂䍁䅁睢睂䡁䅑兡瑂䝁䅫来桂䡁䅑兡療䝁䄴䅌杁䝁䅑党睂䝁䅷睢㕂䝁䄰党畂䡁䅑䅉桂䝁䄴䅚杁䡁䅉党穂䝁䅫䅚求䝁䄴䅤杁䝁䅕杢湂䝁䅫杢求䝁䅕杣灂䝁䄴睚獁䍁䅁睤灂䡁䅉党獂䝁䅕督穂䍁䅁杢求䡁䅑睤療䡁䅉睡杁䡁䅁党祂䝁䅙睢祂䝁䄰兙畂䝁䅍党杁䝁䅅兤歂䝁䅫䅤獁䍁䅁兙畂䝁䅑䅉睂䡁䅉睢湂䡁䅉兙瑂䍁䅁兙畂䝁䅑䅉睂䡁䅉睢煂䝁䅕睙あ䍁䅁兢桂䝁䄴兙湂䝁䅕兢求䝁䄴䅤杁䡁䅍党祂䡁䅙兡橂䝁䅕督畁䍁䅁兓あ䍁䅁督求䡁䅉杤求䡁䅍䅉療䝁䅫䅢杁䝁䅅杢歂䍁䅁睚桂䡁䅍䅌杁䝁䄰兡畂䝁䅫杢湂䍁䅷䅉ㅂ䡁䅑兡獂䝁䅫䅤灂䝁䅕督獁䍁䅁䅤祂䝁䅅杢穂䡁䅁睢祂䡁䅑兙あ䝁䅫睢畂䍁䅷䅉湂䝁䄸杤求䡁䅉杢瑂䝁䅕杢あ䍁䅷䅉瑂䝁䅫䅢灂䡁䅑兙祂䡁䅫䅌杁䝁䅅杢歂䍁䅁䅤求䝁䅷党橂䝁䄸兢杁䡁䅍党祂䡁䅙兡橂䝁䅕䅉睂䡁䅉睢㉂䝁䅫䅚求䡁䅉䅉瑂䝁䅅杣牂䝁䅕䅤穂䍁䅁䅤潂䡁䅉睢ㅂ䝁䅣䅡杁䡁䅉党湂䝁䅫睢畂䝁䅅䅢杁䝁䅑兡穂䡁䅑杣灂䝁䅉兤あ䝁䄸杣穂䍁䅷䅉橂䝁䅧兙畂䝁䄴党獂䍁䅁䅣桂䡁䅉䅤畂䝁䅕杣穂䍁䅷䅉桂䝁䄴䅚杁䡁䅍入穂䡁䅑党瑂䡁䅍䅉灂䝁䄴䅤求䝁䅣杣桂䡁䅑睢祂䡁䅍杌杁䙁䅑䅡求䍁䅁睙療䝁䄰䅣桂䝁䄴入杁䝁䅧兙穂䍁䅁睢睂䝁䅕杣桂䡁䅑兡療䝁䄴督杁䝁䅫杢杁䡁䅑䅡求䍁䅁兑瑂䝁䅕杣灂䝁䅍兙穂䍁䅷䅉あ䝁䅧党杁䕁䄰兡歂䝁䅑䅢求䍁䅁兒桂䡁䅍䅤獁䍁䅁兒ㅂ䡁䅉睢睂䝁䅕䅌杁䕁䅅杚祂䝁䅫睙桂䍁䅷䅉桂䝁䄴䅚杁䡁䅑䅡求䍁䅁兑穂䝁䅫兙杁䙁䅁兙橂䝁䅫杚灂䝁䅍杌杁䙁䅉党歂䝁䅷兡畂䝁䅕䅉䑂䝁䄸兢瑂䡁䅕杢灂䝁䅍兙あ䝁䅫睢畂䡁䅍䅉䡂䡁䅉睢ㅂ䡁䅁䅉䩂䝁䄴睙畁䍁䅁睤桂䡁䅍䅉浂䝁䄸兤畂䝁䅑党歂䍁䅁兡畂䍁䅁免㕁䑁䅫兏杁䝁䅅杢歂䍁䅁兡穂䍁䅁䅡求䝁䅅䅚硂䡁䅕兙祂䡁䅑党祂䝁䅕䅚杁䝁䅫杢杁䕁䄰兙祂䝁䅳䅡桂䝁䄰䅌杁䕁䅍兙畂䝁䅅䅚桂䍁䄴䅉䉂䡁䅍䅉療䝁䅙䅉䭂䡁䅕䅢㕂䍁䅁兎獁䍁䅁杍睁䑁䅉杍獁䍁䅁杕求䝁䅑䅢灂䝁䄴党杁䕁䅍睢瑂䝁䄰兤畂䝁䅫睙桂䡁䅑兡療䝁䄴督杁䕁䅣杣療䡁䅕䅣杁䕁䅫杢橂䍁䄴䅉療䡁䅁党祂䝁䅅䅤求䡁䅍䅉桂䡁䅍䅉桂䍁䅁督ㅂ䝁䅉督灂䝁䅑兡桂䡁䅉入杁䝁䄸杚杁䕁䅅杤灂䝁䅅䅤杁䙁䅕杌呂䍁䄴䅌杁䕁䅫杢橂䍁䄴䅁敂允䅁杨䅁䙁䅉兡湂䝁䅧䅤䍂䡁䅉兡歂䝁䅣党杁䙁䅙党畂䡁䅑兤祂䝁䅕督杁䕁䅅村杁䍁䅧杢牂䝁䅅杏卂䝁䅫睚潂䡁䅑村祂䝁䅫䅚湂䝁䅕䅉坂䝁䅕杢あ䡁䅕杣求䡁䅍䅉䡂䡁䅉睢ㅂ䡁䅁䅉䉂䕁䅉䅉潁䡁䅁兤楂䝁䅷克灁䅁䅁杘䅉䍁䅑䅁卂䝁䅫杢湂䕁䅍党畂䡁䅑杣桂䝁䅷䅌杁䕁䅫杢橂䍁䄴䅁㝄允䅁杌䅁䙁䅉睢橂䝁䅳党あ䍁䅁睑療䝁䄰䅣桂䝁䄴兡求䡁䅍䅌杁䕁䅫杢橂䍁䄴䅁摁杁䅁䅌䅁䙁䅉睢橂䝁䅳党あ䍁䅁睕療䝁䅙䅤㍂䝁䅅杣求䍁䅷䅉䩂䝁䄴睙畁䅁䅁杦䅅䅁䝉䅁卂䝁䄸睙牂䝁䅕䅤杁䙁䅍睢浂䡁䅑睤桂䡁䅉党獁䍁䅁兓畂䝁䅍杌杁䝁䅑党㉂䝁䅕䅢療䡁䅁督杁䝁䅕杢あ䝁䅕杣睂䡁䅉兡穂䝁䅕䅉穂䝁䄸杚あ䡁䅣兙祂䝁䅕䅉穂䝁䄸䅢ㅂ䡁䅑兡療䝁䄴督畁䍁䅁兓あ䍁䅁睢浂䝁䅙党祂䡁䅍䅉睂䡁䅉睢歂䡁䅕睙あ䡁䅍䅉灂䝁䄴䅉あ䝁䅧党杁䝁䅅杣求䝁䅅督杁䝁䄸杚杁䝁䅅䅣睂䝁䅷兡橂䝁䅅䅤灂䝁䄸杢杁䝁䅷兡浂䝁䅕睙㕂䝁䅍䅢求䍁䅁兢桂䝁䄴兙湂䝁䅕兢求䝁䄴䅤杁䝁䅅杢歂䍁䅁䅚求䡁䅙党獂䝁䄸䅣瑂䝁䅕杢あ䍁䅷䅉桂䡁䅉睙潂䝁䅫杤求䍁䅁兙畂䝁䅑䅉楂䝁䅅睙牂䡁䅕䅣杁䝁䄰兙畂䝁䅅睚求䝁䄰党畂䡁䅑䅌杁䝁䅉兤穂䝁䅫杢求䡁䅍督杁䝁䅫杢あ䝁䅕䅢獂䝁䅫睚求䝁䄴睙求䍁䅁兙畂䝁䅑䅉桂䝁䄴兙獂䡁䅫䅤灂䝁䅍督獁䍁䅁䅚桂䡁䅑兙杁䝁䄰兡湂䡁䅉兙あ䝁䅫睢畂䍁䅷䅉歂䝁䅅䅤桂䍁䅁杤灂䡁䅉䅤ㅂ䝁䅅䅢灂䡁䅯兙あ䝁䅫睢畂䍁䅷䅉䕂䕁䅉兔呂䍁䅁兙畂䝁䅑䅉桂䡁䅁䅣獂䝁䅫睙桂䡁䅑兡療䝁䄴䅉穂䝁䅕杣㉂䝁䅕杣穂䍁䅷䅉求䝁䄴䅤求䡁䅉䅣祂䝁䅫督求䍁䅁䅣求䡁䅉杚療䡁䅉兢桂䝁䄴睙求䍁䅁兢桂䝁䄴兙湂䝁䅕兢求䝁䄴䅤獁䍁䅁党畂䡁䅑党祂䡁䅁杣灂䡁䅍党杁䡁䅍党桂䡁䅉睙潂䍁䅁兙畂䝁䅑䅉あ䝁䅕䅥あ䍁䅁兙畂䝁䅅䅢㕂䡁䅑兡橂䡁䅍䅌杁䝁䄰兙灂䝁䄴杚祂䝁䅅兢求䍁䅷䅉瑂䝁䄸䅚求䡁䅉杢灂䡁䅯兙あ䝁䅫睢畂䍁䅷䅉畂䝁䅕䅤㍂䝁䄸杣牂䍁䅁兢桂䝁䄴兙湂䝁䅕兢求䝁䄴䅤獁䍁䅁督ㅂ䡁䅁䅣獂䡁䅫䅉橂䝁䅧兙灂䝁䄴䅉灂䝁䄴䅤求䝁䅣杣桂䡁䅑兡療䝁䄴䅌杁䝁䅅杢歂䍁䅁䅤求䡁䅉兢灂䝁䄴兙獂䍁䅁党瑂䡁䅕䅢桂䡁䅑兡療䝁䄴䅉穂䝁䄸䅢ㅂ䡁䅑兡療䝁䄴督㝁䍁䅁兙杁䡁䅁䅢桂䡁䅑杚療䡁䅉兢杁䡁䅑睢杁䡁䅍兤睂䡁䅁睢祂䡁䅑䅉兂䡁䅫䅤潂䝁䄸杢杁䡁䅁杣療䝁䅣杣桂䝁䄰兢灂䝁䄴睚杁䝁䅷兙畂䝁䅣兤桂䝁䅣党㝁䍁䅁兙畂䝁䅑䅉桂䍁䅁督㕂䡁䅍䅤求䝁䄰䅉瑂䝁䄸杢灂䡁䅑睢祂䝁䅫杢湂䍁䅁䅤療䝁䄸䅢畁䍁䅁兓あ䍁䅁䅚求䡁䅙党獂䝁䄸䅣穂䍁䅁杕療䝁䅍睡求䡁䅑䅉乂䡁䅕䅢あ䝁䅫杖桂䝁䅷兤求䍁䅁䅕求䡁䅉杚療䡁䅉兢桂䝁䄴睙求䍁䅁兒㑂䡁䅁党祂䝁䅫党畂䝁䅍党獁䍁䅁兙畂䍁䅁兙橂䡁䅑兡㉂䝁䅕䅉穂䡁䅫督あ䝁䅕兢杁䝁䄰睢畂䝁䅫䅤療䡁䅉兡畂䝁䅣䅉あ䝁䄸睢獂䍁䄴䅉啂䝁䅧党杁䝁䅍睢瑂䡁䅁兙畂䡁䅫䅉睂䡁䅉睢㉂䝁䅫䅚求䡁䅍䅉あ䡁䅉兙灂䝁䄴兡畂䝁䅣䅉桂䝁䄴䅚杁䡁䅁杣療䝁䅙党穂䡁䅍兡療䝁䄴兙獂䍁䅁督求䡁䅉杤灂䝁䅍党穂䍁䄴䅉卂䝁䄸睙牂䝁䅕䅤杁䙁䅍睢浂䡁䅑睤桂䡁䅉党獁䍁䅁兓畂䝁䅍杌杁䡁䅣兙穂䍁䅁杚療䡁䅕杢歂䝁䅕䅚杁䝁䅫杢杁䑁䅅兏㕁䑁䅁䅉桂䝁䄴䅚杁䝁䅫督杁䝁䅉兙穂䝁䅕䅚杁䝁䅫杢杁䙁䅣兙獂䡁䅑䅡桂䝁䄰䅌杁䕁䄰兙穂䡁䅍兙橂䝁䅧兤穂䝁䅕䅤あ䡁䅍杌䅁䥁䉁䅁允䅁䅁杕療䝁䄰兙畂䝁䅫兙䅁䱁䅍䅁煁䅁䅁睕畁䕁䅍杌杁䕁䅉兤橂䡁䅕杣杁䕁䄸杙療䡁䅉䅉呂䍁䄴兑畁䅁䅁睫䅉䙁䕧䅁呂䍁䄴睑畁䍁䅁村ㅂ䝁䅍兤祂䍁䅁睔楂䝁䄸杣杁䙁䅍杌䉂䍁䄴䅉療䡁䅣杢穂䍁䅁兙畂䝁䅑䅉療䡁䅁党祂䝁䅅䅤求䡁䅍䅉穂䡁䅕䅣求䡁䅉兢桂䡁䅉睡求䡁䅑督杁䝁䅫杢杁䙁䅉睢瑂䝁䅅杢灂䝁䅅杌杁䙁䅑䅡求䍁䅁睙療䝁䄰䅣桂䝁䄴入杁䡁䅁杣灂䝁䄰兙祂䝁䅫䅢㕂䍁䅁䅣祂䝁䄸杤灂䝁䅑党穂䍁䅁兙湂䡁䅉兡橂䡁䅕䅢あ䡁䅕杣桂䝁䅷䅉睂䡁䅉睢歂䡁䅕睙あ䡁䅍䅌杁䝁䄰党桂䡁䅑䅉桂䝁䄴䅚杁䝁䄰党桂䡁䅑䅉睂䡁䅉睢歂䡁䅕睙あ䡁䅍䅌杁䝁䅕睚湂䡁䅍䅌杁䝁䅍䅡求䝁䅕督求䍁䅷䅉㉂䝁䅕睚求䡁䅑兙楂䝁䅷党穂䍁䅷䅉浂䡁䅉兤灂䡁䅑督獁䍁䅁杙求䡁䅙党祂䝁䅅睚求䡁䅍䅉桂䝁䄴䅚杁䝁䅯兤灂䝁䅍党穂䍁䅷䅉㍂䝁䅫杢求䡁䅍䅌杁䝁䄸杣湂䝁䅅杢灂䝁䅍䅉睂䡁䅉睢歂䡁䅕睙あ䡁䅍䅌杁䝁䅅杢歂䍁䅁睢あ䝁䅧党祂䍁䅁䅣祂䝁䄸䅚ㅂ䝁䅍䅤穂䍁䄴䅉䩂䡁䅑䅉桂䝁䅷督療䍁䅁睢㍂䝁䄴督杁䝁䅅杢歂䍁䅁兢桂䝁䄴兙湂䝁䅕督杁䝁䅅䅉橂䝁䄸兢瑂䝁䅕杣橂䝁䅫兙獂䍁䅁睙療䝁䄰䅣獂䝁䅕䅥杁䡁䅑䅡桂䡁䅑䅉療䝁䅙杚求䡁䅉督杁䝁䅍睢瑂䝁䄰党祂䝁䅍兡桂䝁䅷䅉穂䡁䅁兙橂䝁䅕督杁䝁䄸杢杁䡁䅉党畂䡁䅑杌杁䙁䅑䅡求䍁䅁睙療䝁䄰䅣桂䝁䄴入杁䡁䅣兙穂䍁䅁杚療䡁䅕杢歂䝁䅕䅚杁䝁䅫杢杁䑁䅅兏㍁䑁䅕䅉桂䝁䄴䅚杁䝁䅫督杁䝁䅉兙穂䝁䅕䅚杁䝁䅫杢杁䕁䅉兤橂䝁䅧兙祂䝁䅕督あ䍁䅷䅉卂䝁䄸兢桂䝁䄴兡桂䍁䄴䅉呂䍁䄴睑畁䍁䅁村ㅂ䝁䅍兤祂䍁䅁睔楂䝁䄸杣杁䙁䅍杌䉂䍁䄴䅉灂䡁䅍䅉桂䍁䅁督ㅂ䝁䅉督灂䝁䅑兡桂䡁䅉入杁䝁䄸杚杁䙁䅍睑杁䕁䅅兢桂䝁䅑党ㅂ䡁䅍䅉䡂䡁䅉睢ㅂ䡁䅁䅉呂䡁䅉䅢畁䍁䅁兑穂䍁䅁睢浂䍁䅁杔療䡁䅙党瑂䝁䅉党祂䍁䅁免㕁䍁䅷䅉祁䑁䅁杍硁䍁䅷䅉呂䍁䄴睑畁䍁䅁村ㅂ䝁䅍兤祂䍁䅁睔楂䝁䄸杣杁䙁䅍杌䉂䍁䄴䅉療䡁䅁党祂䝁䅅䅤求䡁䅍䅉桂䡁䅍䅉桂䍁䅁督ㅂ䝁䅉督灂䝁䅑兡桂䡁䅉入杁䝁䄸杚杁䕁䅉睔杁䙁䅉党あ䝁䅅兡獂䍁䅁兓畂䡁䅙党穂䡁䅑䅉呂䍁䄴杕畁䕁䅷杌䅁䭁䍫䅁楂䅁䅁睕䕂䙁䅑䅉噂䡁䅯兙㕂䍁䅁杤求䍁䅁睕桂䡁䅙兤畂䝁䄰兙杁䙁䅑党牂䝁䄴睢獂䝁䄸条灂䝁䅷党祂䝁䅫䅉䉂䝁䄴睢畂䝁䅫兢杁䙁䅍兡祂䝁䅳党あ䝁䅫䅁塂䅁䅁䅅䅁䙁䅍睒奂䑁䅯兑穁䑁䅅䅁䙁䅁䅁䅇䅁䙁䅍䅓呂䕁䅕杏㉁䑁䅧䅏ㅁ䑁䅫杍䅁䉁䅫䅁十䅁䅁睕兂䕁䅣䅖桂䝁䅉䅢求䅁䅁兄䅍䉁䅯䅁呂䙁䅁䅖卂䕁䅑免睁䑁䅣䅍ぁ䑁䅧免䅁偁䄸䅁慁䅁䅁睕兂䙁䅑杕䕂䑁䅅兎睁䑁䅍䅍㑁䑁䅉䅁䑁允䅁杇䅁䙁䅍䅕啂䙁䅉䅒硁䑁䅕杍睁䑁䅣䅎ㅁ䅁䅁眫䅁䉁䅯䅁呂䙁䅁䅖卂䕁䅑免ㅁ䑁䅕睎㕁䑁䅧免䅁䅁䉕䅁慁䅁䅁睕兂䙁䅑杕䕂䑁䅅兎㑁䑁䅫睍ㅁ䑁䅅䅁㥄䅁䅁杇䅁䙁䅍䅕啂䙁䅉䅒硁䑁䅕兏ぁ䑁䅍李ぁ䅁䅁眹䅁䉁䅯䅁呂䙁䅁䅖卂䕁䅑免㉁䑁䅑免㍁䑁䅙兏䅁䅁䉫䅁慁䅁䅁睕兂䙁䅑杕䕂䑁䅅睎睁䑁䅉睎祁䑁䅑䅁䡁允䅁杇䅁䙁䅍䅕啂䙁䅉䅒硁䑁䅣兎㑁䑁䅙睎祁䅁䅁杂䅅䉁䅯䅁呂䙁䅁䅖卂䕁䅑免㍁䑁䅙睎硁䑁䅉睎䅁偁䅫䅁慁䅁䅁睕兂䙁䅑杕䕂䑁䅅䅏㍁䑁䅧䅍㍁䑁䅕䅁䅁允䅁杇䅁䙁䅍䅕啂䙁䅉䅒硁䑁䅫䅍穁䑁䅍杍硁䅁䅁杁䅅䉁䅯䅁呂䙁䅁䅖卂䕁䅑免㕁䑁䅉杍㕁䑁䅕䅎䅁䅁䉧䅁慁䅁䅁睕兂䙁䅑杕䕂䑁䅅兏祁䑁䅍免㕁䑁䅫䅁㡄䅁䅁杇䅁䙁䅍䅕啂䙁䅉䅒硁䑁䅫兎ぁ䑁䅉兎㍁䅁䅁䅂䅅䉁䅯䅁呂䙁䅁䅖卂䕁䅑免㕁䑁䅧䅍硁䑁䅙杍䅁䅁䉅䅁慁䅁䅁睕兂䙁䅑杕䕂䑁䅉䅍祁䑁䅁睍睁䑁䅕䅁⭄䅁䅁䅇䅁䙁䅍䅕啂䙁䅉䅒穁䑁䅅李㍁䑁䅍䅍䅁偁䅯䅁睁䅁䅁睕兂䙁䄸村噂䙁䅍兓佂䕁䅕睕呂䙁䄸䅒䙂䙁䅍睑卂䕁䅫䅕啂䕁䅫睔佂䅁䅁䅈䅕䍁䅁䅁呂䙁䅁睘䑂䕁䄸兔兂䕁䅅杔婂䙁䄸杔䉂䕁䄰兒䅁䉁䙳䅁杁䅁䅁睕兂䙁䄸睑偂䙁䅕杔啂䙁䅉兗時䕁䄴兑乂䕁䅕䅁䑁䅁䅁䅆䅁䙁䅍䅕時䕁䅕村䩂䙁䅑䅒䉂䅁䅁兆䅁䉁䅷䅁呂䙁䅁睘䙂䕁䅉兓啂䕁䅑兑時䕁䅕睕啂䅁䅁䅋䅁䉁䅯䅁呂䙁䅁睘乂䕁䅅杕䱂䕁䅕䅖䑂䕁䅅䅕䅁䥁䙙䅁楁䅁䅁睕兂䙁䄸兔䙂䙁䅉睒䙂䙁䅉睘啂䕁䅅杕䡂䕁䅕䅖䅁䍁䉑䅁捁䅁䅁睕兂䙁䄸䅕䙂䙁䅉兓偂䕁䅑睘䙂䕁䄴䅒䅁䅁䅅䅁敁䅁䅁睕兂䙁䄸䅕卂䕁䅫睑䙂䙁䄸睑䵂䕁䄸睕䙂䅁䅁来䅕䉁䅙䅁呂䙁䅁睘卂䕁䅕杖時䕁䅕睕啂䅁䅁权䅁䍁䅯䅁呂䙁䅁睘啂䕁䅕杖時䙁䅑睔啂䕁䅅䅔時䙁䅉兒坂䙁䄸杒塂䕁䅑䅁瑁䅁䅁杇䅁䙁䅍䅕時䙁䅑睔啂䕁䅅䅔時䙁䅉兒坂䅁䅁睂䅁䱁䡑䅁呂䙁䅑䅉䙂䝁䄴睚灂䝁䄴党求䡁䅉兡畂䝁䅣䅉灂䕁䅑兡祂䝁䅕睙あ䍁䅁䅋䙂䡁䅕杣療䡁䅁党灁䍁䅁杔坂䍁䅁䅚求䡁䅍兡湂䝁䄴督獁䍁䅁䅚求䡁䅙党獂䝁䄸䅣穂䍁䅷䅉桂䝁䄴䅚杁䝁䄰兙畂䡁䅕杚桂䝁䅍䅤ㅂ䡁䅉党穂䍁䅁督桂䡁䅑党獂䝁䅷兡あ䝁䅕䅉橂䝁䄸兢瑂䡁䅕杢灂䝁䅍兙あ䝁䅫睢畂䡁䅍䅉求䡁䅅兤灂䡁䅁兢求䝁䄴䅤杁䝁䅅杢歂䍁䅁䅤求䝁䅍䅡畂䝁䄸䅢療䝁䅣兡求䡁䅍䅉浂䝁䄸杣杁䝁䅉杣療䝁䅅䅚橂䝁䅅督あ䍁䅷䅉橂䝁䄸杢穂䡁䅕兢求䡁䅉䅉桂䝁䄴䅚杁䝁䅕杢あ䝁䅕杣睂䡁䅉兡穂䝁䅕䅉坂䙁䅍兑啂䍁䅷䅉湂䝁䄸杤求䡁䅉杢瑂䝁䅕杢あ䍁䅁兙畂䝁䅑䅉歂䝁䅕杚求䝁䄴督求䍁䅷䅉橂䝁䅕䅢獂䡁䅕䅢桂䡁䅉䅉楂䝁䅅睙牂䝁䅧兙ㅂ䝁䅷睌あ䡁䅉兤畂䝁䅳兡畂䝁䅣䅉桂䝁䄴䅚杁䝁䄰睢楂䝁䅫䅢灂䡁䅑入獁䍁䅁兙畂䝁䅑䅉療䝁䅙杚穂䝁䅧睢祂䝁䅕䅉桂䝁䄴䅚杁䝁䄰兙祂䝁䅫䅤灂䝁䄰党杁䝁䄰兙祂䝁䅳党あ䡁䅍䅌杁䝁䅅督杁䡁䅣党獂䝁䅷䅉桂䡁䅍䅉ㅁ䕁䅣杌杁䙁䅑䅡求䍁䅁睙療䝁䄰䅣桂䝁䄴入婁䡉䅍䅉睂䡁䅉睢歂䡁䅕睙あ䡁䅍䅉灂䝁䄴睙獂䡁䅕䅚求䍁䅁兔療䝁䅑兤獂䝁䅅䅤療䡁䅉督杁䝁䄰睢歂䝁䅕兢穂䍁䅷䅉穂䝁䅅䅤求䝁䅷䅢灂䡁䅑党杁䡁䅑党祂䝁䄰兡畂䝁䅅䅢穂䍁䅷䅉佂䝁䅕睤あ䝁䅕睙杁䝁䅑兡桂䝁䅷睢湂䍁䅷䅉潂䡁䅕杙穂䍁䅷䅉佂䕁䄰睕杁䝁䅅䅣睂䝁䅷兡橂䝁䅅䅤灂䝁䄸杢穂䍁䅷䅉歂䝁䅕兢療䝁䅑兤獂䝁䅅䅤療䡁䅉督獁䍁䅁杣求䝁䅑兤畂䝁䅑兙畂䝁䅍入杁䡁䅍睤灂䡁䅑睙潂䝁䅕督獁䍁䅁杚祂䝁䅕兣ㅂ䝁䅕杢橂䡁䅫䅉橂䝁䄸杢㉂䝁䅕杣あ䝁䅕杣穂䍁䅷䅉桂䝁䄴䅚杁䕁䄸兒乂䍁䅁杙療䝁䅅杣歂䡁䅍䅌杁䝁䅅督杁䡁䅣党獂䝁䅷䅉桂䡁䅍䅉䩂䝁䄸䅖杁䙁䅁䅢桂䡁䅑杚療䡁䅉兢瑁䝁䅅督瑁䝁䅅兌呂䝁䅕杣㉂䝁䅫睙求䍁䅁䅋兂䝁䅅兙呂䍁䅫䅉穂䝁䄸䅢ㅂ䡁䅑兡療䝁䄴杌杁䕁䅫䅤杁䝁䅅䅢穂䝁䄸䅉睂䡁䅉睢㉂䝁䅫䅚求䡁䅍䅉療䡁䅁党祂䝁䅅䅤灂䝁䄸杢桂䝁䅷䅉穂䡁䅕䅣睂䝁䄸杣あ䍁䅷䅉灂䝁䄰䅣獂䝁䅕兢求䝁䄴䅤桂䡁䅑兡療䝁䄴䅌杁䝁䄰兙畂䝁䅅睚求䝁䅑䅌杁䝁䅍睢畂䡁䅍兤獂䡁䅑兙畂䝁䅍入獁䍁䅁兢桂䝁䄴兤浂䝁䅅睙あ䡁䅕杣灂䝁䄴睚獁䍁䅁兙畂䝁䅑䅉あ䡁䅉兙灂䝁䄴兡畂䝁䅣䅉穂䝁䅕杣㉂䝁䅫睙求䡁䅍杌杁䙁䅍䅖杁䕁䅕杢湂䝁䅫杢求䝁䅕杣灂䝁䄴睚杁䝁䅫䅒灂䡁䅉党橂䡁䅑䅉潁䕁䅕兤祂䝁䄸䅣求䍁䅫䅉佂䙁䅙䅉㍂䝁䅅督杁䝁䅙睢祂䝁䄰党祂䝁䅷入杁䝁䅳杢療䡁䅣杢杁䝁䅅督杁䕁䄴党㍂䡁䅑党橂䍁䅁睑㕂䍁䅁杔坂䍁䅁兙畂䝁䅑䅉橂䝁䅧兙畂䝁䅣党歂䍁䅁兡あ䡁䅍䅉畂䝁䅅兢求䍁䅁䅤療䍁䅁睕啂䍁䅁兒畂䝁䅣兡畂䝁䅕党祂䝁䅫杢湂䍁䅁兡䕂䝁䅫杣求䝁䅍䅤杁䍁䅧兒ㅂ䡁䅉睢睂䝁䅕克杁䕁䄴杖杁䝁䅫杢杁䕁䄸睙あ䝁䄸杙求䡁䅉䅉祁䑁䅁免㕁䍁䄴䅉啂䝁䅧党杁䝁䅍睢瑂䡁䅁兙畂䡁䅫䅉㍂䝁䅅督杁䝁䅙睢ㅂ䝁䄴䅚求䝁䅑䅉灂䝁䄴䅉硁䑁䅫䅏ㅁ䍁䅁兙畂䝁䅑䅉灂䡁䅍䅉楂䝁䅅督求䝁䅑䅉灂䝁䄴䅉呂䝁䅫杢あ䍁䄰杔灂䝁䅳䅢桂䝁䅅督獁䍁䅁村求䝁䅷睚灂䡁䅕兢畁䍁䅁兑穂䍁䅁睢浂䍁䅁睔橂䡁䅑睢楂䝁䅕杣杁䑁䅅䅌杁䑁䅉䅍硁䑁䅫䅌杁䙁䅍䅖杁䕁䅕杢湂䝁䅫杢求䝁䅕杣灂䝁䄴睚杁䝁䅫䅒灂䡁䅉党橂䡁䅑䅉潁䕁䅕兤祂䝁䄸䅣求䍁䅫䅉佂䙁䅙䅉療䡁䅁党祂䝁䅅䅤求䡁䅍䅉桂䡁䅍䅉桂䍁䅁督ㅂ䝁䅉督灂䝁䅑兡桂䡁䅉入杁䝁䄸杚杁䙁䅍兡畂䝁䅣兙睂䝁䄸杣求䍁䅁䅖求䝁䅍䅡畂䝁䄸䅢療䝁䅣兡求䡁䅍䅉䙂䝁䄴睚灂䝁䄴党求䡁䅉兡畂䝁䅣䅉潁䕁䅕兤祂䝁䄸䅣求䍁䅫䅉䵂䡁䅑䅚畁䅁䅁兘䅅䉁䅁䅁呂䙁䅑兒䝂䍁䅁睕䉂䅁䅁杹䅉䉁䅉䅁呂䙁䅣䅗㙁䕁䅉睕䵂䕁䄴䅁楃兂䅁杅䅁䙁䅍睖奂䑁䅯杔偂䙁䅙杔䅁䭁䙑䅁允䅁䅁睕塂䙁䅧杏卂䕁䄸睒䅁乁䙕䅁奁䅁䅁睕慂䙁䅍兒㙁䑁䅁䅍睁䑁䅣免睁䅁䅁䅑䅁䉁䅧䅁呂䙁䅯睕䙂䑁䅯䅍睁䑁䅅杍硁䑁䅍䅁⽃杁䅁䅇䅁䙁䅍杗呂䕁䅕杏睁䑁䅁杍ぁ䑁䅅睍䅁䙁䅁䅁奁䅁䅁睕慂䙁䅍兒㙁䑁䅍䅍睁䑁䅙杍㍁䅁䅁杔䅁䍁䄴䅁呂䝁䅅杙桂䝁䅉兙杁䙁䅍党橂䡁䅕杣灂䡁䅑入杁䙁䅍杌睂䍁䄴兑畁䅁䅁䅸䅁䥁偧䅁呂䝁䅅杙桂䝁䅉兙杁䙁䅍党橂䡁䅕杣灂䡁䅑入杁䙁䅍杌睂䍁䄴兑畁䍁䅁䅣祂䝁䄸杤灂䝁䅑党穂䍁䅁睙㕂䝁䅉党祂䡁䅍党橂䡁䅕杣灂䡁䅑入杁䡁䅁杣療䝁䅑兤橂䡁䅑督杁䝁䅅杢歂䍁䅁督求䡁䅉杤灂䝁䅍党穂䍁䅁兡畂䍁䅁兓あ䝁䅅䅢㕂䍁䄴䅉䩂䡁䅑䅉療䝁䅙杚求䡁䅉督杁䡁䅍党橂䡁䅕杣灂䡁䅑入杁䝁䅅兤歂䝁䅫䅤杁䡁䅍睢獂䡁䅕䅤灂䝁䄸杢穂䍁䅷䅉穂䡁䅕睙潂䍁䅁兙穂䍁䅁睕桂䝁䅉兙楂䝁䅅䅉呂䝁䅕睙ㅂ䡁䅉兡あ䡁䅫䅉䉂䡁䅍督求䡁䅍督瑂䝁䅕杢あ䍁䅁䅤潂䝁䅅䅤杁䡁䅁杣療䡁䅙兡歂䝁䅕督杁䝁䅑兡桂䝁䅣杢療䡁䅍䅤灂䝁䅍督杁䡁䅍党祂䡁䅙兡橂䝁䅕督杁䝁䅙睢祂䍁䅁睙㕂䝁䅉党祂䍁䅷䅉睂䝁䅧入穂䝁䅫睙桂䝁䅷䅌杁䝁䅅杢歂䍁䅁睙㕂䝁䅉党祂䍁䄰䅣潂䡁䅫督灂䝁䅍兙獂䍁䅁督求䝁䅍兤祂䝁䅫䅤㕂䍁䅁杣灂䡁䅍睡穂䑁䅳䅉呂䝁䅅杙桂䝁䅉兙杁䙁䅁党畂䝁䅕䅤祂䝁䅅䅤灂䝁䄸杢杁䙁䅑党穂䡁䅑兡畂䝁䅣䅉あ䝁䅧兙あ䍁䅁党㉂䝁䅅䅢ㅂ䝁䅅䅤求䡁䅍䅉あ䝁䅧党杁䡁䅍党橂䡁䅕杣灂䡁䅑入杁䝁䄰党橂䝁䅧兙畂䝁䅫督瑂䡁䅍䅉療䝁䅙䅉あ䝁䅧党杁䝁䄴党あ䡁䅣睢祂䝁䅳督獁䍁䅁兙睂䡁䅁䅢灂䝁䅍兙あ䝁䅫睢畂䡁䅍䅌杁䝁䅅杢歂䍁䅁睢あ䝁䅧党祂䍁䅁兙祂䝁䅕兙穂䑁䅳䅉呂䝁䅅杙桂䝁䅉兙杁䙁䅑䅡祂䝁䅕兙あ䍁䅁兓畂䡁䅑党獂䝁䅷兡湂䝁䅕杢橂䝁䅕䅉あ䝁䅧兙あ䍁䅁䅚求䡁䅑党橂䡁䅑督杁䝁䅷党桂䝁䅳党歂䍁䅁睙療䡁䅉䅣療䡁䅉兙あ䝁䅕䅉歂䝁䅅䅤桂䍁䅁兙畂䝁䅑䅉橂䡁䅉党歂䝁䅕杢あ䝁䅫兙獂䡁䅍䅉桂䝁䅍杣療䡁䅍督杁䝁䄸䅣求䝁䄴䅉穂䝁䄸兤祂䝁䅍党杁䝁䅫杢あ䝁䅕䅢獂䝁䅫睚求䝁䄴睙求䍁䅁兙畂䝁䅑䅉歂䝁䅅杣牂䍁䅁睤求䝁䅉䅉穂䝁䄸兤祂䝁䅍党穂䍁䅁杚療䡁䅉䅉浂䡁䅕杣あ䝁䅧党祂䍁䅁兡畂䡁䅙党穂䡁䅑兡湂䝁䅅䅤灂䝁䄸杢杁䝁䅅杢歂䍁䅁兢灂䡁䅑兡湂䝁䅅䅤灂䝁䄸杢㝁䍁䅁睕桂䝁䅉兙楂䝁䅅䅉呂䝁䅍睢ㅂ䡁䅑䅉あ䝁䅧兙あ䍁䅁䅡求䝁䅷䅣穂䍁䅁睙療䝁䄰䅣桂䝁䄴兡求䡁䅍䅉あ䝁䄸䅉穂䝁䅅杤求䍁䅁䅤灂䝁䄰党杁䝁䅅杢歂䍁䅁党浂䝁䅙睢祂䡁䅑督杁䡁䅑睢杁䝁䅣兙灂䝁䄴䅉穂䝁䅕睙ㅂ䡁䅉兡あ䡁䅫䅉穂䝁䄸䅢ㅂ䡁䅑兡療䝁䄴督㝁䍁䅁兙畂䝁䅑䅉呂䝁䅅杙桂䝁䅉兙杁䕁䅫杢橂䝁䅫䅚求䝁䄴䅤杁䙁䅉党穂䡁䅁睢畂䡁䅍党杁䡁䅑䅡桂䡁䅑䅉潂䝁䅕䅢睂䡁䅍䅉あ䝁䄸䅉楂䡁䅕兡獂䝁䅑䅉ㅂ䡁䅁䅉橂䡁䅫杙求䡁䅉䅉穂䝁䅕睙ㅂ䡁䅉兡あ䡁䅫䅉求䝁䄰党祂䝁䅣党畂䝁䅍入杁䡁䅁䅢桂䝁䄴杌杁䙁䅑䅡求䍁䅁睙療䝁䄰䅣桂䝁䄴入杁䝁䅅䅢穂䝁䄸䅉睂䡁䅉睢㉂䝁䅫䅚求䡁䅍䅉穂䝁䅕睙ㅂ䡁䅉兡あ䡁䅫䅉あ䝁䅕睙潂䝁䄴睢獂䝁䄸睚㕂䍁䅁督療䝁䅷兤あ䝁䅫睢畂䡁䅍䅌杁䝁䅫杢橂䝁䅷兤歂䝁䅫杢湂䍁䅁睕桂䝁䅉兙楂䝁䅅䅉䍂䡁䅉睢㍂䡁䅍党祂䍁䅁兓穂䝁䄸䅢桂䡁䅑兡療䝁䄴䅉あ䝁䅧兙あ䍁䅁杙獂䝁䄸睙牂䡁䅍䅉䩂䝁䄴䅤求䡁䅉杢求䡁䅑䅉あ䝁䅧杣求䝁䅅䅤穂䍁䅁杙㕂䍁䅁党㑂䝁䅕睙ㅂ䡁䅑兡畂䝁䅣䅉㍂䝁䅕杙杁䝁䅍睢畂䡁䅑党畂䡁䅑䅉灂䝁䄴䅉祂䝁䅕兢療䡁䅑党杁䝁䅫督療䝁䅷兙あ䝁䅕䅚杁䝁䅍睢畂䡁䅑兙灂䝁䄴党祂䡁䅍睏杁䙁䅍兙楂䝁䅅杙桂䍁䅁睕求䝁䅍兤祂䝁䅕䅉䕂䕁䄴睕杁䡁䅑䅡桂䡁䅑䅉橂䝁䅧党橂䝁䅳督杁䝁䅅杢歂䍁䅁睙獂䝁䅅督穂䝁䅫杚灂䝁䅕督杁䝁䅑睢瑂䝁䅅兡畂䍁䅁兣ㅂ䝁䅕杣灂䝁䅕督獁䍁䅁杙獂䝁䄸睙牂䡁䅍䅉桂䝁䅍睙求䡁䅍督杁䡁䅑睢杁䝁䄰兙獂䝁䅫睙灂䝁䄸兤穂䍁䅁督灂䡁䅑党穂䍁䅷䅉桂䝁䄴䅚杁䡁䅉党穂䡁䅑杣灂䝁䅍䅤穂䍁䅁兙橂䝁䅍党穂䡁䅍䅉あ䝁䄸䅉畂䝁䅕睤獂䡁䅫䅉橂䡁䅉党桂䡁䅑党歂䍁䅁䅚療䝁䄰兙灂䝁䄴督㝁䍁䅁睕桂䝁䅉兙楂䝁䅅䅉呂䝁䅅杢歂䝁䅉睢㑂䍁䅁杙桂䡁䅍党歂䍁䅁睢畂䍁䅁兙畂䍁䅁兙湂䝁䅕杢あ䝁䅷党穂䡁䅍䅉潂䡁䅫䅣求䡁䅉杤灂䡁䅍睢祂䍁䅁兡畂䡁䅙兡穂䝁䅫杙獂䝁䅕䅉浂䝁䄸杣杁䝁䄰兙獂䡁䅣兙祂䝁䅕睏杁䝁䅅杢歂䍁䅁睕桂䝁䅉兙楂䝁䅅䅉䝂䝁䅷入杁䙁䅯睢畂䝁䅕䅉䕂䝁䅕杚求䝁䄴䅚求䡁䅉䅉あ䝁䅧兙あ䍁䅁䅚求䡁䅑党橂䡁䅑督杁䝁䅑杣療䝁䄴党穂䍁䄴䅉䝂䡁䅕杣あ䝁䅧党祂䍁䅷䅉灂䡁䅑䅉療䝁䅙杚求䡁䅉督杁䡁䅍党橂䡁䅕杣灂䡁䅑入杁䝁䄰睢畂䝁䅫䅤療䡁䅉兡畂䝁䅣䅉穂䝁䄸䅢ㅂ䡁䅑兡療䝁䄴督獁䍁䅁督ㅂ䝁䅍䅡杁䝁䅅督杁䙁䅍兙楂䝁䅅杙桂䍁䅁兔䕂䙁䅉䅉あ䝁䅧兙あ䍁䅁䅣祂䝁䄸杤灂䝁䅑党穂䍁䅁党畂䝁䅑䅣療䝁䅫杢あ䍁䅁䅚求䡁䅑党橂䡁䅑兡療䝁䄴䅉桂䝁䄴䅚杁䡁䅉党穂䡁䅁睢畂䡁䅍党杁䝁䅍兙睂䝁䅅杙灂䝁䅷兡あ䝁䅫党穂䑁䅳䅉呂䝁䅅杙桂䝁䅉兙杁䑁䅍李睁䍁䅁䅤潂䝁䅅䅤杁䝁䄰睢畂䝁䅫䅤療䡁䅉督杁䕁䅫䅖杁䝁䅅杢歂䍁䅁睔啂䍁䅁督求䝁䅍兤祂䝁䅫䅤㕂䍁䅁党㉂䝁䅕杢あ䍁䅁䅢療䝁䅣督獁䍁䅁兙畂䝁䅅䅢㕂䡁䅯兡畂䝁䅣䅉あ䝁䅧党瑂䍁䅁杚療䡁䅉䅉桂䝁䄴睢瑂䝁䅅䅢灂䝁䅕督杁䝁䅅杢歂䍁䅁䅚求䡁䅑党橂䡁䅑兡畂䝁䅣䅉橂䡁䅫杙求䡁䅉兌桂䡁䅑䅤桂䝁䅍睡穂䑁䅳䅉呂䝁䅅杙桂䝁䅉兙杁䙁䅍睔䑂䍁䅁䅤潂䝁䅅䅤杁䡁䅁杣療䡁䅙兡歂䝁䅕督杁䙁䅍睔䑂䍁䅁䅤求䝁䅍䅡畂䝁䄸䅢療䝁䅣兡求䡁䅍䅉桂䝁䄴䅚杁䡁䅑䅡祂䝁䅕兙あ䍁䅁兡畂䡁䅑党獂䝁䅷兡湂䝁䅕杢橂䝁䅕䅉浂䝁䄸杣杁䡁䅍党橂䡁䅕杣灂䡁䅑入杁䝁䄰睢畂䝁䅫䅤療䡁䅉兡畂䝁䅣䅉桂䝁䄴䅚杁䡁䅑䅡祂䝁䅕兙あ䍁䅁䅡ㅂ䝁䄴䅤灂䝁䄴睚㝁䍁䅁兙畂䝁䅑䅉呂䝁䅅杙桂䝁䅉兙杁䙁䅙兡祂䡁䅑兤桂䝁䅷䅉䑂䕁䅫睕偂䍁䅁䅤潂䝁䅅䅤杁䡁䅁杣療䡁䅙兡歂䝁䅕督杁䕁䅍兓呂䕁䄸䅉穂䝁䅕杣㉂䝁䅫睙求䡁䅍䅉浂䝁䄸杣杁䕁䅫䅖癁䕁䄸䅖杁䡁䅍党橂䡁䅕杣灂䡁䅑入杁䡁䅑党桂䝁䄰䅉桂䝁䄴䅚杁䝁䅣睢㉂䝁䅕杣畂䍁䅁督求䝁䅍兤祂䝁䅫䅤㕂䍁䅁䅣祂䝁䄸条求䝁䅍䅤穂䍁䄴䅉䩂䝁䄴䅉桂䝁䅑䅚灂䡁䅑兡療䝁䄴䅌杁䡁䅑䅡求䍁䅁睙療䝁䄰䅣桂䝁䄴入杁䡁䅁杣療䡁䅙兡歂䝁䅕督杁䡁䅍党橂䡁䅕杣灂䡁䅑入杁䡁䅑杣桂䝁䅫杢灂䝁䄴睚杁䡁䅍睢獂䡁䅕䅤灂䝁䄸杢穂䍁䅷䅉灂䝁䄴睙獂䡁䅕䅚灂䝁䄴睚杁䙁䅍兙楂䝁䅅杙桂䍁䅁兑㍂䝁䅅杣求䝁䄴党穂䡁䅍䅌杁䝁䅅杢杁䝁䄸杢獂䝁䅫杢求䍁䅁䅤祂䝁䅅兡畂䝁䅫杢湂䍁䅁䅣獂䝁䅅䅤浂䝁䄸杣瑂䍁䅁睤灂䡁䅑䅡杁䝁䄰兤獂䡁䅑兡睂䝁䅷党杁䝁䅍兤穂䡁䅑睢瑂䝁䅫来桂䝁䅉䅢求䍁䅁兢療䝁䅑兤獂䝁䅕督㝁䍁䅁兙畂䝁䅑䅉呂䝁䅅杙桂䝁䅉兙杁䕁䅫䅤祂䝁䅅兡畂䡁䅍党橂䍁䅷䅉桂䍁䅁督求䡁䅑䅉療䝁䅙䅉桂䝁䅑杤桂䝁䄴睙求䝁䅑䅉療䝁䅙杚穂䝁䅫䅤求䍁䅁兙畂䝁䅑䅉療䝁䄴䅢灂䝁䄴党杁䡁䅑杣桂䝁䅫杢灂䝁䄴睚杁䡁䅁杣療䝁䅣杣桂䝁䄰督畁䍁䅁兓あ䍁䅁督求䡁䅉杤求䡁䅍䅉灂䝁䄴䅚ㅂ䡁䅍䅤祂䝁䅫兙獂䍁䅷䅉桂䡁䅕䅤療䝁䄰睢あ䝁䅫杤求䍁䅷䅉あ䝁䅕䅢求䝁䅍睢瑂䍁䅷䅉浂䝁䅫杢桂䝁䄴睙求䍁䅷䅉求䝁䄴党祂䝁䅣入獁䍁䅁杣求䡁䅑兙灂䝁䅷䅌杁䝁䅅杢歂䍁䅁睢あ䝁䅧党祂䍁䅁兡畂䝁䅑兤穂䡁䅑杣灂䝁䅕督畁䍁䅁䅖潂䝁䅕䅉橂䝁䄸兢睂䝁䅅杢㕂䍁䅁睤桂䡁䅍䅉浂䝁䄸兤畂䝁䅑党歂䍁䅁兡畂䍁䅁杍睁䑁䅅兏杁䝁䅅杢歂䍁䅁兡穂䍁䅁䅡求䝁䅅䅚硂䡁䅕兙祂䡁䅑党祂䝁䅕䅚杁䝁䅫杢杁䙁䅁党祂䝁䄸䅌杁䕁䅫䅤桂䝁䅷入畁䅁䅁䅹䅁䑁䅁䅁呂䝁䅅杙求䡁䅉䅉䩂䝁䄴䅤求䡁䅉兙橂䡁䅑兡㉂䝁䅕䅌杁䕁䅫杢橂䍁䄴䅁塂杁䅁杏䅕䙁䅍兙楂䝁䅕杣杁䕁䅫杢あ䝁䅕杣桂䝁䅍䅤灂䡁䅙党獁䍁䅁兓畂䝁䅍杌杁䝁䅑党㉂䝁䅕䅢療䡁䅁督杁䝁䄸杢獂䝁䅫杢求䍁䅁兢療䝁䅉兡獂䝁䅕䅉桂䝁䄴䅚杁䡁䅙兡歂䝁䅕睢杁䝁䅣兙瑂䝁䅕督杁䝁䅣䅢療䝁䅉兙獂䝁䅷入畁䍁䅁兓あ䍁䅁䅚求䡁䅙党獂䝁䄸䅣穂䍁䅁睚桂䝁䄰党穂䍁䅁杚療䡁䅉䅉睂䝁䅷兙あ䝁䅙睢祂䝁䄰督獁䍁䅁兡畂䝁䅍䅢ㅂ䝁䅑兡畂䝁䅣䅉奂䝁䅉睢㑂䍁䅁睔畂䝁䅕䅉桂䝁䄴䅚杁䙁䅧杙療䡁䅧䅉穁䑁䅙䅍獁䍁䅁䅕呂䑁䅑䅉桂䝁䄴䅚杁䙁䅁睕穁䍁䅷䅉佂䝁䅫杢あ䝁䅕杢歂䝁䄸䅉呂䡁䅣兡あ䝁䅍䅡獁䍁䅁兙畂䝁䅑䅉兂䕁䅍杌杁䙁䅑䅡求䍁䅁睙療䝁䄰䅣桂䝁䄴入杁䡁䅣兙穂䍁䅁杚療䡁䅕杢歂䝁䅕䅚杁䝁䅫杢杁䑁䅉䅍睁䑁䅅䅉桂䝁䄴䅚杁䝁䅫督杁䝁䅉兙穂䝁䅕䅚杁䝁䅫杢杁䕁䅙睢祂䡁䅑䅉䵂䝁䅅兤歂䝁䅕杣歂䝁䅅䅢求䍁䅷䅉䝂䝁䅷睢祂䝁䅫䅚桂䍁䄴䅉䩂䡁䅑䅉潂䝁䅅督杁䝁䅅䅚歂䝁䅫䅤灂䝁䄸杢桂䝁䅷䅉療䝁䅙杚灂䝁䅍党穂䍁䅁兡畂䍁䅁杔求䡁䅣䅉婂䝁䄸杣牂䍁䅷䅉佂䝁䅕睤杁䙁䅫睢祂䝁䅳睏杁䕁䅑党畂䡁䅙党祂䍁䅷䅉䑂䝁䄸䅢療䡁䅉兙歂䝁䄸睏杁䕁䅅兤穂䡁䅑兡畂䍁䅷䅉啂䝁䅕䅥桂䡁䅍睏杁䙁䅍兙灂䝁䄴䅤杁䙁䅁党あ䝁䅕杣穂䝁䅉兤祂䝁䅣䅌杁䙁䅉兤穂䡁䅍兡桂䑁䅳䅉乂䝁䅅䅚祂䝁䅫䅚獁䍁䅁睕睂䝁䅅兡畂䑁䅳䅉䑂䝁䅅䅢湂䝁䅅杣㕂䍁䅷䅉䑂䝁䅅杢桂䝁䅑兙㝁䍁䅁睕ㅂ䝁䄴䅚穂䡁䅙兙獂䝁䅷䅌杁䙁䅍睤求䝁䅑党畂䑁䅳䅉兂䝁䄸杣あ䝁䄸䅌杁䙁䅁睢祂䡁䅑兤湂䝁䅅䅢㝁䍁䅁兔灂䝁䄴督牂䍁䅷䅉䍂䝁䅕䅢桂䡁䅉兤穂䑁䅳䅉䱂䡁䅫兡㉂䍁䅷䅉噂䝁䅳杣桂䝁䅫杢求䑁䅳䅉呂䝁䅷兡求䝁䄰兙獁䍁䅁兔桂䝁䅷䅤桂䑁䅳䅉䍂䝁䅕䅢湂䡁䅉兙歂䝁䅕䅌杁䙁䅍党祂䝁䅉兡桂䑁䅳䅉呂䝁䄸杚灂䝁䅅䅌杁䕁䅉兤獂䝁䅣兙祂䝁䅫兙㝁䍁䅁村ㅂ䝁䅑兙睂䝁䅕督あ䍁䅷䅉䥂䡁䅕杢湂䝁䅅杣㕂䑁䅳䅉啂䡁䅕杣灂䝁䄴䅌杁䕁䅫䅤桂䝁䅷入㝁䍁䅁兙畂䝁䅑䅉䍂䡁䅕党畂䝁䄸督杁䕁䅅兡祂䝁䅕督獁䍁䅁兑祂䝁䅣党畂䡁䅑兡畂䝁䅅杌杁䕁䅅督杁䝁䄸杚杁䕁䅅䅣祂䝁䅫䅢杁䑁䅅䅌杁䑁䅉䅍祁䑁䅁䅌杁䙁䅍兙楂䝁䅕杣杁䕁䅫杢あ䝁䅕杣桂䝁䅍䅤灂䡁䅙党獁䍁䅁兓畂䝁䅍杌杁䝁䄸䅣求䡁䅉兙あ䝁䅕督杁䝁䅅督杁䝁䅅䅉穂䡁䅕杙穂䝁䅫䅚灂䝁䅅杣㕂䍁䅁睢浂䍁䅁兒瑂䝁䅉杣桂䝁䅍党祂䍁䅁睒祂䝁䄸兤睂䍁䅁兑䍂䍁䅁䅋睂䡁䅕杙獂䍁䅫杌䅁䝁䍅䅁杂䅁䅁睕桂䝁䅙党瑁䙁䅑䅉䡂䡁䅉睢ㅂ䡁䅁䅉䵂䡁䅑䅚杁䍁䅧杢牂䝁䅅杏䉂䝁䅷兙祂䡁䅕兢杁䙁䅑党橂䝁䅧杢療䝁䅷睢湂䝁䅫党穂䍁䅁䅔あ䝁䅑杌灁䅁䅁䅦䅁䑁䅑䅁呂䝁䅅杚求䡁䅑党橂䝁䅧䅉䩂䝁䄴杢療䡁䅙兙あ䝁䅫睢畂䡁䅍䅉呂䍁䄴兑畁䅁䅁兵䅁䉁䅑䅁呂䝁䅅杚祂䝁䅅杢杁䙁䅍兑䅁偁䅑䅁睁䅁䅁睕桂䝁䅣党杁䙁䅑䅡求䡁䅉兙睂䝁䅕兤あ䝁䅫睙穂䍁䅷䅉䩂䝁䄴睙畁䅁䅁䅺䅕䑁䱙䅁呂䝁䅅睚求䍁䅁䅖潂䝁䅕杣桂䡁䅁党ㅂ䡁䅑兡橂䡁䅍䅌杁䕁䅫杢橂䍁䄴䅌杁䝁䅅䅉楂䝁䅫睢睂䝁䅧兙祂䝁䄰兙橂䝁䅕兤あ䝁䅫睙桂䝁䅷䅉橂䝁䄸兢睂䝁䅅杢㕂䍁䅷䅉歂䝁䅕杤求䝁䅷睢睂䡁䅍䅉桂䝁䄴䅚杁䝁䅍睢瑂䝁䄰党祂䝁䅍兡桂䝁䅷兡㙂䝁䅕督杁䝁䅉杣桂䝁䅫杢杁䝁䅧党桂䝁䅷䅤潂䍁䅁兢求䝁䅑兡橂䝁䅫杢求䡁䅍杌杁䕁䅫䅤穂䍁䅁䅣祂䝁䄸䅚ㅂ䝁䅍䅤杁䝁䅍兙畂䝁䅑兡歂䝁䅅䅤求䡁䅍䅉灂䝁䄴睙獂䡁䅕䅚求䍁䅁杗噂䕁䅷杕䙂䙁䅍睕偂䍁䅷䅉桂䍁䅁睑䩂䙁䅙䅉灂䝁䄴条求䝁䅍䅤灂䝁䄸杢杁䝁䅙睢祂䍁䅁䅤潂䝁䅕䅉あ䡁䅉党桂䡁䅑兢求䝁䄴䅤杁䝁䄸杚杁䡁䅁睢穂䡁䅑䅣桂䡁䅉䅤ㅂ䝁䄰䅉歂䝁䅕䅣祂䝁䅕督穂䝁䅫睢畂䍁䅁䅋兂䙁䅁䅒灁䍁䅁兡畂䍁䅁兙歂䡁䅕䅢あ䡁䅍睏杁䝁䅅杢歂䍁䅁杗噂䙁䅉杗噂䙁䅙兑䙂䍁䅷䅉桂䍁䅁杢求䡁䅕杣療䝁䅅睙あ䝁䅫杤求䍁䅁督あ䝁䅕杣療䝁䅫䅚獁䍁䅁兙杁䡁䅁睢穂䝁䅫䅤灂䡁䅙党杁䝁䅅䅢獂䝁䄸督あ䝁䅕杣灂䝁䅍䅉瑂䝁䄸䅚ㅂ䝁䅷兙あ䝁䄸杣杁䝁䄸杚杁䕁䅣兑䍂䕁䅅兑杁䡁䅉党橂䝁䅕䅣あ䝁䄸杣穂䍁䅷䅉あ䝁䅅杣湂䝁䅕䅤灂䝁䄴睚杁䝁䅉睢あ䝁䅧䅉穂䡁䅫杢桂䡁䅁䅤灂䝁䅍䅉桂䝁䄴䅚杁䝁䅕䅥あ䡁䅉兙穂䡁䅫杢桂䡁䅁䅤灂䝁䅍䅉䡂䕁䅅村䉂䕁䅅䅉祂䝁䅕睙求䡁䅁䅤療䡁䅉督獁䍁䅁杚療䡁䅉䅉あ䝁䅧党杁䡁䅑杣求䝁䅅䅤瑂䝁䅕杢あ䍁䅁睢浂䍁䅁䅣療䡁䅍䅤睂䝁䅅杣あ䡁䅕兢杁䝁䅑党睂䡁䅉党穂䡁䅍兡療䝁䄴杌杁䕁䅫䅤穂䍁䅁䅣祂䝁䄸䅚ㅂ䝁䅍䅤杁䡁䅁兡睂䝁䅕䅢灂䝁䄴党杁䝁䅅䅢穂䝁䄸䅉橂䝁䄸兢睂䡁䅉兡穂䝁䅕督杁䙁䅍兑䡂䕁䅕兌穁䑁䅉䅎獁䍁䅁兙杁䝁䅍睢瑂䡁䅁睢ㅂ䝁䄴䅚杁䡁䅑䅡桂䡁䅑䅉灂䡁䅍䅉灂䝁䄴䅉兂䝁䅧兙穂䝁䅕䅉䩂䕁䅫䅉橂䝁䅷兡畂䝁䅫睙桂䝁䅷䅉あ䡁䅉兡桂䝁䅷䅉あ䝁䄸䅉あ䡁䅉党桂䡁䅑䅉求䡁䅍督求䝁䄴䅤灂䝁䅅䅢杁䡁䅑杣求䝁䄰睢祂䡁䅍䅌杁䝁䅅督杁䡁䅣党獂䝁䅷䅉桂䡁䅍䅉潂䝁䅅督杁䝁䅍睢瑂䡁䅁䅢求䡁䅑党歂䍁䅁䅕潂䝁䅅督求䍁䅁兓杁䝁䅍䅢灂䝁䄴兡橂䝁䅅䅢杁䡁䅑杣灂䝁䅅䅢杁䝁䅙睢祂䍁䅁党睂䝁䅫䅢求䡁䅁督㕂䍁䅁兙畂䝁䅑䅉兂䝁䅅杣牂䝁䅫杢穂䝁䄸杢婁䡉䅍䅉歂䝁䅫督求䝁䅅督求䡁䅍睏杁䝁䅅杢歂䍁䅁睕䉂䕁䅣兒瑁䑁䅣免㑁䍁䅷䅉桂䝁䄴䅉療䡁䅧入穂䡁䅑党祂䝁䄸䅢瑁䝁䅉兙穂䝁䅕䅚杁䡁䅁睢穂䝁䅫䅤灂䡁䅙党杁䝁䅅䅢獂䝁䄸督あ䝁䅕杣灂䝁䅍䅉瑂䝁䄸䅚ㅂ䝁䅷兙あ䝁䄸杣杁䝁䄸杚杁䡁䅑䅡求䍁䅁杔乂䕁䅑兑杁䡁䅉党橂䝁䅕䅣あ䝁䄸杣獁䍁䅁睤潂䝁䅫睙潂䍁䅁兡穂䍁䅁兡畂䍁䅁䅕潂䝁䅅督求䍁䅁兓䩂䍁䅁睙獂䝁䅫杢灂䝁䅍兙獂䍁䅁䅤祂䝁䅫兙獂䍁䅁杚療䡁䅉䅉あ䝁䅧党杁䡁䅑杣求䝁䅅䅤瑂䝁䅕杢あ䍁䅁睢浂䍁䅁䅚求䡁䅁杣求䡁䅍督灂䝁䄸杢獁䍁䅁䅓ㅂ䝁䄴䅤灂䝁䄴睚あ䝁䄸杢婁䡉䅍䅉歂䝁䅫督求䝁䅅督求䍁䅷䅉兂䝁䅅杣牂䝁䅫杢穂䝁䄸杢婁䡉䅍䅉歂䝁䅫督求䝁䅅督求䡁䅍䅌杁䕁䅅䅢㙂䝁䅧党灂䝁䄰党祂䉁杫督杁䝁䅑兡穂䝁䅕兙穂䝁䅕䅌杁䝁䅅䅤あ䝁䅕杢あ䝁䅫睢畂䍁䅁䅚求䝁䅙兡橂䝁䅫䅤杁䝁䅧入睂䝁䅕杣桂䝁䅍䅤灂䡁䅙兡あ䡁䅫䅉歂䝁䅫督療䡁䅉䅚求䡁䅉䅌杁䡁䅍睙潂䝁䅫来療䡁䅁䅡祂䝁䅕杢灂䝁䅅䅌杁䝁䅅杢歂䍁䅁杢求䡁䅕杣療䡁䅁兙あ䝁䅧兡橂䍁䅁䅣桂䝁䅫杢畁䍁䅁䅖潂䝁䅕䅉橂䝁䄸兢睂䝁䅅杢㕂䍁䅁䅡桂䡁䅍䅉桂䍁䅁督あ䡁䅉兙あ䝁䅕睚灂䝁䅍䅉橂䝁䄸䅢獂䝁䅅杙療䡁䅉兙あ䝁䅫睢畂䍁䅁睤灂䡁䅑䅡杁䙁䅍䅡灂䝁䄸杢療䝁䅣兡杁䍁䅙䅉䑂䝁䄸杌獁䍁䅁䅔あ䝁䅑杌杁䝁䅙睢祂䍁䅁䅤潂䝁䅕䅉歂䝁䅕杤求䝁䅷睢睂䝁䄰党畂䡁䅑䅉桂䝁䄴䅚杁䝁䅍睢瑂䝁䄰党祂䝁䅍兡桂䝁䅷兡㙂䝁䅅䅤灂䝁䄸杢杁䝁䄸杚杁䡁䅯兤祂䝁䅅杢療䝁䅷睢畂䝁䅕䅉灂䝁䄴䅉䭂䝁䅅䅣桂䝁䄴䅌杁䙁䅑兙灂䡁䅣兙畂䍁䅷䅉桂䝁䄴䅚杁䙁䅍睢ㅂ䡁䅑䅡杁䕁䅳睢祂䝁䅕兙㝁䍁䅁兙畂䝁䅑䅉桂䍁䅁睙療䝁䅷䅢桂䝁䅉睢祂䝁䅅䅤灂䝁䄸杢杁䝁䅅杢歂䍁䅁䅢灂䝁䅍党畂䡁䅍党杁䝁䅅睚祂䝁䅕党瑂䝁䅕杢あ䍁䅁睤灂䡁䅑䅡杁䕁䅉兡療䝁䅣党畂䍁䅁兔䉂䍁䅁兓畂䝁䅍杌杁䡁䅑睢杁䝁䅯睢灂䝁䄴䅤獂䡁䅫䅉歂䝁䅕杤求䝁䅷睢睂䍁䅁兙畂䝁䅑䅉橂䝁䄸兢瑂䝁䅕杣橂䝁䅫兙獂䝁䅫来求䍁䅁睕䉂䕁䅣兒瑁䑁䅉免㍁䍁䅁兙畂䝁䅑䅉呂䕁䅅睒䙂䍁䄰睍祁䑁䅑䅉睂䡁䅉睢歂䡁䅕睙あ䡁䅍杌杁䙁䅑䅡求䍁䅁睙療䝁䄰䅣桂䝁䄴入杁䡁䅣兙穂䍁䅁杚療䡁䅉兢求䡁䅉䅢㕂䍁䅁睡畂䝁䄸睤畂䍁䅁兙穂䍁䅁睕あ䝁䅕杣療䝁䅣党畂䍁䅁村灂䝁䄸䅣潂䝁䅅杣瑂䝁䅅䅌杁䕁䅫杢橂䍁䄴䅉桂䝁䄴䅚杁䝁䅍䅡桂䝁䄴睚求䝁䅑䅉灂䡁䅑督杁䝁䄴兙瑂䝁䅕䅉あ䝁䄸䅉呂䝁䅅睚求䍁䅁䅖潂䝁䅕杣桂䡁䅁党ㅂ䡁䅑兡橂䡁䅍䅌杁䕁䅫杢橂䍁䄴䅉灂䝁䄴䅉呂䝁䅕䅣あ䝁䅕兢楂䝁䅕杣杁䑁䅉䅍硁䑁䅅杌杁䙁䅍兙湂䝁䅕䅉啂䝁䅧党祂䝁䅅䅣求䡁䅕䅤灂䝁䅍督獁䍁䅁兓畂䝁䅍杌杁䡁䅣兙穂䍁䅁兡畂䝁䅍睢祂䡁䅁睢祂䝁䅅䅤求䝁䅑䅉灂䝁䄴䅉祁䑁䅁免睁䍁䅁兙畂䝁䅑䅉灂䡁䅍䅉潂䝁䅕兙歂䡁䅅兤桂䡁䅉䅤求䡁䅉党歂䍁䅁兡畂䍁䅁睑桂䝁䄰杙祂䝁䅫䅚湂䝁䅕䅌杁䕁䄰兙穂䡁䅍兙橂䝁䅧兤穂䝁䅕䅤あ䡁䅍杌䅁䕁䝳䅁啂䅄䅁睕桂䝁䅣党杁䙁䅑䅡求䡁䅉兙睂䝁䅕兤あ䝁䅫睙穂䍁䅷䅉䩂䝁䄴睙畁䍁䅷䅉桂䍁䅁杙灂䝁䄸䅣潂䝁䅅杣瑂䝁䅅睙求䡁䅕䅤灂䝁䅍兙獂䍁䅁睙療䝁䄰䅣桂䝁䄴入獁䍁䅁䅚求䡁䅙党獂䝁䄸䅣穂䍁䅁兙畂䝁䅑䅉橂䝁䄸兢瑂䝁䅕杣橂䝁䅫兙獂䝁䅫来求䡁䅍䅉楂䡁䅉兙灂䝁䄴䅉潂䝁䅕兙獂䡁䅑䅡杁䝁䄰党歂䝁䅫睙灂䝁䄴党穂䍁䄴䅉䩂䡁䅑督杁䡁䅁杣療䝁䅑兤橂䡁䅑䅉橂䝁䅅杢歂䝁䅫䅚桂䡁䅑党穂䍁䅁兡畂䝁䅍䅢ㅂ䝁䅑党杁䙁䅯兖䵂䙁䅉兒呂䙁䅍睔獁䍁䅁兙杁䕁䅍兓坂䍁䅁兡畂䝁䅯党橂䡁䅑兡療䝁䄴䅉浂䝁䄸杣杁䡁䅑䅡求䍁䅁䅤祂䝁䅕兙あ䝁䄰党畂䡁䅑䅉療䝁䅙䅉睂䝁䄸督あ䡁䅁兙祂䡁䅑兤瑂䍁䅁䅚求䡁䅁杣求䡁䅍督灂䝁䄸杢杁䍁䅧䅕兂䕁䅑克杁䝁䅫杢杁䝁䅅䅚ㅂ䝁䅷䅤穂䑁䅳䅉㙂䡁䅕杣桂䝁䄴睢獂䝁䄸杢求䍁䅷䅉桂䍁䅁杢求䡁䅕杣療䝁䅅睙あ䝁䅫杤求䍁䅁督あ䝁䅕杣療䝁䅫䅚獁䍁䅁睤潂䝁䅫睙潂䍁䅁䅡桂䡁䅍䅉橂䝁䄸兢睂䝁䅷党あ䝁䅕䅚杁䙁䅁䅡桂䡁䅍党杁䕁䅫兓䩂䍁䅁睙獂䝁䅫杢灂䝁䅍兙獂䍁䅁䅤祂䝁䅫兙獂䡁䅍䅉浂䝁䄸杣杁䡁䅑杣求䝁䅅䅤灂䝁䄴睚杁䙁䅁䅕䕂䍁䅁兙畂䝁䅑䅉瑂䝁䅅条療䡁䅉䅉歂䝁䅕䅣祂䝁䅕督穂䝁䅫杤求䍁䅁䅚灂䡁䅍睢祂䝁䅑党祂䡁䅍䅌杁䝁䅅督杁䡁䅣党獂䝁䅷䅉桂䡁䅍䅉灂䡁䅍䅉灂䝁䄴䅉兂䝁䅧兙穂䝁䅕䅉䩂䕁䅫䅉橂䝁䅷兡畂䝁䅫睙桂䝁䅷䅉あ䡁䅉兡桂䝁䅷督杁䝁䅙睢祂䍁䅁䅤祂䝁䅕兙あ䝁䄰党畂䡁䅑䅉祂䝁䅕督灂䡁䅍䅤桂䝁䄴䅤杁䝁䅑党睂䡁䅉党穂䡁䅍兡療䝁䄴䅌杁䝁䅣党畂䝁䅕杣桂䝁䅷兡㙂䝁䅕䅚杁䝁䅅杢㑂䝁䅫党あ䡁䅫䅉歂䝁䅫督療䡁䅉䅚求䡁䅉督獁䍁䅁兙畂䝁䅑䅉楂䝁䅫䅣療䝁䅷兙祂䍁䅁䅚求䡁䅁杣求䡁䅍督灂䝁䄸杢㝁䍁䅁兙畂䝁䅑䅉呂䕁䅅睒䙂䍁䄰睍祁䑁䅑䅌杁䝁䅅䅉橂䝁䄸兢睂䝁䄸兤畂䝁䅑䅉あ䝁䅧兙あ䍁䅁兡穂䍁䅁兡畂䍁䅁䅕潂䝁䅅督求䍁䅁兓䩂䍁䅁睙獂䝁䅫杢灂䝁䅍兙獂䍁䅁䅤祂䝁䅫兙獂䍁䅁䅤療䍁䅁䅤祂䝁䅕兙あ䍁䅁党穂䡁䅍党畂䡁䅑兡桂䝁䅷䅉あ䡁䅉党瑂䝁䄸杣穂䍁䅷䅉桂䡁䅍䅉㍂䝁䅕䅢獂䍁䅁兙穂䍁䅁䅡桂䡁䅍䅉橂䝁䄸兢睂䝁䅷党あ䝁䅕䅚杁䙁䅁䅡桂䡁䅍党杁䕁䅫䅉橂䝁䅷兡畂䝁䅫睙桂䝁䅷䅉あ䡁䅉兡桂䝁䅷䅉浂䝁䄸杣杁䝁䅕䅣灂䝁䅷党睂䡁䅍入杁䝁䅅杢歂䍁䅁䅕桂䡁䅉睡灂䝁䄴督療䝁䄴升穂䍁䅁䅚灂䡁䅍党桂䡁䅍党穂䍁䄴䅉䩂䡁䅑督杁䡁䅁杣療䝁䅑兤橂䡁䅑䅉睂䝁䅫䅣求䝁䅷兡畂䝁䅕䅉桂䝁䅷督療䍁䅁睙療䝁䄰䅣祂䝁䅫督求䡁䅍䅉呂䕁䅅睒䙂䍁䄰李㑁䑁䅫䅉あ䝁䅧兙あ䍁䅁兡穂䍁䅁兡畂䍁䅁䅕潂䝁䅅督求䍁䅁兓䩂䍁䅁睙獂䝁䅫杢灂䝁䅍兙獂䍁䅁䅤祂䝁䅫兙獂䍁䅁杚療䡁䅉䅉あ䡁䅉党桂䡁䅑兡畂䝁䅣䅉桂䝁䅍兤あ䝁䅕䅉䡂䕁䅅村䉂䍁䅁䅡㕂䡁䅁睢浂䡁䅕杢橂䡁䅑兡療䝁䄴睏杁䙁䅍兑䡂䕁䅕兌㍁䑁䅅䅏獁䍁䅁兙畂䍁䅁睢㑂䡁䅫督あ䝁䅕杣療䝁䅷兌楂䝁䅅督求䝁䅑䅉睂䝁䄸督灂䡁䅑兡㉂䝁䅕䅉桂䝁䅷䅢療䡁䅍䅤求䡁䅉兡橂䍁䅁兢療䝁䅑兤獂䝁䅅䅤療䡁䅉䅉療䝁䅙䅉あ䝁䅧党杁䕁䄴兔䕂䕁䅅䅉祂䝁䅕睙求䡁䅁䅤療䡁䅉䅌杁䡁䅣䅡灂䝁䅍䅡杁䝁䅫督杁䝁䅫杢杁䙁䅁䅡桂䡁䅍党杁䕁䅫兓杁䝁䅍䅢灂䝁䄴兡橂䝁䅅䅢杁䡁䅑杣灂䝁䅅䅢杁䝁䅙睢祂䍁䅁䅤潂䝁䅕䅉あ䡁䅉党桂䡁䅑兢求䝁䄴䅤杁䝁䄸杚杁䝁䅑党睂䡁䅉党穂䡁䅍兡療䝁䄴䅌杁䕁䅧兤畂䡁䅑兡畂䝁䅣䅤療䝁䄴升穂䍁䅁䅚灂䡁䅍党桂䡁䅍党獁䍁䅁兑獂䡁䅯䅡求䝁䅫兢求䡁䅉升穂䍁䅁䅚灂䡁䅍党桂䡁䅍党獁䍁䅁兙あ䡁䅑党畂䡁䅑兡療䝁䄴䅉歂䝁䅕杚灂䝁䅍兡あ䍁䅁䅡㕂䡁䅁党祂䝁䅅睙あ䝁䅫杤灂䡁䅑入杁䝁䅑兡穂䝁䄸杣歂䝁䅕杣獁䍁䅁督橂䝁䅧兡㙂䝁䄸䅣潂䡁䅉党畂䝁䅫兙獁䍁䅁兙畂䝁䅑䅉畂䝁䅕兤祂䝁䄸䅣桂䡁䅑䅡灂䝁䅍䅉睂䝁䅅兡畂䍁䄴䅉呂䝁䅅睚求䍁䅁䅖潂䝁䅕杣桂䡁䅁党ㅂ䡁䅑兡橂䡁䅍䅌杁䕁䅫杢橂䍁䄴䅉潂䝁䅅督杁䝁䅅䅉穂䡁䅑杣桂䡁䅑党湂䝁䅫睙杁䝁䅍睢獂䝁䅷兙楂䝁䄸杣桂䡁䅑兡療䝁䄴䅉㍂䝁䅫䅤潂䍁䅁睕潂䝁䅫睢畂䝁䄸睚灂䍁䅁杊杁䕁䅍睢畁䍁䅷䅉䵂䡁䅑䅚畁䍁䅁杚療䡁䅉䅉あ䝁䅧党杁䝁䅑党㉂䝁䅕䅢療䡁䅁兢求䝁䄴䅤杁䝁䅅杢歂䍁䅁睙療䝁䄰兢求䡁䅉睙灂䝁䅅䅢灂䡁䅯兙あ䝁䅫睢畂䍁䅁睢浂䍁䅁来ㅂ䡁䅉兙畂䝁䄸䅢療䝁䄴党杁䝁䅫杢杁䕁䅯兙睂䝁䅅杢獁䍁䅁䅖桂䝁䅫睤桂䝁䄴䅌杁䝁䅅杢歂䍁䅁睕療䡁䅕䅤潂䍁䅁睓療䡁䅉党桂䑁䅳䅉桂䝁䄴䅚杁䝁䅅䅉橂䝁䄸䅢獂䝁䅅杙療䡁䅉兙あ䝁䅫睢畂䍁䅁兙畂䝁䅑䅉獂䝁䅫睙求䝁䄴督求䍁䅁兙湂䡁䅉党求䝁䄰党畂䡁䅑䅉㍂䝁䅫䅤潂䍁䅁村灂䝁䄸睚求䝁䄴䅉乂䕁䅅䅉䩂䝁䄴睙畁䍁䅁䅤療䍁䅁条療䝁䅫杢あ䝁䅷入杁䝁䅑党㉂䝁䅕䅢療䡁䅁䅉桂䝁䄴䅚杁䝁䅍睢瑂䝁䄰党祂䝁䅍兡桂䝁䅷兡㙂䝁䅕䅉呂䕁䅅睒䙂䍁䄰杍硁䑁䅣䅉桂䝁䄴䅚杁䙁䅍兑䡂䕁䅕兌穁䑁䅉䅎杁䡁䅁杣療䝁䅑兤橂䡁䅑督畁䍁䅁䅖潂䝁䅕䅉橂䝁䄸兢睂䝁䅅杢㕂䍁䅁睤桂䡁䅍䅉浂䝁䄸杣瑂䝁䅕杣獂䡁䅫䅉牂䝁䄴睢㍂䝁䄴䅉桂䡁䅍䅉呂䡁䅑党祂䝁䄸睚求䝁䄴䅉䍂䝁䅫睢睂䝁䅧兙祂䝁䄰兙獁䍁䅁兓畂䝁䅍杌杁䝁䅅杢歂䍁䅁睙潂䝁䅅杢湂䝁䅕䅚杁䝁䅫䅤穂䍁䅁杢桂䝁䄰党杁䡁䅑睢杁䙁䅍兙湂䝁䅕䅉啂䝁䅧党祂䝁䅅䅣求䡁䅕䅤灂䝁䅍督獁䍁䅁兓畂䝁䅍杌杁䝁䅫杢杁䙁䅍党睂䡁䅑党瑂䝁䅉党祂䍁䅁杍睁䑁䅅免畁䍁䅁睕桂䝁䅣党杁䙁䅑䅡求䡁䅉兙睂䝁䅕兤あ䝁䅫睙穂䍁䅷䅉䩂䝁䄴睙畁䍁䅁睤桂䡁䅍䅉灂䝁䄴睙療䡁䅉䅣療䡁䅉兙あ䝁䅕䅚杁䝁䅫杢杁䑁䅉䅍硁䑁䅁䅉桂䝁䄴䅚杁䝁䅫督杁䝁䅧党桂䝁䅑兣ㅂ䝁䅅杣あ䝁䅕杣求䝁䅑䅉灂䝁䄴䅉䑂䝁䅅兢楂䡁䅉兡歂䝁䅣党獁䍁䅁兔桂䡁䅍督桂䝁䅍䅡ㅂ䡁䅍党あ䡁䅑督畁䅁䅁睸䅕䕁䅁䅁呂䝁䅅杢あ䝁䅕杢杁䙁䅁䅡桂䡁䅉兢桂䝁䅍党ㅂ䡁䅑兡橂䝁䅅䅢杁䕁䅍睢畁䍁䅷䅉䵂䡁䅑䅚畁䅁䅁䄵䅕䩁佑䅁呂䝁䅅杢あ䝁䅕杢杁䙁䅁䅡桂䡁䅉兢桂䝁䅍党ㅂ䡁䅑兡橂䝁䅅䅢杁䕁䅍睢畁䍁䅷䅉䵂䡁䅑䅚畁䍁䅁党畂䝁䅣兙湂䝁䅕督杁䝁䅫杢杁䡁䅑䅡求䍁䅁杣求䡁䅍党桂䡁䅉睙潂䍁䅁兙畂䝁䅑䅉歂䝁䅕杤求䝁䅷睢睂䝁䄰党畂䡁䅑䅌杁䝁䄰兙畂䡁䅕杚桂䝁䅍䅤ㅂ䡁䅉党獁䍁䅁兙畂䝁䅑䅉瑂䝁䅅杣牂䝁䅕䅤灂䝁䄴睚杁䝁䄸杚杁䡁䅁䅡桂䡁䅉兢桂䝁䅍党ㅂ䡁䅑兡橂䝁䅅䅢穂䍁䅁兙畂䝁䅑䅉瑂䝁䅕䅚灂䝁䅍兙獂䍁䅁䅚求䡁䅙兡橂䝁䅕督杁䝁䅫杢杁䕁䅯兙睂䝁䅅杢杁䝁䅅杢歂䍁䅁兡畂䡁䅑党祂䝁䄴兙あ䝁䅫睢畂䝁䅅䅢獂䡁䅫杌杁䕁䅫䅤穂䍁䅁䅣祂䝁䄸䅚ㅂ䝁䅍䅤杁䡁䅁睢祂䡁䅑杚療䝁䅷兡療䍁䅁兡畂䝁䅍䅢ㅂ䝁䅑党穂䍁䅁䅤桂䝁䅙䅢ㅂ䡁䅁杣療䡁䅍䅤癁䡁䅑兡瑂䝁䄸䅢療䝁䅷䅉瑂䝁䅅䅢求䝁䅅䅤求䍁䅷䅉桂䍁䅁䅣祂䝁䄸督あ䝁䅅睚獂䝁䅅杢歂䝁䅫杢杁䕁䅙杍硃祁䅁䅚求䡁䅉兡㉂䝁䅅䅤灂䡁䅙党杁䝁䅅杢歂䍁䅁兙杁䝁䅉党あ䝁䅅兌桂䝁䅑杣求䝁䄴党祂䝁䅣兡橂䍁䅁杣求䝁䅍党睂䡁䅑睢祂䍁䅁杙獂䝁䄸睙牂䝁䅕杣㝁䍁䅁兙畂䝁䅑䅉畂䝁䅕䅤桂䡁䅉督ㅂ䝁䅑兡獂䍁䅁兢求䡁䅍兡獂䝁䅅䅤求䍁䅁兙畂䝁䅑䅉獂䝁䅅䅤桂䝁䄴睢睂䡁䅉睢穂䡁䅑䅌杁䝁䅅䅉睂䡁䅉睢穂䡁䅑兙湂䝁䅷兙畂䝁䅑兡畂䍁䅁杒祁䱁䑅䅉歂䝁䅕杣灂䡁䅙兙あ䝁䅫杤求䍁䅁睤潂䝁䅫睙潂䍁䅁兡穂䍁䅁兢桂䡁䅉睡求䡁䅑兡畂䝁䅣䅉桂䡁䅁䅣祂䝁䄸杤桂䝁䅷䅉睂䝁䅧兙穂䝁䅕䅉浂䝁䄸杣杁䡁䅑䅡求䍁䅁䅤祂䝁䅕兙あ䝁䄰党畂䡁䅑䅉療䝁䅙䅉湂䝁䅷兙ㅂ䝁䅍睢瑂䝁䅅䅉桂䝁䄴䅚杁䝁䄸睙ㅂ䝁䅷兙祂䍁䅁䅡㕂䡁䅁党祂䡁䅑党畂䡁䅍兡療䝁䄴杌杁䙁䅑䅡求䍁䅁睙療䝁䄰䅣桂䝁䄴入杁䝁䅅䅢穂䝁䄸䅉療䝁䅙杚求䡁䅉督杁䡁䅍党睂䝁䅕䅤桂䡁䅁杣療䡁䅍䅤獁䍁䅁兙杁䡁䅁杣療䡁䅍䅤桂䝁䅣䅢桂䝁䄴䅚灂䝁䄴䅉桂䝁䄴兙獂䝁䄸睚ㅂ䝁䅕䅉求䡁䅫党杁䝁䅑杣療䡁䅁䅉歂䡁䅉兤湂䍁䅁䅤潂䝁䅅䅤杁䝁䅫督杁䝁䅫杢杁䡁䅁䅡桂䡁䅍党杁䑁䅍䅉療䝁䅙䅉橂䝁䅷兡畂䝁䅫睙桂䝁䅷䅉あ䡁䅉兡桂䝁䅷督㝁䍁䅁兙畂䝁䅑䅉獂䝁䅅䅤桂䝁䄴睢睂䡁䅉睢穂䡁䅑䅌杁䝁䅅杢杁䝁䄸䅣潂䡁䅑䅡桂䝁䅷兢灂䝁䅍䅉求䝁䄰兤獂䡁䅍兡療䝁䄴䅉療䝁䅙䅉桂䍁䅁䅣祂䝁䄸督あ䝁䅅睚獂䝁䅅杢歂䝁䅫杢杁䕁䅙杍硃祁䅁䅚求䡁䅉兡㉂䝁䅅䅤灂䡁䅙党杁䡁䅣䅡灂䝁䅍䅡杁䝁䅫督杁䝁䅙兡獂䝁䅕䅚杁䝁䅙睢祂䍁䅁兢桂䡁䅉睡求䡁䅑兡畂䝁䅣䅉桂䡁䅁䅣祂䝁䄸杤桂䝁䅷䅉浂䝁䄸杣杁䡁䅑䅡求䍁䅁䅤祂䝁䅕兙あ䝁䄰党畂䡁䅑䅉療䝁䅙䅉湂䝁䅷兙ㅂ䝁䅍睢瑂䝁䅅䅉桂䝁䄴䅚杁䝁䄸睙ㅂ䝁䅷兙祂䍁䅁䅡㕂䡁䅁党祂䡁䅑党畂䡁䅍兡療䝁䄴杌杁䕁䅫杢杁䝁䅅䅚歂䝁䅫䅤灂䝁䄸杢獁䍁䅁兡あ䍁䅁䅣祂䝁䄸杤灂</t>
  </si>
  <si>
    <t>䝁䅑党穂䍁䅁睙㕂䝁䅍䅢療䡁䅍䅣療䡁䅉兡畂䍁䅷䅉桂䝁䄴䅉療䡁䅁䅡あ䝁䅧兙獂䝁䄰兡橂䍁䅁党瑂䡁䅕䅢穂䝁䅫睢畂䍁䅁杚療䡁䅉䅉あ䝁䅧党杁䡁䅑杣求䝁䅅䅤瑂䝁䅕杢あ䍁䅁睢浂䍁䅁杤求䡁䅉杢桂䝁䅷䅉牂䝁䅕杣桂䡁䅑睢橂䝁䄸杢煂䡁䅕杢橂䡁䅑兡㉂䝁䅫䅤灂䡁䅍睏杁䝁䅅杢歂䍁䅁䅚灂䡁䅅兤桂䝁䅙睢穂䝁䄸䅢杁䡁䅍睢歂䝁䅫兤瑂䍁䅁杚療䡁䅉䅉歂䡁䅉入杁䝁䅕入求䍁䅁䅤祂䝁䅕兙あ䝁䄰党畂䡁䅑杌杁䕁䅙兤祂䡁䅑䅡求䡁䅉䅌杁䡁䅑䅡求䍁䅁睙療䝁䄰䅣桂䝁䄴入杁䝁䅑党㉂䝁䅕䅢療䡁䅁督杁䝁䄸䅢療䝁䅑兙あ䝁䅕杣療䝁䅷䅉潂䡁䅫䅚祂䝁䄸睙潂䝁䅷睢祂䝁䅫䅚求䍁䅷䅉桂䍁䅁杳祍䍁䅁杣求䝁䅍党睂䡁䅑睢祂䍁䅁兙湂䝁䄸杢灂䡁䅍䅤杁䡁䅑䅡桂䡁䅑䅉灂䡁䅍䅉灂䝁䄴䅉睂䝁䅧兙穂䝁䅕䅉硁䍁䄸杍桂䍁䅁杚療䡁䅉䅉あ䝁䅧党杁䡁䅑杣求䝁䅅䅤瑂䝁䅕杢あ䍁䅁睢浂䍁䅁兑杁䝁䅑杣㕂䍁䅁党㕂䝁䅕䅉あ䡁䅉党桂䡁䅑兢求䝁䄴䅤杁䝁䅑杣㕂䍁䅁党㕂䝁䅕睏杁䡁䅍兡祂䝁䄸䅢灂䝁䄰兤穂䍁䅷䅉桂䝁䄴䅉療䡁䅁䅡あ䝁䅧兙獂䝁䄰兡橂䍁䅁督ㅂ䡁䅍䅣求䝁䄴督灂䝁䄸杢杁䡁䅣䅡灂䝁䅍䅡杁䝁䅫督杁䝁䅫杢杁䡁䅁䅡桂䡁䅍党杁䑁䅉兙杁䝁䅙睢祂䍁䅁䅤潂䝁䅕䅉あ䡁䅉党桂䡁䅑兢求䝁䄴䅤杁䝁䄸杚杁䑁䅑䅉䝂䡁䅕睙潂䡁䅍䅉求䝁䄴䅚療䡁䅑䅡求䝁䅷兡桂䝁䅷䅉橂䝁䄸杣畂䝁䅕兙獂䍁䅁䅚㕂䡁䅍䅤祂䝁䄸䅣潂䡁䅫䅉桂䝁䄴䅚杁䝁䄰党灂䝁䅉睢瑂䝁䅫兙畂䍁䅁睚獂䝁䅅杢歂䍁䅁䅚㕂䡁䅍杚ㅂ䝁䄴睙あ䝁䅫睢畂䑁䅳䅉求䡁䅁兡畂䝁䅅督あ䝁䅫杢求䍁䅁䅡㕂䝁䅑杣療䝁䅍䅡獂䝁䄸杣灂䝁䅑党獁䍁䅁兙杁䝁䅧兡穂䡁䅑兙瑂䝁䅫杢求䍁䅁䅓䉃䍉䅁杣求䝁䅍党睂䡁䅑睢祂䍁䅁兙畂䡁䅑兙湂䝁䄸杢灂䡁䅍䅤杁䝁䅙兡獂䝁䅕䅚杁䝁䅙睢祂䍁䅁兢桂䡁䅉睡求䡁䅑兡畂䝁䅣䅉桂䡁䅁䅣祂䝁䄸杤桂䝁䅷䅉浂䝁䄸杣杁䡁䅑䅡求䍁䅁䅤祂䝁䅕兙あ䝁䄰党畂䡁䅑䅉療䝁䅙䅉桂䝁䅷䅢求䡁䅉睚灂䝁䅍䅉橂䝁䄸杢煂䡁䅕杢橂䡁䅑兡㉂䝁䅫䅤灂䡁䅍睏杁䝁䅅䅤祂䝁䄸䅣灂䝁䄴党杁䡁䅍兤獂䝁䅙兙あ䝁䅕䅌杁䝁䅅䅉畂䝁䄸杢瑁䡁䅍党獂䝁䅕睙あ䝁䅫杤求䍁䅁兢ㅂ䡁䅍睙桂䡁䅉兡畂䝁䅫睙杁䝁䅅杢あ䝁䅅睚療䝁䄴兡穂䡁䅑䅉あ䝁䅧兙あ䍁䅁兡穂䍁䅁兡畂䍁䅁䅣潂䝁䅅督求䍁䅁杍癁䑁䅍䅉橂䝁䅷兡畂䝁䅫睙桂䝁䅷䅉あ䡁䅉兡桂䝁䅷督杁䝁䅙睢祂䍁䅁兢㕂䝁䄸䅣灂䝁䅅䅉あ䡁䅉党桂䡁䅑兢求䝁䄴䅤㝁䍁䅁兙畂䝁䅑䅉䉂䕁䅙䅒奂䑁䅁杍ㅁ䑁䅁村呂䍁䅷䅉桂䝁䄴䅉穂䝁䅕䅢求䝁䅍䅤灂䡁䅙党杁䝁䄰兤穂䝁䅍兙祂䝁䅫杢灂䝁䅍䅉乂䑁䅉䅉桂䝁䄴䅤桂䝁䅣睢畂䝁䅫督あ䍁䅁睤潂䝁䅫睙潂䍁䅁兡穂䍁䅁兡畂䍁䅁䅣潂䝁䅅督求䍁䅁杍桂䍁䅁杚療䡁䅉䅉あ䝁䅧党杁䡁䅑杣求䝁䅅䅤瑂䝁䅕杢あ䍁䅁睢浂䍁䅁兢㕂䝁䄸䅣灂䝁䅅杌杁䕁䅅䅚歂䝁䅫䅤灂䝁䄸杢桂䝁䅷䅢㕂䍁䅷䅉灂䡁䅑䅉療䝁䅙杚求䡁䅉督杁䡁䅕杣穂䝁䄸䅚求䝁䄸䅥㕂䝁䅍䅡療䝁䅷兡橂䍁䅁兙橂䝁䅫䅚杁䡁䅑䅡桂䡁䅑䅉灂䡁䅍䅉灂䝁䄴䅉睂䝁䅧兙穂䝁䅕䅉祁䝁䅅䅉療䝁䅙䅉橂䝁䅷兡畂䝁䅫睙桂䝁䅷䅉あ䡁䅉兡桂䝁䅷䅉浂䝁䄸杣杁䡁䅑䅡求䍁䅁䅤祂䝁䅕兙あ䝁䄰党畂䡁䅑䅉療䝁䅙䅉睂䡁䅉党穂䝁䅉入療䡁䅁兡桂䑁䅳䅉桂䝁䄴䅚杁䝁䄸䅥㕂䝁䄰党あ䝁䅅来療䝁䅷兡畂䝁䅕䅉潂䡁䅫䅚祂䝁䄸睙潂䝁䅷睢祂䝁䅫䅚求䍁䅷䅉桂䍁䅁䅚灂䡁䅉党橂䡁䅑兌桂䝁䅍䅤灂䝁䄴睚杁䝁䅅䅢睂䝁䅧兙杁䝁䅅䅚祂䝁䅕杢求䡁䅉睚灂䝁䅍䅉祂䝁䅕睙求䡁䅁䅤療䡁䅉䅉桂䝁䅣睢畂䝁䅫督あ䍁䅁睤潂䝁䅫睙潂䍁䅁兡穂䍁䅁兡畂䍁䅁䅣潂䝁䅅督求䍁䅁睍杁䝁䅙睢祂䍁䅁䅤祂䝁䅕兙あ䝁䄰党畂䡁䅑䅉療䝁䅙䅉睂䡁䅑睢穂䝁䅫督畁䍁䅁䅖潂䝁䅕䅉橂䝁䄸兢睂䝁䅅杢㕂䍁䅁睤桂䡁䅍䅉浂䝁䄸兤畂䝁䅑党歂䍁䅁兡畂䍁䅁免㑁䑁䅫䅍杁䝁䅅杢歂䍁䅁兡穂䍁䅁䅡求䝁䅅䅚硂䡁䅕兙祂䡁䅑党祂䝁䅕䅚杁䝁䅫杢杁䕁䄸督桂䝁䅳兙獁䍁䅁杓桂䡁䅁兙畂䍁䄴䅁楄兂䅁䅇䅁䙁䅍党桂䍁䅁䅔灂䝁䄰兡あ䝁䅕䅚䅁䕁䍧䅁ぁ䅁䅁睕求䝁䅍兤祂䝁䅕䅒桂䡁䅑兙杁䕁䅕兤祂䝁䄸䅣求䍁䅁䅔灂䝁䄰兡あ䝁䅕䅚䅁䥁䅁䅁捃睂䅁睕求䝁䅍兤祂䝁䅕䅒桂䡁䅑兙杁䕁䅕兤祂䝁䄸䅣求䍁䅁䅔灂䝁䄰兡あ䝁䅕䅚杁䡁䅁杣療䡁䅙兡歂䝁䅕督杁䝁䅍䅢療䡁䅕䅚瑁䝁䅉兙穂䝁䅕䅚杁䝁䅅杢歂䍁䅁兢桂䝁䄴兙湂䝁䅕䅚杁䝁䅍入楂䝁䅕杣瑁䡁䅍党橂䡁䅕杣灂䡁䅑入杁䡁䅍党祂䡁䅙兡橂䝁䅕督畁䍁䅁䅖潂䝁䅕䅉橂䝁䄸兢睂䝁䅅杢㕂䍁䅁睢浂䝁䅙党祂䡁䅍䅉呂䝁䅕睙ㅂ䡁䅉党䕂䝁䅅䅤桂䍁䅁睒䩂䍁䅷䅉桂䝁䄴䅉灂䝁䄴䅤求䝁䅣杣桂䡁䅑党歂䍁䅁督求䝁䅍兤祂䝁䅫䅤㕂䍁䅁䅣獂䝁䅅䅤浂䝁䄸杣瑂䍁䅁䅤潂䝁䅅䅤杁䝁䅫督杁䝁䅧睢穂䡁䅑党歂䍁䅁兙畂䝁䅑䅉瑂䝁䅅杢桂䝁䅣党歂䍁䅁兡畂䍁䅁䅤潂䝁䅕䅉橂䝁䅷睢ㅂ䝁䅑杌杁䕁䅫䅤杁䡁䅁杣療䡁䅙兡歂䝁䅕督杁䝁䅅䅉祂䝁䅅杢湂䝁䅕䅉療䝁䅙䅉灂䝁䄴䅤求䝁䅣杣桂䡁䅑党歂䍁䅁督療䝁䅷兤あ䝁䅫睢畂䡁䅍䅉あ䝁䅧兙あ䍁䅁兙穂䡁䅍党穂䡁䅍䅉祂䝁䅫督牂䍁䅷䅉歂䝁䅕䅤求䝁䅍䅤杁䡁䅍党橂䡁䅕杣灂䡁䅑入杁䝁䅉杣求䝁䅅睙潂䝁䅕督獁䍁䅁䅣祂䝁䄸䅤求䝁䅍䅤杁䝁䅍兤穂䡁䅑睢瑂䝁䅕杣穂䍁䅷䅉桂䝁䄴䅚杁䝁䅧党獂䡁䅁䅉あ䝁䅧党瑂䍁䅁杣求䡁䅍䅣療䝁䄴䅚杁䡁䅑睢杁䡁䅍党橂䡁䅕杣灂䡁䅑入杁䝁䅫杢橂䝁䅫䅚求䝁䄴䅤穂䍁䄴䅉啂䝁䅧党杁䝁䅍睢瑂䡁䅁兙畂䡁䅫升穂䍁䅁督療䝁䅷兤あ䝁䅫睢畂䡁䅍䅉灂䝁䄴睙獂䡁䅕䅚求䍁䅁兙睂䡁䅁䅢灂䝁䅍兙あ䝁䅫睢畂䍁䅁督求䝁䅍兤祂䝁䅫䅤㕂䍁䅷䅉橂䝁䅷睢ㅂ䝁䅑䅉穂䝁䅕睙ㅂ䡁䅉兡あ䡁䅫䅌杁䝁䅍睢瑂䡁䅁䅢灂䝁䅅杢橂䝁䅕䅉瑂䝁䅅杢桂䝁䅣党瑂䝁䅕杢あ䍁䅷䅉求䝁䄴䅚睂䝁䄸兡畂䡁䅑䅉穂䝁䅕睙ㅂ䡁䅉兡あ䡁䅫䅌杁䝁䅫䅚求䝁䄴䅤灂䡁䅑入杁䝁䅅杢歂䍁䅁兙橂䝁䅍党穂䡁䅍䅉瑂䝁䅅杢桂䝁䅣党瑂䝁䅕杢あ䍁䅷䅉畂䝁䅕䅤㍂䝁䄸杣牂䍁䅁督求䝁䅍兤祂䝁䅫䅤㕂䍁䅷䅉祂䝁䅕兢療䡁䅑党杁䝁䅅睙橂䝁䅕督穂䍁䅷䅉穂䝁䅕睙ㅂ䡁䅉党杁䡁䅣党楂䍁䄸党瑂䝁䅅兡獂䍁䅁睚桂䡁䅑党㍂䝁䅅入獁䍁䅁督求䝁䅍兤祂䝁䅫䅤㕂䍁䅁兢桂䝁䄴兙湂䝁䅕兢求䝁䄴䅤獁䍁䅁兙畂䝁䅑䅉㉂䡁䅕䅢畂䝁䅕杣桂䝁䅉兡獂䝁䅫䅤㕂䍁䅁兢桂䝁䄴兙湂䝁䅕兢求䝁䄴䅤畁䍁䅁睕求䝁䅍兤祂䝁䅕䅒桂䡁䅑兙杁䕁䅕兤祂䝁䄸䅣求䍁䅁䅔灂䝁䄰兡あ䝁䅕䅚杁䡁䅣兙穂䍁䅁杚療䡁䅉兢求䡁䅉䅢㕂䍁䅁睡畂䝁䄸睤畂䍁䅁兙穂䍁䅁兔䩂䙁䅍䅉䑂䝁䄸杣睂䝁䄸杣桂䡁䅑党杁䕁䅑党浂䝁䅕杢橂䝁䅕䅉呂䝁䄸䅢ㅂ䡁䅑兡療䝁䄴督杁䕁䅷兡瑂䝁䅫䅤求䝁䅑䅉桂䝁䄴䅚杁䝁䅍䅡桂䝁䄴睚求䝁䅑䅉灂䡁䅑督杁䝁䄴兙瑂䝁䅕䅉あ䝁䄸䅉呂䝁䅕睙ㅂ䡁䅉党䕂䝁䅅䅤桂䍁䅁兒ㅂ䡁䅉睢睂䝁䅕䅉䵂䝁䅫兢灂䡁䅑党歂䍁䅁兡畂䍁䅁杒求䝁䅉杣ㅂ䝁䅅杣㕂䍁䅁杍睁䑁䅅免畁䍁䅁䅖潂䝁䅕䅉橂䝁䄸兢睂䝁䅅杢㕂䍁䅁睤桂䡁䅍䅉浂䝁䄸兤畂䝁䅑党歂䍁䅁兡畂䍁䅁免㕁䑁䅫杍杁䝁䅅杢歂䍁䅁兡穂䍁䅁杙桂䡁䅍党歂䍁䅁兡畂䍁䅁兔桂䝁䅫䅚穂䡁䅑睢畂䝁䅕䅌杁䙁䅕杢灂䡁䅑党歂䍁䅁睓灂䝁䄴睚歂䝁䄸兢杁䡁䅣兡あ䝁䅧䅉桂䝁䅑䅚灂䡁䅑兡療䝁䄴兙獂䍁䅁睢浂䝁䅙兡橂䝁䅕督杁䝁䅫杢杁䕁䅷睢畂䝁䅑睢畂䍁䅷䅉䍂䝁䅫杣瑂䝁䅫杢湂䝁䅧兙瑂䍁䅷䅉卂䝁䅕兙歂䝁䅫杢湂䍁䅷䅉兂䡁䅉党あ䝁䄸杣灂䝁䅅䅌杁䝁䅅杢歂䍁䅁睑桂䡁䅁党杁䙁䅑睢㍂䝁䄴杌杁䙁䅍党橂䡁䅕杣求䕁䅑兙あ䝁䅅䅉䙂䡁䅕杣療䡁䅁党杁䕁䅷兡瑂䝁䅫䅤求䝁䅑䅉療䡁䅁党祂䝁䅅䅤求䡁䅍䅉桂䡁䅍䅉桂䍁䅁督ㅂ䝁䅉督灂䝁䅑兡桂䡁䅉入杁䝁䄸杚杁䕁䄸杣桂䝁䄴睚求䍁䅁睕畁䕁䅅杌䅁䩁䅉䅁歁䅁䅁睕求䝁䅍兤祂䝁䅕睖療䡁䅉睡穂䍁䅁睑療䡁䅉䅣畁䅁䅁睡䅁䙁䅉䅁呂䝁䅧兙畂䝁䅣䅡桂䝁䅫䅉䥂䡁䅕兙橂䝁䅕䅉佂䝁䅅杤灂䝁䅣兙あ䝁䅫睢畂䍁䅁䅖求䝁䅍䅡畂䝁䄸䅢療䝁䅣入杁䕁䅷䅤歂䅁䅁睔䅁䑁䅉䅁呂䝁䅫䅚求䡁䅉䅤灂䝁䅅䅉呂䝁䄸䅢ㅂ䡁䅑兡療䝁䄴督獁䍁䅁睕畁䕁䅷杌䅁䥁䈸䅁佁杁䅁睕灂䝁䅑党祂䡁䅑兡桂䍁䅁睕療䝁䅷兤あ䝁䅫睢畂䡁䅍䅌杁䙁䅍杌䵂䍁䄴䅉灂䡁䅍䅉桂䍁䅁䅤求䝁䅍䅡畂䝁䄸䅢療䝁䅣入杁䝁䅍睢畂䡁䅍兤獂䡁䅑兡畂䝁䅣䅉浂䝁䅫杣瑂䍁䅁䅤潂䝁䅅䅤杁䝁䄸杚浂䝁䅕杣穂䍁䅁睙㕂䝁䅉党祂䡁䅍党橂䡁䅕杣灂䡁䅑入杁䡁䅍睢獂䡁䅕䅤灂䝁䄸杢穂䍁䅁兙畂䝁䅑䅉穂䝁䅕杣㉂䝁䅫睙求䡁䅍杌杁䙁䅑䅡求䍁䅁睙療䝁䄰䅣桂䝁䄴入杁䡁䅣兙穂䍁䅁兡畂䝁䅍睢祂䡁䅁睢祂䝁䅅䅤求䝁䅑䅉灂䝁䄴䅉祁䑁䅁免祁䍁䅁兙畂䝁䅑䅉灂䡁䅍䅉楂䝁䅅督求䝁䅑䅉灂䝁䄴䅉乂䝁䅅䅚祂䝁䅫䅚獁䍁䅁睕睂䝁䅅兡畂䍁䄴䅉䉂䡁䅍䅉療䝁䅙䅉䭂䡁䅕杢求䍁䅁杍㑁䍁䅷䅉祁䑁䅁杍祁䍁䅷䅉呂䝁䅫䅚求䡁䅉䅤灂䝁䅅䅉呂䝁䄸䅢ㅂ䡁䅑兡療䝁䄴督獁䍁䅁睕畁䕁䅷䅉療䡁䅁党祂䝁䅅䅤求䡁䅍䅉桂䡁䅍䅉桂䍁䅁督ㅂ䝁䅉督灂䝁䅑兡桂䡁䅉入杁䝁䄸杚杁䝁䅫来求䡁䅉䅤灂䡁䅍䅌杁䙁䅍杌䉂䍁䄴杌䅁䩁䈴䅁捁䅁䅁睕灂䝁䅷䅢桂䍁䅁睑療䍁䄴䅌䵂䡁䅑䅚䅁䭁䍅䅁杁䅁䅁睕灂䝁䄰䅣獂䝁䅕杔求䡁䅧兤穂䍁䅁䅔䵂䕁䅍䅁㥁杁䅁䅕䅑䙁䅍兡瑂䡁䅁䅢求䕁䄴党㑂䡁䅕督杁䕁䅷䅔䑂䍁䅁䅚求䡁䅙党獂䝁䄸䅣穂䍁䅁兙杁䝁䅧睢瑂䝁䅕睢㍂䝁䄴党祂䡁䅍䅡灂䡁䅁䅉睂䝁䅷兙あ䝁䅙睢祂䝁䄰䅉浂䝁䄸杣杁䝁䄰睢歂䝁䅕杣畂䍁䅁兢療䡁䅉䅤湂䝁䅅睚求䍁䅁䅢求䝁䄴䅚求䡁䅉督畁䍁䅁䅖潂䝁䅕䅉橂䝁䄸兢睂䝁䅅杢㕂䉁杫督杁䡁䅁杣療䝁䅑兤橂䡁䅑督杁䝁䅫杢橂䝁䅷兤歂䝁䅕䅉佂䝁䅕䅥ㅂ䡁䅍䅉䙂䝁䄴睚桂䝁䅣党瑂䝁䅕杢あ䍁䅷䅉㍂䝁䅧兡橂䝁䅧䅉橂䝁䄸䅢獂䝁䅅杙療䡁䅉兙あ䝁䅕督杁䡁䅣兡あ䝁䅧䅉楂䝁䄸杣祂䝁䄸睤求䡁䅉督杁䝁䅅杢歂䍁䅁䅣桂䡁䅉䅤畂䝁䅕杣穂䑁䅳䅉佂䝁䅕䅥ㅂ䡁䅍䅉偂䡁䅉兡湂䝁䅫杢桂䡁䅑兡療䝁䄴䅌杁䡁䅣䅡灂䝁䅍䅡杁䝁䅣兡㉂䝁䅕督杁䝁䅷睢桂䝁䄴䅉療䝁䅙杚灂䝁䅍党祂䡁䅍䅉桂䍁䅁䅤療䝁䄸䅢穂䝁䅕䅤杁䡁䅑睢杁䝁䅫兢睂䡁䅉睢㉂䝁䅕䅉獂䝁䄸兙畂䍁䅁䅣祂䝁䄸䅚ㅂ䝁䅍䅤灂䝁䄸杢㝁䍁䅁杔求䡁䅧兤穂䍁䅁睑獂䝁䄸督灂䝁䄴睚獁䍁䅁兙畂䍁䅁党䑂䝁䅷睢穂䝁䅫杢湂䍁䅁督療䝁䅙䅤㍂䝁䅅杣求䍁䅁督療䝁䅷兤あ䝁䅫睢畂䑁䅳䅉桂䝁䄴䅚杁䕁䅍睔乂䙁䅁兒佂䙁䅍兑䝂䕁䅕䅌杁䡁䅣䅡灂䝁䅍䅡杁䝁䅕䅢灂䝁䄰兡畂䝁䅅䅤求䡁䅍䅉穂䡁䅁杣求䝁䅅䅚穂䝁䅧党求䡁䅑督杁䡁䅣兡あ䝁䅧䅉穂䝁䅫兢睂䝁䅷兡浂䝁䅫党歂䍁䅁兡畂䝁䅍党畂䡁䅑兡㉂䝁䅕䅉橂䝁䄸兢睂䝁䅕杢穂䝁䅅䅤灂䝁䄸杢杁䝁䄰兙畂䝁䅅睚求䝁䄰党畂䡁䅑䅉あ䝁䄸睢獂䡁䅍杌杁䙁䅑䅡求䍁䅁睙療䝁䄰䅣桂䝁䄴入杁䡁䅣兙穂䍁䅁兡畂䝁䅍睢祂䡁䅁睢祂䝁䅅䅤求䝁䅑䅉灂䝁䄴䅉祁䑁䅁免硁䍁䅁兙畂䝁䅑䅉灂䡁䅍䅉楂䝁䅅督求䝁䅑䅉灂䝁䄴䅉䵂䝁䅕䅡灂䍁䅷䅉噂䡁䅑兙潂䍁䄴䅉䉂䡁䅍䅉療䝁䅙䅉䭂䝁䅅杢ㅂ䝁䅅杣㕂䍁䅁睎獁䍁䅁杍睁䑁䅉杍獁䍁䅁睕灂䝁䄰䅣獂䝁䅕杔求䡁䅧兤穂䍁䅁䅔䵂䕁䅍䅉療䡁䅁党祂䝁䅅䅤求䡁䅍䅉桂䡁䅍䅉桂䍁䅁督ㅂ䝁䅉督灂䝁䅑兡桂䡁䅉入杁䝁䄸杚杁䝁䄴睑灂䝁䄴睢獁䍁䅁兓畂䝁䅍杌䅁䑁䌸䅁杁䅁䅁睕灂䝁䄴睙潂䍁䅁兑䍂䍁䅁䅋睂䡁䅕杙獂䍁䅫䅁㡄允䅁䅆䅁䙁䅍兡畂䝁䅣兙睂䝁䄸杣求䅁䅁睊䅁䩁䄴䅁呂䝁䅫杢湂䝁䅅䅣療䡁䅉党杁䙁䅑党橂䝁䅧杢療䝁䅷睢湂䝁䅫党穂䍁䅁兒畂䝁䅣兡畂䝁䅕党祂䝁䅫杢湂䍁䅁䅋䙂䡁䅕杣療䡁䅁党灁䍁䅁䅔あ䝁䅑杌杁䍁䅧杢牂䝁䅅杏呂䙁䅑䅉䙂䝁䄴睚灂䝁䄴党求䡁䅉兡畂䝁䅣䅉卂䕁䅧兕杁䕁䅷䅤歂䍁䄴克䅁䕁䉉䅁睁䅁䅁睕獂䝁䅅睙牂䍁䅁䅖求䝁䅍䅡畂䝁䄸䅢療䝁䅣兡求䡁䅍䅌杁䕁䅷䅔䑂䅁䅁儯䅅䍁䙁䅁呂䝁䅷兙橂䝁䅳䅉啂䝁䅕睙潂䝁䄴睢獂䝁䄸睚灂䝁䅕督獁䍁䅁䅔䵂䕁䅍䅉療䡁䅁党祂䝁䅅䅤求䡁䅍䅉呂䝁䅷兙橂䝁䅳䅌杁䝁䅅杢杁䝁䄸杢獂䝁䅫杢求䍁䅁兢求䡁䅍督桂䝁䅣兡畂䝁䅣䅉桂䝁䄴䅚杁䝁䅍睢獂䝁䅷兙楂䝁䄸杣桂䡁䅑兡療䝁䄴䅉睂䝁䅷兙あ䝁䅙睢祂䝁䄰䅉あ䝁䅧兙あ䍁䅁兙獂䝁䅷睢㍂䡁䅍䅉橂䝁䄸睤療䡁䅉睡求䡁䅉督杁䡁䅑睢杁䝁䅍睢畂䡁䅙党祂䡁䅍党獁䍁䅁督潂䝁䅅杣求䍁䅁兢求䡁䅍督桂䝁䅣党穂䍁䅷䅉桂䝁䄴䅚杁䝁䄸杣湂䝁䅅杢灂䡁䅯党杁䝁䅍睢瑂䝁䄰兤畂䝁䅫睙桂䡁䅑兡療䝁䄴督杁䝁䅫杢杁䡁䅉党桂䝁䅷䅉あ䝁䅫兢求䍁䄴䅉䩂䡁䅑督杁䡁䅁䅢桂䡁䅑杚療䡁䅉兢杁䝁䅉杣灂䝁䄴睚穂䍁䅁䅤療䝁䅣党あ䝁䅧党祂䍁䅁䅣求䝁䄸䅣獂䝁䅕䅌杁䝁䅅䅣睂䝁䅷兡橂䝁䅅䅤灂䝁䄸杢穂䍁䅷䅉桂䝁䄴䅚杁䝁䅑兙あ䝁䅅睏杁䝁䅫䅤杁䝁䅅䅢穂䝁䄸䅉穂䝁䅕䅢獂䡁䅍䅉灂䡁䅑督杁䝁䄸杚浂䝁䅕杣灂䝁䄴睚穂䍁䅁兤畂䝁䅑党祂䍁䅁兙杁䡁䅍睢浂䡁䅑睤桂䡁䅉党瑁䝁䅅督瑁䝁䅅兌穂䝁䅕杣㉂䝁䅫睙求䍁䅁兢療䝁䅑党獂䍁䄴䅉呂䝁䅷兙橂䝁䅳䅉啂䝁䅕睙潂䝁䄴睢獂䝁䄸睚灂䝁䅕督獁䍁䅁䅔䵂䕁䅍䅉㍂䝁䅅督杁䝁䅙睢祂䝁䄰党祂䝁䅷入杁䝁䅳杢療䡁䅣杢杁䝁䅅督杁䙁䅍睡㕂䝁䅷兡畂䝁䅕䅉呂䡁䅑杣桂䡁䅑党湂䝁䅫党穂䍁䅁兓䩂䍁䅁䅔䵂䕁䅍杌杁䙁䅑䅡求䍁䅁睙療䝁䄰䅣桂䝁䄴入杁䡁䅣兙穂䍁䅁杚療䡁䅕杢歂䝁䅕䅚杁䝁䅫杢杁䑁䅉䅍睁䑁䅫䅉桂䝁䄴䅚杁䝁䅫督杁䝁䅉兙穂䝁䅕䅚杁䝁䅫杢杁䙁䅍兙畂䍁䅁杒祂䝁䅅杢橂䝁䅫督橂䝁䄸䅌杁䕁䅍兙獂䝁䅫杚療䡁䅉杢灂䝁䅅䅉㍂䝁䅫䅤潂䍁䅁兙歂䝁䅑兡あ䝁䅫睢畂䝁䅅䅢杁䝁䄸杚浂䝁䅫睙求䡁䅍䅉灂䝁䄴䅉䕂䝁䅕杢㉂䝁䅕杣獁䍁䅁睑療䝁䅷睢祂䝁䅅䅚療䑁䅳䅉坂䝁䅅杢橂䝁䄸兤㉂䝁䅕杣獁䍁䅁睑桂䝁䄴兙歂䝁䅅睏杁䙁䅁兤畂䝁䅕䅌杁䕁䅫杢歂䝁䅫兙㝁䍁䅁䅖療䝁䅳入療䍁䅷䅉䭂䝁䅅䅣桂䝁䄴睏杁䕁䄰党獂䝁䅉睢ㅂ䡁䅉杢求䍁䅷䅉䉂䡁䅕督あ䡁䅉兙獂䝁䅫兙㝁䍁䅁兙畂䝁䅑䅉䕂䡁䅕杙獂䝁䅫杢獁䍁䅁兓祂䝁䅕䅢桂䝁䄴䅚畁䍁䅁睕獂䝁䅅睙牂䍁䅁䅖求䝁䅍䅡畂䝁䄸䅢療䝁䅣兡求䡁䅍䅌杁䕁䅷䅔䑂䍁䅁睢睂䝁䅕杣桂䡁䅑党穂䍁䅁兙穂䍁䅁兙杁䡁䅍兤楂䡁䅍兡歂䝁䅫兙祂䡁䅫䅉療䝁䅙䅉呂䝁䅅䅢求䡁䅍杚療䡁䅉睙求䍁䅷䅉䩂䝁䄴睙畁䅁䅁杁䅉䉁䄴䅁呂䝁䄴睢㍂䝁䅙䅢桂䝁䅳党杁䕁䅫杢橂䍁䄴䅁獂允䅁䅎䅁䙁䅍杢療䡁䅣兢桂䝁䄴䅉䵂䝁䄸睚灂䡁䅍䅤灂䝁䅍督杁䕁䅷兡瑂䝁䅫䅤求䝁䅑䅁䕄杁䅁䅍䅁䙁䅍睢穂䝁䅕兡杁䕁䅣杣療䡁䅕䅣杁䕁䅍睢祂䡁䅁睢祂䝁䅅䅤灂䝁䄸杢䅁䉁䝕䅁睁睃䅁睕療䡁䅍党灂䍁䅁睒祂䝁䄸兤睂䍁䅁睑療䡁䅉䅣療䡁䅉兙あ䝁䅫睢畂䍁䅁䅚求䡁䅙党獂䝁䄸䅣穂䍁䅁兙畂䝁䅑䅉穂䝁䅕䅢獂䡁䅍䅉楂䝁䅫睢睂䝁䅧兙祂䝁䄰兙橂䝁䅕兤あ䝁䅫睙桂䝁䅷䅉睂䡁䅉睢歂䡁䅕睙あ䡁䅍䅉灂䝁䄴䅉䭂䝁䅅䅣桂䝁䄴䅌杁䙁䅍睤灂䡁䅑来求䡁䅉䅢桂䝁䄴䅚獁䍁䅁䅤潂䝁䅕䅉噂䝁䄴兡あ䝁䅕䅚杁䙁䅍䅤桂䡁䅑党穂䍁䅷䅉䍂䝁䅕杣瑂䡁䅕䅚桂䍁䅷䅉桂䝁䄴䅚杁䡁䅑䅡求䍁䅁兖畂䝁䅫䅤求䝁䅑䅉䱂䝁䅫杢湂䝁䅑睢瑂䍁䄴䅉䩂䡁䅑督杁䡁䅁杣療䝁䅑兤橂䡁䅑䅉睂䝁䄸杣あ䝁䅙睢獂䝁䅫睢杁䡁䅁杣療䝁䅑兤橂䡁䅑督杁䝁䅫杢橂䝁䅷兤歂䝁䅕䅉噂䝁䅷䅤灂䝁䅉杣療䍁䄸村祂䝁䅕党㙂䝁䅧兙獂䝁䅕杣杁䝁䅅杢歂䍁䅁睕求䝁䅕杙祂䝁䅫睌䍂䡁䅉党求䡁䅯䅡桂䝁䅷党祂䍁䅁杚療䡁䅉䅉あ䝁䅧党杁䡁䅑杣求䝁䅅䅤瑂䝁䅕杢あ䍁䅁睢浂䍁䅁睙潂䡁䅉睢畂䝁䅫睙杁䝁䄸杙穂䡁䅑杣ㅂ䝁䅍䅤灂䡁䅙党杁䡁䅁兤獂䝁䄰睢畂䝁䅅杣㕂䍁䅁䅚灂䡁䅍党桂䡁䅍党㝁䍁䅁兒畂䝁䅕杣㙂䝁䅅兡祂䍁䅁兙畂䝁䅑䅉䍂䡁䅉党求䡁䅯䅡桂䝁䅷党祂䍁䅁杚療䡁䅉䅉あ䝁䅧党杁䡁䅑杣求䝁䅅䅤瑂䝁䅕杢あ䍁䅁睢浂䍁䅁兙穂䡁䅑䅡瑂䝁䅅睏杁䕁䄸杕䉂䙁䅙兓獁䍁䅁兙杁䝁䄴睢㉂䝁䅕䅢杁䝁䅙睢祂䝁䄰兤獂䝁䅅䅤灂䝁䄸杢杁䝁䅙睢祂䍁䅁䅤潂䝁䅕䅉あ䡁䅉党桂䡁䅑兢求䝁䄴䅤杁䝁䄸杚杁䝁䄸杣療䡁䅁䅡桂䡁䅉入畂䝁䅣党桂䝁䅷䅉橂䝁䅅杢歂䝁䅫䅚灂䝁䅅督灂䡁䅍睏杁䝁䅅杢歂䍁䅁䅕䩂䙁䅙䅔䉂䙁䅯䅉浂䝁䄸杣杁䡁䅑䅡求䍁䅁䅤祂䝁䅕兙あ䝁䄰党畂䡁䅑䅉療䝁䅙䅉橂䝁䅕杣求䝁䅉杣桂䝁䅷䅉㉂䝁䅅督療䡁䅍䅣桂䡁䅍兢杁䝁䅫杢歂䝁䅫睙桂䡁䅑兡療䝁䄴督畁䍁䅁䅖潂䝁䅕䅉橂䝁䄸兢睂䝁䅅杢㕂䉁杫督杁䝁䅑党㉂䝁䅕䅢療䡁䅁兢求䝁䄴䅤杁䡁䅁杣療䝁䅑兤橂䡁䅑督杁䡁䅁兡睂䝁䅕䅢灂䝁䄴党杁䝁䅍睢畂䡁䅍兡穂䡁䅑督杁䝁䄸杚杁䕁䅧䅖䵂䑁䅁䅍穁䑁䅫睎穁䑁䅉䅉浂䝁䄸杣杁䝁䅫兢瑂䡁䅕杢療䍁䄰睢畂䝁䅍睢獂䝁䄸睚㕂䍁䅁兡畂䝁䅑兡橂䝁䅅䅤灂䝁䄸杢穂䑁䅳䅉䥂䙁䅑䅔睁䑁䅁䅎㑁䑁䅅䅎㕁䍁䅁杚療䡁䅉䅉穂䝁䅍䅡灂䡁䅯睢睂䝁䅧杣求䝁䄴兡桂䍁䅁䅚灂䡁䅍睢祂䝁䅑党祂䡁䅍睏杁䕁䅑兙祂䝁䅫䅚療䡁䅉党㑂䝁䅅杢あ䍁䅁杚療䡁䅉䅉あ䝁䅧党杁䡁䅑杣求䝁䅅䅤瑂䝁䅕杢あ䍁䅁睢浂䍁䅁兡畂䡁䅍睢瑂䝁䄴兡桂䑁䅳䅉䥂䙁䅑䅔睁䑁䅁免㉁䑁䅧睎㑁䍁䅁杚療䡁䅉䅉穂䝁䅍䅡灂䡁䅯睢睂䝁䅧杣求䝁䄴兡桂䍁䅁兙畂䝁䅑䅉療䡁䅑䅡求䡁䅉䅉畂䝁䅕兤祂䝁䄸䅣穂䡁䅫睙潂䝁䅫兙あ䡁䅉兡橂䍁䅁䅚灂䡁䅍睢祂䝁䅑党祂䡁䅍睏杁䙁䅁杒瑁䑁䅁睎睁䑁䅧免ㅁ䑁䅍杍杁䝁䅙睢祂䍁䅁䅖㕂䡁䅁党杁䑁䅉䅉歂䝁䅫兙楂䝁䅕䅤求䡁䅍䅉瑂䝁䅕䅢獂䝁䅫䅤ㅂ䡁䅍䅉桂䝁䄴䅚杁䝁䄸杙求䡁䅍兡あ䡁䅫睏杁䙁䅁杒瑁䑁䅁睎睁䑁䅕䅎㑁䑁䅫䅎杁䝁䅙睢祂䍁䅁兡畂䝁䅙䅢桂䝁䄰兢桂䡁䅑睢祂䡁䅫䅉楂䝁䄸睤求䝁䅷䅉歂䝁䅫督求䝁䅅督求䑁䅳䅉兂䕁䅙兌睁䑁䅣杍ㅁ䑁䅧李㉁䑁䅫䅉浂䝁䄸杣杁䝁䅅杢療䡁䅉党㑂䝁䅫兙㝁䍁䅁䅕䝂䍁䄰䅍㉁䑁䅫兎ぁ䑁䅕杍祁䍁䅁杚療䡁䅉䅉瑂䝁䅕䅤桂䝁䅉睢獂䝁䅫睙杁䝁䅑兡穂䝁䅕兙穂䝁䅕督㝁䍁䅁杔䍂䕁䅫兌硁䑁䅅免㍁䑁䅕李㕁䍁䅁杚療䡁䅉䅉畂䝁䅕兤祂䝁䄸䅢療䝁䅣入杁䝁䅑兡穂䝁䅕兙穂䝁䅕督㝁䍁䅁兙畂䝁䅑䅉佂䕁䅉兓瑁䑁䅅免硁䑁䅣兎㍁䑁䅁䅉浂䝁䄸杣杁䝁䅍党畂䡁䅑杣桂䝁䅷䅉畂䝁䅕杣㉂䝁䄸兤穂䍁䅁督㕂䡁䅍䅤求䝁䄰䅉潁䕁䅍杔呂䍁䅫䅉歂䝁䅫督療䡁䅉䅚求䡁䅉督畁䍁䅁兓あ䍁䅁兡穂䍁䅁兙獂䡁䅍睢杁䝁䅫杢㉂䝁䄸䅢㉂䝁䅕䅚杁䝁䅫杢杁䡁䅑䅡求䍁䅁䅚求䡁䅙党獂䝁䄸䅣瑂䝁䅕杢あ䍁䅁睢浂䍁䅁睒兂䙁䅉睍ㅁ䍁䅁兙湂䝁䄸杢灂䡁䅍䅤獁䍁䅁杚療䡁䅉䅉灂䝁䄴杚獂䝁䅅兢瑂䝁䅅䅤療䡁䅉入杁䝁䅉睢㍂䝁䅕䅢杁䝁䅑兡穂䝁䅕兙穂䝁䅕睌䡂䕁䅫䅉歂䝁䅫督療䡁䅉䅚求䡁䅉督獁䍁䅁睤潂䝁䅫睙潂䍁䅁兡穂䍁䅁兡畂䍁䅁䅣祂䝁䅕睙獂䝁䅫杢灂䝁䅍兙獂䍁䅁督あ䝁䅅睚求䑁䅳䅉桂䝁䄴䅚杁䝁䄸䅤潂䝁䅕杣杁䝁䅑兡穂䝁䅍睢㉂䝁䅕杣㕂䍁䅁兙畂䝁䅑䅉睂䡁䅉党橂䝁䅷兡畂䝁䅫睙桂䝁䅷䅉穂䡁䅑兙湂䝁䅕䅉歂䡁䅉兤湂䡁䅍杌杁䙁䅍睢穂䝁䅕兡杁䕁䅣杣療䡁䅕䅣杁䕁䅍睢祂䡁䅁睢祂䝁䅅䅤灂䝁䄸杢杁䝁䅧兙穂䍁䅁兙杁䡁䅍䅤祂䝁䅅䅤求䝁䅣兡橂䍁䅁睙療䝁䅷䅢桂䝁䅉睢祂䝁䅅䅤灂䝁䄸杢杁䡁䅣兡あ䝁䅧䅉䉂䝁䅉杙坂䝁䅫党獁䍁䅁村灂䝁䄸䅡桂䡁䅙党畂䍁䅷䅉䡂䝁䅕杢求䝁䄴䅤求䝁䅍䅡杁䕁䅫杢橂䍁䄴䅌杁䕁䅣睕䱂䍁䅷䅉兂䝁䅙兡㙂䝁䅕杣杁䕁䅫杢橂䍁䄴䅌杁䕁䄴党ㅂ䡁䅉睢橂䡁䅉兡畂䝁䅕䅉䍂䝁䅫睢穂䝁䅍兡求䝁䄴睙求䡁䅍䅉䩂䝁䄴睙畁䍁䅷䅉佂䝁䄸杤桂䡁䅉䅤灂䡁䅍䅉䩂䝁䄴䅤求䡁䅉杢桂䡁䅑兡療䝁䄴兙獂䍁䅁兑䡂䍁䅷䅉桂䝁䄴䅚杁䙁䅙党祂䝁䅫䅢㕂䍁䄴䅉呂䝁䄸督求䝁䅫䅉䡂䡁䅉睢ㅂ䡁䅁䅉䑂䝁䄸杣睂䝁䄸杣桂䡁䅑兡療䝁䄴䅉㍂䝁䅅督杁䝁䅫杢橂䝁䄸杣睂䝁䄸杣桂䡁䅑党歂䍁䅁兡畂䍁䅁免㕁䑁䅫䅍杁䝁䅅杢歂䍁䅁兡穂䍁䅁䅡求䝁䅅䅚硂䡁䅕兙祂䡁䅑党祂䝁䅕䅚杁䝁䅫杢杁䙁䅑睢牂䡁䅫睢獁䍁䅁杓桂䡁䅁兙畂䍁䄴䅁啂杂䅁杯䅙䙁䅍睢穂䝁䅕兡杁䕁䅣杣療䡁䅕䅣杁䕁䅍睢祂䡁䅁睢祂䝁䅅䅤灂䝁䄸杢杁䝁䅑党㉂䝁䅕䅢療䡁䅁督杁䝁䅉兡療䡁䅁䅡桂䡁䅉兢桂䝁䅍党ㅂ䡁䅑兡橂䝁䅅䅢杁䡁䅁杣療䝁䅑兤橂䡁䅑督杁䡁䅣睢祂䝁䅷䅚㍂䝁䅫䅚求䍁䄴䅉䩂䡁䅑督杁䝁䄰兙祂䝁䅳党あ䝁䅕䅚杁䡁䅁杣療䝁䅑兤橂䡁䅑督杁䝁䅫杢橂䝁䅷兤歂䝁䅕䅉噂䝁䅷䅤灂䝁䅉杣療䍁䄸村祂䝁䅕党㙂䝁䅧兙獂䝁䅕杣杁䝁䅅杢歂䍁䅁睕求䝁䅕杙祂䝁䅫睌䍂䡁䅉党求䡁䅯䅡桂䝁䅷党祂䍁䅁杚療䡁䅉䅉あ䝁䅧党杁䡁䅑杣求䝁䅅䅤瑂䝁䅕杢あ䍁䅁睢浂䍁䅁睙潂䡁䅉睢畂䝁䅫睙杁䝁䄸杙穂䡁䅑杣ㅂ䝁䅍䅤灂䡁䅙党杁䡁䅁兤獂䝁䄰睢畂䝁䅅杣㕂䍁䅁䅚灂䡁䅍党桂䡁䅍党㝁䍁䅁兒畂䝁䅕杣㙂䝁䅅兡祂䍁䅁䅤療䍁䅁䅤祂䝁䅕兙あ䍁䅁兙穂䡁䅑䅡瑂䝁䅅睏杁䝁䅅杢歂䍁䅁睔卂䕁䅅杖䩂䍁䅷䅉桂䝁䄴䅉療䡁䅉睢睂䝁䅧兙祂䡁䅫杢湂䝁䅕兙獂䍁䅁睙桂䝁䄴䅚灂䝁䅑兡桂䡁䅍兡穂䍁䄴䅉啂䝁䅧党杁䝁䅍睢瑂䡁䅁兙畂䡁䅫升穂䍁䅁䅣祂䝁䄸䅚ㅂ䝁䅍䅤杁䡁䅁兡睂䝁䅕䅢灂䝁䄴党杁䝁䅍睢畂䡁䅍兡穂䡁䅑督杁䝁䄸杚杁䕁䅣䅕卂䑁䅍兎杁䝁䅅睚療䝁䄴兡穂䡁䅑䅌杁䝁䅙睢祂䍁䅁兡畂䝁䅙䅢桂䝁䄰兢桂䡁䅑睢祂䡁䅫䅉楂䝁䄸睤求䝁䅷䅉歂䝁䅫督求䝁䅅督求䍁䄸睒䩂䍁䅁䅚灂䡁䅍睢祂䝁䅑党祂䡁䅍䅌杁䡁䅣䅡灂䝁䅍䅡杁䝁䅫督杁䝁䅫杢杁䡁䅁杣求䝁䅍䅢灂䝁䄴兡橂䝁䅅䅢杁䡁䅍䅤桂䝁䅣党㝁䍁䅁䅓啂䕁䅷䅍睁䑁䅅李㑁䑁䅣䅏杁䝁䅙睢祂䍁䅁睕橂䝁䅧兡㙂䝁䄸䅣潂䡁䅉党畂䝁䅫兙杁䝁䅅杢歂䍁䅁睢あ䝁䅧党祂䍁䅁杢求䡁䅕杣療䡁䅁督㕂䝁䅍䅡灂䝁䅅䅤祂䝁䅫睙杁䝁䅑兡穂䝁䄸杣歂䝁䅕杣穂䑁䅳䅉兂䕁䅙兌睁䑁䅣䅍㑁䑁䅅兎穁䑁䅉䅉浂䝁䄸杣杁䙁䅑入睂䝁䅕䅉祁䍁䅁䅚灂䝁䅅杙求䡁䅑党穂䍁䅁兢求䝁䅷䅢灂䡁䅑兤穂䍁䅁兙畂䝁䅑䅉療䝁䅉党穂䝁䅫䅤㕂䑁䅳䅉兂䕁䅙兌睁䑁䅣䅍ㅁ䑁䅑䅏㕁䑁䅑䅉浂䝁䄸杣杁䝁䅫杢浂䝁䅷兙瑂䝁䄰兙あ䝁䄸杣㕂䍁䅁杙療䡁䅣党獂䍁䅁䅚灂䡁䅍党桂䡁䅍党㝁䍁䅁兙畂䝁䅑䅉兂䕁䅙兌睁䑁䅣杍ㅁ䑁䅧李㉁䑁䅫䅉浂䝁䄸杣杁䝁䅅杢療䡁䅉党㑂䝁䅫兙畁䍁䅁睕療䡁䅍党灂䍁䅁睒祂䝁䄸兤睂䍁䅁睑療䡁䅉䅣療䡁䅉兙あ䝁䅫睢畂䍁䅁䅡桂䡁䅍䅉桂䍁䅁督あ䡁䅉兙あ䝁䅕睚灂䝁䅍䅉橂䝁䄸䅢獂䝁䅅杙療䡁䅉兙あ䝁䅫睢畂䍁䅁睤灂䡁䅑䅡杁䕁䅅杙楂䙁䅙兡求䍁䅷䅉䍂䝁䅫睢潂䝁䅅杤求䝁䄴䅌杁䕁䅣党畂䝁䅕杢あ䝁䅕睙潂䍁䅷䅉䡂䙁䅍睓獁䍁䅁䅖桂䝁䅳党歂䝁䅅䅌杁䙁䅁杚灂䡁䅯党祂䍁䅷䅉佂䝁䅕兤祂䝁䄸睙祂䝁䅫杢求䍁䅁村灂䝁䄸督橂䝁䅫党畂䝁䅍党穂䍁䅷䅉佂䝁䄸杤桂䡁䅉䅤灂䡁䅍䅌杁䙁䅙党祂䝁䅫䅢㕂䍁䅷䅉䉂䡁䅍䅤祂䝁䅅杗求䝁䄴党橂䝁䅅䅌杁䝁䅅杢歂䍁䅁䅖桂䝁䅳党歂䝁䅅杌杁䙁䅑䅡求䍁䅁睙療䝁䄰䅣桂䝁䄴入杁䡁䅣兙穂䍁䅁兡畂䝁䅍睢祂䡁䅁睢祂䝁䅅䅤求䝁䅑䅉灂䝁䄴䅉硁䑁䅫兏睁䍁䅁兙畂䝁䅑䅉灂䡁䅍䅉潂䝁䅕兙歂䡁䅅兤桂䡁䅉䅤求䡁䅉党歂䍁䅁兡畂䍁䅁䅖療䝁䅳入療䍁䅷䅉䭂䝁䅅䅣桂䝁䄴杌䅁䉁䝳䅁䕂䅁䅁睕療䡁䅕杣橂䝁䅕䅉ぁ䑁䅑䅉䑂䝁䄸杢穂䡁䅕䅢あ䝁䅫杢湂䍁䅁兓畂䝁䅍睢祂䡁䅁睢祂䝁䅅䅤求䝁䅑䅁䵃允䅁杪䅍䙁䅍睢ㅂ䡁䅉睙求䍁䅁䅎ぁ䍁䅁睑療䝁䄴督ㅂ䝁䅷䅤灂䝁䄴睚杁䕁䅫杢橂䝁䄸杣睂䝁䄸杣桂䡁䅑党歂䍁䅁䅣祂䝁䄸杤灂䝁䅑党穂䍁䅁睙㕂䝁䅉党祂䡁䅍党橂䡁䅕杣灂䡁䅑入杁䡁䅁杣療䝁䅑兤橂䡁䅑督杁䝁䅅杢歂䍁䅁督求䡁䅉杤灂䝁䅍党穂䍁䅁䅤療䍁䅁杙ㅂ䡁䅍兡畂䝁䅕督穂䝁䅕督杁䝁䅅睙祂䝁䄸督穂䍁䅁睑桂䝁䄴兙歂䝁䅅杌杁䙁䅑䅡求䍁䅁睙療䝁䄰䅣桂䝁䄴入杁䝁䄸杚浂䝁䅕杣穂䍁䅁睙㕂䝁䅉党祂䡁䅍党橂䡁䅕杣灂䡁䅑入杁䡁䅉兡穂䝁䅳䅉桂䡁䅍督求䡁䅍督瑂䝁䅕杢あ䡁䅍䅌杁䝁䅍入楂䝁䅕杣穂䝁䅕睙ㅂ䡁䅉兡あ䡁䅫䅉橂䝁䄸杢あ䡁䅉睢獂䡁䅍䅌杁䝁䄰兙畂䝁䅅睚求䝁䅑䅉橂䡁䅫杙求䡁䅉督求䝁䅍兤祂䝁䅫䅤㕂䍁䅁杢求䡁䅑睤療䡁䅉睡杁䝁䅅杢歂䍁䅁杤ㅂ䝁䅷杢求䡁䅉兙楂䝁䅫䅢灂䡁䅑入杁䡁䅍党祂䡁䅙兡橂䝁䅕督獁䍁䅁䅣求䝁䄴党あ䡁䅉兙あ䝁䅫睢畂䍁䅁䅤求䡁䅍䅤灂䝁䄴睚獁䍁䅁兙畂䝁䅑䅉橂䡁䅫杙求䡁䅉督求䝁䅍兤祂䝁䅫䅤㕂䍁䅁兙ㅂ䝁䅑兡あ䡁䅍杌杁䕁䅅䅚歂䝁䅫䅤灂䝁䄸杢桂䝁䅷䅢㕂䍁䅷䅉灂䡁䅑䅉桂䝁䅷督療䍁䅁䅚求䡁䅁䅢療䡁䅫䅉畂䝁䅕䅤㍂䝁䄸杣牂䍁䅁兙畂䝁䅑䅉穂䝁䅕睙ㅂ䡁䅉兡あ䡁䅫䅉祂䝁䅕䅢桂䡁䅑党歂䍁䅁䅣祂䝁䄸䅚ㅂ䝁䅍䅤穂䍁䅁兙畂䝁䅑䅉穂䝁䄸䅢ㅂ䡁䅑兡療䝁䄴督杁䝁䅙睢祂䍁䅁杙ㅂ䡁䅍兡畂䝁䅕督穂䝁䅕督畁䍁䅁䅖潂䝁䅕䅉橂䝁䄸兢睂䝁䅅杢㕂䍁䅁睤桂䡁䅍䅉灂䝁䄴睙療䡁䅉䅣療䡁䅉兙あ䝁䅕䅚杁䝁䅫杢杁䑁䅉䅍睁䑁䅧䅉桂䝁䄴䅚杁䝁䅫督杁䝁䅉兙穂䝁䅕䅚杁䝁䅫杢杁䕁䄰兙祂䝁䅳䅡桂䝁䄰䅌杁䕁䅍兙畂䝁䅅䅚桂䍁䄴䅁晃允䅁䅇䅁䙁䅍睢ㅂ䡁䅑䅡杁䕁䅳睢祂䝁䅕兙䅁乁䅅䅁楁䅁䅁睕あ䝁䅕睚桂䍁䅁兖䱂䍁䅁䅔灂䝁䄰兡あ䝁䅕䅚䅁䩁䉁䅁䵄允䅁睕あ䝁䅕睚桂䍁䅁兖䱂䍁䅁䅔灂䝁䄰兡あ䝁䅕䅚杁䝁䄸杚浂䝁䅕杣穂䍁䅁兢桂䝁䄴兙湂䝁䅕䅚杁䝁䅍入楂䝁䅕杣杁䡁䅍党橂䡁䅕杣灂䡁䅑入杁䡁䅍党祂䡁䅙兡橂䝁䅕督畁䍁䅁䅖潂䝁䅕䅉橂䝁䄸兢睂䝁䅅杢㕂䍁䅁睤桂䡁䅍䅉灂䝁䄴睙療䡁䅉䅣療䡁䅉兙あ䝁䅕䅚杁䝁䅫杢杁䑁䅉䅍硁䑁䅙䅉桂䝁䄴䅚杁䝁䅫督杁䝁䅉兙穂䝁䅕䅚杁䝁䅫杢杁䕁䅷睢畂䝁䅑睢畂䍁䅷䅉噂䝁䄴兡あ䝁䅕䅚杁䕁䅳兡畂䝁䅣䅚療䝁䄰杌杁䕁䅅督杁䝁䄸杚杁䕁䅅兤湂䡁䅕督あ䍁䅁兏獁䍁䅁杍睁䑁䅉免獁䍁䅁睕あ䝁䅕睚桂䍁䅁兖䱂䍁䅁䅔灂䝁䄰兡あ䝁䅕䅚杁䝁䄸䅣求䡁䅉兙あ䝁䅕督杁䝁䅅督杁䝁䅅䅉穂䡁䅕杙穂䝁䅫䅚灂䝁䅅杣㕂䍁䅁睢浂䍁䅁睑祂䝁䄸督穂䡁䅣睢祂䝁䅑䅉䑂䡁䅫杙求䡁䅉督求䝁䅍兤祂䝁䅫䅤㕂䍁䅁䅕獂䝁䅍杌䅁䭁䉁䅁ぁ䅁䅁睕ㅂ䡁䅑䅡求䡁䅉䅢桂䝁䄴䅚杁䙁䅁兙祂䡁䅑杢求䡁䅉督獁䍁䅁䅔畁䙁䅁杌䅁䑁䍍䅁佁䅁䅁睕㍂䝁䅕䅚求䝁䄴䅁穄允䅁䅇䅁䙁䅍睤灂䡁䅑来求䡁䅉䅢桂䝁䄴䅚䅁䅁䅑䅁坁䅁䅁䅖䉂䙁䅍兒㙁䕁䅧䅔乂䙁䅍䅉䅁䡁䍑䅁啁䅁䅁䅖䉂䙁䅍兒㙁䕁䄸杕䍂䕁䅫䅁啁䅁䅁村䅁䙁䅑兒呂䙁䅍睑偂䍁䅁䅖求䝁䅍䅡畂䝁䄸䅢療䝁䅣兡求䡁䅍䅉䩂䝁䄴睙療䡁䅉䅣療䡁䅉兙あ䝁䅕䅚䅁䑁䉣䅁䕁䅄䅁䅖䙂䙁䅍睕䑂䕁䄸䅉啂䝁䅕睙潂䝁䄴睢獂䝁䄸睚灂䝁䅕督杁䕁䅫杢橂䝁䄸杣睂䝁䄸杣桂䡁䅑党歂䍁䅁党畂䝁䅣兙湂䝁䅕督杁䝁䅫杢杁䝁䄰兙畂䡁䅕杚桂䝁䅍䅤ㅂ䡁䅉党杁䝁䅅杢歂䍁䅁䅚灂䡁䅍䅤祂䝁䅫杙ㅂ䡁䅑兡療䝁䄴䅉療䝁䅙䅉あ䝁䅕睙潂䝁䄴睢獂䝁䄸睚㕂䍁䅁䅣祂䝁䄸䅚ㅂ䝁䅍䅤穂䍁䅁兙畂䝁䅑䅉穂䝁䄸䅢ㅂ䡁䅑兡療䝁䄴督杁䝁䅙睢祂䍁䅁睤灂䡁䅉党獂䝁䅕督穂䍁䅁兡畂䝁䅙杣桂䡁䅍䅤祂䡁䅕睙あ䡁䅕杣求䍁䅁兢桂䡁䅉睡求䡁䅑䅉灂䝁䄴䅉あ䝁䅧党杁䙁䅕杢灂䡁䅑党歂䍁䅁睕あ䝁䅅䅤求䡁䅍䅉桂䝁䄴䅚杁䝁䅫杢あ䝁䅕杣畂䝁䅅䅤灂䝁䄸杢桂䝁䅷䅢㕂䍁䄴䅉䩂䡁䅑䅉療䡁䅁党祂䝁䅅䅤求䡁䅍䅉灂䝁䄴䅉あ䡁䅣睢杁䡁䅍党湂䝁䄰党畂䡁䅑督獁䍁䅁睑桂䡁䅉杣灂䝁䅕杣杁䝁䅅杢歂䍁䅁睑療䝁䄰兢求䡁䅉睙灂䝁䅅䅢畁䍁䅁䅖潂䝁䅕䅉橂䝁䄸兢睂䝁䅅杢㕂䍁䅁睢浂䝁䅙党祂䡁䅍䅉楂䝁䅅督求䍁䅁督あ䝁䅅䅤灂䝁䄸杢杁䝁䅫杢浂䡁䅉兙穂䡁䅑杣ㅂ䝁䅍䅤ㅂ䡁䅉党杁䡁䅁杣療䝁䅑兤橂䡁䅑督獁䍁䅁兡畂䝁䅍䅢ㅂ䝁䅑兡畂䝁䅣䅉楂䝁䅅督求䍁䅁督あ䝁䅅䅤灂䝁䄸杢杁䝁䅅杢あ䝁䅕杢畂䝁䅅督獁䍁䅁睙桂䝁䅉䅢求䍁䅁兙畂䝁䅑䅉あ䡁䅉兙畂䡁䅍兢灂䡁䅍督灂䝁䄸杢杁䝁䅷兡畂䝁䅕督獁䍁䅁督瑂䝁䅅䅢獂䍁䅁䅤療䡁䅣党祂䡁䅍䅌杁䝁䅷兡湂䝁䅧䅤畂䝁䅫杢湂䍁䅁䅣祂䝁䄸䅤求䝁䅍䅤灂䝁䄸杢杁䝁䅑党㉂䝁䅫睙求䡁䅍䅌杁䝁䅍睢畂䝁䄴党橂䡁䅑睢祂䡁䅍䅌杁䡁䅁睢㍂䝁䅕杣杁䡁䅍入穂䡁䅑党瑂䡁䅍䅌杁䝁䅕杢橂䝁䅷睢穂䡁䅕杣求䡁䅍䅌杁䝁䅣杣療䡁䅕杢歂䝁䅫杢湂䍁䅁䅣祂䝁䄸䅚ㅂ䝁䅍䅤穂䍁䅷䅉煂䡁䅕兢睂䝁䅕杣穂䍁䅷䅉瑂䝁䅫督橂䝁䅕䅢獂䝁䅅杢求䝁䄸兤穂䍁䅁䅡桂䡁䅉䅚㍂䝁䅅杣求䍁䅁䅣祂䝁䄸䅚ㅂ䝁䅍䅤穂䍁䅷䅉桂䝁䄴䅚杁䝁䄰睢楂䝁䅫䅢求䍁䅁兙畂䡁䅑党畂䝁䄴兙穂䍁䅁䅤療䍁䅁杙ㅂ䝁䅫䅢歂䍁䅷䅉祂䝁䅕䅣桂䝁䅫杣獁䍁䅁兙畂䝁䅑䅉ㅂ䡁䅁睚祂䝁䅅䅚求䍁䅁睤灂䡁䅉党獂䝁䅕督穂䍁䅁杙祂䝁䄸兙歂䝁䅉兙畂䝁䅑䅉穂䡁䅫督あ䝁䅕兢穂䍁䄴䅉䩂䡁䅑䅉桂䝁䅷督療䍁䅁䅣祂䝁䄸杤灂䝁䅑党穂䍁䅁杢求䡁䅑睤療䡁䅉睡杁䡁䅍入穂䡁䅑党瑂䡁䅍䅉睂䡁䅉睢歂䡁䅕睙あ䡁䅍䅌杁䡁䅍兤橂䝁䅧䅉桂䡁䅍䅉浂䝁䅫䅥求䝁䅑䅉桂䝁䄴䅚杁䝁䄰睢楂䝁䅫䅢求䍁䅁杙祂䝁䄸兙歂䝁䅉兙畂䝁䅑䅉祂䝁䅅䅚灂䝁䄸䅉求䡁䅅兤灂䡁䅁兢求䝁䄴䅤獁䍁䅁睤灂䡁䅉党獂䝁䅕督穂䍁䅁杢求䡁䅑睤療䡁䅉睡灂䝁䄴睚杁䝁䅙兡獂䡁䅑党祂䝁䅫杢湂䍁䅁兙畂䝁䅑䅉歂䝁䅫督あ䡁䅉兡楂䡁䅕䅤求䝁䅑䅉桂䝁䄴䅤求䝁䄴杢桂䍁䅁督㕂䡁䅍䅤求䝁䄰督獁䍁䅁䅤㍂䝁䄸兌㍂䝁䅅入杁䡁䅉兙歂䝁䅫睢穂䍁䅷䅉桂䝁䄴䅚杁䡁䅍党橂䡁䅕杣灂䡁䅑入杁䝁䅅杢歂䍁䅁督ㅂ䡁䅉杤求䝁䅫䅢獂䝁䅅杢橂䝁䅕䅉睂䡁䅉睢歂䡁䅕睙あ䡁䅍杌杁䕁䅫杢杁䝁䅅䅚歂䝁䅫䅤灂䝁䄸杢獁䍁䅁䅤潂䝁䅕䅉橂䝁䄸兢睂䝁䅅杢㕂䍁䅁睢浂䝁䅙党祂䡁䅍䅉灂䝁䄴督あ䝁䅅䅢獂䝁䅅䅤灂䝁䄸杢獁䍁䅁䅤求䡁䅍䅤獁䍁䅁兙畂䝁䅑䅉瑂䝁䅅兡畂䡁䅑党畂䝁䅅杢橂䝁䅕䅉睂䡁䅉睢歂䡁䅕睙あ䡁䅍䅉橂䝁䄸兢睂䡁䅉兡穂䝁䅫杢湂䍁䅁兙畂䝁䅅䅢㕂䡁䅍兡穂䍁䅁党硂䡁䅕兡睂䝁䄰党畂䡁䅑睏杁䝁䅅杢歂䍁䅁杤桂䡁䅉兡療䡁䅕督杁䝁䅙杣求䡁䅅兤求䝁䄴睙㕂䍁䅷䅉㉂䝁䄸䅢あ䝁䅅睚求䍁䅷䅉桂䝁䄴䅚杁䡁䅁睢㍂䝁䅕杣瑁䝁䄰党桂䡁䅍兤祂䝁䅫杢湂䍁䅁䅚求䡁䅙兡橂䝁䅕督獁䍁䅁兙穂䍁䅁睤求䝁䅷䅢杁䝁䅅督杁䡁䅑睢療䝁䅷督獁䍁䅁䅡桂䡁䅉䅚㍂䝁䅅杣求䍁䅷䅉䡂䙁䅁睕杁䝁䅅杢歂䍁䅁督桂䝁䅙党あ䡁䅫䅉睂䡁䅉睢歂䡁䅕睙あ䡁䅍䅌杁䝁䅅杢歂䍁䅁杣求䡁䅁䅢桂䝁䅍党瑂䝁䅕杢あ䍁䅁兙畂䝁䅑䅉橂䝁䄸兢睂䝁䄸杢求䝁䄴䅤杁䡁䅁兙祂䡁䅑督杁䝁䅅杢歂䍁䅁督ㅂ䡁䅁䅣獂䝁䅫党穂䍁䅁䅤療䍁䅁兡畂䡁䅍䅤桂䝁䅷䅢獁䍁䅁䅤ㅂ䝁䄴党獁䍁䅁兙畂䝁䅑䅉瑂䝁䅅兡畂䡁䅑兙灂䝁䄴䅉㍂䝁䅫杣求䝁䅷党穂䡁䅍䅉橂䝁䄸兢瑂䡁䅕杢灂䝁䅍兙あ䝁䅫睢畂䡁䅍䅉求䡁䅅兤灂䡁䅁兢求䝁䄴䅤畁䍁䅁䅖潂䝁䅕䅉橂䝁䄸兢睂䝁䅅杢㕂䍁䅁督求䝁䅷䅢穂䍁䅁兡あ䡁䅍䅉睂䡁䅉睢歂䡁䅕睙あ䡁䅍䅉あ䝁䄸䅉橂䝁䅅杣祂䝁䅫党祂䍁䅁兙畂䝁䅑䅉睂䡁䅕杙獂䝁䅫睙杁䝁䄴党あ䡁䅣睢祂䝁䅳䅉療䡁䅁党祂䝁䅅䅤療䡁䅉督獁䍁䅁䅤療䡁䅣党祂䍁䅁睢㍂䝁䄴党祂䡁䅍䅌杁䡁䅁杣療䝁䅣杣桂䝁䄰䅉瑂䝁䅅杢桂䝁䅣党祂䡁䅍䅌杁䝁䅍睢畂䡁䅑杣桂䝁䅍䅤療䡁䅉督杁䝁䅅杢歂䍁䅁兡畂䡁䅑党湂䡁䅉兙あ䝁䄸杣穂䍁䅷䅉睂䡁䅉兡㉂䝁䅅䅤求䍁䅁督㕂䡁䅍䅤求䝁䄰䅉療䡁䅁党祂䝁䅅䅤療䡁䅉督獁䍁䅁杚求䝁䅑党祂䝁䅅䅢杁䝁䅣睢㉂䝁䅕杣畂䝁䄰党畂䡁䅑督獁䍁䅁督あ䝁䅅䅤求䍁䅁兙畂䝁䅑䅉獂䝁䄸睙桂䝁䅷䅉湂䝁䄸杤求䡁䅉杢瑂䝁䅕杢あ䡁䅍䅌杁䝁䄰兙畂䡁䅕杚桂䝁䅍䅤ㅂ䡁䅉党祂䡁䅍䅌杁䝁䄴兙あ䝁䅫睢畂䝁䅅䅢杁䡁䅍睢獂䡁䅕䅤灂䝁䄸杢穂䍁䅁䅣祂䝁䄸杤灂䝁䅑党祂䡁䅍䅌杁䝁䅅杢歂䍁䅁杤桂䝁䅷兤求䍁䄰兙歂䝁䅑党歂䍁䅁杣求䡁䅍党獂䝁䅷党祂䡁䅍䅉ㅂ䝁䄴䅚求䡁䅉䅉あ䝁䅧党杁䙁䅙党畂䡁䅑党㉂䍁䅁杙祂䝁䅅杢歂䍁䄴䅉啂䕁䅕睕呂䕁䅍睔杁䙁䅑党橂䝁䅧杢療䝁䅷睢湂䝁䅫党穂䍁䅁兓畂䝁䅍睢祂䡁䅁睢祂䝁䅅䅤求䝁䅑䅉㍂䝁䅅督杁䝁䅙睢ㅂ䝁䄴䅚求䝁䅑䅉灂䝁䄴䅉硁䑁䅫䅏祁䍁䅁兙畂䝁䅑䅉灂䡁䅍䅉潂䝁䅕兙歂䡁䅅兤桂䡁䅉䅤求䡁䅉党歂䍁䅁兡畂䍁䅁䅓ㅂ䝁䄴䅤杁䙁䅙兙獂䝁䅷党㕂䍁䅷䅉乂䝁䅅杣㕂䝁䅷兙畂䝁䅑杌䅁䙁䈸䅁ぁ䅁䅁䅖偂䙁䅑兔杁䙁䅑党橂䝁䅧杢療䝁䅷睢湂䝁䅫党穂䍁䅁䅔灂䝁䄰兡あ䝁䅕䅚䅁䩁䅷䅁十䅁䅁䅖呂䕁䅕杏ぁ䑁䅁睎ㅁ䅁䅁䅺䅁䉁䅉䅁啂䙁䅍兒㙁䑁䅑睍㍁䑁䅧䅁佄䅁䅁杅䅁䙁䅑睕䙂䑁䅯䅎ㅁ䑁䅉睍䅁䅁䝷䅁十䅁䅁䅖呂䕁䅕杏ぁ䑁䅕睍㉁䅁䅁儴䅕䉁䅉䅁啂䙁䅍兒㙁䑁䅑兎㉁䑁䅕䅁啁杂䅁杅䅁䙁䅑睕䙂䑁䅯䅎ㅁ䑁䅣䅏䅁䭁䙳䅁十䅁䅁䅖呂䕁䅕杏ぁ䑁䅣䅍ぁ䅁䅁杅䅑䉁䅉䅁啂䙁䅍兒㙁䑁䅑兏㍁䑁䅑䅁⽁䅁䅁杅䅁䙁䅑睕䙂䑁䅯兏睁䑁䅉兎䅁䵁䍁䅁允䅁䅁䅖呂䙁䅧杏䉂䕁䄴䅒䅁䱁䌴䅁啁䅁䅁䅖呂䙁䅧杖㙁䕁䅍兔䩂䍁䅁䅁䱂䅁䅁杅䅁䙁䅑睕奂䙁䅙杏䵂䙁䅑杖䅁䝁䉣䅁啁䅁䅁䅖塂䙁䅍兒㙁䑁䅉李睁䑁䅧䅁䍄杁䅁杄䅁䙁䅑兙灂䡁䅣兙畂䅁䅁杸䅉䍁䅁䅁啂䝁䅅睡桂䡁䅉兙杁䕁䅉兡療䍁䅁兓畂䝁䅍杌䅁䕁䅕䅁䥂䅁䅁䅖桂䝁䅳党瑁䙁䅑睤療䍁䅁兓畂䡁䅑党祂䝁䅅睙あ䝁䅫杤求䍁䅁睕療䝁䅙䅤㍂䝁䅅杣求䍁䅷䅉䩂䝁䄴睙畁䅁䅁睒䅉䑁䅧䅁啂䝁䅅入穂䝁䅧兙杁䕁䅣党畂䝁䅕䅉啂䝁䅧党祂䝁䅅䅣灂䝁䅕督獁䍁䅁兓畂䝁䅍杌䅁䵁䘰䅁啁杂䅁䅖桂䡁䅫督潂䝁䅅䅉䡂䝁䅕杢求䍁䅁䅖潂䝁䅕杣桂䡁䅁兡求䡁䅍䅌杁䕁䅫杢橂䍁䄴䅌杁䝁䅅䅉湂䝁䅕杢求䍁䅁䅤潂䝁䅕杣桂䡁䅁入杁䝁䅍睢瑂䡁䅁兙畂䡁䅫䅌杁䝁䅙睢橂䡁䅕督求䡁䅍䅉療䝁䄴䅉歂䝁䅕杤求䝁䅷睢睂䝁䅫杢湂䍁䅁兙畂䝁䅑䅉橂䝁䄸兢瑂䝁䅕杣橂䝁䅫兙獂䝁䅫来灂䝁䄴睚杁䝁䅅䅚求䝁䄴睢瑁䝁䅅督穂䝁䄸睙灂䝁䅅䅤求䝁䅑䅉㉂䝁䅫杣ㅂ䡁䅍兌楂䝁䅅督求䝁䅑䅉湂䝁䅕杢求䍁䅁䅤潂䝁䅕杣桂䡁䅁兡求䡁䅍䅉浂䝁䄸杣杁䡁䅑䅡求䍁䅁䅤祂䝁䅕兙あ䝁䄰党畂䡁䅑䅉療䝁䅙䅉瑂䝁䄸杢療䝁䅣党畂䝁䅫睙杁䝁䅑兡穂䝁䅕兙穂䝁䅕督杁䝁䄸杚杁䡁䅑䅡求䍁䅁睙求䝁䄴䅤祂䝁䅅䅢杁䝁䄴党祂䡁䅙睢ㅂ䡁䅍䅉穂䡁䅫督あ䝁䅕兢畁䍁䅁兓あ䍁䅁䅣祂䝁䅫兢桂䡁䅉兡獂䡁䅫䅉歂䝁䅕杤求䝁䅷睢睂䡁䅍䅉啂䙁䅍䅓䉂䍁䄰免祁䑁䅁䅉浂䝁䄸杣杁䡁䅑䅡求䍁䅁䅤祂䝁䅕兙あ䝁䄰党畂䡁䅑䅉療䝁䅙䅉湂䝁䅫兙畂䡁䅑䅉桂䡁䅧睢畂䝁䅅䅢杁䝁䄴党ㅂ䡁䅉睢睂䝁䅅䅤潂䡁䅫睏杁䙁䅑睕䥂䕁䅅兌硁䑁䅁杍杁䝁䅙睢祂䍁䅁䅤潂䝁䅕䅉あ䡁䅉党桂䡁䅑兢求䝁䄴䅤杁䝁䄸杚杁䙁䅉党あ䡁䅑䅉穂䡁䅫杢歂䡁䅉睢瑂䝁䅕睏杁䙁䅑睕䥂䕁䅅兌硁䑁䅉免杁䝁䅙睢祂䍁䅁䅤潂䝁䅕䅉あ䡁䅉党桂䡁䅑兢求䝁䄴䅤杁䝁䄸杚杁䕁䅍䅔佂䑁䅣䅉歂䝁䅫督求䝁䅅督求䑁䅳䅉啂䙁䅍䅓䉂䍁䄰免硁䑁䅧䅉浂䝁䄸杣杁䡁䅑䅡求䍁䅁䅤祂䝁䅕兙あ䝁䄰党畂䡁䅑䅉療䝁䅙䅉䑂䕁䅷杔硁䍁䅁䅚灂䡁䅍党桂䡁䅍党㝁䍁䅁䅖呂䕁䅧兑瑁䑁䅅䅍ㅁ䍁䅁杚療䡁䅉䅉あ䝁䅧党杁䡁䅑杣求䝁䅅䅤瑂䝁䅕杢あ䍁䅁睢浂䍁䅁杚療䡁䅉䅉呂䕁䅷睑硁䑁䅍兑ㅁ䍁䅁䅒求䝁䅙兡橂䝁䅫党畂䝁䅍入㝁䍁䅁兙畂䝁䅑䅉啂䙁䅍䅓䉂䍁䄰免睁䑁䅅䅉浂䝁䄸杣杁䡁䅑䅡求䍁䅁䅤祂䝁䅕兙あ䝁䄰党畂䡁䅑䅉療䝁䅙䅉䡂䕁䄰杍杁䝁䅣兙畂䝁䅣䅢灂䝁䄸督灂䝁䅑睢穂䝁䅫督畁䍁䅁䅖桂䡁䅫督潂䝁䅅䅉䡂䝁䅕杢求䍁䅁䅖潂䝁䅕杣桂䡁䅁兡求䡁䅍䅌杁䕁䅫杢橂䍁䄴䅉潂䝁䅅督杁䝁䅅䅉穂䡁䅑杣桂䡁䅑党湂䝁䅫睙杁䡁䅁兙祂䡁䅑杢求䡁䅉督潂䝁䅫䅣杁䡁䅣兡あ䝁䅧䅉啂䝁䅧党杁䙁䅕杢灂䡁䅙党祂䡁䅍兡あ䡁䅫䅉療䝁䅙䅉啂䝁䅕䅥桂䡁䅍䅉呂䝁䄸兤あ䝁䅧睤求䡁䅍䅤求䡁䅉杢杁䕁䄰党歂䝁䅫睙桂䝁䅷䅉䑂䝁䅕杢あ䝁䅕杣杁䡁䅑睢杁䝁䅑党㉂䝁䅕䅢療䡁䅁䅉桂䝁䄴䅚杁䝁䅍睢瑂䝁䄰党祂䝁䅍兡桂䝁䅷兡㙂䝁䅕䅉あ䡁䅉兙畂䡁䅍杚療䡁䅉兢桂䡁䅑兡㉂䝁䅕䅉湂䝁䅕杢求䍁䅁䅤潂䝁䅕杣桂䡁䅁入杁䡁䅑杣求䝁䅅䅤瑂䝁䅕杢あ䡁䅍杌杁䙁䅑䅡求䍁䅁睙療䝁䄰䅣桂䝁䄴入杁䡁䅣兙穂䍁䅁兡畂䝁䅍睢祂䡁䅁睢祂䝁䅅䅤求䝁䅑䅉灂䝁䄴䅉祁䑁䅁免㕁䍁䅁兙畂䝁䅑䅉灂䡁䅍䅉楂䝁䅅督求䝁䅑䅉灂䝁䄴䅉䕂䝁䅅䅢獂䝁䅅督獁䍁䅁䅖求䡁䅧兙穂䍁䄴䅁䑃兂䅁䄲䅙䙁䅑兙㕂䡁䅍䅡桂䍁䅁睒求䝁䄴党杁䙁䅑䅡求䡁䅉兙睂䝁䅫党穂䍁䅷䅉䩂䝁䄴睙畁䍁䅷䅉桂䍁䅁睚求䝁䄴党杁䡁䅑䅡求䡁䅉兙睂䡁䅫䅉橂䝁䄸兢睂䝁䅅杢㕂䍁䅷䅉浂䝁䄸睙ㅂ䡁䅍党穂䍁䅁睢畂䍁䅁䅚求䡁䅙党獂䝁䄸䅣灂䝁䄴睚杁䝁䅅杢歂䍁䅁睙療䝁䄰兢求䡁䅉睙灂䝁䅅䅢灂䡁䅯兡畂䝁䅣䅉桂䝁䅑党畂䝁䄸兌桂䡁䅍督療䝁䅍兡桂䡁䅑党歂䍁䅁杤灂䡁䅉兤穂䍁䄰杙桂䡁䅍党歂䍁䅁睚求䝁䄴党杁䡁䅑䅡求䡁䅉兙睂䝁䅫党穂䍁䅁杚療䡁䅉䅉あ䝁䅧党杁䡁䅑杣求䝁䅅䅤瑂䝁䅕杢あ䍁䅁睢浂䍁䅁兢療䝁䄴睢湂䝁䅕杢灂䝁䅍䅉歂䝁䅫督求䝁䅅督求䡁䅍䅉療䝁䅙䅉あ䝁䅧党杁䝁䅍党畂䡁䅑杣桂䝁䅷䅉畂䝁䅕杣㉂䝁䄸兤穂䍁䅁督㕂䡁䅍䅤求䝁䄰杌杁䕁䅫䅤杁䡁䅁杣灂䝁䄰兙祂䝁䅫䅢㕂䍁䅁䅚求䡁䅙党獂䝁䄸䅣穂䍁䅁䅖呂䕁䅧兑瑁䑁䅅杍睁䍁䅁杚療䡁䅉䅉あ䝁䅧党杁䡁䅑杣求䝁䅅䅤瑂䝁䅕杢あ䍁䅁睢浂䍁䅁睚灂䝁䅅杢あ䍁䅁兙㑂䝁䄸杢桂䝁䅷䅉畂䝁䅕兤祂䝁䄸䅣桂䡁䅑䅡㕂䑁䅳䅉啂䙁䅍䅓䉂䍁䄰免睁䑁䅉䅉浂䝁䄸杣杁䡁䅑䅡求䍁䅁䅤祂䝁䅕兙あ䝁䄰党畂䡁䅑䅉療䝁䅙䅉卂䝁䅕䅤あ䍁䅁督㕂䝁䄴䅚祂䝁䄸兢求䑁䅳䅉啂䙁䅍䅓䉂䍁䄰免祁䑁䅅䅉浂䝁䄸杣杁䡁䅑䅡求䍁䅁䅤祂䝁䅕兙あ䝁䄰党畂䡁䅑䅉療䝁䅙䅉䑂䕁䅷杔㍁䍁䅁䅚灂䡁䅍党桂䡁䅍党㝁䍁䅁䅖呂䕁䅧兑瑁䑁䅅免㑁䍁䅁杚療䡁䅉䅉あ䝁䅧党杁䡁䅑杣求䝁䅅䅤瑂䝁䅕杢あ䍁䅁睢浂䍁䅁睑䵂䕁䄴免杁䝁䅑兡穂䝁䅕兙穂䝁䅕睏杁䙁䅑睕䥂䕁䅅兌硁䑁䅁兎杁䝁䅙睢祂䍁䅁䅤潂䝁䅕䅉あ䡁䅉党桂䡁䅑兢求䝁䄴䅤杁䝁䄸杚杁䝁䅙睢祂䍁䅁睕䵂䕁䅍免穁䕁䅅兎杁䝁䅑党浂䝁䅫睙灂䝁䅕杢橂䡁䅫睏杁䙁䅑睕䥂䕁䅅兌硁䑁䅅睍杁䝁䅙睢祂䍁䅁䅤潂䝁䅕䅉あ䡁䅉党桂䡁䅑兢求䝁䄴䅤杁䝁䄸杚杁䡁䅑兙ㅂ䝁䄸䅣桂䡁䅑䅡灂䝁䅕督㝁䍁䅁䅖呂䕁䅧兑瑁䑁䅅䅍㉁䍁䅁杚療䡁䅉䅉あ䝁䅧党杁䡁䅑杣求䝁䅅䅤瑂䝁䅕杢あ䍁䅁睢浂䍁䅁兙畂䝁䅣党獂䝁䄰兙畂䍁䅁督㕂䝁䄴䅚祂䝁䄸兢求䑁䅳䅉啂䙁䅍䅓䉂䍁䄰免硁䑁䅑䅉浂䝁䄸杣杁䡁䅑䅡求䍁䅁䅤祂䝁䅕兙あ䝁䄰党畂䡁䅑䅉療䝁䅙䅉浂䡁䅉兙湂䝁䅫䅢求䍁䅁䅗杁䡁䅍入畂䝁䅑杣療䝁䄰党㝁䍁䅁兙畂䝁䅑䅉啂䙁䅍䅓䉂䍁䄰免睁䑁䅅䅉浂䝁䄸杣杁䡁䅑䅡求䍁䅁䅤祂䝁䅕兙あ䝁䄰党畂䡁䅑䅉療䝁䅙䅉䡂䕁䄰杍杁䝁䅣兙畂䝁䅣䅢灂䝁䄸督灂䝁䅑睢穂䝁䅫督畁䍁䅁䅖桂䡁䅫督潂䝁䅅䅉䡂䝁䅕杢求䍁䅁䅖潂䝁䅕杣桂䡁䅁兡求䡁䅍䅌杁䕁䅫杢橂䍁䄴䅉潂䝁䅅督杁䝁䅅䅉穂䡁䅑杣桂䡁䅑党湂䝁䅫睙杁䡁䅁兙祂䡁䅑杢求䡁䅉督潂䝁䅫䅣杁䡁䅣兡あ䝁䅧䅉啂䝁䅧党杁䙁䅕杢灂䡁䅙党祂䡁䅍兡あ䡁䅫䅉療䝁䅙䅉啂䝁䅕䅥桂䡁䅍䅉呂䝁䄸兤あ䝁䅧睤求䡁䅍䅤求䡁䅉杢杁䕁䄰党歂䝁䅫睙桂䝁䅷䅉䑂䝁䅕杢あ䝁䅕杣畁䍁䅁䅖桂䡁䅫督潂䝁䅅䅉䡂䝁䅕杢求䍁䅁䅖潂䝁䅕杣桂䡁䅁兡求䡁䅍䅌杁䕁䅫杢橂䍁䄴䅉㍂䝁䅅督杁䝁䅫杢橂䝁䄸杣睂䝁䄸杣桂䡁䅑党歂䍁䅁兡畂䍁䅁杍睁䑁䅅兏杁䝁䅅杢歂䍁䅁兡穂䍁䅁䅡求䝁䅅䅚硂䡁䅕兙祂䡁䅑党祂䝁䅕䅚杁䝁䅫杢杁䕁䅑兙獂䝁䅷兙穂䍁䅷䅉啂䝁䅕䅥桂䡁䅍杌䅁䱁䝷䅁楁䅁䅁䅖求䝁䅍䅡畂䝁䄸睚㕂䝁䄰䅉呂䍁䄴䅣畁䕁䅅杌䅁䡁䍅䅁佂䅁䅁䅖求䝁䅷党浂䝁䄸杢桂䝁䅳䅤灂䝁䅕杙療䝁䅷兙湂䝁䅕䅤杁䕁䅷兔杁䕁䅕杣灂䝁䅍督穂䝁䄸杢杁䍁䅧䅣ㅂ䝁䅉䅢灁䅁䅁䅑䅅䕁䅁䅁啂䝁䅕䅢求䝁䄰兙あ䝁䅫睙穂䑁䅑兤杁䙁䅍党祂䡁䅙兡橂䝁䅕督杁䙁䅁杤あ䍁䄴䅉䵂䡁䅑䅚畁䅁䅁兘䅁䍁䄴䅁啂䝁䅕杢桂䝁䅉䅢求䍁䅁䅓療䝁䅷䅚灂䝁䄴睚穂䍁䅷䅉䩂䝁䄴睙畁䅁䅁䅵䅁䍁䅯䅁啂䝁䅕杣桂䝁䅑兙あ䝁䅅䅉䑂䝁䄸杣睂䝁䄸杣桂䡁䅑兡療䝁䄴䅁煂允䅁䅆䅁䙁䅑党穂䝁䅍睢杁䙁䅁䅔䑂䅁䅁兪䅉䍁䅑䅁啂䝁䅧党杁䕁䅣入瑂䍁䅁睒祂䝁䄸兤睂䍁䅁䅣獂䝁䅍䅁療杁䅁杈䅁䙁䅑䅡求䍁䅁睓祂䝁䄸睚求䡁䅉䅉䑂䝁䄸杌䅁䩁䍣䅁佂䅁䅁䅖潂䝁䅕䅉坂䝁䅫䅤求䝁䅍䅉䡂䡁䅉睢ㅂ䡁䅁䅉睂䝁䅷睙杁䍁䅧杢牂䝁䅅杏坂䝁䅫䅚求䝁䄴䅚ㅂ䝁䄰䅉兂䝁䅷睙灁䅁䅁材䅅䙁䅯䅁啂䝁䅧睢瑂䝁䅅䅉䍂䡁䅉兙㉂䝁䄸䅌杁䕁䅷杌兂䍁䄴睏杁䙁䅑䅡療䝁䄰兙杁䕁䅉杣桂䡁䅙睢杁䕁䅙兤畂䝁䅑䅉奂䙁䅙䅌杁䕁䅷杌兂䍁䄴䅁橃䅁䅁䅇䅁䙁䅑睢瑂䙁䅑睢瑂䍁䅁杔畁䙁䅙杌䅁䑁䅕䅁潁䅁䅁䅖療䡁䅁䅉䕂䝁䅅䅤桂䍁䅁睕橂䝁䅫党畂䝁䅍党杁䕁䄸入䅁乁䅫䅁䅃杁䅁䅖療䡁䅁䅉䕂䝁䅅䅤桂䍁䅁睕橂䝁䅫党畂䝁䅍党杁䕁䄸入杁䝁䅑党㉂䝁䅕䅢療䡁䅁督杁䝁䅑兙あ䝁䅅䅉穂䝁䅍兡求䝁䄴睙求䍁䅁兙畂䝁䅑䅉求䝁䄴睚灂䝁䄴党求䡁䅉兡畂䝁䅣䅉穂䝁䄸杚あ䡁䅣兙祂䝁䅕杌杁䙁䅑䅡求䍁䅁睙療䝁䄰䅣桂䝁䄴入杁䝁䄸杚浂䝁䅕杣穂䍁䅁䅚桂䡁䅑兙杁䝁䅅杢桂䝁䅷入あ䝁䅫睙穂䍁䅷䅉桂䡁䅉䅤灂䝁䅙兡橂䝁䅫兙獂䍁䅁兡畂䡁䅑党獂䝁䅷兡湂䝁䅕杢橂䝁䅕䅌杁䝁䅅杢歂䍁䅁兢桂䝁䅍䅡灂䝁䄴党杁䝁䅷党桂䡁䅉杢灂䝁䄴睚杁䡁䅍睢獂䡁䅕䅤灂䝁䄸杢穂䍁䄴䅉啂䝁䄸䅣杁䕁䅑兙あ䝁䅅䅉呂䝁䅍兡求䝁䄴睙求䍁䅁睔㕂䍁䅁睤桂䡁䅍䅉浂䝁䄸兤畂䝁䅑党歂䍁䅁兡畂䍁䅁杍睁䑁䅅李杁䝁䅅杢歂䍁䅁兡穂䍁䅁杙桂䡁䅍党歂䍁䅁兡畂䍁䅁䅓求䝁䅷督灂䝁䄴睡灂䍁䅷䅉䝂䝁䅫杢獂䝁䅅杢歂䍁䄴䅉䉂䡁䅍䅉療䝁䅙䅉偂䝁䅍䅤療䝁䅉党祂䍁䅁杍㉁䍁䅷䅉祁䑁䅁免㑁䍁䅷䅉啂䝁䄸䅣杁䕁䅑兙あ䝁䅅䅉呂䝁䅍兡求䝁䄴睙求䍁䅁睔㕂䍁䅁睢睂䝁䅕杣桂䡁䅑党穂䍁䅁兙穂䍁䅁兙杁䡁䅍兤楂䡁䅍兡歂䝁䅫兙祂䡁䅫䅉療䝁䅙䅉乂䝁䄸杣睂䝁䅧睢獁䍁䅁兓畂䝁䅍杌䅁乁䄴䅁奁䅁䅁䅖療䡁䅑兙獂䝁䅷入杁䡁䅁䅢橂䅁䅁睥䅉䉁䄴䅁啂䡁䅉兙橂䝁䅳睔䝂䕁䅙䅌杁䕁䅫杢橂䍁䄴䅁䵃䅁䅁来䅕䙁䅑杣桂䝁䅍睡偂䕁䅙杒獁䍁䅁兓畂䝁䅍杌杁䝁䅑党㉂䝁䅕䅢療䡁䅁督杁䡁䅍睢浂䡁䅑睤桂䡁䅉党杁䡁䅑睢杁䡁䅁杣療䡁䅑党橂䡁䅑䅉ㅂ䡁䅍党祂䡁䅍睊杁䝁䅫䅚求䝁䄴䅤灂䡁䅑兡求䡁䅍䅉桂䝁䄴䅚杁䡁䅁党祂䡁䅍睢畂䝁䅅䅢杁䝁䅑兙あ䝁䅅䅉桂䡁䅙兙灂䝁䅷兙楂䝁䅷党杁䝁䄸杢獂䝁䅫杢求䍁䄴䅉啂䝁䅧党杁䝁䅍睢瑂䡁䅁兙畂䡁䅫䅉療䡁䅁党祂䝁䅅䅤求䡁䅍䅉桂䡁䅍䅉桂䍁䅁睙㕂䝁䅉党祂䍁䅁督求䝁䅍兤祂䝁䅫䅤㕂䍁䅁兙畂䝁䅑䅉睂䡁䅉兡㉂䝁䅅睙㕂䍁䅁睙療䝁䄰䅣桂䝁䄴入畁䍁䅁䅖潂䝁䅕䅉橂䝁䄸兢睂䝁䅅杢㕂䍁䅣督杁䡁䅍睢浂䡁䅑睤桂䡁䅉党杁䡁䅍睢獂䡁䅕䅤灂䝁䄸杢杁䝁䅫杢橂䝁䅷兤歂䝁䅕督杁䙁䅑杣桂䝁䅍睡偂䕁䅙杒杁䕁䅕䅢灂䡁䅑党杁䝁䅅杢歂䍁䅁䅖祂䝁䅅睙牂䕁䄸杒䝂䍁䅁睕あ䝁䅅杢歂䝁䅅杣歂䍁䄴䅉啂䝁䅧党杁䝁䅍睢瑂䡁䅁兙畂䡁䅫睊穂䍁䅁䅣祂䝁䄸䅚ㅂ䝁䅍䅤杁䙁䅑杣桂䝁䅍睡偂䕁䅙杒杁䙁䅍䅤桂䝁䄴䅚桂䡁䅉䅚杁䝁䅕杢桂䝁䅉䅢求䡁䅍䅉灂䡁䅑督杁䡁䅕督求䡁䅉督杁䡁䅑睢杁䝁䅑党あ䝁䅕睙あ䍁䅁兙畂䝁䅑䅉穂䡁䅑睢睂䍁䅁䅤祂䝁䅅睙牂䝁䅫杢湂䍁䅁䅤潂䡁䅉党桂䡁䅑督獁䍁䅁督求䝁䅅杣橂䝁䅧䅉睂䡁䅉兡㉂䝁䅅䅤求䝁䅷入獁䍁䅁兙畂䝁䅑䅉㍂䝁䅫䅣求䍁䅁兤穂䝁䅕杣湁䡁䅍䅉楂䡁䅉睢㍂䡁䅍党祂䍁䅁䅡灂䡁䅍䅤療䡁䅉入畁䍁䅁兓あ䍁䅁兙獂䡁䅍睢杁䝁䄸杚浂䝁䅕杣穂䍁䅁䅖祂䝁䅅睙牂䕁䄸杒䝂䍁䅁兒獂䝁䅫䅤求䍁䅷䅉㍂䝁䅧兡橂䝁䅧䅉橂䝁䅅杢杁䝁䅉党杁䡁䅕督求䝁䅑䅉療䝁䄴䅉睂䡁䅕杙獂䝁䅫睙杁䙁䅣兡瑁䕁䅙兡杁䝁䄴党あ䡁䅣睢祂䝁䅳督獁䍁䅁兤穂䝁䅕䅚杁䡁䅑睢杁䝁䅧兡歂䝁䅕䅉ㅂ䡁䅍党祂䉁杫督杁䝁䅷睢橂䝁䅅䅤灂䝁䄸杢獁䍁䅁兙畂䝁䅑䅉浂䝁䄸杣杁䡁䅙兡祂䡁䅑兤桂䝁䅷䅉睂䡁䅉兡㉂䝁䅅䅤求䍁䅁杢求䡁䅑睤療䡁䅉睡杁䍁䅧杖兂䕁䄴克杁䝁䅑兙あ䝁䅅䅉求䝁䄴睙祂䡁䅫䅣あ䝁䅫睢畂䍁䄴䅉啂䝁䅧党杁䝁䅍睢瑂䡁䅁兙畂䡁䅫䅉㍂䝁䅅督杁䝁䅫杢橂䝁䄸杣睂䝁䄸杣桂䡁䅑党歂䍁䅁兡畂䍁䅁杍睁䑁䅅睎杁䝁䅅杢歂䍁䅁兡穂䍁䅁䅡求䝁䅅䅚硂䡁䅕兙祂䡁䅑党祂䝁䅕䅚杁䝁䅫杢杁䕁䅉兙獂䡁䅑兡瑂䝁䄸杣求䍁䅷䅉乂䝁䅅杣㕂䝁䅷兙畂䝁䅑杌杁䕁䅅督杁䝁䄸杚杁䕁䄰兙㕂䍁䅁睍硁䍁䅷䅉祁䑁䅁免㕁䍁䅷䅉啂䡁䅉兙橂䝁䅳睔䝂䕁䅙䅌杁䕁䅫杢橂䍁䄴䅉療䡁䅁党祂䝁䅅䅤求䡁䅍䅉桂䡁䅍䅉桂䍁䅁督ㅂ䝁䅉督灂䝁䅑兡桂䡁䅉入杁䝁䄸杚杁䕁䅅杤桂䡁䅍䅤杁䙁䅁䅢橂䍁䄴䅁啃䅁䅁杍䅁䙁䅑杣求䝁䄴䅚杁䕁䄰兡橂䡁䅉睢杁䕁䅫杢橂䝁䄸杣睂䝁䄸杣桂䡁䅑党歂䅁䅁䅉䅑䉁䅯䅁啂䡁䅉兡瑂䝁䅉䅢求䍁䅁兓畂䝁䅍杌䅁䑁䅙䅁歁䅁䅁䅖祂䝁䅫䅣桂䝁䅑杤灂䡁䅍睢祂䍁䅷䅉䩂䝁䄴睙畁䅁䅁儹䅉䉁䄴䅁啂䡁䅉兡睂䡁䅣兡祂䝁䅕䅌杁䕁䅫杢橂䍁䄴䅁䉄允䅁桄䅁䙁䅑杣灂䡁䅁睤灂䡁䅉党獁䍁䅁兓畂䝁䅍杌杁䝁䅑党㉂䝁䅕䅢療䡁䅁督杁䝁䅅杢歂䍁䅁䅣祂䝁䄸杤灂䝁䅑党穂䍁䅁䅤潂䡁䅉党桂䡁䅑䅌杁䡁䅍党橂䡁䅕杣灂䡁䅑入獁䍁䅁兙畂䝁䅑䅉橂䝁䄸兢睂䝁䅷兡桂䝁䄴睙求䍁䅁督療䝁䅷兤あ䝁䅫睢畂䡁䅍䅉浂䝁䄸杣杁䝁䅕杢あ䝁䅕杣睂䡁䅉兡穂䝁䅕督獁䍁䅁督求䡁䅉杤灂䝁䅍党杁䡁䅁杣療䡁䅙兡歂䝁䅕杣穂䍁䅷䅉桂䝁䄴䅚杁䝁䅣睢㉂䝁䅕杣畂䝁䄰党畂䡁䅑䅉桂䝁䅣党畂䝁䅍兡求䡁䅍䅉あ䝁䄸䅉歂䝁䅕䅤求䝁䅍䅤獁䍁䅁䅣祂䝁䅕杤求䝁䄴䅤獁䍁䅁兙畂䝁䅑䅉祂䝁䅕督睂䝁䄸杢歂䍁䅁䅤療䍁䅁睙㕂䝁䅉党祂䍁䅁督求䝁䅍兤祂䝁䅫䅤㕂䍁䅁䅤潂䡁䅉党桂䡁䅑督畁䍁䅁䅖潂䝁䅕䅉橂䝁䄸兢睂䝁䅅杢㕂䉁杫督杁䡁䅁杣療䝁䅑兤橂䡁䅑督杁䝁䅫杢橂䝁䅷兤歂䝁䅕䅉穂䝁䅕睙ㅂ䡁䅉兡あ䡁䅫䅉橂䝁䄸杢浂䝁䅫睚ㅂ䡁䅉兙あ䝁䅫睢畂䍁䅁兢桂䝁䄴兙湂䝁䅕兢求䝁䄴䅤㝁䍁䅁杤ㅂ䝁䅷杢求䡁䅉兙楂䝁䅫䅢灂䡁䅑入杁䝁䄰兙畂䝁䅅睚求䝁䄰党畂䡁䅑睏杁䝁䅷睢湂䍁䅁兡畂䡁䅑党獂䝁䅷兡湂䝁䅕杢橂䝁䅕睏杁䙁䅑杣灂䡁䅁睤灂䡁䅉党杁䕁䅍睢畂䝁䅙兡湂䡁䅕杣桂䡁䅑兡療䝁䄴䅉䑂䝁䄸兢睂䝁䅷兡桂䝁䄴睙求䍁䅁兔桂䝁䄴兙湂䝁䅕杣獁䍁䅁䅤潂䝁䅅䅤杁䝁䅧党獂䡁䅁督杁䡁䅑睢杁䡁䅉党歂䡁䅕睙求䍁䅁睙㕂䝁䅉党祂䍁䅁督求䝁䅍兤祂䝁䅫䅤㕂䍁䅁杣灂䡁䅍睡穂䍁䅁杚祂䝁䄸兢杁䝁䅕䅥あ䝁䅕杣畂䝁䅅䅢杁䝁䅅䅤あ䝁䅅睙牂䡁䅍䅌杁䝁䄰兙獂䝁䅫睙灂䝁䄸兤穂䍁䅁兡畂䡁䅍兡歂䝁䅕杣穂䍁䅷䅉桂䝁䄴䅚杁䝁䅧兤瑂䝁䅅杢杁䝁䅕杣祂䝁䄸杣㝁䍁䅁䅖祂䝁䅫䅣㍂䝁䅫杣求䍁䅁兒畂䡁䅑党祂䡁䅁杣灂䡁䅍党杁䡁䅑䅡桂䡁䅑䅉あ䡁䅉兙畂䡁䅍杚療䡁䅉兢穂䍁䅁督求䝁䅍兤祂䝁䅫䅤㕂䍁䅁䅚桂䡁䅑兙杁䝁䅫杢あ䝁䄸䅉楂䡁䅕督灂䝁䄴党穂䡁䅍䅉灂䝁䄴䅤求䝁䅷䅢灂䝁䅣党畂䝁䅍党㝁䍁䅁䅖祂䝁䅫䅣㍂䝁䅫杣求䍁䅁兑睂䡁䅁䅉䙂䡁䅧睙潂䝁䅅杢湂䝁䅕䅉浂䝁䄸杣杁䡁䅍党橂䡁䅕杣灂䡁䅑入獁䍁䅁睙療䝁䄰䅣獂䝁䅫兙畂䝁䅍党獁䍁䅁兙畂䝁䅑䅉灂䝁䄴杚療䡁䅉兢桂䡁䅑兡療䝁䄴䅉あ䝁䅕睙潂䝁䄴睢獂䝁䄸睚㕂䍁䅁䅋䩂䙁䅑克杁䝁䄸䅣求䡁䅉兙あ䝁䅫睢畂䡁䅍䅉灂䝁䄴䅉橂䝁䅅䅤求䝁䅣睢祂䝁䅫党穂䍁䅷䅉灂䝁䄴睙獂䡁䅕䅚灂䝁䄴睚杁䡁䅉党睂䝁䄸杣あ䝁䅫杢湂䍁䅁兙畂䝁䅑䅉桂䝁䄴兙獂䡁䅫䅤灂䝁䅍督獁䍁䅁兓啂䍁䅁督求䡁䅉杤灂䝁䅍党杁䝁䄰兙畂䝁䅅睚求䝁䄰党畂䡁䅑䅌杁䡁䅕䅤灂䝁䅷兡あ䝁䅫党穂䍁䅷䅉あ䝁䅧杣求䝁䅅䅤杁䝁䅫杢あ䝁䅕䅢獂䝁䅫睚求䝁䄴睙求䍁䅷䅉畂䝁䅕䅤㍂䝁䄸杣牂䍁䅁督求䝁䅍兤祂䝁䅫䅤㕂䍁䅷䅉桂䝁䄴䅚杁䝁䅫杢歂䡁䅕督あ䡁䅉兡桂䝁䅷䅉橂䝁䄸杢あ䡁䅉睢獂䍁䅁督㕂䡁䅍䅤求䝁䄰督㝁䍁䅁䅖祂䝁䅫䅣㍂䝁䅫杣求䍁䅁兓兂䑁䅍李睁䍁䅷䅉桂䍁䅁杤ㅂ䝁䅷杢求䡁䅉兙楂䝁䅫䅢灂䡁䅑入杁䝁䄰兙畂䝁䅅睚求䝁䄰党畂䡁䅑䅉穂䝁䅍兙畂䝁䄴党祂䍁䅁兡畂䡁䅑党湂䡁䅉兙あ䝁䅕䅚杁䡁䅣兡あ䝁䅧䅉橂䝁䄸杢あ䝁䅅兡畂䝁䅕杣杁䡁䅍睙桂䝁䄴杢灂䝁䄴睚杁䝁䅍兙睂䝁䅅杙灂䝁䅷兡あ䝁䅫党穂䑁䅳䅉桂䝁䄴䅚杁䙁䅑杣灂䡁䅁睤灂䡁䅉党杁䕁䅍䅢療䡁䅕䅚杁䕁䄰兙畂䝁䅅睚求䝁䄰党畂䡁䅑䅉䉂䡁䅍督求䡁䅍督療䡁䅉䅉浂䝁䄸杣杁䝁䄸杣湂䝁䅅杢灂䡁䅯兙あ䝁䅫睢畂䡁䅍䅉あ䝁䄸䅉歂䝁䅕䅤求䡁䅉兢灂䝁䄴党杁䡁䅑䅡求䍁䅁督求䝁䅍兤祂䝁䅫䅤㕂䍁䅁督あ䝁䅅䅤求䍁䅁睢浂䍁䅁䅤潂䝁䅕兡祂䍁䅁兑㙂䡁䅕杣求䍁䅁兙畂䝁䅑䅉䉂䙁䅣睕杁䝁䅑党睂䝁䅷睢㕂䝁䄰党畂䡁䅑督畁䍁䅁䅖潂䝁䅕䅉橂䝁䄸兢睂䝁䅅杢㕂䍁䅁兙獂䡁䅍睢杁䡁䅁杣療䡁䅙兡歂䝁䅕督杁䡁䅍睢獂䡁䅕䅤灂䝁䄸杢穂䍁䅁杚療䡁䅉䅉㉂䝁䅅杣灂䝁䄸兤穂䍁䅁督求䝁䅍兤祂䝁䅫䅤㕂䍁䅁杢求䝁䅕䅚穂䍁䅷䅉穂䡁䅕睙潂䍁䅁兙穂䍁䅁睙療䝁䄴䅤灂䝁䄴兤療䡁䅕督杁䡁䅍党橂䡁䅕杣灂䡁䅑入杁䝁䄰睢畂䝁䅫䅤療䡁䅉兡畂䝁䅣䅌杁䝁䄴党あ䡁䅣睢祂䝁䅳䅉桂䝁䄴䅚杁䝁䅑兙あ䝁䅅䅉穂䝁䅕睙ㅂ䡁䅉兡あ䡁䅫䅌杁䡁䅙兤獂䝁䄴党祂䝁䅅杙灂䝁䅷兡あ䡁䅫䅉桂䝁䄴䅚杁䡁䅉兡穂䝁䅳䅉瑂䝁䅅杢桂䝁䅣党瑂䝁䅕杢あ䍁䅷䅉㍂䝁䅕杙杁䝁䅅䅣睂䝁䅷兡橂䝁䅅䅤灂䝁䄸杢杁䡁䅍党橂䡁䅕杣灂䡁䅑入獁䍁䅁杚灂䝁䅷党杁䝁䅫杢あ䝁䅕睚祂䝁䅫䅤㕂䍁䅁兙畂䝁䅑䅉橂䝁䅧兙畂䝁䅣党杁䝁䄰睢畂䝁䅫䅤療䡁䅉兡畂䝁䅣䅌杁䝁䅍䅢療䡁䅕䅚杁䡁䅍党橂䡁䅕杣灂䡁䅑入獁䍁䅁睙療䝁䄰䅣獂䝁䅫兙畂䝁䅍党獁䍁䅁兡畂䝁䅍兡歂䝁䅕杢あ䍁䅁䅚求䡁䅑党橂䡁䅑兡療䝁䄴䅉桂䝁䄴䅚杁䝁䅙睢祂䝁䅕杢穂䝁䅫睙穂䍁䅷䅉あ䝁䅧杣求䝁䅅䅤杁䝁䅫杢あ䝁䅕䅢獂䝁䅫睚求䝁䄴睙求䍁䅷䅉穂䝁䅕睙ㅂ䡁䅉兡あ䡁䅫䅉灂䝁䄴䅤求䝁䅷䅢灂䝁䅣党畂䝁䅍党獁䍁䅁兢桂䝁䄴兙湂䝁䅕䅉桂䝁䄴䅚杁䝁䅕杢浂䝁䄸杣橂䝁䅕䅉睂䝁䄸䅢灂䝁䅍兡求䡁䅍䅌杁䝁䅫杢穂䝁䅫䅚求䡁䅉䅉あ䝁䅧杣求䝁䅅䅤獁䍁䅁兙畂䝁䅑䅉求䝁䄴䅚睂䝁䄸兡畂䡁䅑䅉歂䝁䅕䅤求䝁䅍䅤灂䝁䄸杢杁䝁䅅杢歂䍁䅁杣求䡁䅍䅣療䝁䄴督求䍁䄴䅉䩂䝁䄴䅉桂䝁䅑䅚灂䡁䅑兡療䝁䄴䅌杁䝁䅫䅤杁䡁䅁杣療䡁䅙兡歂䝁䅕督杁䡁䅍睢獂䡁䅕䅤灂䝁䄸杢穂䍁䅁杚療䡁䅉䅉橂䝁䄸兢睂䝁䅷兡桂䝁䄴睙求䍁䅁杢求䝁䅕䅚穂䑁䅳䅉桂䝁䄴䅚杁䝁䅫兢睂䝁䅷党瑂䝁䅕杢あ䝁䅅䅤灂䝁䄸杢獁䍁䅁睙療䝁䄴督ㅂ䝁䅷䅤桂䝁䄴睙㕂䍁䅷䅉瑂䝁䅅杢桂䝁䅣党歂䍁䅁督求䡁䅉杤灂䝁䅍党穂䍁䅷䅉桂䝁䄴䅚杁䡁䅑党橂䝁䅧杢灂䝁䅍兙獂䍁䅁睙ㅂ䡁䅍䅤療䝁䄰党祂䍁䅁督ㅂ䡁䅁䅣療䡁䅉䅤杁䡁䅍党祂䡁䅙兡橂䝁䅕督獁䍁䅁兙畂䝁䅑䅉あ䡁䅉兙灂䝁䄴兡畂䝁䅣杌杁䙁䅑䅡求䍁䅁睙療䝁䄰䅣桂䝁䄴入杁䡁䅍党祂䡁䅙党穂䍁䅁杚灂䝁䄴兙畂䝁䅍兡桂䝁䅷䅉穂䝁䅕杣㉂䝁䅫睙求䡁䅍䅌杁䝁䅕杢求䡁䅉睚㕂䍁䅷䅉祂䝁䅕䅤桂䝁䅫䅢杁䝁䅅杢歂䍁䅁䅡療䡁䅍䅣灂䡁䅑兙獂䝁䅫䅤㕂䍁䅷䅉潂䝁䅕兙獂䡁䅑䅡橂䝁䅅杣求䍁䅷䅉浂䝁䅕䅚求䡁䅉兙獂䍁䅁兙畂䝁䅑䅉湂䝁䄸杤求䡁䅉杢瑂䝁䅕杢あ䍁䅷䅉歂䝁䅕杚求䝁䄴督求䍁䅷䅉桂䝁䄴䅚杁䝁䅉杣療䝁䅅䅚橂䝁䅅督あ䍁䅁督求䝁䅍䅤療䡁䅉督杁䡁䅣睢祂䝁䅷䅚㍂䝁䅫䅚求䍁䄴䅉啂䡁䅉兡睂䡁䅣兡祂䝁䅕䅌杁䕁䅫杢橂䍁䄴䅉㍂䝁䅅督杁䝁䅙睢祂䝁䄰党祂䝁䅷入杁䝁䅳杢療䡁䅣杢杁䝁䅅督杁䙁䅑杣灂䡁䅁睤灂䡁䅉党杁䙁䅍党橂䡁䅕杣灂䡁䅑入杁䙁䅍入穂䡁䅑党瑂䡁䅍䅌杁䕁䅫杢橂䍁䄴䅉桂䝁䄴䅚杁䝁䅍䅡桂䝁䄴睚求䝁䅑䅉灂䡁䅑督杁䝁䄴兙瑂䝁䅕䅉あ䝁䄸䅉啂䡁䅉兡睂䡁䅣兡祂䝁䅕䅌杁䕁䅫杢橂䍁䄴䅉灂䝁䄴䅉䭂䡁䅕䅢㕂䍁䅁杍睁䑁䅁䅍畁䍁䅁䅖祂䝁䅫䅣㍂䝁䅫杣求䍁䅷䅉䩂䝁䄴睙畁䍁䅁䅡桂䡁䅍䅉桂䍁䅁督あ䡁䅉兙あ䝁䅕睚灂䝁䅍䅉桂䝁䅷䅢灂䝁䅅杢橂䝁䅕䅉㍂䝁䅫䅤潂䍁䅁杔療䡁䅯睢瑂䝁䅫䅉佂䝁䅕䅤㍂䝁䄸杣牂䡁䅍䅉䩂䝁䄴睙畁䍁䅁䅖潂䝁䅕䅉橂䝁䄸兢睂䝁䅅杢㕂䍁䅁睤桂䡁䅍䅉浂䝁䄸兤畂䝁䅑党歂䍁䅁兡畂䍁䅁免㕁䑁䅫睎杁䝁䅅杢歂䍁䅁兡穂䍁䅁杙桂䡁䅍党歂䍁䅁兡畂䍁䅁兒歂䝁䅕杢杁䙁䅁杣桂䝁䅫杣灂䝁䅕䅌杁䕁䄰兡畂䝁䄴党穂䝁䄸䅤桂䍁䄴䅉啂䡁䅉兡睂䡁䅣兡祂䝁䅕䅌杁䕁䅫杢橂䍁䄴䅉療䡁䅁党祂䝁䅅䅤求䡁䅍䅉桂䡁䅍䅉桂䍁䅁督ㅂ䝁䅉督灂䝁䅑兡桂䡁䅉入杁䝁䄸杚杁䕁䅧党獂䡁䅁睕㕂䡁䅍䅤求䝁䄰督獁䍁䅁䅔䵂䕁䅍杌䅁䅁䑕䅁佂䅁䅁䅖祂䝁䅫䅤療䝁䄴睏杁䕁䅷兤㑂䝁䅫杢㉂䝁䅅䅉呂䕁䅅睏杁䙁䅑杣灂䡁䅑睢畂䍁䅁杒ㅂ䝁䄴䅚杁䙁䅙䅉䵂䍁䄴䅕畁䅁䅁眰䅉䉁䅑䅁啂䡁䅉兤穂䡁䅑党獂䝁䅕兢䅁䭁䅳䅁元杁䅁䅖祂䡁䅕督あ䝁䅕䅢求䝁䄰䅉歂䝁䅕杤求䝁䅷睢睂䡁䅍䅉桂䝁䄴䅚杁䝁䄰兙祂䝁䅳党あ䡁䅍䅉桂䝁䄴䅉灂䝁䅑党畂䡁䅑兡あ䡁䅫兌桂䡁䅍兌桂䍁䄰督求䡁䅉杤灂䝁䅍党杁䡁䅍睢浂䡁䅑睤桂䡁䅉党杁䡁䅍睢獂䡁䅕䅤灂䝁䄸杢獁䍁䅁睤潂䝁䅫睙潂䍁䅁兡畂䡁䅑党湂䡁䅉兙あ䝁䅕督杁䝁䅅睙橂䝁䅕督穂䍁䅁兢桂䝁䄴兙湂䝁䅕兢求䝁䄴䅤杁䝁䅅杢歂䍁䅁睙療䝁䄴䅤祂䝁䄸䅢杁䝁䅙党桂䡁䅑兤祂䝁䅕督杁䝁䅙睢祂䍁䅁兙睂䡁䅁督獁䍁䅁督灂䝁䄴睚獂䝁䅕䅉穂䝁䅫睚畂䍁䄰睢畂䍁䅷䅉桂䝁䄴䅚杁䝁䄰兤獂䡁䅑兡瑁䝁䅙兙橂䡁䅑睢祂䍁䅁兙ㅂ䡁䅑䅡求䝁䄴䅤灂䝁䅍兙あ䝁䅫睢畂䍁䄴䅉啂䝁䅧党杁䝁䅍睢瑂䡁䅁兙畂䡁䅫䅉㍂䝁䅅督杁䝁䅙睢ㅂ䝁䄴䅚求䝁䅑䅉灂䝁䄴䅉祁䑁䅁免穁䍁䅁兙畂䝁䅑䅉灂䡁䅍䅉楂䝁䅅督求䝁䅑䅉灂䝁䄴䅉兂䝁䅅杣灂䡁䅍䅌杁䕁䅙杣桂䝁䄴睙求䍁䄴䅉䉂䡁䅍䅉療䝁䅙䅉䭂䡁䅕䅢㕂䍁䅁杍獁䍁䅁杍睁䑁䅅兏獁䍁䅁䅖祂䡁䅕督あ䝁䅕䅢求䝁䄰䅉療䡁䅁党祂䝁䅅䅤求䡁䅍䅉桂䡁䅍䅉桂䍁䅁督ㅂ䝁䅉督灂䝁䅑兡桂䡁䅉入杁䝁䄸杚杁䙁䅣兑䵂䕁䅷兓奂䍁䅁睒卂䕁䄸兖兂䍁䅁睕䉂䍁䄴䅁癃䅁䅁䅇䅁䙁䅑睤灂䝁䅷兡療䍁䅁兓畂䝁䅍杌䅁偁䉧䅁允䅁䅁䅖㡄䡁䅉睡灂䡁䅫党䅁䙁䅯䅁䥁䅁䅁兖呂䕁䅅䅁獁䅁䅁䅃䅁䙁䅕睕䕂䅁䅁杅䅁䑁䅉䅁噂䙁䅣兔杁䕁䅧睢獂䝁䅑兡畂䝁䅣督杁䕁䅍睢祂䡁䅁睢祂䝁䅅䅤灂䝁䄸杢䅁䍁䌰䅁祁䅁䅁兖楂䝁䅫督療䝁䅙䅤杁䕁䅕杢あ䝁䅕杣あ䝁䅅兡畂䝁䄰党畂䡁䅑䅉呂䕁䅅䅁乂杁䅁杈䅁䙁䅕杢灂䡁䅑党歂䍁䅁睓灂䝁䄴睚歂䝁䄸兢䅁乁䈴䅁潁䅁䅁兖畂䝁䅫䅤㕂䍁䅁睕療䝁䅙䅤㍂䝁䅅杣求䍁䅁兓畂䝁䅍杌䅁䕁䍫䅁獁䅁䅁杖桂䡁䅉睢畂䝁䅫督杁䙁䅍入穂䡁䅑党瑂䡁䅍䅌杁䕁䅫杢橂䍁䄴䅁あ䅁䅁䅐䅁䙁䅙兡祂䡁䅑兤桂䝁䅷䅉䉂䝁䅍睙求䡁䅍督杁䍁䅧兓祂䝁䅕䅢桂䝁䄴䅚灁䍁䅁䅔あ䝁䅑杌䅁䑁䉫䅁祂元䅁杖灂䡁䅉䅤ㅂ䝁䅅䅢杁䕁䅅睙橂䝁䅕督穂䍁䅁䅋䩂䡁䅉党獂䝁䅅杢歂䍁䅫䅉䵂䡁䅑䅚畁䍁䅁䅚求䡁䅙党獂䝁䄸䅣穂䍁䅁兙畂䝁䅑䅉穂䝁䅕䅢獂䡁䅍䅉あ䝁䅕䅢求䝁䅍睢瑂䝁䄰兤畂䝁䅫睙桂䡁䅑兡療䝁䄴督杁䝁䅕兣ㅂ䝁䅫䅣瑂䝁䅕杢あ䍁䄴䅉啂䝁䅧党杁䝁䅍睢瑂䡁䅁兙畂䡁䅫䅉灂䡁䅍䅉桂䍁䅁䅚灂䡁䅍䅤祂䝁䅫杙ㅂ䡁䅑党歂䍁䅁督求䡁䅉杤灂䝁䅍党杁䡁䅍入穂䡁䅑党瑂䍁䅁督ㅂ䡁䅁䅣獂䝁䅫党祂䍁䅁䅤潂䝁䅅䅤杁䡁䅍党獂䝁䅷督杁䝁䅫䅤穂䍁䅁杢求䡁䅑睤療䡁䅉睡灂䝁䄴睚杁䡁䅁杣療䝁䅑兤橂䡁䅑督杁䡁䅑睢杁䝁䄴党あ䡁䅣睢祂䝁䅳䅉療䡁䅁党祂䝁䅅䅤療䡁䅉督杁䝁䅅杢歂䍁䅁督求䡁䅉杤灂䝁䅍党杁䡁䅁杣療䡁䅙兡歂䝁䅕杣穂䍁䄴䅉啂䝁䅧党杁䝁䅍睢瑂䡁䅁兙畂䡁䅫䅉睂䡁䅉睢㉂䝁䅫䅚求䡁䅍䅉桂䍁䅁杣桂䝁䄴睚求䍁䅁睢浂䍁䅁杣療䡁䅕䅤求䡁䅉督㝁䍁䅁兡畂䝁䅑兤穂䡁䅑杣灂䝁䅅䅢杁䡁䅉睢ㅂ䡁䅑党祂䡁䅍䅌杁䝁䅷兡湂䝁䅧䅤杁䝁䅅杢歂䍁䅁睙療䝁䄰䅣桂䝁䅍䅤杁䝁䅅兤あ䝁䄸兢療䡁䅑兡㉂䝁䅕䅉穁䕁䅣䅉䵂䙁䅑兒杁䝁䅅杢歂䍁䅁睖灂䍁䄰杒灂䍁䅁睤灂䡁䅉党獂䝁䅕督穂䍁䅁杣療䡁䅕䅤求䡁䅉督獁䍁䅁兢求䡁䅑兙獂䍁䅁睙桂䡁䅍兡畂䝁䅣䅉桂䡁䅕䅤療䝁䄰睢あ䝁䅫杤求䍁䅁睍䡂䍁䅁䅔啂䕁䅕䅉桂䝁䄴䅚杁䙁䅣兡瑁䕁䅙兡杁䡁䅣兡祂䝁䅕䅢求䡁䅍督杁䡁䅉睢ㅂ䡁䅑党祂䡁䅍䅌杁䡁䅉兤湂䝁䅣党歂䍁䅁兡畂䍁䄰杤求䝁䅧兡橂䝁䅷党杁䡁䅣兡祂䝁䅕䅢求䡁䅍督杁䡁䅉睢ㅂ䡁䅑党祂䡁䅍䅉㍂䝁䅫䅤潂䍁䅁睖灂䍁䄰杒灂䍁䅷䅉坂䕁䅑睕䵂䍁䅁杣療䡁䅕䅤求䡁䅉督杁䡁䅣兡あ䝁䅧䅉療䡁䅁䅤灂䝁䄸杢桂䝁䅷䅉灂䝁䄴䅤求䡁䅉杚桂䝁䅍党穂䍁䅷䅉瑂䡁䅕䅢あ䝁䅫兌穂䝁䅕杣㉂䝁䅫睙求䍁䅁杣療䡁䅕䅤求䡁䅉督獁䍁䅁兑啂䕁䄰䅉䙂䡁䅑䅡求䡁䅉杢求䡁䅑䅉湂䝁䅅䅤求䡁䅣兙㕂䍁䅷䅉桂䝁䄴䅚杁䕁䅕免癁䙁䅑免杁䙁䅑䅒乂䍁䅁睢㉂䝁䅕杣杁䕁䅫䅕杁䡁䅁督求䡁䅕䅚療䡁䅣兡祂䝁䅕䅉湂䝁䅅䅤求䡁䅣兙㕂䍁䄴䅉啂䝁䅧党杁䝁䅍睢瑂䡁䅁兙畂䡁䅫䅉潂䝁䅅督杁䕁䄴党あ䡁䅣睢祂䝁䅳䅉乂䝁䅅杢桂䝁䅣党瑂䝁䅕杢あ䍁䅁䅖療䝁䄸䅢杁䡁䅣䅡灂䝁䅍䅡杁䝁䅫杢橂䝁䅷兤歂䝁䅕督杁䕁䅅睙あ䝁䅫杤桂䡁䅑睢祂䍁䅷䅉桂䝁䄴䅉桂䝁䅍䅤灂䡁䅙兙あ䝁䅫睢畂䍁䅁兙畂䝁䅑䅉睂䡁䅉睢㉂䝁䅫督灂䝁䄸杢灂䝁䄴睚杁䡁䅍入穂䡁䅑党瑂䍁䅁䅤療䍁䅁督あ䡁䅉党桂䝁䄰䅢灂䝁䄴党杁䡁䅑䅡求䍁䅁杣療䝁䅷䅢療䡁䅕䅤杁䝁䅅杢歂䍁䅁兢桂䝁䅫杢あ䝁䅕杢桂䝁䄴睙求䍁䅁睢浂䍁䅁杢求䡁䅑睤療䡁䅉睡杁䡁䅍党祂䡁䅙兡橂䝁䅕督㝁䍁䅁䅕祂䝁䄸杤求䝁䄴䅉卂䕁䄸兓獁䍁䅁兙畂䍁䅁兙ㅂ䡁䅑睢瑂䝁䅅䅤求䝁䅑䅉睂䡁䅉睢㉂䝁䅫督灂䝁䄸杢灂䝁䄴睚杁䡁䅍入穂䡁䅑党瑂䍁䅁杚療䡁䅉䅉坂䝁䅫杣あ䡁䅕兙獂䍁䅁兑橂䝁䅍党穂䡁䅍䅉祂䝁䄸兤あ䝁䅕杣穂䑁䅳䅉瑂䝁䄸杢灂䡁䅑睢祂䝁䅫杢湂䍁䅁兙睂䡁䅁䅢灂䝁䅍兙あ䝁䅫睢畂䑁䅳䅉呂䕁䅷兑杁䡁䅉党睂䝁䄸杣あ䍁䅁兢桂䝁䄴兙湂䝁䅕杣杁䡁䅑䅡桂䡁䅑䅉睂䡁䅉党穂䝁䅕杢あ䡁䅍䅉祂䝁䅅杢湂䝁䅕䅉療䝁䅙䅉穂䡁䅑兙あ䝁䅫督あ䝁䅫睙穂䑁䅳䅉桂䝁䄴䅚杁䙁䅍兤楂䡁䅍䅤桂䡁䅑兡療䝁䄴䅉䡂䝁䅅䅤求䡁䅣兙㕂䍁䅁睤潂䝁䅫睙潂䍁䅁兡畂䝁䅍䅢ㅂ䝁䅑党穂䍁䅁杖灂䡁䅉䅤ㅂ䝁䅅䅢杁䕁䅅睙橂䝁䅕督穂䍁䅁兔灂䝁䄴兡杁䙁䅉䅖噂䍁䅁䅤潂䝁䅅䅤杁䡁䅁杣療䡁䅙兡歂䝁䅕䅉睂䡁䅉睢あ䝁䄸睙療䝁䅷䅉橂䝁䄸杢㉂䝁䅕杣穂䝁䅫睢畂䍁䅁䅤療䍁䅁睙療䝁䄴督療䝁䅷兡歂䝁䅅䅤求䍁䅁睢畂䍁䅁兙杁䡁䅍兡畂䝁䅣䅢求䍁䅁䅣祂䝁䄸䅤療䝁䅍睢獂䍁䄴䅉坂䝁䅫杣あ䡁䅕兙獂䍁䅁兑橂䝁䅍党穂䡁䅍䅉潁䕁䅫杣求䝁䅷兙畂䝁䅑克杁䕁䅷䅤歂䍁䄴䅉㍂䝁䅅督杁䝁䅙睢ㅂ䝁䄴䅚求䝁䅑䅉灂䝁䄴䅉硁䑁䅫兏㉁䍁䅁兙畂䝁䅑䅉灂䡁䅍䅉楂䝁䅅督求䝁䅑䅉灂䝁䄴䅉䕂䡁䅕杙獂䝁䅫杢獁䍁䅁兓祂䝁䅕䅢桂䝁䄴䅚畁䍁䅁兑穂䍁䅁睢浂䍁䅁睔橂䡁䅑睢楂䝁䅕杣杁䑁䅍䅍獁䍁䅁杍睁䑁䅅兏獁䍁䅁杖灂䡁䅉䅤ㅂ䝁䅅䅢杁䕁䅅睙橂䝁䅕督穂䍁䅁䅋䩂䡁䅉党獂䝁䅅杢歂䍁䅫䅉䵂䡁䅑䅚畁䍁䅁睢睂䝁䅕杣桂䡁䅑党穂䍁䅁兙穂䍁䅁兙杁䡁䅍兤楂䡁䅍兡歂䝁䅫兙祂䡁䅫䅉療䝁䅙䅉塂䝁䅕督あ䝁䅕杣瑂䝁䄸䅉啂䝁䅕䅢求䝁䅫杢歂䡁䅕督あ䡁䅉兡杁䕁䅅村畁䅁䅁䅙䅅䑁䅙䅁坂䝁䄸入桂䝁䅣党祂䍁䅁䅖潂䝁䅕杣桂䡁䅁党ㅂ䡁䅑兡橂䡁䅍䅌杁䕁䅫杢橂䍁䄴䅁㑄兂䅁䄱䅙䙁䅙睢㕂䝁䅅睚求䡁䅉䅉啂䝁䅧党祂䝁䅅䅣求䡁䅕䅤灂䝁䅍督獁䍁䅁兓畂䝁䅍杌獁䍁䅁兙杁䝁䅉兡療䡁䅑党橂䝁䅧杢療䝁䅷睢湂䡁䅫䅉橂䝁䄸兢睂䝁䅅杢㕂䍁䅷䅉浂䝁䄸睙ㅂ䡁䅍党穂䍁䅁睢畂䍁䅁䅤潂䝁䅕䅉あ䡁䅉党桂䡁䅑兢求䝁䄴䅤杁䝁䄸杚杁䝁䅣党畂䝁䅕䅉あ䝁䅧党祂䝁䅅䅣㕂䍁䅁兙畂䝁䅑䅉畂䝁䅕兤祂䝁䄸䅢療䝁䅣入杁䝁䅑兡穂䝁䅕兙穂䝁䅕督畁䍁䅁䅖潂䝁䅕䅉橂䝁䄸兢睂䝁䅅杢㕂䉁杫督杁䝁䅷党桂䝁䅑䅉橂䝁䅷兡畂䝁䅫睙桂䝁䅷䅉橂䝁䅅杢歂䝁䅫䅚桂䡁䅑党杁䝁䅫督杁䙁䅙兗瑁䙁䅑兑噂䑁䅁免獁䍁䅁兙畂䍁䅁兙畂䡁䅑兡瑁䡁䅑兙ㅂ䍁䅁兙畂䡁䅑兡楂䝁䄸䅚㕂䍁䅁䅣祂䝁䄸睚祂䝁䅅兢杁䝁䅙睢祂䍁䅁䅤潂䝁䅕䅉あ䡁䅉党桂䡁䅑兢求䝁䄴䅤杁䝁䄸杚杁䕁䅅䅢㙂䝁䅧党灂䝁䄰党祂䉁杫督杁䝁䅑兡穂䝁䅕兙穂䝁䅕杌杁䕁䅫䅤杁䝁䅅䅢穂䝁䄸䅉歂䝁䅕杤求䝁䅷睢睂䡁䅍䅉坂䙁䅫兌䝂䙁䅧杔睁䑁䅅䅉あ䝁䄸䅉あ䡁䅉党桂䡁䅑䅉䝂䡁䅉兡求䝁䅑杣求䝁䅫睙潂䉁杫督杁䝁䅅䅤桂䡁䅧兡桂䑁䅳䅉穂䡁䅕䅣求䡁䅉睢㑂䝁䅫䅚求䍁䅁䅚灂䡁䅍兢ㅂ䡁䅑兙穂䝁䅕䅉硁䍁䅁睚求䝁䄴党杁䡁䅍兡獂䝁䅕杢橂䝁䅫杢湂䍁䅁䅣祂䝁䄸睚祂䝁䅅兢杁䝁䅙睢祂䍁䅁䅤潂䝁䅕䅉あ䡁䅉党桂䡁䅑兢求䝁䄴䅤杁䝁䄸杚杁䝁䅅兢㕂䝁䄸䅤祂䝁䄸䅣潂䝁䅫睙杁䝁䅷兙あ䝁䅕杣桂䝁䅷䅉穂䝁䅍䅢求䡁䅉睢穂䝁䅫督㝁䍁䅁兙畂䝁䅑䅉䡂䕁䅉兑硁䍁䅁睚求䝁䄴党杁䡁䅉党睂䝁䅷兙橂䝁䅕兢求䝁䄴䅤杁䡁䅁杣療䝁䅣杣桂䝁䄰䅉あ䝁䄸䅉あ䡁䅉党桂䡁䅑䅉兂䝁䅅杣牂䝁䅫杢穂䝁䄸杢婁䡉䅍䅉歂䝁䅫督求䝁䅅督求䍁䄴䅉䩂䝁䄴䅉桂䝁䅑䅚灂䡁䅑兡療䝁䄴䅌杁䡁䅑䅡求䍁䅁睙療䝁䄰䅣桂䝁䄴入杁䝁䅑党㉂䝁䅕䅢療䡁䅁督杁䡁䅉党穂䝁䅕兙祂䝁䅍䅡杁䡁䅁杣療䝁䅣杣桂䝁䄰䅉浂䝁䄸杣杁䡁䅑䅡求䍁䅁䅤祂䝁䅕兙あ䝁䄰党畂䡁䅑䅉療䝁䅙䅉䥂䡁䅕杢あ䝁䅫杢湂䡁䅑睢畂䉁杫督杁䝁䅑兡穂䝁䅕兙穂䝁䅕杌杁䕁䅫䅤杁䝁䅧兙穂䍁䅁睙療䝁䅷䅢桂䝁䅉睢祂䝁䅅䅤灂䝁䄸杢杁䝁䅅杢歂䍁䅁䅢灂䝁䅍党畂䡁䅍党杁䝁䅅睚祂䝁䅕党瑂䝁䅕杢あ䡁䅍䅉㍂䝁䅫䅤潂䍁䅁杔求䡁䅕杣療䝁䅍杣灂䝁䄴党杁䕁䅉兡療䡁䅍睙灂䝁䅕杢橂䝁䅕督獁䍁䅁兓畂䝁䅍杌㝁䍁䅁䅕浂䝁䅫来求䡁䅉䅉䩂䝁䄴睙畁䑁䅳䅉桂䝁䄴䅚杁䕁䄴睢㉂䝁䅅杣あ䝁䅫督杁䙁䅁䅡桂䡁䅉兢桂䍁䅷䅉䉂䍁䄴睒畁䍁䅁杚療䡁䅉䅉あ䝁䅧党杁䡁䅉党穂䝁䅕兙祂䝁䅍䅡獁䍁䅁䅚求䡁䅙党獂䝁䄸䅣瑂䝁䅕杢あ䍁䅷䅉桂䝁䄴䅚杁䝁䅍睢瑂䝁䄰党祂䝁䅍兡桂䝁䅷兡㙂䝁䅅䅤灂䝁䄸杢杁䝁䄸杚杁䝁䅅䅚求䝁䄴睢瑁䝁䅅督穂䝁䄸睙灂䝁䅅䅤求䝁䅑䅉㉂䝁䅫杣ㅂ䡁䅍䅉湂䝁䅕杢求䍁䅁䅤潂䝁䅕杣桂䡁䅁入杁䡁䅁杣療䝁䅑兤橂䡁䅑督畁䍁䅁杖療䡁䅫兙湂䝁䅕杣杁䙁䅑䅡求䡁䅉兙睂䝁䅕兤あ䝁䅫睙穂䍁䅷䅉䩂䝁䄴睙畁䍁䅁睤桂䡁䅍䅉灂䝁䄴睙療䡁䅉䅣療䡁䅉兙あ䝁䅕䅚杁䝁䅫杢杁䑁䅉䅍硁䑁䅍䅉桂䝁䄴䅚杁䝁䅫督杁䝁䅧党桂䝁䅑兣ㅂ䝁䅅杣あ䝁䅕杣求䝁䅑䅉灂䝁䄴䅉䑂䝁䅅兢楂䡁䅉兡歂䝁䅣党獁䍁䅁兔桂䡁䅍督桂䝁䅍䅡ㅂ䡁䅍党あ䡁䅑督畁䅁䅁眹䅕䙁䩑䅁坂䝁䄸入桂䝁䅣党祂䍁䅁䅖潂䝁䅕杣桂䡁䅁党ㅂ䡁䅑兡橂䡁䅍䅌杁䕁䅫杢橂䍁䄴䅌杁䝁䅅䅉楂䝁䅫睢あ䝁䅕睙潂䝁䄴睢獂䝁䄸睚㕂䍁䅁睙療䝁䄰䅣桂䝁䄴入獁䍁䅁杚療䝁䅍兤穂䝁䅕督杁䝁䄸杢杁䡁䅑䅡求䍁䅁䅤祂䝁䅕兙あ䝁䄰党畂䡁䅑䅉療䝁䅙䅉湂䝁䅕杢求䍁䅁䅤潂䝁䅕杣桂䡁䅁入杁䝁䅅杢歂䍁䅁杢求䡁䅕杣療䝁䅷睢湂䡁䅫䅉歂䝁䅫督求䝁䅅督求䡁䅍杌杁䙁䅑䅡求䍁䅁睙療䝁䄰䅣桂䝁䄴入婁䡉䅍䅉獂䝁䅕兙歂䍁䅁睙獂䝁䅫杢灂䝁䅍兙獂䍁䅁睙桂䝁䄴䅚灂䝁䅑兙あ䝁䅕䅉灂䡁䅍䅉坂䙁䅫兌啂䕁䅅兖睁䑁䅅䅌杁䝁䅅杢杁䝁䅅杢あ䝁䅫兌あ䝁䅅兤杁䝁䅅杢あ䝁䅫杙療䝁䅑入杁䡁䅁杣療䝁䅣杣桂䝁䄰䅉浂䝁䄸杣杁䡁䅑䅡求䍁䅁䅤祂䝁䅕兙あ䝁䄰党畂䡁䅑䅉療䝁䅙䅉桂䝁䅷来潂䝁䅕兡瑂䝁䅕杣婁䡉䅍䅉歂䝁䅫督求䝁䅅督求䍁䄴䅉䩂䡁䅑督杁䡁䅁杣療䝁䅑兤橂䡁䅑䅉睂䝁䅫䅣求䝁䅷兡畂䝁䅕䅉桂䝁䅷督療䍁䅁兡畂䝁䅍䅢ㅂ䝁䅑党穂䍁䅁督ㅂ䡁䅁党祂䝁䄸䅥灂䝁䅑党杁䝁䅑兡穂䝁䄰兤あ䝁䅅督求䍁䅁免杁䡁䅍兡獂䝁䅕杢橂䝁䅫杢湂䍁䅁睚求䝁䄴党杁䡁䅑䅡求䡁䅉兙睂䡁䅫䅌杁䡁䅣䅡灂䝁䅍䅡杁䝁䅫督杁䝁䅫杢杁䡁䅁杣求䝁䅍䅢灂䝁䄴兡橂䝁䅅䅢杁䡁䅑杣灂䝁䅅䅢杁䝁䅙睢祂䍁䅁䅤潂䝁䅕䅉あ䡁䅉党桂䡁䅑兢求䝁䄴䅤杁䝁䄸杚杁䝁䅅兢㕂䝁䄸䅤祂䝁䄸䅣潂䝁䅫睙杁䝁䅷兙あ䝁䅕杣桂䝁䅷䅉穂䝁䅍䅢求䡁䅉睢穂䝁䅫督㝁䍁䅁䅤桂䡁䅕䅉穂䝁䅫䅢求䝁䄴睙灂䝁䄴睚杁䝁䅣党畂䝁䅕䅉あ䝁䅧党祂䝁䅅䅣㕂䍁䅷䅉㍂䝁䅧兡橂䝁䅧䅉灂䡁䅍䅉灂䝁䄴䅉睂䡁䅉党橂䝁䅷兡畂䝁䅫睙桂䝁䅷䅉あ䡁䅉兡桂䝁䅷䅉浂䝁䄸杣杁䡁䅑䅡求䍁䅁䅤祂䝁䅕兙あ䝁䄰党畂䡁䅑䅉療䝁䅙䅉桂䝁䅷来潂䝁䅕兡瑂䝁䅕杣婁䡉䅍䅉歂䝁䅫督求䝁䅅督求䑁䅳䅉桂䝁䄴䅚杁䡁䅙党橂䡁䅑睢祂䝁䅫来求䝁䅑䅉桂䝁䄴䅤灂䍁䄰兙瑂䡁䅫䅢療䝁䅫䅚杁䝁䅅杢あ䝁䅫杙療䝁䅑入獁䍁䅁兙杁䝁䅣党畂䝁䅕䅉あ䝁䅧党祂䝁䅅䅣㕂䍁䅁䅤桂䡁䅉睚求䡁䅑兡畂䝁䅣䅉桂䝁䄴䅤灂䍁䄰兙瑂䡁䅫䅢療䝁䅫䅚杁䝁䅙睢祂䍁䅁䅤潂䝁䅕䅉あ䡁䅉党桂䡁䅑兢求䝁䄴䅤杁䝁䄸杚杁䝁䅅䅢㙂䝁䅧党灂䝁䄰党祂䉁杫督杁䝁䅑兡穂䝁䅕兙穂䝁䅕䅉桂䝁䄴䅚杁䝁䅫督杁䝁䅫杢杁䡁䅁杣求䝁䅍䅢灂䝁䄴兡橂䝁䅅䅢杁䡁䅑杣灂䝁䅅䅢畁䍁䅁兓畂䍁䅁兙歂䝁䅑兡あ䝁䅫睢畂䍁䅷䅉あ䝁䅧党杁䝁䅍睢瑂䡁䅁兙畂䡁䅫䅉歂䝁䅕杤求䝁䅷睢睂䡁䅍䅉坂䙁䅫兌䝂䙁䅧杔睁䑁䅅䅌杁䡁䅣䅡灂䝁䅍䅡杁䝁䅫督杁䝁䅫杢杁䡁䅁杣求䝁䅍䅢灂䝁䄴兡橂䝁䅅䅢杁䡁䅑杣灂䝁䅅䅢杁䡁䅑睢杁䡁䅑杣求䝁䅅䅤杁䝁䅙杣灂䝁䅕䅚祂䝁䅕兡橂䝁䅧升穂䍁䅁兙あ䝁䅅䅥灂䝁䅅睏杁䝁䅅杢歂䍁䅁睒䍂䕁䅅免杁䝁䅣党畂䝁䅕䅉祂䝁䅕䅣獂䝁䅅睙求䝁䄰党畂䡁䅑䅉あ䝁䄸䅉あ䡁䅉党桂䡁䅑䅉睂䝁䅅杣牂䝁䅫杢穂䝁䄸杢婁䡉䅍䅉歂䝁䅫督求䝁䅅督求䍁䅁兙畂䝁䅑䅉灂䡁䅍䅉灂䝁䄴䅉睂䡁䅉党橂䝁䅷兡畂䝁䅫睙桂䝁䅷䅉あ䡁䅉兡桂䝁䅷杌杁䕁䅙兤祂䡁䅑䅡求䡁䅉䅌杁䝁䅫䅤杁䡁䅁杣療䡁䅙兡歂䝁䅕督杁䡁䅉党穂䝁䅕兙祂䝁䅍䅡杁䡁䅁杣療䝁䅣杣桂䝁䄰䅉浂䝁䄸杣杁䡁䅑䅡求䍁䅁䅤祂䝁䅕兙あ䝁䄰党畂䡁䅑䅉療䝁䅙䅉䥂䡁䅕杢あ䝁䅫杢湂䡁䅑睢畂䉁杫督杁䝁䅑兡穂䝁䅕兙穂䝁䅕杌杁䙁䅑䅡求䍁䅁睙療䝁䄰䅣桂䝁䄴入杁䝁䅧兙穂䍁䅁睙療䝁䅷䅢桂䝁䅉睢祂䝁䅅䅤灂䝁䄸杢杁䝁䅅杢歂䍁䅁䅢灂䝁䅍党畂䡁䅍党杁䝁䅅睚祂䝁䅕党瑂䝁䅕杢あ䡁䅍䅉㍂䝁䅫䅤潂䍁䅁兑獂䝁䅕䅥灂䝁䄸杢㝁䍁䅁兑穂䡁䅑杣桂䙁䅯党畂䝁䅕睙桂䍁䅁杕桂䡁䅉党杁䕁䅑兡穂䝁䅕兙穂䝁䅕睏杁䕁䄴睢㉂䝁䅅杣あ䝁䅫督杁䙁䅁䅡桂䡁䅉兢桂䍁䅁兑䡂䑁䅳䅉佂䝁䅕兤祂䝁䄸睙祂䝁䅫杢求䍁䅁村灂䝁䄸督橂䝁䅫党畂䝁䅍党穂䍁䅷䅉䩂䝁䄴睙㝁䍁䅁兙畂䝁䅑䅉呂䝁䅅杢湂䝁䅅兢療䍁䅁䅖潂䝁䅕杣桂䡁䅁党ㅂ䡁䅑兡橂䡁䅍䅌杁䕁䅫杢橂䍁䄴䅉坂䝁䄸入桂䝁䅣党祂䍁䅁䅖潂䝁䅕杣桂䡁䅁党ㅂ䡁䅑兡橂䡁䅍䅌杁䕁䅫杢橂䍁䄴䅉㍂䝁䅅督杁䝁䅫杢橂䝁䄸杣睂䝁䄸杣桂䡁䅑党歂䍁䅁兡畂䍁䅁杍睁䑁䅅睍杁䝁䅅杢歂䍁䅁兡穂䍁䅁䅡求䝁䅅䅚硂䡁䅕兙祂䡁䅑党祂䝁䅕䅚杁䝁䅫杢杁䕁䅷党㑂䝁䅫杢湂䡁䅑睢畂䍁䅷䅉乂䝁䅅督穂䝁䅅睙潂䡁䅕督求䡁䅑䅤穂䍁䄴䅁䵂杂䅁杓䅫䙁䅙睢㕂䝁䅅睚求䡁䅉䅉啂䝁䅧党祂䝁䅅䅣求䡁䅕䅤灂䝁䅍督獁䍁䅁兓畂䝁䅍杌獁䍁䅁兙杁䝁䅉兡療䡁䅑党橂䝁䅧杢療䝁䅷睢湂䡁䅫䅉橂䝁䄸兢睂䝁䅅杢㕂䍁䅷䅉浂䝁䄸睙ㅂ䡁䅍党穂䍁䅁睢畂䍁䅁䅤潂䝁䅕䅉あ䡁䅉党桂䡁䅑兢求䝁䄴䅤杁䝁䄸杚杁䝁䅣党畂䝁䅕䅉あ䝁䅧党祂䝁䅅䅣㕂䍁䅁兙畂䝁䅑䅉畂䝁䅕兤祂䝁䄸䅢療䝁䅣入杁䝁䅑兡穂䝁䅕兙穂䝁䅕督畁䍁䅁䅖潂䝁䅕䅉橂䝁䄸兢睂䝁䅅杢㕂䉁杫督杁䝁䅷党桂䝁䅑䅉橂䝁䅷兡畂䝁䅫睙桂䝁䅷䅉橂䝁䅅杢歂䝁䅫䅚桂䡁䅑党杁䝁䅫督杁䙁䅙兗瑁䙁䅑兑噂䑁䅁免獁䍁䅁兙畂䍁䅁兙畂䡁䅑兡瑁䡁䅑兙ㅂ䍁䅁兙畂䡁䅑兡楂䝁䄸䅚㕂䍁䅁䅣祂䝁䄸睚祂䝁䅅兢杁䝁䅙睢祂䍁䅁䅤潂䝁䅕䅉あ䡁䅉党桂䡁䅑兢求䝁䄴䅤杁䝁䄸杚杁䝁䅅䅢㙂䝁䅧党灂䝁䄰党祂䉁杫督杁䝁䅑兡穂䝁䅕兙穂䝁䅕杌杁䕁䅫䅤穂䍁䅁䅣祂䝁䄸䅚ㅂ䝁䅍䅤杁䡁䅁兡睂䝁䅕䅢灂䝁䄴党杁䝁䅫杢橂䝁䅷兤歂䝁䅕督杁䡁䅍兤睂䝁䅕杣療䡁䅧兡歂䝁䅕䅉歂䝁䅫督瑂䡁䅕䅤桂䡁䅍党杁䑁䅅䅉穂䝁䅫䅢求䝁䄴睙灂䝁䄴睚杁䝁䅣党畂䝁䅕䅉あ䝁䅧党祂䝁䅅䅣㕂䍁䅷䅉㍂䝁䅧兡橂䝁䅧䅉灂䡁䅍䅉灂䝁䄴䅉睂䡁䅉党橂䝁䅷兡畂䝁䅫睙桂䝁䅷䅉あ䡁䅉兡桂䝁䅷䅉浂䝁䄸杣杁䡁䅑䅡求䍁䅁䅤祂䝁䅕兙あ䝁䄰党畂䡁䅑䅉療䝁䅙䅉桂䝁䄰入療䡁䅑杣療䡁䅁䅡灂䝁䅍䅉獂䝁䅅䅤求䡁䅉兙獂䍁䅁督橂䝁䅷党祂䝁䄸督灂䡁䅍睏杁䡁䅑兙ㅂ䍁䅁督灂䝁䅷党畂䝁䅍兡畂䝁䅣䅉湂䝁䅕杢求䍁䅁䅤潂䝁䅕杣桂䡁䅁入獁䍁䅁睤潂䝁䅫睙潂䍁䅁兡穂䍁䅁兡畂䍁䅁䅣祂䝁䅕睙獂䝁䅫杢灂䝁䅍兙獂䍁䅁䅤祂䝁䅫兙獂䍁䅁杚療䡁䅉䅉あ䝁䅧党杁䡁䅑杣求䝁䅅䅤瑂䝁䅕杢あ䍁䅁睢浂䍁䅁兙獂䡁䅯䅡求䝁䅫兢求䡁䅉升穂䍁䅁䅚灂䡁䅍党桂䡁䅍党㝁䍁䅁兙畂䝁䅑䅉㉂䝁䅕睙あ䝁䄸杣灂䡁䅯党歂䍁䅁兙畂䡁䅑兡瑁䝁䅅兢㕂䝁䅷睢灂䝁䅑䅉桂䝁䄴䅤灂䝁䅉睢歂䡁䅫䅌杁䝁䅅䅉湂䝁䅕杢求䍁䅁䅤潂䝁䅕杣桂䡁䅁入杁䡁䅑兙祂䝁䅣党あ䝁䅫杢湂䍁䅁兙畂䡁䅑兡瑁䝁䅅兢㕂䝁䅷睢灂䝁䅑䅉浂䝁䄸杣杁䡁䅑䅡求䍁䅁䅤祂䝁䅕兙あ䝁䄰党畂䡁䅑䅉療䝁䅙䅉桂䝁䅷来潂䝁䅕兡瑂䝁䅕杣婁䡉䅍䅉歂䝁䅫督求䝁䅅督求䍁䅁兙畂䝁䅑䅉灂䡁䅍䅉灂䝁䄴䅉睂䡁䅉党橂䝁䅷兡畂䝁䅫睙桂䝁䅷䅉あ䡁䅉兡桂䝁䅷杌杁䕁䅫杢杁䝁䅅䅚歂䝁䅫䅤灂䝁䄸杢獁䍁䅁䅤潂䝁䅕䅉橂䝁䄸兢睂䝁䅅杢㕂䍁䅁䅚求䡁䅙党獂䝁䄸䅣穂䍁䅁杖婂䍁䄰杒奂䕁䄴䅍硁䍁䅷䅉㍂䝁䅧兡橂䝁䅧䅉灂䡁䅍䅉灂䝁䄴䅉睂䡁䅉党橂䝁䅷兡畂䝁䅫睙桂䝁䅷䅉あ䡁䅉兡桂䝁䅷䅉あ䝁䄸䅉あ䡁䅉党桂䡁䅑䅉浂䡁䅉兡求䝁䅑杣求䝁䅫睙潂䉁杫督杁䝁䅅䅤桂䡁䅧兡桂䑁䅳䅉桂䝁䄴䅚杁䕁䅣村䉂䑁䅅䅉湂䝁䅕杢求䍁䅁杣求䡁䅁䅢桂䝁䅍党瑂䝁䅕杢あ䍁䅁䅤療䍁䅁䅤祂䝁䅕兙あ䍁䅁䅣桂䡁䅉睡灂䝁䄴督療䝁䄴升穂䍁䅁䅚灂䡁䅍党桂䡁䅍党杁䝁䅅杢歂䍁䅁兡穂䍁䅁兡畂䍁䅁䅣祂䝁䅕睙獂䝁䅫杢灂䝁䅍兙獂䍁䅁䅤祂䝁䅫兙獂䍁䄴䅉䝂䡁䅕杣あ䝁䅧党祂䍁䅷䅉灂䡁䅑䅉睂䡁䅉睢㉂䝁䅫䅚求䡁䅍䅉祂䝁䅕督求䝁䅅杣橂䝁䅧䅉睂䡁䅉睢湂䡁䅉兙瑂䍁䅁杚療䡁䅉䅉あ䝁䅧党杁䡁䅑杣求䝁䅅䅤瑂䝁䅕杢あ䍁䅁睢浂䍁䅁䅓ㅂ䝁䄴䅤灂䝁䄴睚あ䝁䄸杢婁䡉䅍䅉歂䝁䅫督求䝁䅅督求䍁䄴䅉啂䝁䅧党杁䝁䅍睢瑂䡁䅁兙畂䡁䅫䅉潂䝁䅅督杁䝁䅍睢獂䝁䅷兙楂䝁䄸杣桂䡁䅑兡療䝁䄴䅉桂䝁䄴䅚杁䝁䅷兡橂䝁䅕杢穂䝁䅕䅉桂䝁䅣杣求䝁䅕兢求䝁䄴䅤穂䍁䅁睤灂䡁䅑䅡杁䕁䅅䅢求䡁䅧兡療䝁䄴睏杁䕁䅅督あ䡁䅉兙慂䝁䅕杢求䝁䅍兙杁䙁䅉兙祂䝁䅕䅉䕂䝁䅫督求䝁䅅督求䑁䅳䅉佂䝁䄸杤桂䡁䅉䅤灂䡁䅍䅉兂䝁䅧兙祂䝁䄰兙杁䕁䅅睒㝁䍁䅁杔求䡁䅕杣療䝁䅍杣灂䝁䄴党杁䕁䅉兡療䡁䅍睙灂䝁䅕杢橂䝁䅕督獁䍁䅁兓畂䝁䅍睏杁䝁䅅杢歂䍁䅁睕桂䝁䄴睚桂䝁䄰睢杁䙁䅑䅡求䡁䅉兙睂䝁䅕兤あ䝁䅫睙穂䍁䅷䅉䩂䝁䄴睙畁䍁䅁杖療䡁䅫兙湂䝁䅕杣杁䙁䅑䅡求䡁䅉兙睂䝁䅕兤あ䝁䅫睙穂䍁䅷䅉䩂䝁䄴睙畁䍁䅁睤桂䡁䅍䅉灂䝁䄴睙療䡁䅉䅣療䡁䅉兙あ䝁䅕䅚杁䝁䅫杢杁䑁䅉䅍硁䑁䅍䅉桂䝁䄴䅚杁䝁䅫督杁䝁䅧党桂䝁䅑兣ㅂ䝁䅅杣あ䝁䅕杣求䝁䅑䅉灂䝁䄴䅉䵂䝁䅕䅥灂䝁䄴睚あ䝁䄸杢獁䍁䅁兔桂䡁䅍督桂䝁䅍䅡ㅂ䡁䅍党あ䡁䅑督畁䅁䅁䅷䅙䍁䅁䅁塂䕁䅅䅔䵂䕁䅫䅗杁䕁䅣杕偂䙁䅕䅕杁䙁䅍兑䅁䭁䅫䅁⭁䅁䅁睖䙂䕁䅷䅔杁䕁䅧党桂䝁䅷䅤潂䍁䅁䅖求䝁䅍䅡畂䝁䄸䅢療䝁䅣兡求䡁䅍䅉䑂䝁䄸杣睂䍁䄴䅁啃允䅁杋䅁䙁䅣兓呂䕁䅕䅉灂䙁䅑党橂䝁䅧䅉䑂䝁䄸杌獁䍁䅁䅔あ䝁䅑杌䅁乁䅁䅁㑂䅃䅁睖求䡁䅍䅤杁䙁䅑党橂䝁䅧杢療䝁䅷睢湂䡁䅫䅉䡂䡁䅉睢ㅂ䡁䅁䅌杁䕁䅷䅔䑂䍁䅁䅚求䡁䅙党獂䝁䄸䅣穂䍁䅁睙獂䝁䄸兤歂䍁䅁杙桂䡁䅍党歂䍁䅁兙睂䡁䅁䅢灂䝁䅍兙あ䝁䅫睢畂䍁䅁督療䝁䅙䅤㍂䝁䅅杣求䍁䅁䅤潂䝁䅅䅤杁䡁䅁杣療䡁䅙兡歂䝁䅕督杁䝁䅍睢瑂䝁䄰兤畂䝁䅫睙桂䡁䅑兡療䝁䄴䅉桂䝁䄴䅚杁䝁䄴党あ䡁䅣睢祂䝁䅳䅉灂䝁䄴杚祂䝁䅅督あ䡁䅉兤橂䡁䅑兤祂䝁䅕䅉穂䝁䅕杣㉂䝁䅫睙求䡁䅍杌杁䕁䅫䅤杁䝁䄸杚浂䝁䅕杣穂䍁䅁杢療䡁䅑兡浂䝁䅫党歂䍁䅷䅉橂䝁䄸兢瑂䡁䅕杢灂䝁䅍兙あ䝁䅫睢畂䡁䅍䅉橂䝁䅷睢ㅂ䝁䅑䅉睂䝁䅷兙あ䝁䅙睢祂䝁䄰䅉浂䝁䄸杣杁䝁䅕杤求䝁䄴䅤穂䍁䅷䅉睂䡁䅕杙獂䝁䅫睙杁䡁䅉党獂䝁䅅䅤灂䝁䄸杢穂䍁䅷䅉桂䝁䄴䅚杁䝁䅫杢㉂䝁䅕督あ䝁䄸杣杁䡁䅉党獂䝁䅅䅤灂䝁䄸杢穂䑁䅳䅉瑂䝁䄸督桂䝁䅫睙㑂䍁䅁睢浂䝁䅙党祂䡁䅍䅉穂䝁䅕杣㉂䝁䅫睙求䍁䅁䅤潂䡁䅉睢ㅂ䝁䅣䅡杁䡁䅙睢灂䝁䅍党杁䡁䅉党橂䝁䄸睚畂䝁䅫䅤灂䝁䄸杢獁䍁䅁䅚灂䝁䅣兡あ䝁䅅䅢杁䝁䄰党穂䡁䅍兙湂䝁䅫杢湂䍁䅷䅉桂䝁䄴䅚杁䝁䅍睢畂䡁䅙党祂䡁䅍兙あ䝁䅫睢畂䝁䅅䅢杁䝁䅅杣あ䝁䅫杚灂䝁䅍兡桂䝁䅷䅉灂䝁䄴䅤求䝁䅷䅢灂䝁䅣党畂䝁䅍党㝁䍁䅁䅖求䝁䅷党坂䝁䄸䅥獁䍁䅁兙杁䡁䅁䅢桂䡁䅑杚療䡁䅉兢杁䝁䅙睢祂䍁䅁䅡求䝁䅅䅢あ䝁䅧睙桂䡁䅉党杁䝁䅍睢瑂䝁䄰兤畂䝁䅫睙桂䡁䅑兡療䝁䄴睏杁䙁䅍睙潂䝁䄸睢獂䕁䄰党穂䡁䅍党畂䝁䅣党祂䍁䅁䅣祂䝁䄸杤灂䝁䅑党穂䍁䅁杢療䡁䅑兡浂䝁䅫睙桂䡁䅑兡療䝁䄴䅌杁䡁䅣党楂䡁䅍兡あ䝁䅕䅌杁䝁䅅杢歂䍁䅁兢療䝁䅉兡獂䝁䅕䅉桂䡁䅁䅣獂䝁䅫睙桂䡁䅑兡療䝁䄴䅉穂䝁䄸䅢ㅂ䡁䅑兡療䝁䄴督杁䝁䅙睢祂䍁䅁督橂䝁䅧睢療䝁䅷督㝁䍁䅁兙畂䝁䅑䅉㍂䝁䅕督あ䍁䅁䅤求䝁䅷党橂䝁䄸兢杁䡁䅁杣療䡁䅙兡歂䝁䅕督杁䡁䅙睢灂䝁䅍党杁䝁䅅杢歂䍁䅁兢求䡁䅍督桂䝁䅣兡畂䝁䅣䅉穂䝁䄸䅢ㅂ䡁䅑兡療䝁䄴督杁䝁䅙睢祂䍁䅁督求䡁䅉杤灂䝁䅍党杁䡁䅁杣療䡁䅙兡歂䝁䅕杣穂䍁䅷䅉橂䝁䄸杢あ䝁䅅睙あ䍁䅁睙求䝁䄴䅤求䡁䅉督獁䍁䅁兙畂䝁䅑䅉求䝁䄴䅤求䡁䅉䅣祂䝁䅫督求䡁䅍杌杁䙁䅑䅡求䍁䅁睙療䝁䄰䅣桂䝁䄴入杁䡁䅁杣療䡁䅙兡歂䝁䅕督杁䝁䅫䅤穂䍁䅁督求䡁䅉杤灂䝁䅍党穂䍁䅁䅤療䍁䅁督瑂䝁䅅䅢獂䍁䅁兙畂䝁䅑䅉瑂䝁䅕䅚灂䡁䅕兢杁䝁䅕杢あ䝁䅕杣睂䡁䅉兡穂䝁䅕督杁䝁䅫杢杁䡁䅑党獂䝁䅕睙療䝁䄰兢ㅂ䝁䄴兡橂䝁䅅䅤灂䝁䄸杢穂䍁䅷䅉祂䝁䅕䅤桂䝁䅫䅢獁䍁䅁杚灂䝁䄴兙畂䝁䅍兡桂䝁䅷䅉穂䝁䅕杣㉂䝁䅫睙求䡁䅍䅌杁䝁䅣睢㉂䝁䅕杣畂䝁䄰党畂䡁䅑䅌杁䝁䅕䅚ㅂ䝁䅍兙あ䝁䅫睢畂䍁䅷䅉ㅂ䡁䅑兡獂䝁䅫䅤灂䝁䅕督獁䍁䅁䅤求䝁䅍䅡畂䝁䄸䅢療䝁䅣入獁䍁䅁兙畂䝁䅑䅉潂䝁䅕兙獂䡁䅑䅡橂䝁䅅杣求䍁䅁兡畂䝁䅑兤穂䡁䅑杣灂䝁䅕督畁䍁䅁䅖潂䝁䅕䅉橂䝁䄸兢睂䝁䅅杢㕂䍁䅁睤桂䡁䅍䅉浂䝁䄸杣瑂䝁䅕杣獂䡁䅫䅉牂䝁䄴睢㍂䝁䄴䅉桂䡁䅍䅉䩂䝁䄴䅤祂䝁䅅䅚療䍁䅁睑療䡁䅉䅣療䡁䅉兙あ䝁䅫睢畂䍁䅁兙畂䝁䅑䅉橂䝁䅧兙畂䝁䅣党歂䍁䅁兡あ䡁䅍䅉畂䝁䅅兢求䍁䅁䅤療䍁䅁睖求䡁䅍䅤杁䙁䅑党橂䝁䅧杢療䝁䅷睢湂䡁䅫䅉䡂䡁䅉睢ㅂ䡁䅁䅌杁䕁䅷䅔䑂䍁䅁兡畂䍁䅁杍睁䑁䅅兏畁䍁䅁䅖潂䝁䅕䅉橂䝁䄸兢睂䝁䅅杢㕂䍁䅁睤桂䡁䅍䅉浂䝁䄸兤畂䝁䅑党歂䍁䅁兡畂䍁䅁免㕁䑁䅧李杁䝁䅅杢歂䍁䅁兡穂䍁䅁杙桂䡁䅍党歂䍁䅁兡畂䍁䅁睔瑂䝁䅅䅡桂䍁䅷䅉佂䝁䅕杙祂䝁䅅督牂䝁䅅䅉㍂䝁䅫䅤潂䍁䅁睢睂䝁䅕杣桂䡁䅑兡療䝁䄴督杁䝁䅫杢杁䡁䅑䅡求䍁䅁兖畂䝁䅫䅤求䝁䅑䅉呂䡁䅑兙あ䝁䅕督獁䍁䅁睑桂䝁䄴兙歂䝁䅅䅌杁䕁䅕兤祂䝁䄸䅣求䍁䅷䅉あ䝁䅧党杁䕁䄰兡歂䝁䅑䅢求䍁䅁兒桂䡁䅍䅤獁䍁䅁䅤潂䝁䅕䅉䉂䡁䅍兡桂䍁䅁䅕桂䝁䅍兡浂䝁䅫睙獁䍁䅁兙畂䝁䅑䅉䵂䝁䅅䅤灂䝁䄴䅉䉂䝁䄰党祂䝁䅫睙桂䍁䄴䅁䕁杁䅁村䅁䙁䅣党穂䡁䅑党祂䝁䄰睢杁䕁䄴党あ䡁䅣睢祂䝁䅳䅉啂䝁䅕睙潂䝁䄴睢獂䝁䄸睚灂䝁䅕督杁䕁䅅村䅁䕁䉙䅁捁䅁䅁睖灂䡁䅁杣療䍁䅁䅔灂䝁䄰兡あ䝁䅕䅚䅁䩁䄸䅁㉁元䅁睖灂䡁䅑䅡穂䝁䅕睙ㅂ䡁䅉党杁䕁䅷兡瑂䝁䅫䅤求䝁䅑䅉療䝁䅙杚求䡁䅉督杁䝁䅍入楂䝁䅕杣杁䡁䅍党橂䡁䅕杣灂䡁䅑入杁䝁䅍睢畂䡁䅍兤獂䡁䅑兡畂䝁䅣䅉穂䝁䄸䅢ㅂ䡁䅑兡療䝁䄴督畁䍁䅁䅖潂䝁䅕䅉橂䝁䄸兢睂䝁䅅杢㕂䍁䅁睢浂䝁䅙党祂䡁䅍䅉塂䝁䅫䅤潂䙁䅍党橂䡁䅕杣求䍁䅁兒獂䝁䅕兢求䝁䄴䅤穂䍁䅷䅉桂䍁䅁督灂䝁䄴睚獂䝁䅕䅉瑂䝁䄸䅚ㅂ䝁䅷兙祂䍁䅁睙㕂䝁䅉党祂䍁䅁督求䝁䅍兤祂䝁䅫䅤㕂䍁䅁督療䝁䅷兤あ䝁䅫睢畂䍁䅁兢桂䝁䅑党杁䡁䅕䅣杁䝁䄸杚杁䝁䅅䅉浂䡁䅕䅢獂䍁䅁杣桂䝁䄴睚求䍁䅁睢浂䍁䅁睙㕂䝁䅉党祂䍁䅁督求䝁䅍兤祂䝁䅫䅤㕂䍁䅁兙睂䡁䅁䅢灂䝁䅍兙あ䝁䅫睢畂䡁䅍杌杁䕁䅫䅤杁䝁䅫杢橂䝁䅷兤歂䝁䅕督杁䡁䅙兤獂䝁䄴党祂䝁䅅杙灂䝁䅷兡あ䡁䅫䅉瑂䝁䅅杢桂䝁䅣党瑂䝁䅕杢あ䍁䅷䅉睂䝁䅅䅤橂䝁䅧䅉瑂䝁䅅杢桂䝁䅣党瑂䝁䅕杢あ䍁䅷䅉求䝁䄴䅚睂䝁䄸兡畂䡁䅑䅉睂䡁䅉睢あ䝁䅕睙あ䝁䅫睢畂䍁䅷䅉求䝁䄴䅚睂䝁䄸兡畂䡁䅑䅉歂䝁䅕䅤求䝁䅍䅤灂䝁䄸杢杁䝁䅅杢歂䍁䅁杣求䡁䅍䅣療䝁䄴督求䍁䅁䅤求䝁䅍䅡畂䝁䄸䅢療䝁䅣兡求䡁䅍䅌杁䕁䄰睍㉁䑁䅕䅉橂䝁䄸杤求䡁䅉兙湂䝁䅕䅉桂䡁䅍䅉㍂䝁䅕䅢獂䍁䅁兙穂䍁䅁睙獂䝁䄸兤歂䍁䅁督求䝁䅍兤祂䝁䅫䅤㕂䍁䅁䅣療䡁䅍䅤ㅂ䡁䅉党杁䝁䄰兙畂䝁䅅睚求䝁䄰党畂䡁䅑杌杁䕁䅫䅤杁䝁䅅䅢穂䝁䄸䅉療䝁䅙杚求䡁䅉督杁䙁䅣兡あ䝁䅧睕求䝁䅍兤祂䝁䅕䅉䑂䝁䅷睢ㅂ䝁䅑䅉兂䡁䅉睢あ䝁䅕睙あ䝁䅫睢畂䍁䅁睕桂䝁䅷党穂䝁䅙睢祂䝁䅍党獁䍁䅁兙畂䍁䅁兡畂䡁䅑党湂䡁䅉兙あ䝁䅕䅚杁䡁䅍睢獂䡁䅕䅤灂䝁䄸杢杁䡁䅑䅡桂䡁䅑䅉睂䡁䅉党㉂䝁䅕杢あ䡁䅍䅉桂䡁䅑䅤桂䝁䅍睡穂䍁䅁杤灂䝁䅅䅉浂䝁䅫䅢求䡁䅍䅉桂䝁䄴䅚杁䙁䅕杕䵂䡁䅍䅉ㅂ䡁䅁䅢療䝁䅅䅚求䝁䅑䅉あ䝁䄸䅉呂䝁䅅䅢求䡁䅍杚療䡁䅉睙求䍁䅁睑獂䝁䄸兤歂䡁䅍杌杁䙁䅑䅡求䍁䅁睙療䝁䄰䅣桂䝁䄴入杁䡁䅁杣療䡁䅙兡歂䝁䅕督杁䡁䅍䅣求䝁䅍兡桂䝁䅷兡穂䡁䅑䅉桂䝁䅑杤灂䝁䅍党杁䝁䅅杢歂䍁䅁督療䝁䅷兤あ䝁䅫睢畂䡁䅍䅉灂䝁䄴䅉あ䝁䅧党杁䝁䅅杣求䝁䅅督杁䝁䄸杚杁䡁䅁杣療䝁䅙党穂䡁䅍兡療䝁䄴兙獂䍁䅁兙畂䝁䅑䅉瑂䝁䅅杢桂䝁䅣党歂䍁䅁督求䡁䅉杤灂䝁䅍党穂䍁䅷䅉歂䝁䅕杤求䝁䅷睢睂䝁䅫杢湂䍁䅁睙療䝁䄰兢求䡁䅉睙灂䝁䅅䅢穂䍁䅷䅉桂䝁䄴䅚杁䝁䄸䅣求䝁䄴兌穂䝁䄸兤祂䝁䅍党杁䡁䅍党橂䡁䅕杣灂䡁䅑入杁䡁䅑睢療䝁䅷督畁䍁䅁兑歂䝁䅑兡あ䝁䅫睢畂䝁䅅䅢獂䡁䅫䅌杁䝁䅫䅤杁䡁䅁杣療䡁䅙兡歂䝁䅕督杁䝁䅍入楂䝁䅕杣杁䡁䅍党橂䡁䅕杣灂䡁䅑入杁䡁䅑杣桂䝁䅫杢灂䝁䄴睚杁䝁䅍睢ㅂ䡁䅉督求䡁䅍䅉桂䝁䄴䅚杁䝁䅅䅉祂䝁䅕督求䝁䅅杣橂䝁䅧䅉桂䝁䄴䅚杁䝁䅑党㉂䝁䅕䅢療䡁䅁兢求䝁䄴䅤杁䡁䅁䅢桂䡁䅑杚療䡁䅉兢畁䍁䅁兓あ䍁䅁督求䡁䅉杤求䡁䅍䅉あ䝁䅧党杁䝁䅙兡畂䝁䅅杢橂䝁䅕䅌杁䝁䅕杢求䡁䅉睚㕂䍁䅷䅉灂䝁䄴督ㅂ䡁䅉兙畂䝁䅍党獁䍁䅁䅤求䝁䅍䅡畂䝁䄸䅢療䝁䅣入獁䍁䅁兢求䝁䅑兡桂䍁䅷䅉桂䝁䄴䅚杁䡁䅑党獂䝁䅕睙療䝁䄰兢ㅂ䝁䄴兡橂䝁䅅䅤灂䝁䄸杢杁䝁䅫杢歂䡁䅕督あ䡁䅉兡求䡁䅍杌杁䙁䅑䅡求䍁䅁睙療䝁䄰䅣桂䝁䄴入杁䡁䅣兙穂䍁䅁杚療䡁䅉兢求䡁䅉䅢㕂䍁䅁睡畂䝁䄸睤畂䍁䅁兙穂䍁䅁杒瑁䙁䅍党橂䡁䅕杣求䍁䅁睑㕂䝁䅉党祂䍁䅁睕求䝁䅍兤祂䝁䅫䅤㕂䍁䅁䅔灂䝁䄰兡あ䝁䅕䅚杁䝁䅅杢歂䍁䅁睙潂䝁䅅杢湂䝁䅕䅚杁䝁䅫䅤穂䍁䅁杢桂䝁䄰党杁䡁䅑睢杁䙁䅣兡あ䝁䅧督求䝁䅍兤祂䝁䅕䅉䵂䝁䅫兢灂䡁䅑党歂䍁䅁兡畂䍁䅁杒求䝁䅉杣ㅂ䝁䅅杣㕂䍁䅁杍睁䑁䅉杍畁䍁䅁睖灂䡁䅑䅡穂䝁䅕睙ㅂ䡁䅉党杁䕁䅷兡瑂䝁䅫䅤求䝁䅑䅉㍂䝁䅅督杁䝁䅫杢橂䝁䄸杣睂䝁䄸杣桂䡁䅑党歂䍁䅁兡畂䍁䅁杍睁䑁䅁杍杁䝁䅅杢歂䍁䅁兡穂䍁䅁杙桂䡁䅍党歂䍁䅁兡畂䍁䅁䅔療䝁䄴䅚療䝁䄴䅌杁䙁䅕杢灂䡁䅑党歂䍁䅁睓灂䝁䄴睚歂䝁䄸兢畁䍁䅁兑穂䍁䅁睢浂䍁䅁杓ㅂ䝁䅷入杁䑁䅉䅌杁䑁䅉䅍硁䑁䅧䅌杁䙁䅣兡あ䝁䅧督求䝁䅍兤祂䝁䅕䅉䵂䝁䅫兢灂䡁䅑党歂䍁䅁睢睂䝁䅕杣桂䡁䅑党穂䍁䅁兙穂䍁䅁兙杁䡁䅍兤楂䡁䅍兡歂䝁䅫兙祂䡁䅫䅉療䝁䅙䅉䝂䍁䄰睕求䝁䅍兤祂䝁䅕䅉偂䡁䅫条畁䅁䅁兣䅍䉁䅉䅁奂䙁䅑杕䉂䑁䅯村ぁ䕁䅉䅁䕃杁䅁杅䅁䙁䅧䅖卂䕁䅅杏乂䙁䅉睓䅁䅁䝁䅁佂䅁䅁兗療䝁䄴睚潂䡁䅕兡杁䙁䅫兤畂䝁䅍䅡ㅂ䝁䅅杢湂䍁䅁䅖求䝁䅍䅡畂䝁䄸䅢療䝁䅣入杁䕁䅍睢畁䍁䅷䅉䵂䡁䅑䅚畁䅁䅁杮䅉䭁䉑䅁婂䝁䄸杢湂䝁䅧兤灂䍁䅁兗ㅂ䝁䄴睙潂䡁䅕兙畂䝁䅣䅉啂䝁䅕睙潂䝁䄴睢獂䝁䄸睚㕂䍁䅁睑療䍁䄴䅌杁䕁䅷䅤歂䍁䄴䅉療䡁䅁党祂䝁䅅䅤求䡁䅍䅉浂䡁䅉党穂䝁䅧䅉浂䝁䄸睢歂䍁䅁党㑂䡁䅁党祂䝁䅫党畂䝁䅍党杁䡁䅍䅤療䡁䅉党穂䍁䅷䅉浂䡁䅉党穂䝁䅧䅉浂䝁䄸睢歂䍁䅁睙療䝁䄴杤求䝁䄴兡求䝁䄴睙求䍁䅁督あ䝁䄸杣求䡁䅍䅌杁䝁䅅杢歂䍁䅁睢畂䝁䅷兡畂䝁䅕䅉浂䡁䅉党穂䝁䅧䅉浂䝁䄸睢歂䍁䅁督ㅂ䡁䅁党祂䝁䄰兙祂䝁䅳党あ䡁䅍杌杁䙁䅑䅡求䍁䅁睙療䝁䄰䅣桂䝁䄴入杁䡁䅣兙穂䍁䅁杚療䡁䅕杢歂䝁䅕䅚杁䝁䅫杢杁䑁䅉䅍硁䑁䅕䅉桂䝁䄴䅚杁䝁䅫督杁䝁䅉兙穂䝁䅕䅚杁䝁䅫杢杁䙁䅍䅡桂䝁䄴睚潂䝁䅅兡獁䍁䅁睑潂䝁䅫杢桂䍁䄴䅁潃杁䅁杇䅁䙁䅫睢ㅂ䕁䅅䅣睂䝁䅫䅉䩂䝁䄴睙畁䅁䅁兄䅉䍁䩉䅁婂䝁䄸兤䉂䡁䅁䅣灂䍁䅁兓畂䝁䅍杌杁䝁䅑党㉂䝁䅕䅢療䡁䅁督杁䝁䄰睢楂䝁䅫䅢求䍁䅁兙歂䡁䅙党祂䡁䅑兡穂䝁䅕兢求䝁䄴䅤杁䡁䅍党祂䡁䅙兡畂䝁䅣䅉あ䝁䅕睙潂䝁䄴睢獂䝁䄸睚㕂䍁䅁督療䝁䅷兤あ䝁䅫睢畂䡁䅍䅉浂䝁䄸杣杁䡁䅑䅡求䍁䅁兙橂䡁䅅兤灂䡁䅍兡あ䝁䅫睢畂䍁䅁兙畂䝁䅑䅉橂䝁䄸杢㉂䝁䅕杣穂䝁䅫睢畂䍁䅁睢浂䍁䅁兢療䝁䅉兡獂䝁䅕䅉橂䡁䅕督あ䝁䄸兢求䡁䅉督畁䍁䅁兓あ䍁䅁睢浂䝁䅙党祂䡁䅍䅉偂䝁䄴党卂䡁䅕杢獁䍁䅁兙杁䡁䅁䅢桂䡁䅑杚療䡁䅉兢杁䡁䅑䅡桂䡁䅑䅉求䝁䄴兙楂䝁䅷党穂䍁䅁兢桂䡁䅉睡求䡁䅑党祂䡁䅍䅉桂䝁䄴䅚杁䝁䅅睚求䝁䄴睙灂䝁䅕督杁䡁䅑睢杁䝁䅫杢橂䝁䅷兤歂䝁䅕䅉㉂䝁䅫䅚求䝁䄸䅉桂䝁䅑杤求䡁䅉䅤灂䡁䅍党瑂䝁䅕杢あ䡁䅍䅉灂䝁䄴䅉ㅂ䡁䅍党祂䍁䅁兙橂䡁䅅兤灂䡁䅍兡あ䝁䅫睢畂䍁䅁睙桂䝁䄰䅣桂䝁䅫睚畂䡁䅍睏杁䝁䅅杢歂䍁䅁杕求䕁䅅䅣睂䝁䅫䅌杁䝁䅅䅉瑂䝁䅅杢桂䝁䅣党歂䍁䅁䅣祂䝁䄸睚祂䝁䅅兢瑂䝁䅅䅤灂䝁䅍䅉祂䝁䅕䅤桂䡁䅉睚求䡁䅑兡畂䝁䅣䅉穂䝁䄸䅢ㅂ䡁䅑兡療䝁䄴䅉あ䝁䅧兙あ䍁䅁党畂䝁䅅杙獂䝁䅕督杁䝁䄰兙祂䝁䅳党あ䝁䅕杣穂䍁䅷䅉桂䡁䅁䅣杁䝁䅑党㉂䝁䅕䅢療䡁䅁党祂䡁䅍䅌杁䝁䅅杢歂䍁䅁兙湂䝁䅕杢橂䝁䅫党穂䍁䅁䅤療䍁䅁杙求䝁䄴党浂䝁䅫䅤杁䝁䅙杣療䝁䄰䅉浂䡁䅕䅢獂䍁䄰杚ㅂ䝁䄴杢求䝁䅷䅉桂䡁䅁䅣杁䡁䅉党あ䝁䅕杢あ䝁䅫睢畂䍁䄴䅉啂䝁䅧党杁䝁䅍睢瑂䡁䅁兙畂䡁䅫䅉桂䝁䅷督療䍁䅁䅣祂䝁䄸杤灂䝁䅑党穂䍁䅁杕求䍁䄰兒畂䝁䅣兙湂䝁䅕兢求䝁䄴䅤杁䡁䅍睢獂䡁䅕䅤灂䝁䄸杢獁䍁䅁睤潂䝁䅫睙潂䍁䅁睢浂䝁䅙党祂䡁䅍䅉桂䝁䅍睙求䡁䅍督杁䡁䅑睢杁䝁䅫䅤穂䍁䅁杣求䝁䅅䅢瑁䡁䅑兡瑂䝁䅕䅉楂䝁䅫䅚歂䝁䅫杢湂䍁䅷䅉桂䝁䄴䅚杁䡁䅍睢橂䝁䅫兙獂䍁䅁兙畂䝁䅑䅉歂䝁䅫杣求䝁䅍䅤杁䡁䅑杣桂䝁䅙杚灂䝁䅍䅌杁䝁䅅督杁䡁䅣党獂䝁䅷䅉桂䡁䅍䅉求䝁䄴兙楂䝁䅷党穂䍁䅁兢ㅂ䝁䅷䅤灂䡁䅁䅢求䍁䅁䅤療䡁䅕睙潂䡁䅁睢灂䝁䄴䅤穂䍁䅁杙求䡁䅑睤求䝁䅕杢杁䝁䅉杣桂䝁䄴䅚杁䝁䅅杢歂䍁䅁兤穂䝁䅕杣㝁䍁䅁睕療䝁䅙䅤㍂䝁䅅杣求䍁䅁䅒求䡁䅙党獂䝁䄸䅣瑂䝁䅕杢あ䍁䅁睓灂䡁䅑䅌杁䝁䅅杢杁䝁䅕䅥あ䝁䅕杢穂䝁䅫睢畂䍁䅁睢浂䍁䅁䅤潂䝁䅕䅉偂䝁䄴党卂䡁䅕杢杁䙁䅁䅢桂䡁䅑杚療䡁䅉兢杁䡁䅑睢杁䝁䅕杢桂䝁䅉䅢求䍁䅁杣求䡁䅣兙祂䝁䅑党歂䍁䅁杤灂䝁䅑党療䡁䅍䅉桂䝁䄴䅚杁䡁䅙兡歂䝁䅕睢杁䝁䅫杢あ䝁䅕杣穂䡁䅑兡あ䝁䅫兙獂䡁䅍䅉浂䝁䄸杣杁䡁䅁兤楂䝁䅷兡穂䝁䅧党祂䡁䅍䅉桂䝁䄴䅚杁䝁䅅䅣睂䍁䅁䅚求䡁䅙党獂䝁䄸䅣求䡁䅉督㝁䍁䅁兙畂䝁䅑䅉瑂䝁䅅杢桂䝁䅣党歂䍁䅁督療䝁䅷兤あ䝁䅫睢畂䡁䅍䅉浂䝁䄸杣杁䝁䄰睢楂䝁䅫䅢求䍁䅁杙祂䝁䅅杢歂䡁䅍䅉あ䝁䅧兙あ䍁䅁睙療䝁䄴杤求䡁䅉䅤杁䝁䅑兙あ䝁䅅䅉灂䝁䄴䅤療䍁䅁兤穂䝁䅕杣穂䍁䄴䅉婂䝁䄸兤䉂䡁䅁䅣灂䍁䅁兓畂䝁䅍杌杁䡁䅣兙穂䍁䅁兡畂䝁䅍睢祂䡁䅁睢祂䝁䅅䅤求䝁䅑䅉灂䝁䄴䅉祁䑁䅁免硁䍁䅁兙畂䝁䅑䅉灂䡁䅍䅉楂䝁䅅督求䝁䅑䅉灂䝁䄴䅉兂䝁䅅䅢療䍁䅁兑獂䡁䅑睢獁䍁䅁睑桂䝁䅷兡浂䝁䄸杣畂䝁䅫兙杁䡁䅣兡あ䝁䅧䅉桂䝁䄴䅉桂䝁䅑䅚灂䡁䅑兡療䝁䄴兙獂䍁䅁睢浂䝁䅙兡橂䝁䅕䅉灂䝁䄴䅉䍂䝁䅕兡煂䝁䅫杢湂䍁䅷䅉䑂䝁䅧兡畂䝁䅅杌杁䕁䅫䅤杁䝁䅅䅢穂䝁䄸䅉潂䝁䅅督杁䝁䄸䅣求䡁䅉兙あ䝁䅫睢畂䡁䅍䅉灂䝁䄴䅉䩂䝁䄴䅚療䝁䄴党穂䝁䅫兙獁䍁䅁兔桂䝁䅷兙㕂䡁䅍兡桂䍁䅷䅉あ䝁䅧党杁䙁䅁䅡灂䝁䅷兡睂䡁䅁兡畂䝁䅕督獁䍁䅁睕灂䝁䄴睚桂䡁䅁睢祂䝁䅕䅌杁䙁䅑䅡桂䝁䅫䅢桂䝁䄴䅚獁䍁䅁杖灂䝁䅕䅤畂䝁䅅兢獁䍁䅁兓畂䝁䅑兡桂䍁䅷䅉䡂䝁䅕杣瑂䝁䅅杢㕂䍁䅷䅉䱂䝁䄸杣求䝁䅅䅌杁䝁䅅杢歂䍁䅁䅤潂䝁䅕䅉噂䝁䄴兡あ䝁䅕䅚杁䕁䅳兡畂䝁䅣䅚療䝁䄰杌杁䕁䅅督杁䝁䄸杚杁䕁䅯兤畂䝁䅕䅉硁䍁䅷䅉祁䑁䅁杍穁䍁䅷䅉婂䝁䄸兤䉂䡁䅁䅣灂䍁䅁兓畂䝁䅍杌杁䝁䄸䅣求䡁䅉兙あ䝁䅕督杁䝁䅅督杁䝁䅅䅉穂䡁䅕杙穂䝁䅫䅚灂䝁䅅杣㕂䍁䅁睢浂䍁䅁兑浂䝁䅙䅢求䍁䅁兓畂䡁䅑党祂䝁䄴兙あ䝁䅫睢畂䝁䅅䅢杁䙁䅁䅤求䍁䄴䅉䵂䡁䅑䅚畁䅁䅁䅅䅉䙁䅉䅁慂䝁䄸睢瑂䍁䅁䅖求䝁䅷党睂䝁䅧睢畂䝁䅫睙穂䍁䅷䅉䩂䝁䄴睙畁䍁䅁䅋畂䝁䅳兙㙁䕁䄰兡畂䝁䅫兢獁䍁䅁兓畂䝁䅍杌灁䅁䅁杏䅅䕁䅁䅁慂䝁䄸睢瑂䍁䅁杖灂䝁䅑党療䍁䅁睑療䝁䄰兢ㅂ䝁䄴兡橂䝁䅅䅤灂䝁䄸杢穂䍁䅷䅉䩂䝁䄴睙畁䅁䅁儫䅅䉁䅷䅁慂䡁䅍睙桂䝁䅷党祂䍁䅷䅉䩂䝁䄴睙畁䅁䅁督䅁䉁䅙䅁慂䡁䅫杢湂䝁䅅䅉䩂䝁䄴睙畁䅁䅁兕䅉䉁䡷䅁慂䡁䅫杢湂䝁䅅䅉䩂䝁䄴睙畁䍁䅁䅚求䡁䅙党獂䝁䄸䅣穂䍁䅷䅉瑂䝁䅅杣牂䝁䅕䅤穂䍁䅷䅉桂䝁䄴䅚杁䝁䄸䅣求䡁䅉兙あ䝁䅕督杁䡁䅍睢橂䝁䅫兙獂䍁䅁睚桂䝁䄰党杁䡁䅍党祂䡁䅙兡橂䝁䅕督杁䝁䅫杢杁䡁䅑䅡求䍁䅁兖畂䝁䅫䅤求䝁䅑䅉呂䡁䅑兙あ䝁䅕督杁䝁䅅杢歂䍁䅁兡畂䡁䅑党祂䝁䄴兙あ䝁䅫睢畂䝁䅅䅢獂䡁䅫杌杁䙁䅑䅡求䍁䅁睙療䝁䄰䅣桂䝁䄴入杁䡁䅁杣療䡁䅙兡歂䝁䅕督杁䡁䅍睢橂䝁䅫兙獂䍁䅁睚桂䝁䄰党穂䍁䅁兙穂䍁䅁䅢灂䡁䅙党杁䡁䅍党祂䡁䅙兡橂䝁䅕督杁䡁䅁䅢桂䡁䅫党歂䍁䅁睢畂䍁䅁兢療䝁䅉兡獂䝁䅕䅉睂䝁䅷兙あ䝁䅙睢祂䝁䄰督獁䍁䅁督ㅂ䝁䅍䅡杁䝁䅅督杁䕁䅅䅣睂䝁䅷党杁䝁䅫睔呂䍁䅁兙畂䝁䅑䅉䡂䝁䄸睢湂䝁䅷党婁䡉䅍䅉䉂䝁䄴䅚祂䝁䄸兡歂䍁䅁睢睂䝁䅕杣桂䡁䅑兡畂䝁䅣䅉穂䡁䅫督あ䝁䅕兢穂䑁䅳䅉穂䝁䄸睙灂䝁䅅䅢杁䝁䄴党あ䡁䅣睢祂䝁䅳兡畂䝁䅣䅉睂䝁䅷兙あ䝁䅙睢祂䝁䄰督獁䍁䅁督ㅂ䝁䅍䅡杁䝁䅅督杁䕁䅙兙橂䝁䅕杙療䝁䄸睡杁䝁䅅杢歂䍁䅁睕畂䝁䅅䅣橂䝁䅧兙あ䑁䅳䅉桂䝁䄴䅚杁䡁䅁党祂䡁䅍睢畂䝁䅅䅢杁䝁䅍睢瑂䡁䅁兤あ䝁䅕杣穂䍁䅁睙療䝁䄴督療䝁䅷党穂䍁䅷䅉穂䡁䅕睙潂䍁䅁兙穂䍁䅁杔灂䝁䄴䅤求䝁䄴䅚療䉁杫督杁䙁䅍睤灂䡁䅑睙潂䍁䅁睚桂䝁䄰党杁䝁䅍睢畂䡁䅍睢獂䝁䅕䅌杁䝁䅅杢歂䍁䅁睢あ䝁䅧党祂䍁䅁䅣獂䝁䅅䅤浂䝁䄸杣瑂䡁䅍䅉桂䝁䄴䅚杁䝁䅍睢畂䡁䅍睢獂䝁䅕督畁䍁䅁兓あ䍁䅁兙獂䡁䅍睢杁䡁䅁杣療䡁䅙兡歂䝁䅕督杁䝁䅅䅚㉂䝁䅕杣あ䝁䅫督灂䝁䄴睚杁䡁䅍党祂䡁䅙兡橂䝁䅕督杁䝁䅍睢瑂䡁䅁杣灂䡁䅍兡畂䝁䅣䅉瑂䝁䄸杙灂䝁䅷党杁䝁䅅䅚㉂䝁䅕杣あ䝁䅫督求䝁䄰党畂䡁䅑督獁䍁䅁党畂䝁䅣兙湂䝁䅕兢求䝁䄴䅤杁䝁䅅䅚㉂䝁䅕杣あ䝁䅫督求䝁䄰党畂䡁䅑督杁䝁䅅杢歂䍁䅁睢浂䝁䅙党祂䡁䅍䅌杁䝁䅅杢歂䍁䅁杙祂䝁䅅杢歂䝁䅕䅚杁䡁䅙兡祂䡁䅑兤桂䝁䅷䅉灂䡁䅑党瑂䡁䅍䅉桂䝁䄴䅚杁䡁䅍䅣療䝁䄴督療䡁䅉督潂䝁䅫䅣穂䍁䅁杚療䡁䅉䅉瑂䝁䅅杣牂䝁䅕䅤求䡁䅉督杁䝁䅅杢歂䍁䅁兙歂䡁䅙党祂䡁䅑兡穂䝁䅕杣穂䑁䅳䅉桂䝁䄴䅚杁䝁䅷兡橂䝁䅕杢穂䝁䅕督杁䝁䅫䅤穂䍁䅁睢㍂䝁䄴䅉楂䡁䅉兙畂䝁䅑督畁䍁䅁兓畂䍁䅁兙歂䝁䅑兡あ䝁䅫睢畂䍁䅷䅉あ䝁䅧党杁䝁䅍睢瑂䡁䅁兙畂䡁䅫䅉療䡁䅁党祂䝁䅅䅤求䡁䅍䅉瑂䝁䄸杙灂䝁䅷党杁䡁䅁杣療䝁䅣杣桂䝁䄰兢桂䡁䅑兡橂䍁䅁兙歂䡁䅙党祂䡁䅑兡穂䝁䅫杢湂䍁䅁兙畂䝁䅑䅉瑂䝁䄸杢求䡁䅑兡㙂䝁䅅䅤灂䝁䄸杢杁䡁䅁䅢桂䡁䅑杚療䡁䅉兢畁䍁䅁杗㕂䝁䄴睚桂䍁䅁兓畂䝁䅍杌杁䡁䅣兙穂䍁䅁杚療䡁䅕杢歂䝁䅕䅚杁䝁䅫杢杁䑁䅉䅍睁䑁䅣䅉桂䝁䄴䅚杁䝁䅫督杁䝁䅧党桂䝁䅑兣ㅂ䝁䅅杣あ䝁䅕杣求䝁䅑䅉灂䝁䄴䅉呂䝁䅅杢杁䕁䅙杣桂䝁䄴睙灂䡁䅍睙療䍁䅷䅉䑂䝁䅅䅢灂䝁䅙睢祂䝁䄴兡桂䍁䄴䅉䉂䡁䅍䅉療䝁䅙䅉乂䝁䅅入杁䑁䅉睍獁䍁䅁杍睁䑁䅉杍獁䍁䅁杗㕂䝁䄴睚桂䍁䅁兓畂䝁䅍杌杁䝁䄸䅣求䡁䅉兙あ䝁䅕督杁䝁䅅督杁䝁䅅䅉穂䡁䅕杙穂䝁䅫䅚灂䝁䅅杣㕂䍁䅁睢浂䍁䅁䅖桂䝁䅳党瑁䙁䅑睤療䍁䅁兓畂䡁䅑党祂䝁䅅睙あ䝁䅫杤求䍁䅁睕療䝁䅙䅤㍂䝁䅅杣求䍁䅷䅉䩂䝁䄴睙畁䍁䅁䅋佂䝁䅅督歂䝁䅅兣䡂䙁䅍杏啂䙁䅑睖偂䍁䅫杌䅁䝁䍉䅁䕁睂䅁杗㕂䝁䄴睚桂䍁䅁兓畂䝁䅍杌杁䝁䅑党㉂䝁䅕䅢療䡁䅁督獁䍁䅁兢桂䡁䅉睡求䡁䅑督獁䍁䅁兙畂䝁䅑䅉療䡁䅁党祂䝁䅅䅤求䡁䅍䅉穂䝁䄸睙灂䝁䅅䅢杁䝁䅣兙瑂䝁䅕䅉穂䝁䅕杣㉂䝁䅫睙求䡁䅍䅉灂䝁䄴䅉あ䝁䅧党杁䙁䅕杢灂䡁䅑党歂䍁䅁睕あ䝁䅅䅤求䡁䅍䅉桂䝁䄴䅚杁䝁䅫杢あ䝁䅕杣畂䝁䅅䅤灂䝁䄸杢桂䝁䅷䅢㕂䍁䄴䅉啂䝁䅧党杁䝁䅍睢瑂䡁䅁兙畂䡁䅫䅉睂䡁䅉睢㉂䝁䅫䅚求䡁䅍䅉穂䝁䄸睙灂䝁䅅䅢杁䝁䅣兙瑂䝁䅕督杁䝁䅅督杁䝁䅷兡㉂䝁䅕䅉穂䝁䅕杣㉂䝁䅫睙求䡁䅍䅉睂䝁䅷兙㕂䝁䅕䅚杁䝁䄸杢杁䝁䄰睢楂䝁䅫䅢求䍁䅁䅣獂䝁䅅䅤浂䝁䄸杣瑂䡁䅍䅌杁䡁䅍兤橂䝁䅧䅉桂䡁䅍䅉䉂䡁䅁䅣獂䝁䅕䅉灂䕁䄸睕杁䝁䅅杢歂䍁䅁睒療䝁䄸睚獂䝁䅕升穂䍁䅁兑畂䝁䅑杣療䝁䅫䅚杁䝁䄸䅣求䡁䅉兙あ䝁䅫杢湂䍁䅁督㕂䡁䅍䅤求䝁䄰督㝁䍁䅁督療䝁䅍兡桂䝁䅷䅉畂䝁䅕䅤㍂䝁䄸杣牂䝁䅫杢湂䍁䅁䅣獂䝁䅅䅤浂䝁䄸杣瑂䡁䅍䅌杁䡁䅍兤橂䝁䅧䅉桂䡁䅍䅉䝂䝁䅅睙求䝁䅉睢療䝁䅳䅉桂䝁䄴䅚杁䙁䅍杢桂䡁䅁睙潂䝁䅅䅤㝁䍁䅁兙畂䝁䅑䅉睂䝁䅕杣穂䝁䄸杢桂䝁䅷䅉橂䝁䄸兢睂䡁䅕䅤求䡁䅉督杁䝁䅍睢畂䡁䅍睢獂䝁䅕督獁䍁䅁督ㅂ䝁䅍䅡杁䝁䅅督杁䕁䄴兡畂䡁䅑党畂䝁䅑睢婁䡉䅍</t>
  </si>
  <si>
    <t>䅉呂䡁䅣兡あ䝁䅍䅡杁䝁䅣兙瑂䝁䅕䅉橂䝁䄸杢穂䝁䄸䅢求䍁䅷䅉桂䝁䄴䅚杁䝁䄸䅤潂䝁䅕杣杁䡁䅁䅢桂䡁䅑杚療䡁䅉兢穂䍁䅁兙畂䝁䅑䅉橂䝁䄸杢穂䝁䄸䅢求䡁䅍杌杁䕁䅫䅤杁䝁䅅䅢穂䝁䄸䅉睂䡁䅉睢㉂䝁䅫䅚求䡁䅍䅉桂䝁䅑杤求䡁䅉䅤灂䡁䅍兡畂䝁䅣䅉穂䝁䅕杣㉂䝁䅫睙求䡁䅍䅉橂䝁䄸兢睂䡁䅉兡穂䝁䅫杢湂䍁䅁兢療䝁䅉兡獂䝁䅕䅉桂䝁䅑杤求䡁䅉䅤灂䡁䅍党瑂䝁䅕杢あ䡁䅍䅌杁䝁䅕杢湂䝁䅅睚求䝁䄰党畂䡁䅑䅉桂䝁䅑杤求䡁䅉䅤灂䡁䅍党瑂䝁䅕杢あ䡁䅍䅉桂䝁䄴䅚杁䝁䄸杚浂䝁䅕杣穂䍁䅷䅉桂䝁䄴䅚杁䝁䅉杣桂䝁䄴䅚求䝁䅑䅉㉂䝁䅫杣あ䡁䅕兙獂䍁䅁兡あ䝁䅕兢穂䍁䅁兙畂䝁䅑䅉穂䡁䅁睢畂䡁䅍睢祂䡁䅍䅡灂䡁䅁督杁䝁䅙睢祂䍁䅁兢桂䡁䅉睡求䡁䅑党祂䡁䅍䅉桂䝁䄴䅚杁䝁䅅䅚㉂䝁䅕杣あ䝁䅫督求䡁䅉督㝁䍁䅁兙畂䝁䅑䅉獂䝁䅫睙求䝁䄴督求䡁䅍䅉灂䡁䅑督杁䝁䄸睤畂䍁䅁杙祂䝁䅅杢歂䡁䅍杌杁䕁䅫杢杁䝁䅅䅚歂䝁䅫䅤灂䝁䄸杢獁䍁䅁䅤潂䝁䅕䅉橂䝁䄸兢睂䝁䅅杢㕂䍁䅁睢睂䝁䅕杣桂䡁䅑党穂䍁䅁兢療䝁䅉兡獂䝁䅕䅉睂䡁䅉睢湂䡁䅉兙瑂䝁䄰兙あ䝁䅫睙杁䝁䅅䅚㉂䝁䅕杣あ䝁䅫督灂䝁䄴睚杁䝁䅅杢歂䍁䅁兢療䝁䄴党あ䝁䅫来桂䡁䅑兡療䝁䄴䅉睂䝁䅷兙あ䝁䅙睢祂䝁䄰杌杁䙁䅯入畂䝁䅣兙杁䕁䅫杢橂䍁䄴䅉㍂䝁䅅督杁䝁䅫杢橂䝁䄸杣睂䝁䄸杣桂䡁䅑党歂䍁䅁兡畂䍁䅁杍睁䑁䅁睎杁䝁䅅杢歂䍁䅁兡穂䍁䅁䅡求䝁䅅䅚硂䡁䅕兙祂䡁䅑党祂䝁䅕䅚杁䝁䅫杢杁䙁䅍兙畂䍁䅁杒祂䝁䅅杢橂䝁䅫督橂䝁䄸䅌杁䕁䅍兙獂䝁䅫杚療䡁䅉杢灂䝁䅅杌杁䕁䅅督杁䝁䄸杚杁䕁䄰兙㕂䍁䅁杍穁䍁䅷䅉祁䑁䅁杍祁䍁䅷䅉慂䡁䅫杢湂䝁䅅䅉䩂䝁䄴睙畁䍁䅁睢睂䝁䅕杣桂䡁䅑党穂䍁䅁兙穂䍁䅁兙杁䡁䅍兤楂䡁䅍兡歂䝁䅫兙祂䡁䅫䅉療䝁䅙䅉啂䝁䅅睡求䍁䄰䅖㍂䝁䄸䅉䩂䝁䄴䅤求䡁䅉兙橂䡁䅑兡㉂䝁䅕䅉呂䝁䄸杚あ䡁䅣兙祂䝁䅕䅌杁䕁䅫杢橂䍁䄴䅁䵂睁䅁䅆䅁䝁䅣兙瑂䝁䅫睚療䍁䅁兑䡂䅁䅁䅚䅉䝁䕑䅁湂䝁䅅兢灂䝁䅣睢杁䕁䅅睒杁䡁䅁兤楂䝁䅷兡穂䝁䅧党穂䍁䅁睢畂䝁䅷兡畂䝁䅕䅉桂䝁䄴䅚杁䝁䄰睢楂䝁䅫䅢求䍁䅁睚桂䝁䄰党穂䍁䅁睤療䡁䅉䅢歂䡁䅣兡歂䝁䅕杌杁䙁䅑䅡求䍁䅁睙療䝁䄰䅣桂䝁䄴入杁䝁䄸䅣求䡁䅉兙あ䝁䅕督杁䡁䅑䅡祂䝁䄸兤湂䝁䅧䅉䍂䑁䅉睑癁䕁䅣兙瑂䝁䅕䅉兂䡁䅕杙獂䝁䅫督潂䝁䅫杢湂䍁䅁兙畂䝁䅑䅉䍂䑁䅉村癁䙁䅁䅢桂䡁䅑杚療䡁䅉兢杁䙁䅍党祂䡁䅙兡橂䝁䅕督杁䡁䅍党湂䝁䄰党畂䡁䅑督畁䍁䅁兓あ䍁䅁督ㅂ䡁䅁䅣療䡁䅉䅤穂䍁䅷䅉療䡁䅁党祂䝁䅅䅤求䡁䅍䅌杁䝁䅅杢歂䍁䅁督ㅂ䡁䅁䅣獂䝁䅫党穂䍁䅁杤桂䡁䅉兡療䡁䅕督杁䝁䄸杢獂䝁䅫杢求䍁䅁睚桂䝁䄰党穂䍁䅷䅉穂䡁䅕睙潂䍁䅁兙穂䍁䅁睙桂䡁䅍兤桂䝁䅷䅌杁䡁䅉睢獂䝁䅕䅉睂䝁䅷兙㕂䍁䅷䅉桂䝁䄴䅚杁䡁䅍䅤祂䝁䅅䅤求䝁䅣入杁䝁䅣兙瑂䝁䅕督獁䍁䅁兙穂䍁䅁睤求䝁䅷䅢杁䝁䅅督杁䝁䄸杚浂䝁䅕杣穂䍁䅁兢求䝁䅑兡桂䍁䅁兙畂䝁䅑䅉睂䝁䅷兙あ䝁䅙睢祂䝁䄰䅉穂䝁䅕杣㉂䝁䅫睙求䡁䅍杌杁䙁䅑䅡求䍁䅁睙療䝁䄰䅣桂䝁䄴入杁䝁䅅䅢穂䝁䄸䅉療䝁䅙杚求䡁䅉督杁䝁䅙杣求䝁䅕兌あ䝁䄸兌睂䝁䅷兙㕂䍁䅁兢桂䡁䅍督灂䡁䅙党獂䡁䅫䅉瑂䡁䅕䅢あ䝁䅫䅣獂䝁䅅入求䡁䅉䅉療䝁䄴䅢灂䝁䄴党杁䝁䅣兙瑂䝁䅕督杁䍁䅧兔乂䕁䄸睒穂䍁䅫杌杁䕁䅫杢杁䝁䅅䅚歂䝁䅫䅤灂䝁䄸杢獁䍁䅁兡あ䍁䅁睢睂䝁䅕杣桂䡁䅑党穂䍁䅁兙睂䡁䅁杣療䡁䅧兡瑂䝁䅅䅤求䝁䅷入杁䑁䅍䅍杁䕁䄰兔偂䕁䅣督杁䝁䅅杢歂䍁䅁兎獁䑁䅁䅍睁䍁䅁睙桂䡁䅍兤桂䝁䅷䅉湂䝁䅅兢求䡁䅍杌杁䙁䅑䅡求䍁䅁睙療䝁䄰䅣桂䝁䄴入杁䡁䅣兙穂䍁䅁杚療䡁䅕杢歂䝁䅕䅚杁䝁䅫杢杁䑁䅉䅍睁䑁䅁䅉桂䝁䄴䅚杁䝁䅫督杁䝁䅧党桂䝁䅑兣ㅂ䝁䅅杣あ䝁䅕杣求䝁䅑䅉灂䝁䄴䅉䥂䝁䅅兢楂䡁䅕杣湂䍁䅷䅉䡂䝁䅕杣瑂䝁䅅杢㕂䍁䄴䅉湂䝁䅅兢灂䝁䅣睢杁䕁䅅睒杁䝁䅫督杁䝁䅅䅉穂䡁䅕杙穂䝁䅫䅚灂䝁䅅杣㕂䍁䅁睢浂䍁䅁睕桂䝁䄰兙祂䝁䅫睢畂䍁䅁睕畁䕁䅕杌䅁䝁䍣䅁畁䅁䅁兡䑂䝁䅅杢歂䡁䅫䅉䕂䝁䅫睚灂䡁䅑兙獂䍁䅁䅕あ䝁䅕䅉䵂䡁䅑䅚䅁䙁䍫䅁⭄杁䅁兡䑂䝁䅅杢歂䡁䅫䅉䕂䝁䅫睚灂䡁䅑兙獂䍁䅁䅕あ䝁䅕䅉䵂䡁䅑䅚杁䝁䅑党㉂䝁䅕䅢療䡁䅁督杁䝁䅅杢歂䍁䅁䅣ㅂ䝁䅉䅢灂䡁䅍䅡求䡁䅍䅉瑂䝁䄸杙灂䝁䅷党杁䝁䅣兙瑂䝁䅕督杁䝁䅅杢歂䍁䅁䅚灂䝁䅣兡あ䝁䅅䅢杁䝁䅕杢あ䝁䅕杣あ䝁䅅兡畂䝁䄰党畂䡁䅑䅉㍂䝁䄸杣獂䝁䅑睤灂䝁䅑党畁䍁䅁兓あ䍁䅁睢㍂䝁䄴督杁䑁䅉李杁䝁䄰睢楂䝁䅫䅢求䍁䅁睚桂䝁䄰党杁䡁䅑兡あ䝁䅷党穂䍁䅁䅚求䡁䅙党獂䝁䄸䅣求䝁䅑䅉療䝁䄴䅉灂䕁䄸睕杁䝁䅅杢歂䍁䅁兑畂䝁䅑杣療䝁䅫䅚杁䡁䅁䅢桂䡁䅑杚療䡁䅉兢穂䍁䄴䅉灂䕁䅍兙畂䝁䅑入杁䕁䅑兡湂䝁䅫䅤桂䝁䅷䅉兂䡁䅑党杁䕁䅷䅤歂䍁䅁睤桂䡁䅍䅉浂䝁䄸杣瑂䝁䅕杣獂䡁䅫䅉牂䝁䄴睢㍂䝁䄴䅉桂䡁䅍䅉䱂䝁䅕杢穂䝁䅫杢湂䡁䅑睢畂䍁䅁杖求䝁䄴䅤ㅂ䡁䅉党穂䍁䅁䅕あ䝁䅕䅉䵂䡁䅑䅚畁䍁䅁䅖潂䝁䅕䅉橂䝁䄸兢睂䝁䅅杢㕂䍁䅁睤桂䡁䅍䅉灂䝁䄴睙療䡁䅉䅣療䡁䅉兙あ䝁䅕䅚杁䝁䅫杢杁䑁䅉䅍睁䑁䅫䅉桂䝁䄴䅚杁䝁䅫督杁䝁䅉兙穂䝁䅕䅚杁䝁䅫杢杁䙁䅍兡畂䝁䅣兙睂䝁䄸杣求䍁䄴䅉灂䕁䅍兙畂䝁䅑入杁䕁䅑兡湂䝁䅫䅤桂䝁䅷䅉兂䡁䅑党杁䕁䅷䅤歂䍁䅁睢睂䝁䅕杣桂䡁䅑党穂䍁䅁兙穂䍁䅁兙杁䡁䅍兤楂䡁䅍兡歂䝁䅫兙祂䡁䅫䅉療䝁䅙䅉灂䕁䅍兙畂䝁䅑入杁䕁䅫杢あ䝁䅕杣桂䝁䅍䅤灂䡁䅙党杁䕁䅷兡瑂䝁䅫䅤求䝁䅑杌䅁䙁䌸䅁杁䅁䅁兡硂䙁䄸睙療䝁䄰䅣桂䝁䄴入時䝁䄴兙瑂䝁䅕䅁慁䅁䅁䅇䅁䝁䅫兣時䡁䅫党桂䡁䅉䅡灂䝁䅣䅡䅁䉁䅧䅁捁䅁䅁兡㙂䝁䅕杣あ䝁䅫督獁䍁䅁睕畁䕁䅅杌䅁䩁䉍䅁杁䅁䅁䅢療䝁䅅杢䕂䝁䅕䅣療䡁䅑䅌杁䕁䅫杢橂䍁䄴䅁獁杁䅁䅇䅁䝁䄴睑灂䝁䄴睢獁䍁䅁兓畂䝁䅍杌䅁䑁䍷䅁奂䅁䅁督桂䝁䅷党穂䝁䅙睢祂䝁䅍党畁䝁䅍睢瑂䍁䅷䅉灂䝁䄴睙畁䍁䅁䅋畂䝁䅳兙㙁䙁䅍兙獂䝁䅕督浂䝁䄸杣橂䝁䅕䅌杁䕁䅫杢橂䍁䄴克䅁偁䉯䅁慁䅃䅁䅤求䝁䅷党瑂䝁䅅䅤灂䝁䅍督ぁ䡁䅕䅉呂䝁䅕杣㉂䝁䅫睙求䡁䅍䅉兂䡁䅙䅤杁䕁䅷䅤歂䍁䄴䅉睂䡁䅉睢㉂䝁䅫䅚求䡁䅍䅉療䡁䅁党祂䝁䅅䅤灂䝁䄸杢桂䝁䅷䅉瑂䝁䅅杢桂䝁䅣党瑂䝁䅕杢あ䍁䅁督求䡁䅉杤灂䝁䅍党穂䍁䅁杚療䡁䅉䅉あ䝁䅧党杁䡁䅑杣桂䝁䄴督睂䝁䄸杣あ䝁䅅䅤灂䝁䄸杢杁䡁䅍党橂䡁䅑睢祂䍁䅁兡畂䍁䅁兓畂䝁䅑兡桂䍁䅁兙畂䝁䅑䅉灂䝁䄴䅤求䡁䅉杢桂䡁䅑兡療䝁䄴兙獂䝁䅷入畁䍁䅁兓あ䍁䅁睢睂䝁䅕杣桂䡁䅑党穂䍁䅁兡畂䍁䅁䅤潂䝁䅕䅉橂䝁䄸杢㉂䝁䅕杣湂䝁䅕杢橂䝁䅕䅉穂䡁䅁兙橂䝁䅕䅉療䝁䅙䅉獂䝁䄸睙桂䡁䅑兡療䝁䄴䅉灂䝁䄴䅤求䝁䅷䅢灂䝁䅣党畂䝁䅍党杁䍁䅧睒兂䙁䅍睌䡂䕁䅫睕灁䍁䅷䅉㍂䝁䅫杣求䝁䅷党穂䡁䅍䅉潁䕁䅣䅕卂䙁䅍克獁䍁䅁兙畂䝁䅑䅉䩂䝁䄴䅤求䡁䅉杢求䡁䅑杌杁䙁䅑䅡求䍁䅁睙療䝁䄰䅣桂䝁䄴入杁䝁䄸杚浂䝁䅕杣穂䍁䅁杙ㅂ䡁䅍兡畂䝁䅕督穂䍁䅁督療䝁䅷兤あ䝁䅫睢畂䡁䅍䅉灂䝁䄴䅉あ䝁䅧党杁䝁䅅杣求䝁䅅督杁䝁䄸杚杁䝁䅍睢獂䝁䅑䅉橂䝁䅧兙灂䝁䄴䅉獂䝁䄸睚灂䡁䅍䅤灂䝁䅍督杁䝁䄰兙畂䝁䅅睚求䝁䄰党畂䡁䅑䅌杁䝁䅍䅡灂䝁䅷䅚杁䡁䅍兙浂䝁䅕䅤㕂䍁䅁兙穂䡁䅍兤祂䝁䅅杢橂䝁䅕䅌杁䡁䅑兙㑂䝁䅫䅉療䡁䅁党祂䝁䅅䅤灂䝁䄸杢穂䍁䅁兢桂䝁䄴兙湂䝁䅕兢求䝁䄴䅤獁䍁䅁党瑂䡁䅁䅢療䡁䅫党求䍁䅁䅤祂䝁䅅杢穂䡁䅁睢祂䡁䅑兙あ䝁䅫睢畂䍁䅷䅉橂䝁䅅督潂䍁䅁杤桂䝁䄴䅉瑂䝁䄸杢灂䡁䅑睢祂䝁䅫杢湂䍁䅷䅉瑂䝁䅫杢灂䝁䄴睚杁䝁䅷睢湂䝁䅫督あ䝁䅫睙穂䍁䅁兢桂䝁䄴兙湂䝁䅕兢求䝁䄴䅤獁䍁䅁䅣桂䡁䅍督求䝁䄴睚求䡁䅉䅉あ䡁䅉兙畂䡁䅍䅣療䡁䅉䅤桂䡁䅑兡療䝁䄴䅌杁䡁䅁党祂䡁䅍睢畂䝁䄴党獂䍁䅁䅤祂䝁䅅睙牂䝁䅫杢湂䍁䅷䅉歂䝁䅅兡祂䡁䅫䅉獂䝁䄸睚灂䡁䅍䅤灂䝁䅍督杁䝁䄸䅣求䡁䅉兙あ䝁䅫睢畂䡁䅍䅉瑂䝁䅅杢桂䝁䅣党瑂䝁䅕杢あ䍁䅷䅉桂䝁䄴䅚杁䝁䅙䅢求䝁䅕䅤杁䝁䄰兙灂䝁䄴䅤求䝁䄴兙畂䝁䅍党畁䍁䅁兓あ䍁䅁兙獂䡁䅍睢杁䡁䅁杣療䡁䅙兡歂䝁䅕督杁䡁䅑党獂䝁䅕兢桂䡁䅑兡橂䡁䅍䅉穂䝁䅕杣㉂䝁䅫睙求䡁䅍䅌杁䝁䅫杢橂䝁䅷兤歂䝁䅫杢湂䍁䅁兢療䝁䅉兡獂䝁䅕䅉桂䡁䅍督求䡁䅑䅉㉂䝁䅫督灂䝁䅉兡獂䝁䅫䅤㕂䍁䅷䅉桂䡁䅍督求䡁䅑䅉療䡁䅁䅤灂䝁䄰兡㙂䝁䅅䅤灂䝁䄸杢獁䍁䅁督求䝁䅍兤祂䝁䅫䅤㕂䍁䅷䅉獂䝁䄸睚灂䡁䅍䅤灂䝁䅍督杁䝁䄰兙畂䝁䅅睚求䝁䄰党畂䡁䅑䅌杁䝁䅍睢獂䝁䅑䅉橂䝁䅧兙灂䝁䄴䅉瑂䝁䄸杢灂䡁䅑睢祂䝁䅫杢湂䍁䅷䅉睂䝁䅕睢睂䝁䅷党杁䡁䅑杣桂䝁䄴督睂䝁䄸杣あ䝁䅅䅤灂䝁䄸杢杁䝁䄰睢畂䝁䅫䅤療䡁䅉兡畂䝁䅣䅌杁䝁䅕䅤橂䍁䄴䅉啂䝁䅧党杁䝁䅍睢瑂䡁䅁兙畂䡁䅫䅉療䝁䅙杚求䡁䅉督杁䝁䅫䅤穂䍁䅁督求䡁䅉杤灂䝁䅍党穂䍁䅁兡畂䍁䅁睕療䝁䅙䅤㍂䝁䅅杣求䍁䄰兙穂䍁䄰兙瑁䙁䅍党祂䡁䅙兡橂䝁䅕䅉瑂䝁䄸䅚求䝁䅷杌杁䕁䅫䅤杁䡁䅁杣療䡁䅙兡歂䝁䅕督杁䝁䅫䅤穂䍁䅁督求䡁䅉杤灂䝁䅍党穂䍁䅁䅤潂䡁䅉睢ㅂ䝁䅣䅡杁䝁䅫䅤穂䍁䅁杚祂䝁䅅杢橂䝁䅧兡穂䝁䅕党穂䍁䅁兡畂䍁䅁兓畂䝁䅑兡桂䍁䄴䅉あ䝁䅕䅢求䝁䄰兙あ䝁䅫睙穂䑁䅑兤杁䙁䅍党祂䡁䅙兡橂䝁䅕督杁䙁䅁杤あ䍁䅁䅔あ䝁䅑杌杁䝁䅫督杁䝁䅉兙穂䝁䅕䅚杁䝁䅫杢杁䕁䅉党畂䝁䅣兙獂䡁䅕杣ㅂ䍁䅷䅉䩂䝁䄴䅚灂䝁䅅杌杁䕁䅅督杁䝁䄸杚杁䙁䅍党睂䡁䅑党瑂䝁䅉党祂䍁䅁免獁䍁䅁杍睁䑁䅅睎獁䍁䅁䅖求䝁䅷党瑂䝁䅅䅤灂䝁䅍督ぁ䡁䅕䅉呂䝁䅕杣㉂䝁䅫睙求䡁䅍䅉兂䡁䅙䅤畁䍁䅁䅔あ䝁䅑杌杁䝁䄸䅣求䡁䅉兙あ䝁䅕督杁䝁䅅督杁䝁䅅䅉穂䡁䅕杙穂䝁䅫䅚灂䝁䅅杣㕂䍁䅁睢浂䍁䅁杕桂䝁䄴党杁䕁䅧睢獂䝁䅑兡畂䝁䅣督杁䕁䅷兡瑂䝁䅫䅤求䝁䅑杌䅁䙁䄸䅁奂杁䅁䍈䥂䡁䅕杢桂䝁䄴䅉䍂䝁䅕兡㕂䡁䅕杢杁䙁䅑党橂䝁䅧杢療䝁䅷睢湂䡁䅫䅉䑂䝁䄸杌獁䍁䅁䅔あ䝁䅑杌摁䍉䅁䅚求䡁䅙党獂䝁䄸䅣穂䍁䅁䅡灂䝁䅣䅡瑁䡁䅁杣求䝁䅍兡穂䝁䅫睢畂䍁䅁督桂䡁䅑党獂䝁䅷兡あ䝁䅕䅉畂䝁䅅杤灂䝁䅣兙あ䝁䅫睢畂䍁䅁䅣祂䝁䄸䅚ㅂ䝁䅍䅤穂䍁䅷䅉穂䝁䅕杣㉂䝁䅫睙求䡁䅍䅌杁䝁䅅杢歂䍁䅁督療䝁䅷兤あ䝁䅫睢畂䡁䅍杌杁䕁䅫䅤穂䍁䅁䅣祂䝁䄸䅚ㅂ䝁䅍䅤穂䍁䅁兡畂䝁䅍䅢ㅂ䝁䅑党杁䝁䅧兡湂䝁䅧兌睂䡁䅉党橂䝁䅫督灂䝁䄸杢杁䝁䄴兙㉂䝁䅫睚桂䡁䅑兡療䝁䄴䅉橂䝁䅧兡睂䡁䅍䅉桂䝁䄴䅚杁䙁䅉䅖䱂䍁䅁䅣療䡁䅍兡あ䝁䅫睢畂䝁䅫杢湂䍁䅁兙畂䝁䅑䅉療䡁䅉兡求䝁䄴䅤桂䡁䅑兡療䝁䄴䅉楂䝁䄸兙祂䝁䅑督畁䍁䅁䅓ㅂ䝁䄴兙畂䍁䅁村求䝁䅫入ㅂ䝁䄴䅉啂䝁䅕睙潂䝁䄴睢獂䝁䄸睚㕂䍁䅁睑療䍁䄴䅌杁䕁䅷䅤歂䍁䄴䅉㍂䝁䅅督杁䝁䅙睢ㅂ䝁䄴䅚求䝁䅑䅉灂䝁䄴䅉祁䑁䅁免穁䍁䅁兙畂䡁䅍䅉灂䡁䅍䅉楂䝁䅅督求䝁䅑䅉灂䝁䄴䅉䑂䝁䅧兙畂䝁䅣督潂䝁䅅䅌杁䕁䅍䅡灂䝁䄴兙畁䅁䅁䄶䅁䉁䅙䅁䵁䅉䅅䅁䥁䅁䅁䍄䉁䅁䅁兂䅁䅁䅯杬䅣䅁䅯睬䅣䅁䅯䅭䅣䅁䅯六䅣䅁䅯䅄䅍䉁䅑㍗儸㝯⭆兂唰䑁正卥挰㘷楎䅆䅁䅁䅁䅁䅁䉁䅑㉈奨晊敧㡙啧䝁塒䕭㍤楹瑱䅆祂祹假㕵偰䈶䅑䙚奥㍒䭦煋䈰䅁䅁允䅁䅁䅯兄䅍䅁杷允䅁䅁䅧䅁䵁䅉䅅䅁䙁䅁䅁权敃睂䅁权晃睂䅁权权睂䅁权桃睂䅁权䵁睁䅁䅆扂硦橃塳䘴剄䅑祎㕒剌発㉯啉䅁䅁䅁䅁䅁䅁䅆晁䙡汧䈫樵䉹䅑䙚奥㍒䭦煋唰䡁䱌奉㜫歭漯䅆歂㕖䡨㡤煯兲䅅䅁䉁䅁䅁权乁睁䅁䍄䉁䅁䅁䅃䅁䅁杷允䅁䅁䅕䅁䭁䥁䡙䅁䭁䥁䡣䅁䭁䥁䡧䅁䭁䥁䡫䅁䭁䅁䑷䅁啁䙁⽴䭅硏杦乕䅆㍁䡊瑫佈樫桙䅑癮⽲楢敯䬶啯䉁漹䍗㑘浈䥐䅆歂㕖䡨㡤煯割䅑獣桳㝪慵⭔啧䝁塒䕭㍤楹瑱允䅁䅁䅅䅁䭁䅁䐰䅁䵁䅉䅅䅁䥁䅁䅁䍄䉁䅁䅁兂䅁䅁䅯杘䅣䅁䅯睘䅣䅁䅯䅙䅣䅁䅯兙䅣䅁䅯䅄䅍䉁䅑㍗儸㝯⭆兂唰䑁正卥挰㘷楎䅆䅁䅁䅁䅁䅁䉁䅑㉈奨晊敧㡙啧䝁塒䕭㍤楹瑱䅆祂祹假㕵偰䈶䅑䙚奥㍒䭦煋䈰䅁䅁允䅁䅁䅯兄䅍䅁杷允䅁䅁䅧䅁䵁䅉䅅䅁䙁䅁䅁权畂睂䅁权療睂䅁权睂睂䅁权硂睂䅁权䵁睁䅁䅆扂硦橃塳䘴剄䅑祎㕒剌発㉯啉䅁䅁䅁䅁䅁䅁䅆晁䙡汧䈫樵䉹䅑䙚奥㍒䭦煋唰䡁䱌奉㜫歭漯䅆歂㕖䡨㡤煯兲䅅䅁䉁䅁䅁权乁睁䅁䍄䉁䅁䅁䅃䅁䅁杷允䅁䅁䅕䅁䭁䝁䡯䅁䭁䝁䡳䅁䭁䝁䡷䅁䭁䝁䠰䅁䭁䅁䑷䅁啁䙁⽴䭅硏杦乕䅆䡂ㄷ坕㌫㤱砰䅑獶畐㕫灓䱯啳䱁䌫䱄煦獕睘䅆歂㕖䡨㡤煯割䅑獣桳㝪慵⭔啧䝁塒䕭㍤楹瑱允䅁䅁䅅䅁䭁䅁䐰䅁䵁䅉䅅䅁䥁䅁䅁䍄䉁䅁䅁兂䅁䅁䅯杧䅣䅁䅯睧䅣䅁䅯䅨䅣䅁䅯全䅣䅁䅯䅄䅍䉁䅑㍗儸㝯⭆兂唰䑁正卥挰㘷楎䅆䅁䅁䅁䅁䅁䉁䅑㉈奨晊敧㡙啧䝁塒䕭㍤楹瑱䅆祂祹假㕵偰䈶䅑䙚奥㍒䭦煋䈰䅁䅁允䅁䅁䅯兄䅍䅁杷允䅁䅁䅧䅁䵁䅉䅅䅁䙁䅁䅁权㙂睂䅁权㝂睂䅁权㡂睂䅁权㥂睂䅁权䵁睁䅁䅆扂硦橃塳䘴剄䅑⭒嘹癆㥴摦啍䡁灵礸穷塍䩕䅆⽃杧㍹氶䙌䈸䅑䙚奥㍒䭦煋唰䡁䱌奉㜫歭漯䅆歂㕖䡨㡤煯兲䅅䅁䉁䅁䅁权乁睁䅁䍄䉁䅁䅁䅃䅁䅁杷允䅁䅁䅕䅁䭁䡁䠴䅁䭁䡁䠸䅁䭁䥁䡁䅁䭁䥁䡅䅁䭁䅁䑷䅁啁䙁⽴䭅硏杦乕䅆䡂ㄷ坕㌫㤱砰䅑娲睵楈䙍㥮啙䍁潅灈歶穦换䅆歂㕖䡨㡤煯割䅑獣桳㝪慵⭔啧䝁塒䕭㍤楹瑱允䅁䅁䅅䅁䭁䅁䐰䅁䵁䅉䅅䅁䙁䅁䅁睁䵁䅁䅁权㥂杂䅁权㙂兂䅁兂䅁䅁䅁偷汦䅑䅯䅦䅕䅁䅅䅁䉁䅁䅁兂䅁䅁䅁䅁䅁䅑杷允䅁䅁䅧䅁䵁䅉䅅䅁䙁䅁䅁权坂睂䅁权塂睂䅁权奂睂䅁权婂睂䅁权䵁睁䅁䅆扂硦橃塳䘴剄䅑⭒嘹癆㥴摦啍䙁却瀵⭁䝔楉䅆䕁䙆潫楯㉺䈱䅑䙚奥㍒䭦煋唰䡁䱌奉㜫歭漯䅆歂㕖䡨㡤煯兲䅅䅁䉁䅁䅁权乁睁䅁䍄䉁䅁䅁䅃䅁䅁杷允䅁䅁䅕䅁䭁䙁䡯䅁䭁䙁䡳䅁䭁䙁䡷䅁䭁䙁䠰䅁䭁䅁䑷䅁啁䙁⽴䭅硏杦乕䅆䡂ㄷ坕㌫㤱砰䅑婢ㅄ㕄㉣睤啣䅁啑南楩偌啢䅆歂㕖䡨㡤煯割䅑獣桳㝪慵⭔啧䝁塒䕭㍤楹瑱允䅁䅁䅅䅁䭁䅁䐰䅁䵁䅉䅅䅁䙁䅁䅁睁䵁䅁䅁权㥂杂䅁权㙂兂䅁兂䅁䅁䅁䉙洳䅑䅯䅦䅕䅁䅅䅁䉁䅁䅁兂㥁瑃橥䑣礳睐杷允䅁䅁䅧䅁䵁䅉䅅䅁䙁䅁䅁权祂睂䅁权穂睂䅁权あ睂䅁权ㅂ睂䅁权䵁睁䅁䅆扂硦橃塳䘴剄䅑祎㕒剌発㉯啉䅁䅁䅁䅁䅁䅁䅆晁䙡汧䈫樵䉹䅑䙚奥㍒䭦煋唰䡁䱌奉㜫歭漯䅆歂㕖䡨㡤煯兲䅅䅁䉁䅁䅁权乁睁䅁䍄䉁䅁䅁䅃䅁䅁杷允䅁䅁䅕䅁䭁䝁䡉䅁䭁䝁䡍䅁䭁䝁䡑䅁䭁䝁䡕䅁䭁䅁䑷䅁啁䙁⽴䭅硏杦乕䅆䡂ㄷ坕㌫㤱砰䅑呢癒啣〯汎啁䱁䌫䱄煦獕睘䅆歂㕖䡨㡤煯割䅑獣桳㝪慵⭔啧䝁塒䕭㍤楹瑱允䅁䅁䅅䅁䭁䅁䐰䅁䵁䅉䅅䅁䥁䅁䅁䍄䉁䅁䅁兂䅁䅁䅯杚䅣䅁䅯睚䅣䅁䅯䅡䅣䅁䅯兡䅣䅁䅯䅄䅍䉁䅑㍗儸㝯⭆兂唰䑁正卥挰㘷楎䅆䅁䅁䅁䅁䅁䉁䅑㉈奨晊敧㡙啧䝁塒䕭㍤楹瑱䅆祂祹假㕵偰䈶䅑䙚奥㍒䭦煋䈰䅁䅁允䅁䅁䅯兄䅍䅁杷允䅁䅁䅧䅁䵁䅉䅅䅁䙁䅁䅁权㉂睂䅁权㍂睂䅁权㑂睂䅁权㕂睂䅁权䵁睁䅁䅆扂硦橃塳䘴剄䅑⭒嘹癆㥴摦啍佁㥲婳硦手ぁ䅆⽃杧㍹氶䙌䈸䅑䙚奥㍒䭦煋唰䡁䱌奉㜫歭漯䅆歂㕖䡨㡤煯兲䅅䅁䉁䅁䅁权乁睁䅁䍄䉁䅁䅁䅃䅁䅁杷允䅁䅁䅕䅁䭁䥁䡯䅁䭁䥁䡳䅁䭁䥁䡷䅁䭁䥁䠰䅁䭁䅁䑷䅁啁䙁⽴䭅硏杦乕䅆䡂ㄷ坕㌫㤱砰䅑偄㠫㥰㔲㡂啕䱁䌫䱄煦獕睘䅆歂㕖䡨㡤煯割䅑獣桳㝪慵⭔啧䝁塒䕭㍤楹瑱允䅁䅁䅅䅁䭁䅁䐰䅁䵁䅉䅅䅁䥁䅁䅁䍄䉁䅁䅁兂䅁䅁䅯杪䅣䅁䅯睪䅣䅁䅯䅫䅣䅁䅯八䅣䅁䅯䅄䅍䉁䅑㍗儸㝯⭆兂唰䑁正卥挰㘷楎䅆䙃扌伳扬⭦砱䅑㉈奨晊敧㡙啧䝁塒䕭㍤楹瑱䅆祂祹假㕵偰䈶䅑䙚奥㍒䭦煋䈰䅁䅁允䅁䅁䅯兄䅍䅁杷允䅁䅁䅧䅁䵁䅉䅅䅁䙁䅁䅁权千睂䅁权呃睂䅁权啃睂䅁权噃睂䅁权䵁睁䅁䅆扂硦橃塳䘴剄䅑⭒嘹癆㥴摦啍䱁業䅡南䩲倲䅆⽃杧㍹氶䙌䈸䅑䙚奥㍒䭦煋唰䡁䱌奉㜫歭漯䅆歂㕖䡨㡤煯兲䅅䅁䉁䅁䅁权乁睁䅁䍄䉁䅁䅁䅃䅁䅁杷允䅁䅁䅕䅁䭁䩁䡯䅁䭁䩁䡳䅁䭁䩁䡷䅁䭁䩁䠰䅁䭁䅁䑷䅁啁䙁⽴䭅硏杦乕䅆䡂ㄷ坕㌫㤱砰䅑㉌㤫䍘婈⭷啯䍁潅灈歶穦换䅆歂㕖䡨㡤煯割䅑獣桳㝪慵⭔啧䝁塒䕭㍤楹瑱允䅁䅁䅅䅁䭁䅁䐰䅁䵁䅉䅅䅁䥁䅁䅁䍄䉁䅁䅁兂䅁䅁䅯杯䅣䅁䅯睯䅣䅁䅯䅰䅣䅁䅯兰䅣䅁䅯䅄䅍䉁䅑㍗儸㝯⭆兂唰䑁正卥挰㘷楎䅆䅁䅁䅁䅁䅁䉁䅑㉈奨晊敧㡙啧䝁塒䕭㍤楹瑱䅆祂祹假㕵偰䈶䅑䙚奥㍒䭦煋䈰䅁䅁允䅁䅁䅯兄䅍䅁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</si>
</sst>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8">
    <numFmt numFmtId="164" formatCode="&quot;$&quot;#,##0.00_);[Red]\(&quot;$&quot;#,##0.00\)"/>
    <numFmt numFmtId="165" formatCode="_(&quot;$&quot;* #,##0.00_);_(&quot;$&quot;* \(#,##0.00\);_(&quot;$&quot;* &quot;-&quot;??_);_(@_)"/>
    <numFmt numFmtId="166" formatCode="_(* #,##0.00_);_(* \(#,##0.00\);_(* &quot;-&quot;??_);_(@_)"/>
    <numFmt numFmtId="167" formatCode="_(* #,##0.0_);_(* \(#,##0.0\);_(* &quot;-&quot;??_);_(@_)"/>
    <numFmt numFmtId="168" formatCode="_(* #,##0_);_(* \(#,##0\);_(* &quot;-&quot;??_);_(@_)"/>
    <numFmt numFmtId="169" formatCode="0.00\x"/>
    <numFmt numFmtId="170" formatCode="[$-409]mmm\-yy;@"/>
    <numFmt numFmtId="171" formatCode="0.0%"/>
    <numFmt numFmtId="172" formatCode="_(* #,##0.0_);_(* \(#,##0.0\);_(* &quot;-&quot;?_);_(@_)"/>
    <numFmt numFmtId="173" formatCode="_(* #,##0_);_(* \(#,##0\);_(* &quot;-&quot;?_);_(@_)"/>
    <numFmt numFmtId="174" formatCode="0.0\x"/>
    <numFmt numFmtId="175" formatCode="0.000"/>
    <numFmt numFmtId="176" formatCode="0.0"/>
    <numFmt numFmtId="177" formatCode="0.0&quot;y&quot;"/>
    <numFmt numFmtId="178" formatCode="#,##0.0\x_)_);\(#,##0.0\x\)_);#,##0.0\x_)_);@_%_)"/>
    <numFmt numFmtId="179" formatCode="0.000\x"/>
    <numFmt numFmtId="180" formatCode="0&quot;A&quot;"/>
    <numFmt numFmtId="181" formatCode="#,##0.0"/>
    <numFmt numFmtId="182" formatCode="0.00&quot;x&quot;"/>
    <numFmt numFmtId="183" formatCode="0.0&quot;x&quot;"/>
    <numFmt numFmtId="184" formatCode="_ [$¥-804]* #,##0.00_ ;_ [$¥-804]* \-#,##0.00_ ;_ [$¥-804]* &quot;-&quot;??_ ;_ @_ "/>
    <numFmt numFmtId="185" formatCode="#,##0.0_);\(#,##0.0\)"/>
    <numFmt numFmtId="186" formatCode="0.0\x\ \ "/>
    <numFmt numFmtId="187" formatCode="0.00\x\ \ "/>
    <numFmt numFmtId="188" formatCode="#,##0.00\x_)_);\(#,##0.00\x\)_);#,##0.00\x_)_);@_%_)"/>
    <numFmt numFmtId="189" formatCode="#,##0.0_);[Red]\(#,##0.0\)"/>
    <numFmt numFmtId="190" formatCode="[$-409]d\-mmm\-yy;@"/>
    <numFmt numFmtId="191" formatCode="0&quot; months&quot;"/>
    <numFmt numFmtId="192" formatCode="#,##0.00000"/>
    <numFmt numFmtId="193" formatCode="m/d/yy;@"/>
    <numFmt numFmtId="194" formatCode="mm/dd/yy;@"/>
    <numFmt numFmtId="195" formatCode="[$-40C]mmm\-yy;@"/>
    <numFmt numFmtId="196" formatCode="&quot;€&quot;#,##0;&quot;€&quot;\(#,##0\);\-"/>
    <numFmt numFmtId="197" formatCode="[$$-409]#,##0"/>
    <numFmt numFmtId="198" formatCode="[$-409]dd\-mmm\-yy;@"/>
    <numFmt numFmtId="199" formatCode="#,#00;\-#,#00;\-"/>
    <numFmt numFmtId="200" formatCode="0.00000"/>
    <numFmt numFmtId="201" formatCode="#,##0;\(#,##0\);\-"/>
  </numFmts>
  <fonts count="60">
    <font>
      <sz val="11"/>
      <color theme="1"/>
      <name val="Calibri"/>
      <family val="2"/>
      <scheme val="minor"/>
    </font>
    <font>
      <sz val="11"/>
      <color theme="1"/>
      <name val="Calibri"/>
      <family val="2"/>
      <scheme val="minor"/>
    </font>
    <font>
      <sz val="11"/>
      <color rgb="FF000000"/>
      <name val="Calibri"/>
      <family val="2"/>
    </font>
    <font>
      <sz val="11"/>
      <color theme="1"/>
      <name val="Arial"/>
      <family val="2"/>
    </font>
    <font>
      <sz val="11"/>
      <color theme="0"/>
      <name val="Arial"/>
      <family val="2"/>
    </font>
    <font>
      <sz val="11"/>
      <color rgb="FF0000FF"/>
      <name val="Arial"/>
      <family val="2"/>
    </font>
    <font>
      <sz val="11"/>
      <color rgb="FFFF0000"/>
      <name val="Arial"/>
      <family val="2"/>
    </font>
    <font>
      <b/>
      <sz val="11"/>
      <color theme="1"/>
      <name val="Arial"/>
      <family val="2"/>
    </font>
    <font>
      <i/>
      <sz val="11"/>
      <color theme="1"/>
      <name val="Arial"/>
      <family val="2"/>
    </font>
    <font>
      <sz val="11"/>
      <name val="Arial"/>
      <family val="2"/>
    </font>
    <font>
      <i/>
      <sz val="11"/>
      <color rgb="FF0000FF"/>
      <name val="Arial"/>
      <family val="2"/>
    </font>
    <font>
      <i/>
      <sz val="11"/>
      <name val="Arial"/>
      <family val="2"/>
    </font>
    <font>
      <sz val="10"/>
      <color theme="1"/>
      <name val="Arial"/>
      <family val="2"/>
    </font>
    <font>
      <sz val="10"/>
      <name val="Arial"/>
      <family val="2"/>
    </font>
    <font>
      <b/>
      <sz val="9"/>
      <name val="Arial"/>
      <family val="2"/>
    </font>
    <font>
      <sz val="8"/>
      <name val="Palatino"/>
      <family val="1"/>
    </font>
    <font>
      <sz val="12"/>
      <color theme="1"/>
      <name val="ArialMT"/>
      <family val="2"/>
    </font>
    <font>
      <b/>
      <sz val="11"/>
      <color theme="1"/>
      <name val="Calibri"/>
      <family val="2"/>
      <scheme val="minor"/>
    </font>
    <font>
      <sz val="11"/>
      <color theme="0"/>
      <name val="Calibri"/>
      <family val="2"/>
      <scheme val="minor"/>
    </font>
    <font>
      <i/>
      <sz val="11"/>
      <color theme="0"/>
      <name val="Arial"/>
      <family val="2"/>
    </font>
    <font>
      <i/>
      <sz val="11"/>
      <color theme="0" tint="-0.14999847407452621"/>
      <name val="Calibri"/>
      <family val="2"/>
      <scheme val="minor"/>
    </font>
    <font>
      <b/>
      <sz val="8"/>
      <color theme="0"/>
      <name val="Arial"/>
      <family val="2"/>
    </font>
    <font>
      <b/>
      <u/>
      <sz val="12"/>
      <color rgb="FF000000"/>
      <name val="Arial"/>
      <family val="2"/>
    </font>
    <font>
      <b/>
      <sz val="10"/>
      <color theme="1"/>
      <name val="Arial"/>
      <family val="2"/>
    </font>
    <font>
      <sz val="10"/>
      <color rgb="FF00B050"/>
      <name val="Arial"/>
      <family val="2"/>
    </font>
    <font>
      <b/>
      <sz val="10"/>
      <color rgb="FFFF0000"/>
      <name val="Arial"/>
      <family val="2"/>
    </font>
    <font>
      <b/>
      <u/>
      <sz val="10"/>
      <color theme="1"/>
      <name val="Arial"/>
      <family val="2"/>
    </font>
    <font>
      <i/>
      <sz val="10"/>
      <color theme="1"/>
      <name val="Arial"/>
      <family val="2"/>
    </font>
    <font>
      <sz val="10"/>
      <color theme="3"/>
      <name val="Arial"/>
      <family val="2"/>
    </font>
    <font>
      <i/>
      <sz val="8"/>
      <color theme="1"/>
      <name val="Arial"/>
      <family val="2"/>
    </font>
    <font>
      <b/>
      <sz val="10"/>
      <color rgb="FF0000FF"/>
      <name val="Arial"/>
      <family val="2"/>
    </font>
    <font>
      <i/>
      <sz val="10"/>
      <name val="Arial"/>
      <family val="2"/>
    </font>
    <font>
      <b/>
      <sz val="10"/>
      <name val="Arial"/>
      <family val="2"/>
    </font>
    <font>
      <sz val="10"/>
      <color rgb="FFFF0000"/>
      <name val="Arial"/>
      <family val="2"/>
    </font>
    <font>
      <sz val="10"/>
      <color rgb="FF0000FF"/>
      <name val="Arial"/>
      <family val="2"/>
    </font>
    <font>
      <b/>
      <sz val="10"/>
      <color theme="0"/>
      <name val="Arial"/>
      <family val="2"/>
    </font>
    <font>
      <b/>
      <i/>
      <sz val="10"/>
      <name val="Arial"/>
      <family val="2"/>
    </font>
    <font>
      <sz val="10"/>
      <name val="Times New Roman"/>
      <family val="1"/>
    </font>
    <font>
      <sz val="10"/>
      <color theme="1"/>
      <name val="Times New Roman"/>
      <family val="1"/>
    </font>
    <font>
      <sz val="11"/>
      <color theme="1"/>
      <name val="Times New Roman"/>
      <family val="1"/>
    </font>
    <font>
      <b/>
      <sz val="10"/>
      <name val="Times New Roman"/>
      <family val="1"/>
    </font>
    <font>
      <sz val="8"/>
      <name val="Tms Rmn"/>
    </font>
    <font>
      <i/>
      <sz val="10"/>
      <color rgb="FF0000FF"/>
      <name val="Arial"/>
      <family val="2"/>
    </font>
    <font>
      <sz val="11"/>
      <color rgb="FF0000FF"/>
      <name val="Calibri"/>
      <family val="2"/>
      <scheme val="minor"/>
    </font>
    <font>
      <sz val="11"/>
      <color rgb="FF002060"/>
      <name val="Calibri"/>
      <family val="2"/>
      <scheme val="minor"/>
    </font>
    <font>
      <b/>
      <sz val="11"/>
      <color rgb="FF0000FF"/>
      <name val="Arial"/>
      <family val="2"/>
    </font>
    <font>
      <sz val="10"/>
      <color rgb="FF0000FF"/>
      <name val="Times New Roman"/>
      <family val="1"/>
    </font>
    <font>
      <sz val="8"/>
      <name val="Calibri"/>
      <family val="2"/>
      <scheme val="minor"/>
    </font>
    <font>
      <sz val="8"/>
      <name val="Arial"/>
      <family val="2"/>
    </font>
    <font>
      <sz val="8"/>
      <color rgb="FF008000"/>
      <name val="Arial"/>
      <family val="2"/>
    </font>
    <font>
      <b/>
      <sz val="8"/>
      <name val="Arial"/>
      <family val="2"/>
    </font>
    <font>
      <b/>
      <sz val="8"/>
      <color rgb="FF008000"/>
      <name val="Arial"/>
      <family val="2"/>
    </font>
    <font>
      <b/>
      <sz val="11"/>
      <color rgb="FFFF0000"/>
      <name val="Arial"/>
      <family val="2"/>
    </font>
    <font>
      <b/>
      <sz val="11"/>
      <color theme="0"/>
      <name val="Arial"/>
      <family val="2"/>
    </font>
    <font>
      <i/>
      <sz val="8"/>
      <color rgb="FFFF0000"/>
      <name val="Arial"/>
      <family val="2"/>
    </font>
    <font>
      <b/>
      <u/>
      <sz val="11"/>
      <color theme="1"/>
      <name val="Arial"/>
      <family val="2"/>
    </font>
    <font>
      <sz val="12"/>
      <color theme="1"/>
      <name val="Arial"/>
      <family val="2"/>
    </font>
    <font>
      <b/>
      <sz val="12"/>
      <color theme="1"/>
      <name val="Arial"/>
      <family val="2"/>
    </font>
    <font>
      <u/>
      <sz val="11"/>
      <color theme="1"/>
      <name val="Arial"/>
      <family val="2"/>
    </font>
    <font>
      <b/>
      <sz val="11"/>
      <name val="Arial"/>
      <family val="2"/>
    </font>
  </fonts>
  <fills count="14">
    <fill>
      <patternFill patternType="none"/>
    </fill>
    <fill>
      <patternFill patternType="gray125"/>
    </fill>
    <fill>
      <patternFill patternType="solid">
        <fgColor rgb="FF002060"/>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E6EBF6"/>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1E9F3"/>
        <bgColor indexed="64"/>
      </patternFill>
    </fill>
    <fill>
      <patternFill patternType="solid">
        <fgColor rgb="FFE1E9F3"/>
        <bgColor rgb="FFFFFFFF"/>
      </patternFill>
    </fill>
  </fills>
  <borders count="48">
    <border>
      <left/>
      <right/>
      <top/>
      <bottom/>
      <diagonal/>
    </border>
    <border>
      <left/>
      <right/>
      <top style="medium">
        <color auto="1"/>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auto="1"/>
      </top>
      <bottom style="medium">
        <color auto="1"/>
      </bottom>
      <diagonal/>
    </border>
    <border>
      <left/>
      <right/>
      <top style="medium">
        <color auto="1"/>
      </top>
      <bottom style="thin">
        <color theme="0" tint="-0.14996795556505021"/>
      </bottom>
      <diagonal/>
    </border>
    <border>
      <left/>
      <right/>
      <top style="thin">
        <color theme="0" tint="-0.14996795556505021"/>
      </top>
      <bottom style="thin">
        <color theme="0" tint="-0.14996795556505021"/>
      </bottom>
      <diagonal/>
    </border>
    <border>
      <left/>
      <right/>
      <top/>
      <bottom style="thin">
        <color theme="0" tint="-0.14996795556505021"/>
      </bottom>
      <diagonal/>
    </border>
    <border>
      <left/>
      <right/>
      <top/>
      <bottom style="thin">
        <color theme="0"/>
      </bottom>
      <diagonal/>
    </border>
    <border>
      <left style="thin">
        <color indexed="64"/>
      </left>
      <right style="thin">
        <color indexed="64"/>
      </right>
      <top style="thin">
        <color indexed="64"/>
      </top>
      <bottom style="thin">
        <color indexed="64"/>
      </bottom>
      <diagonal/>
    </border>
    <border>
      <left/>
      <right/>
      <top/>
      <bottom style="hair">
        <color auto="1"/>
      </bottom>
      <diagonal/>
    </border>
    <border>
      <left/>
      <right/>
      <top style="hair">
        <color auto="1"/>
      </top>
      <bottom/>
      <diagonal/>
    </border>
    <border>
      <left/>
      <right/>
      <top/>
      <bottom style="thin">
        <color indexed="8"/>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medium">
        <color indexed="64"/>
      </bottom>
      <diagonal/>
    </border>
    <border>
      <left/>
      <right/>
      <top/>
      <bottom style="dotted">
        <color auto="1"/>
      </bottom>
      <diagonal/>
    </border>
    <border>
      <left/>
      <right style="thin">
        <color indexed="64"/>
      </right>
      <top/>
      <bottom style="dotted">
        <color auto="1"/>
      </bottom>
      <diagonal/>
    </border>
    <border>
      <left/>
      <right/>
      <top style="dotted">
        <color auto="1"/>
      </top>
      <bottom style="thin">
        <color indexed="64"/>
      </bottom>
      <diagonal/>
    </border>
  </borders>
  <cellStyleXfs count="19">
    <xf numFmtId="0" fontId="0" fillId="0" borderId="0"/>
    <xf numFmtId="166" fontId="1"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2" fillId="0" borderId="0"/>
    <xf numFmtId="0" fontId="13" fillId="0" borderId="0"/>
    <xf numFmtId="0" fontId="14" fillId="0" borderId="0" applyFill="0" applyBorder="0" applyProtection="0">
      <alignment horizontal="center" vertical="center"/>
    </xf>
    <xf numFmtId="0" fontId="1" fillId="0" borderId="0"/>
    <xf numFmtId="9" fontId="13" fillId="0" borderId="0" applyFont="0" applyFill="0" applyBorder="0" applyAlignment="0" applyProtection="0"/>
    <xf numFmtId="0" fontId="1" fillId="0" borderId="0"/>
    <xf numFmtId="165" fontId="12" fillId="0" borderId="0" applyFont="0" applyFill="0" applyBorder="0" applyAlignment="0" applyProtection="0"/>
    <xf numFmtId="0" fontId="12" fillId="0" borderId="0"/>
    <xf numFmtId="178" fontId="15" fillId="0" borderId="0" applyFont="0" applyFill="0" applyBorder="0" applyProtection="0">
      <alignment horizontal="right"/>
    </xf>
    <xf numFmtId="0" fontId="16" fillId="0" borderId="0"/>
    <xf numFmtId="190" fontId="41" fillId="0" borderId="0"/>
  </cellStyleXfs>
  <cellXfs count="670">
    <xf numFmtId="0" fontId="0" fillId="0" borderId="0" xfId="0"/>
    <xf numFmtId="0" fontId="3" fillId="0" borderId="0" xfId="0" applyFont="1"/>
    <xf numFmtId="0" fontId="4" fillId="2" borderId="0" xfId="0" applyFont="1" applyFill="1"/>
    <xf numFmtId="0" fontId="5" fillId="3" borderId="0" xfId="0" applyFont="1" applyFill="1" applyAlignment="1">
      <alignment horizontal="center"/>
    </xf>
    <xf numFmtId="0" fontId="3" fillId="0" borderId="0" xfId="0" applyFont="1" applyAlignment="1">
      <alignment horizontal="center"/>
    </xf>
    <xf numFmtId="171" fontId="3" fillId="0" borderId="0" xfId="2" applyNumberFormat="1" applyFont="1"/>
    <xf numFmtId="170" fontId="3" fillId="0" borderId="0" xfId="0" applyNumberFormat="1" applyFont="1" applyAlignment="1">
      <alignment horizontal="center"/>
    </xf>
    <xf numFmtId="0" fontId="3" fillId="0" borderId="0" xfId="0" applyFont="1" applyAlignment="1">
      <alignment horizontal="centerContinuous"/>
    </xf>
    <xf numFmtId="10" fontId="3" fillId="0" borderId="0" xfId="2" applyNumberFormat="1" applyFont="1" applyAlignment="1">
      <alignment horizontal="center"/>
    </xf>
    <xf numFmtId="166" fontId="3" fillId="0" borderId="0" xfId="0" applyNumberFormat="1" applyFont="1"/>
    <xf numFmtId="0" fontId="4" fillId="2" borderId="0" xfId="0" applyFont="1" applyFill="1" applyAlignment="1">
      <alignment horizontal="center"/>
    </xf>
    <xf numFmtId="168" fontId="3" fillId="0" borderId="0" xfId="1" applyNumberFormat="1" applyFont="1"/>
    <xf numFmtId="168" fontId="3" fillId="0" borderId="0" xfId="0" applyNumberFormat="1" applyFont="1"/>
    <xf numFmtId="0" fontId="7" fillId="0" borderId="0" xfId="0" applyFont="1"/>
    <xf numFmtId="171" fontId="7" fillId="0" borderId="0" xfId="2" applyNumberFormat="1" applyFont="1" applyAlignment="1">
      <alignment horizontal="center"/>
    </xf>
    <xf numFmtId="0" fontId="8" fillId="0" borderId="0" xfId="0" applyFont="1"/>
    <xf numFmtId="0" fontId="4" fillId="2" borderId="0" xfId="0" applyFont="1" applyFill="1" applyAlignment="1">
      <alignment horizontal="left"/>
    </xf>
    <xf numFmtId="0" fontId="4" fillId="2" borderId="9" xfId="0" applyFont="1" applyFill="1" applyBorder="1"/>
    <xf numFmtId="0" fontId="4" fillId="2" borderId="10" xfId="0" applyFont="1" applyFill="1" applyBorder="1"/>
    <xf numFmtId="0" fontId="4" fillId="2" borderId="11" xfId="0" applyFont="1" applyFill="1" applyBorder="1"/>
    <xf numFmtId="0" fontId="4" fillId="2" borderId="3" xfId="0" applyFont="1" applyFill="1" applyBorder="1" applyAlignment="1">
      <alignment horizontal="left"/>
    </xf>
    <xf numFmtId="168" fontId="4" fillId="2" borderId="2" xfId="1" applyNumberFormat="1" applyFont="1" applyFill="1" applyBorder="1" applyAlignment="1">
      <alignment horizontal="center"/>
    </xf>
    <xf numFmtId="168" fontId="4" fillId="2" borderId="4" xfId="1" applyNumberFormat="1" applyFont="1" applyFill="1" applyBorder="1" applyAlignment="1">
      <alignment horizontal="center"/>
    </xf>
    <xf numFmtId="0" fontId="3" fillId="0" borderId="5" xfId="0" applyFont="1" applyBorder="1"/>
    <xf numFmtId="168" fontId="3" fillId="0" borderId="6" xfId="0" applyNumberFormat="1" applyFont="1" applyBorder="1"/>
    <xf numFmtId="0" fontId="3" fillId="0" borderId="7" xfId="0" applyFont="1" applyBorder="1"/>
    <xf numFmtId="170" fontId="5" fillId="3" borderId="0" xfId="0" applyNumberFormat="1" applyFont="1" applyFill="1" applyAlignment="1">
      <alignment horizontal="center"/>
    </xf>
    <xf numFmtId="0" fontId="4" fillId="2" borderId="13" xfId="0" applyFont="1" applyFill="1" applyBorder="1" applyAlignment="1">
      <alignment horizontal="left"/>
    </xf>
    <xf numFmtId="168" fontId="4" fillId="2" borderId="14" xfId="1" applyNumberFormat="1" applyFont="1" applyFill="1" applyBorder="1" applyAlignment="1">
      <alignment horizontal="center"/>
    </xf>
    <xf numFmtId="0" fontId="7" fillId="0" borderId="15" xfId="0" applyFont="1" applyBorder="1"/>
    <xf numFmtId="0" fontId="7" fillId="0" borderId="15" xfId="0" applyFont="1" applyBorder="1" applyAlignment="1">
      <alignment horizontal="center"/>
    </xf>
    <xf numFmtId="169" fontId="7" fillId="0" borderId="15" xfId="0" applyNumberFormat="1" applyFont="1" applyBorder="1" applyAlignment="1">
      <alignment horizontal="center"/>
    </xf>
    <xf numFmtId="168" fontId="3" fillId="0" borderId="16" xfId="0" applyNumberFormat="1" applyFont="1" applyBorder="1"/>
    <xf numFmtId="0" fontId="3" fillId="0" borderId="17" xfId="0" applyFont="1" applyBorder="1"/>
    <xf numFmtId="168" fontId="3" fillId="0" borderId="17" xfId="0" applyNumberFormat="1" applyFont="1" applyBorder="1"/>
    <xf numFmtId="174" fontId="3" fillId="0" borderId="17" xfId="2" applyNumberFormat="1" applyFont="1" applyBorder="1" applyAlignment="1">
      <alignment horizontal="center"/>
    </xf>
    <xf numFmtId="168" fontId="3" fillId="0" borderId="0" xfId="0" applyNumberFormat="1" applyFont="1" applyAlignment="1">
      <alignment horizontal="center"/>
    </xf>
    <xf numFmtId="169" fontId="7" fillId="0" borderId="0" xfId="0" applyNumberFormat="1" applyFont="1" applyAlignment="1">
      <alignment horizontal="center"/>
    </xf>
    <xf numFmtId="168" fontId="7" fillId="0" borderId="0" xfId="1" applyNumberFormat="1" applyFont="1" applyAlignment="1">
      <alignment horizontal="center"/>
    </xf>
    <xf numFmtId="0" fontId="7" fillId="0" borderId="2" xfId="0" applyFont="1" applyBorder="1"/>
    <xf numFmtId="168" fontId="7" fillId="0" borderId="2" xfId="0" applyNumberFormat="1" applyFont="1" applyBorder="1" applyAlignment="1">
      <alignment horizontal="center"/>
    </xf>
    <xf numFmtId="168" fontId="7" fillId="0" borderId="0" xfId="0" applyNumberFormat="1" applyFont="1" applyAlignment="1">
      <alignment horizontal="center"/>
    </xf>
    <xf numFmtId="175" fontId="3" fillId="0" borderId="0" xfId="0" applyNumberFormat="1" applyFont="1" applyAlignment="1">
      <alignment horizontal="center"/>
    </xf>
    <xf numFmtId="0" fontId="4" fillId="2" borderId="0" xfId="0" applyFont="1" applyFill="1" applyAlignment="1">
      <alignment horizontal="centerContinuous"/>
    </xf>
    <xf numFmtId="169" fontId="3" fillId="0" borderId="18" xfId="0" applyNumberFormat="1" applyFont="1" applyBorder="1" applyAlignment="1">
      <alignment horizontal="center"/>
    </xf>
    <xf numFmtId="0" fontId="5" fillId="0" borderId="18" xfId="0" applyFont="1" applyBorder="1"/>
    <xf numFmtId="0" fontId="5" fillId="0" borderId="18" xfId="0" applyFont="1" applyBorder="1" applyAlignment="1">
      <alignment horizontal="center"/>
    </xf>
    <xf numFmtId="170" fontId="5" fillId="0" borderId="18" xfId="0" applyNumberFormat="1" applyFont="1" applyBorder="1" applyAlignment="1">
      <alignment horizontal="center"/>
    </xf>
    <xf numFmtId="168" fontId="5" fillId="0" borderId="18" xfId="1" applyNumberFormat="1" applyFont="1" applyBorder="1"/>
    <xf numFmtId="171" fontId="5" fillId="0" borderId="18" xfId="2" applyNumberFormat="1" applyFont="1" applyBorder="1" applyAlignment="1">
      <alignment horizontal="center"/>
    </xf>
    <xf numFmtId="0" fontId="5" fillId="0" borderId="16" xfId="0" applyFont="1" applyBorder="1"/>
    <xf numFmtId="0" fontId="5" fillId="0" borderId="17" xfId="0" applyFont="1" applyBorder="1"/>
    <xf numFmtId="170" fontId="5" fillId="0" borderId="16" xfId="0" applyNumberFormat="1" applyFont="1" applyBorder="1" applyAlignment="1">
      <alignment horizontal="center"/>
    </xf>
    <xf numFmtId="0" fontId="5" fillId="0" borderId="17" xfId="0" applyFont="1" applyBorder="1" applyAlignment="1">
      <alignment horizontal="center"/>
    </xf>
    <xf numFmtId="170" fontId="5" fillId="0" borderId="17" xfId="0" applyNumberFormat="1" applyFont="1" applyBorder="1" applyAlignment="1">
      <alignment horizontal="center"/>
    </xf>
    <xf numFmtId="171" fontId="5" fillId="0" borderId="17" xfId="2" applyNumberFormat="1" applyFont="1" applyBorder="1" applyAlignment="1">
      <alignment horizontal="center"/>
    </xf>
    <xf numFmtId="0" fontId="3" fillId="3" borderId="0" xfId="0" applyFont="1" applyFill="1" applyAlignment="1">
      <alignment horizontal="centerContinuous"/>
    </xf>
    <xf numFmtId="170" fontId="9" fillId="0" borderId="17" xfId="0" applyNumberFormat="1" applyFont="1" applyBorder="1" applyAlignment="1">
      <alignment horizontal="center"/>
    </xf>
    <xf numFmtId="0" fontId="8" fillId="0" borderId="17" xfId="0" applyFont="1" applyBorder="1"/>
    <xf numFmtId="171" fontId="8" fillId="0" borderId="0" xfId="2" applyNumberFormat="1" applyFont="1" applyAlignment="1">
      <alignment horizontal="center"/>
    </xf>
    <xf numFmtId="169" fontId="5" fillId="3" borderId="0" xfId="0" applyNumberFormat="1" applyFont="1" applyFill="1" applyAlignment="1">
      <alignment horizontal="center"/>
    </xf>
    <xf numFmtId="0" fontId="4" fillId="0" borderId="0" xfId="0" applyFont="1"/>
    <xf numFmtId="175" fontId="5" fillId="0" borderId="18" xfId="0" applyNumberFormat="1" applyFont="1" applyBorder="1" applyAlignment="1">
      <alignment horizontal="center"/>
    </xf>
    <xf numFmtId="171" fontId="3" fillId="0" borderId="18" xfId="2" applyNumberFormat="1" applyFont="1" applyBorder="1" applyAlignment="1">
      <alignment horizontal="center"/>
    </xf>
    <xf numFmtId="175" fontId="7" fillId="0" borderId="15" xfId="0" applyNumberFormat="1" applyFont="1" applyBorder="1" applyAlignment="1">
      <alignment horizontal="center"/>
    </xf>
    <xf numFmtId="170" fontId="7" fillId="0" borderId="15" xfId="0" applyNumberFormat="1" applyFont="1" applyBorder="1" applyAlignment="1">
      <alignment horizontal="center"/>
    </xf>
    <xf numFmtId="168" fontId="7" fillId="0" borderId="15" xfId="1" applyNumberFormat="1" applyFont="1" applyBorder="1"/>
    <xf numFmtId="171" fontId="7" fillId="0" borderId="15" xfId="0" applyNumberFormat="1" applyFont="1" applyBorder="1"/>
    <xf numFmtId="171" fontId="7" fillId="0" borderId="15" xfId="2" applyNumberFormat="1" applyFont="1" applyBorder="1" applyAlignment="1">
      <alignment horizontal="center"/>
    </xf>
    <xf numFmtId="0" fontId="4" fillId="2" borderId="19" xfId="0" applyFont="1" applyFill="1" applyBorder="1" applyAlignment="1">
      <alignment horizontal="centerContinuous"/>
    </xf>
    <xf numFmtId="0" fontId="4" fillId="2" borderId="19" xfId="0" applyFont="1" applyFill="1" applyBorder="1"/>
    <xf numFmtId="0" fontId="4" fillId="2" borderId="19" xfId="0" applyFont="1" applyFill="1" applyBorder="1" applyAlignment="1">
      <alignment horizontal="center"/>
    </xf>
    <xf numFmtId="0" fontId="6" fillId="0" borderId="0" xfId="0" applyFont="1"/>
    <xf numFmtId="170" fontId="3" fillId="4" borderId="0" xfId="0" applyNumberFormat="1" applyFont="1" applyFill="1" applyAlignment="1">
      <alignment horizontal="center"/>
    </xf>
    <xf numFmtId="175" fontId="3" fillId="4" borderId="0" xfId="1" applyNumberFormat="1" applyFont="1" applyFill="1" applyAlignment="1">
      <alignment horizontal="center"/>
    </xf>
    <xf numFmtId="173" fontId="7" fillId="4" borderId="0" xfId="1" applyNumberFormat="1" applyFont="1" applyFill="1" applyAlignment="1">
      <alignment horizontal="center"/>
    </xf>
    <xf numFmtId="171" fontId="8" fillId="4" borderId="0" xfId="2" applyNumberFormat="1" applyFont="1" applyFill="1" applyAlignment="1">
      <alignment horizontal="center"/>
    </xf>
    <xf numFmtId="0" fontId="3" fillId="4" borderId="0" xfId="0" applyFont="1" applyFill="1" applyAlignment="1">
      <alignment horizontal="center"/>
    </xf>
    <xf numFmtId="173" fontId="3" fillId="4" borderId="0" xfId="1" applyNumberFormat="1" applyFont="1" applyFill="1" applyAlignment="1">
      <alignment horizontal="center"/>
    </xf>
    <xf numFmtId="169" fontId="7" fillId="4" borderId="0" xfId="0" applyNumberFormat="1" applyFont="1" applyFill="1" applyAlignment="1">
      <alignment horizontal="center"/>
    </xf>
    <xf numFmtId="168" fontId="7" fillId="4" borderId="2" xfId="0" applyNumberFormat="1" applyFont="1" applyFill="1" applyBorder="1" applyAlignment="1">
      <alignment horizontal="center"/>
    </xf>
    <xf numFmtId="169" fontId="3" fillId="4" borderId="0" xfId="0" applyNumberFormat="1" applyFont="1" applyFill="1" applyAlignment="1">
      <alignment horizontal="center"/>
    </xf>
    <xf numFmtId="171" fontId="7" fillId="4" borderId="0" xfId="2" applyNumberFormat="1" applyFont="1" applyFill="1" applyAlignment="1">
      <alignment horizontal="center"/>
    </xf>
    <xf numFmtId="168" fontId="5" fillId="0" borderId="0" xfId="1" applyNumberFormat="1" applyFont="1" applyBorder="1"/>
    <xf numFmtId="172" fontId="3" fillId="0" borderId="0" xfId="0" applyNumberFormat="1" applyFont="1"/>
    <xf numFmtId="0" fontId="4" fillId="0" borderId="0" xfId="0" applyFont="1" applyAlignment="1">
      <alignment horizontal="center"/>
    </xf>
    <xf numFmtId="0" fontId="9" fillId="0" borderId="18" xfId="0" applyFont="1" applyBorder="1" applyAlignment="1">
      <alignment horizontal="center"/>
    </xf>
    <xf numFmtId="0" fontId="5" fillId="0" borderId="0" xfId="0" applyFont="1" applyAlignment="1">
      <alignment horizontal="center"/>
    </xf>
    <xf numFmtId="0" fontId="11" fillId="5" borderId="0" xfId="0" applyFont="1" applyFill="1" applyAlignment="1">
      <alignment horizontal="center"/>
    </xf>
    <xf numFmtId="175" fontId="8" fillId="0" borderId="0" xfId="0" applyNumberFormat="1" applyFont="1" applyAlignment="1">
      <alignment horizontal="center"/>
    </xf>
    <xf numFmtId="176" fontId="7" fillId="0" borderId="15" xfId="0" applyNumberFormat="1" applyFont="1" applyBorder="1" applyAlignment="1">
      <alignment horizontal="center"/>
    </xf>
    <xf numFmtId="175" fontId="9" fillId="0" borderId="18" xfId="0" applyNumberFormat="1" applyFont="1" applyBorder="1" applyAlignment="1">
      <alignment horizontal="center"/>
    </xf>
    <xf numFmtId="171" fontId="7" fillId="0" borderId="0" xfId="2" applyNumberFormat="1" applyFont="1" applyFill="1" applyBorder="1" applyAlignment="1">
      <alignment horizontal="center"/>
    </xf>
    <xf numFmtId="0" fontId="4" fillId="0" borderId="0" xfId="0" applyFont="1" applyAlignment="1">
      <alignment horizontal="centerContinuous"/>
    </xf>
    <xf numFmtId="170" fontId="4" fillId="0" borderId="0" xfId="0" applyNumberFormat="1" applyFont="1"/>
    <xf numFmtId="171" fontId="3" fillId="0" borderId="0" xfId="2" applyNumberFormat="1" applyFont="1" applyFill="1" applyBorder="1" applyAlignment="1">
      <alignment horizontal="center"/>
    </xf>
    <xf numFmtId="170" fontId="4" fillId="2" borderId="0" xfId="0" applyNumberFormat="1" applyFont="1" applyFill="1" applyAlignment="1">
      <alignment horizontal="center"/>
    </xf>
    <xf numFmtId="168" fontId="9" fillId="0" borderId="18" xfId="1" applyNumberFormat="1" applyFont="1" applyBorder="1"/>
    <xf numFmtId="169" fontId="3" fillId="0" borderId="18" xfId="2" applyNumberFormat="1" applyFont="1" applyFill="1" applyBorder="1" applyAlignment="1">
      <alignment horizontal="center"/>
    </xf>
    <xf numFmtId="169" fontId="7" fillId="0" borderId="15" xfId="2" applyNumberFormat="1" applyFont="1" applyFill="1" applyBorder="1" applyAlignment="1">
      <alignment horizontal="center"/>
    </xf>
    <xf numFmtId="177" fontId="7" fillId="0" borderId="15" xfId="2" applyNumberFormat="1" applyFont="1" applyFill="1" applyBorder="1" applyAlignment="1">
      <alignment horizontal="center"/>
    </xf>
    <xf numFmtId="177" fontId="3" fillId="0" borderId="18" xfId="2" applyNumberFormat="1" applyFont="1" applyFill="1" applyBorder="1" applyAlignment="1">
      <alignment horizontal="center"/>
    </xf>
    <xf numFmtId="168" fontId="9" fillId="0" borderId="0" xfId="1" applyNumberFormat="1" applyFont="1" applyAlignment="1">
      <alignment horizontal="center"/>
    </xf>
    <xf numFmtId="0" fontId="9" fillId="0" borderId="7" xfId="0" applyFont="1" applyBorder="1"/>
    <xf numFmtId="171" fontId="5" fillId="0" borderId="17" xfId="2" applyNumberFormat="1" applyFont="1" applyFill="1" applyBorder="1" applyAlignment="1">
      <alignment horizontal="center"/>
    </xf>
    <xf numFmtId="0" fontId="7" fillId="0" borderId="15" xfId="0" applyFont="1" applyBorder="1"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vertical="center"/>
    </xf>
    <xf numFmtId="168" fontId="5" fillId="0" borderId="17" xfId="1" applyNumberFormat="1" applyFont="1" applyBorder="1" applyAlignment="1">
      <alignment horizontal="center"/>
    </xf>
    <xf numFmtId="168" fontId="7" fillId="0" borderId="0" xfId="1" applyNumberFormat="1" applyFont="1" applyFill="1" applyAlignment="1">
      <alignment horizontal="center"/>
    </xf>
    <xf numFmtId="171" fontId="8" fillId="0" borderId="0" xfId="2" applyNumberFormat="1" applyFont="1" applyFill="1" applyAlignment="1">
      <alignment horizontal="center"/>
    </xf>
    <xf numFmtId="168" fontId="9" fillId="0" borderId="0" xfId="1" applyNumberFormat="1" applyFont="1" applyFill="1" applyAlignment="1">
      <alignment horizontal="center"/>
    </xf>
    <xf numFmtId="169" fontId="5" fillId="0" borderId="0" xfId="0" applyNumberFormat="1" applyFont="1" applyAlignment="1">
      <alignment horizontal="center"/>
    </xf>
    <xf numFmtId="171" fontId="7" fillId="0" borderId="0" xfId="2" applyNumberFormat="1" applyFont="1" applyFill="1" applyAlignment="1">
      <alignment horizontal="center"/>
    </xf>
    <xf numFmtId="168" fontId="5" fillId="0" borderId="17" xfId="1" applyNumberFormat="1" applyFont="1" applyFill="1" applyBorder="1" applyAlignment="1">
      <alignment horizontal="center"/>
    </xf>
    <xf numFmtId="0" fontId="5" fillId="0" borderId="17" xfId="0" applyFont="1" applyBorder="1" applyAlignment="1">
      <alignment horizontal="center" vertical="center"/>
    </xf>
    <xf numFmtId="171" fontId="3" fillId="0" borderId="16" xfId="2" applyNumberFormat="1" applyFont="1" applyFill="1" applyBorder="1" applyAlignment="1">
      <alignment horizontal="center"/>
    </xf>
    <xf numFmtId="175" fontId="5" fillId="0" borderId="17" xfId="0" applyNumberFormat="1" applyFont="1" applyBorder="1" applyAlignment="1">
      <alignment horizontal="center"/>
    </xf>
    <xf numFmtId="171" fontId="3" fillId="0" borderId="17" xfId="2" applyNumberFormat="1" applyFont="1" applyFill="1" applyBorder="1" applyAlignment="1">
      <alignment horizontal="center"/>
    </xf>
    <xf numFmtId="174" fontId="5" fillId="0" borderId="16" xfId="2" applyNumberFormat="1" applyFont="1" applyBorder="1" applyAlignment="1">
      <alignment horizontal="center"/>
    </xf>
    <xf numFmtId="174" fontId="5" fillId="0" borderId="17" xfId="2" applyNumberFormat="1" applyFont="1" applyBorder="1" applyAlignment="1">
      <alignment horizontal="center"/>
    </xf>
    <xf numFmtId="174" fontId="9" fillId="0" borderId="16" xfId="2" applyNumberFormat="1" applyFont="1" applyBorder="1" applyAlignment="1">
      <alignment horizontal="center"/>
    </xf>
    <xf numFmtId="174" fontId="9" fillId="0" borderId="17" xfId="2" applyNumberFormat="1" applyFont="1" applyBorder="1" applyAlignment="1">
      <alignment horizontal="center"/>
    </xf>
    <xf numFmtId="169" fontId="3" fillId="0" borderId="6" xfId="0" applyNumberFormat="1" applyFont="1" applyBorder="1"/>
    <xf numFmtId="9" fontId="5" fillId="0" borderId="17" xfId="2" applyFont="1" applyFill="1" applyBorder="1" applyAlignment="1">
      <alignment horizontal="center"/>
    </xf>
    <xf numFmtId="175" fontId="10" fillId="3" borderId="0" xfId="0" applyNumberFormat="1" applyFont="1" applyFill="1" applyAlignment="1">
      <alignment horizontal="center"/>
    </xf>
    <xf numFmtId="0" fontId="8" fillId="0" borderId="0" xfId="0" applyFont="1" applyAlignment="1">
      <alignment horizontal="left"/>
    </xf>
    <xf numFmtId="0" fontId="8" fillId="0" borderId="0" xfId="0" applyFont="1" applyAlignment="1">
      <alignment horizontal="center"/>
    </xf>
    <xf numFmtId="171" fontId="7" fillId="6" borderId="0" xfId="2" applyNumberFormat="1" applyFont="1" applyFill="1" applyAlignment="1">
      <alignment horizontal="center"/>
    </xf>
    <xf numFmtId="0" fontId="10" fillId="0" borderId="18" xfId="0" applyFont="1" applyBorder="1"/>
    <xf numFmtId="170" fontId="5" fillId="0" borderId="18" xfId="0" applyNumberFormat="1" applyFont="1" applyBorder="1" applyAlignment="1">
      <alignment horizontal="left"/>
    </xf>
    <xf numFmtId="9" fontId="5" fillId="0" borderId="18" xfId="2" applyFont="1" applyFill="1" applyBorder="1" applyAlignment="1">
      <alignment horizontal="center"/>
    </xf>
    <xf numFmtId="168" fontId="9" fillId="0" borderId="18" xfId="1" applyNumberFormat="1" applyFont="1" applyFill="1" applyBorder="1"/>
    <xf numFmtId="168" fontId="5" fillId="0" borderId="18" xfId="1" applyNumberFormat="1" applyFont="1" applyFill="1" applyBorder="1" applyAlignment="1">
      <alignment horizontal="left"/>
    </xf>
    <xf numFmtId="168" fontId="5" fillId="0" borderId="18" xfId="1" applyNumberFormat="1" applyFont="1" applyFill="1" applyBorder="1"/>
    <xf numFmtId="170" fontId="3" fillId="0" borderId="17" xfId="0" applyNumberFormat="1" applyFont="1" applyBorder="1" applyAlignment="1">
      <alignment horizontal="left"/>
    </xf>
    <xf numFmtId="168" fontId="9" fillId="0" borderId="17" xfId="1" applyNumberFormat="1" applyFont="1" applyFill="1" applyBorder="1"/>
    <xf numFmtId="168" fontId="5" fillId="0" borderId="17" xfId="1" applyNumberFormat="1" applyFont="1" applyFill="1" applyBorder="1" applyAlignment="1">
      <alignment horizontal="left"/>
    </xf>
    <xf numFmtId="168" fontId="5" fillId="0" borderId="17" xfId="1" applyNumberFormat="1" applyFont="1" applyFill="1" applyBorder="1"/>
    <xf numFmtId="168" fontId="7" fillId="0" borderId="0" xfId="0" applyNumberFormat="1" applyFont="1"/>
    <xf numFmtId="171" fontId="3" fillId="0" borderId="18" xfId="2" applyNumberFormat="1" applyFont="1" applyFill="1" applyBorder="1" applyAlignment="1">
      <alignment horizontal="center"/>
    </xf>
    <xf numFmtId="0" fontId="19" fillId="2" borderId="0" xfId="0" applyFont="1" applyFill="1"/>
    <xf numFmtId="0" fontId="19" fillId="2" borderId="0" xfId="0" applyFont="1" applyFill="1" applyAlignment="1">
      <alignment horizontal="center"/>
    </xf>
    <xf numFmtId="166" fontId="11" fillId="0" borderId="18" xfId="1" applyFont="1" applyFill="1" applyBorder="1" applyAlignment="1">
      <alignment horizontal="center"/>
    </xf>
    <xf numFmtId="0" fontId="0" fillId="0" borderId="0" xfId="0" applyAlignment="1">
      <alignment horizontal="left"/>
    </xf>
    <xf numFmtId="0" fontId="0" fillId="0" borderId="0" xfId="0" applyAlignment="1">
      <alignment horizontal="center"/>
    </xf>
    <xf numFmtId="0" fontId="18" fillId="2" borderId="0" xfId="0" applyFont="1" applyFill="1"/>
    <xf numFmtId="0" fontId="18" fillId="2" borderId="0" xfId="0" applyFont="1" applyFill="1" applyAlignment="1">
      <alignment horizontal="center"/>
    </xf>
    <xf numFmtId="170" fontId="18" fillId="2" borderId="0" xfId="0" applyNumberFormat="1" applyFont="1" applyFill="1" applyAlignment="1">
      <alignment horizontal="right"/>
    </xf>
    <xf numFmtId="0" fontId="20" fillId="0" borderId="0" xfId="0" applyFont="1"/>
    <xf numFmtId="168" fontId="0" fillId="0" borderId="0" xfId="1" applyNumberFormat="1" applyFont="1" applyAlignment="1">
      <alignment horizontal="center"/>
    </xf>
    <xf numFmtId="168" fontId="0" fillId="0" borderId="0" xfId="1" applyNumberFormat="1" applyFont="1"/>
    <xf numFmtId="0" fontId="18" fillId="0" borderId="0" xfId="0" applyFont="1" applyAlignment="1">
      <alignment horizontal="center"/>
    </xf>
    <xf numFmtId="168" fontId="0" fillId="0" borderId="0" xfId="1" applyNumberFormat="1" applyFont="1" applyFill="1" applyAlignment="1">
      <alignment horizontal="center"/>
    </xf>
    <xf numFmtId="168" fontId="17" fillId="0" borderId="0" xfId="1" applyNumberFormat="1" applyFont="1" applyFill="1"/>
    <xf numFmtId="175" fontId="0" fillId="0" borderId="0" xfId="0" applyNumberFormat="1" applyAlignment="1">
      <alignment horizontal="center"/>
    </xf>
    <xf numFmtId="0" fontId="17" fillId="0" borderId="1" xfId="0" applyFont="1" applyBorder="1" applyAlignment="1">
      <alignment horizontal="left"/>
    </xf>
    <xf numFmtId="0" fontId="17" fillId="0" borderId="1" xfId="0" applyFont="1" applyBorder="1" applyAlignment="1">
      <alignment horizontal="center"/>
    </xf>
    <xf numFmtId="168" fontId="17" fillId="0" borderId="1" xfId="1" applyNumberFormat="1" applyFont="1" applyFill="1" applyBorder="1" applyAlignment="1">
      <alignment horizontal="center"/>
    </xf>
    <xf numFmtId="0" fontId="17" fillId="0" borderId="0" xfId="0" applyFont="1"/>
    <xf numFmtId="168" fontId="1" fillId="4" borderId="0" xfId="1" applyNumberFormat="1" applyFont="1" applyFill="1"/>
    <xf numFmtId="0" fontId="17" fillId="0" borderId="0" xfId="0" applyFont="1" applyAlignment="1">
      <alignment horizontal="left"/>
    </xf>
    <xf numFmtId="0" fontId="17" fillId="0" borderId="0" xfId="0" applyFont="1" applyAlignment="1">
      <alignment horizontal="center"/>
    </xf>
    <xf numFmtId="171" fontId="17" fillId="0" borderId="0" xfId="2" applyNumberFormat="1" applyFont="1" applyFill="1" applyAlignment="1">
      <alignment horizontal="center"/>
    </xf>
    <xf numFmtId="171" fontId="7" fillId="0" borderId="15" xfId="2" applyNumberFormat="1" applyFont="1" applyFill="1" applyBorder="1" applyAlignment="1">
      <alignment horizontal="center"/>
    </xf>
    <xf numFmtId="9" fontId="6" fillId="0" borderId="17" xfId="2" applyFont="1" applyFill="1" applyBorder="1" applyAlignment="1">
      <alignment horizontal="center"/>
    </xf>
    <xf numFmtId="169" fontId="9" fillId="0" borderId="16" xfId="1" applyNumberFormat="1" applyFont="1" applyFill="1" applyBorder="1" applyAlignment="1">
      <alignment horizontal="center" vertical="center"/>
    </xf>
    <xf numFmtId="169" fontId="9" fillId="0" borderId="17" xfId="1" applyNumberFormat="1" applyFont="1" applyFill="1" applyBorder="1" applyAlignment="1">
      <alignment horizontal="center" vertical="center"/>
    </xf>
    <xf numFmtId="169" fontId="9" fillId="0" borderId="17" xfId="1" applyNumberFormat="1" applyFont="1" applyFill="1" applyBorder="1" applyAlignment="1">
      <alignment horizontal="center"/>
    </xf>
    <xf numFmtId="175" fontId="3" fillId="0" borderId="0" xfId="0" applyNumberFormat="1" applyFont="1"/>
    <xf numFmtId="176" fontId="3" fillId="4" borderId="0" xfId="0" applyNumberFormat="1" applyFont="1" applyFill="1" applyAlignment="1">
      <alignment horizontal="center"/>
    </xf>
    <xf numFmtId="175" fontId="9" fillId="0" borderId="16" xfId="1" applyNumberFormat="1" applyFont="1" applyFill="1" applyBorder="1" applyAlignment="1">
      <alignment horizontal="center" vertical="center"/>
    </xf>
    <xf numFmtId="175" fontId="9" fillId="0" borderId="17" xfId="1" applyNumberFormat="1" applyFont="1" applyFill="1" applyBorder="1" applyAlignment="1">
      <alignment horizontal="center" vertical="center"/>
    </xf>
    <xf numFmtId="14" fontId="21" fillId="2" borderId="0" xfId="0" applyNumberFormat="1" applyFont="1" applyFill="1" applyAlignment="1">
      <alignment horizontal="center" vertical="center"/>
    </xf>
    <xf numFmtId="179" fontId="11" fillId="0" borderId="0" xfId="0" applyNumberFormat="1" applyFont="1" applyAlignment="1">
      <alignment horizontal="center"/>
    </xf>
    <xf numFmtId="171" fontId="5" fillId="0" borderId="16" xfId="2" applyNumberFormat="1" applyFont="1" applyBorder="1" applyAlignment="1">
      <alignment horizontal="center"/>
    </xf>
    <xf numFmtId="168" fontId="5" fillId="0" borderId="16" xfId="1" applyNumberFormat="1" applyFont="1" applyBorder="1" applyAlignment="1">
      <alignment horizontal="center"/>
    </xf>
    <xf numFmtId="167" fontId="5" fillId="0" borderId="17" xfId="1" applyNumberFormat="1" applyFont="1" applyBorder="1" applyAlignment="1">
      <alignment horizontal="center"/>
    </xf>
    <xf numFmtId="0" fontId="12" fillId="7" borderId="0" xfId="0" applyFont="1" applyFill="1"/>
    <xf numFmtId="14" fontId="12" fillId="7" borderId="0" xfId="0" applyNumberFormat="1" applyFont="1" applyFill="1"/>
    <xf numFmtId="0" fontId="12" fillId="7" borderId="0" xfId="0" applyFont="1" applyFill="1" applyAlignment="1">
      <alignment horizontal="center" vertical="center"/>
    </xf>
    <xf numFmtId="0" fontId="22" fillId="7" borderId="0" xfId="4" applyFont="1" applyFill="1"/>
    <xf numFmtId="0" fontId="12" fillId="7" borderId="2" xfId="0" applyFont="1" applyFill="1" applyBorder="1"/>
    <xf numFmtId="0" fontId="12" fillId="7" borderId="2" xfId="0" applyFont="1" applyFill="1" applyBorder="1" applyAlignment="1">
      <alignment horizontal="left"/>
    </xf>
    <xf numFmtId="0" fontId="12" fillId="7" borderId="2" xfId="0" applyFont="1" applyFill="1" applyBorder="1" applyAlignment="1">
      <alignment horizontal="center"/>
    </xf>
    <xf numFmtId="0" fontId="12" fillId="7" borderId="12" xfId="0" applyFont="1" applyFill="1" applyBorder="1" applyAlignment="1">
      <alignment horizontal="left" vertical="center"/>
    </xf>
    <xf numFmtId="0" fontId="12" fillId="7" borderId="12" xfId="0" applyFont="1" applyFill="1" applyBorder="1" applyAlignment="1">
      <alignment horizontal="center" vertical="center"/>
    </xf>
    <xf numFmtId="0" fontId="23" fillId="7" borderId="0" xfId="0" applyFont="1" applyFill="1"/>
    <xf numFmtId="14" fontId="23" fillId="7" borderId="0" xfId="0" applyNumberFormat="1" applyFont="1" applyFill="1" applyAlignment="1">
      <alignment horizontal="center" vertical="center"/>
    </xf>
    <xf numFmtId="9" fontId="23" fillId="7" borderId="0" xfId="0" applyNumberFormat="1" applyFont="1" applyFill="1"/>
    <xf numFmtId="0" fontId="23" fillId="7" borderId="0" xfId="0" applyFont="1" applyFill="1" applyAlignment="1">
      <alignment horizontal="center" vertical="center"/>
    </xf>
    <xf numFmtId="0" fontId="24" fillId="7" borderId="0" xfId="0" applyFont="1" applyFill="1" applyAlignment="1">
      <alignment horizontal="left" vertical="center"/>
    </xf>
    <xf numFmtId="0" fontId="25" fillId="7" borderId="0" xfId="0" applyFont="1" applyFill="1"/>
    <xf numFmtId="0" fontId="23" fillId="7" borderId="12" xfId="0" applyFont="1" applyFill="1" applyBorder="1"/>
    <xf numFmtId="176" fontId="23" fillId="7" borderId="0" xfId="0" applyNumberFormat="1" applyFont="1" applyFill="1" applyAlignment="1">
      <alignment horizontal="center" vertical="center"/>
    </xf>
    <xf numFmtId="1" fontId="23" fillId="7" borderId="0" xfId="0" applyNumberFormat="1" applyFont="1" applyFill="1" applyAlignment="1">
      <alignment horizontal="center" vertical="center"/>
    </xf>
    <xf numFmtId="0" fontId="12" fillId="7" borderId="0" xfId="0" applyFont="1" applyFill="1" applyAlignment="1">
      <alignment horizontal="left" vertical="center"/>
    </xf>
    <xf numFmtId="0" fontId="23" fillId="7" borderId="20" xfId="0" applyFont="1" applyFill="1" applyBorder="1"/>
    <xf numFmtId="9" fontId="12" fillId="7" borderId="0" xfId="0" applyNumberFormat="1" applyFont="1" applyFill="1"/>
    <xf numFmtId="0" fontId="12" fillId="7" borderId="0" xfId="0" applyFont="1" applyFill="1" applyAlignment="1">
      <alignment horizontal="left"/>
    </xf>
    <xf numFmtId="0" fontId="26" fillId="7" borderId="0" xfId="0" applyFont="1" applyFill="1" applyAlignment="1">
      <alignment horizontal="left" vertical="center"/>
    </xf>
    <xf numFmtId="0" fontId="27" fillId="7" borderId="0" xfId="0" applyFont="1" applyFill="1" applyAlignment="1">
      <alignment horizontal="left" vertical="center"/>
    </xf>
    <xf numFmtId="14" fontId="28" fillId="7" borderId="0" xfId="0" applyNumberFormat="1" applyFont="1" applyFill="1" applyAlignment="1">
      <alignment horizontal="center" vertical="center"/>
    </xf>
    <xf numFmtId="14" fontId="28" fillId="7" borderId="6" xfId="0" applyNumberFormat="1" applyFont="1" applyFill="1" applyBorder="1" applyAlignment="1">
      <alignment horizontal="center" vertical="center"/>
    </xf>
    <xf numFmtId="0" fontId="29" fillId="7" borderId="0" xfId="0" applyFont="1" applyFill="1"/>
    <xf numFmtId="180" fontId="23" fillId="7" borderId="0" xfId="0" applyNumberFormat="1" applyFont="1" applyFill="1" applyAlignment="1">
      <alignment horizontal="center" vertical="center"/>
    </xf>
    <xf numFmtId="180" fontId="23" fillId="7" borderId="6" xfId="0" applyNumberFormat="1" applyFont="1" applyFill="1" applyBorder="1" applyAlignment="1">
      <alignment horizontal="center" vertical="center"/>
    </xf>
    <xf numFmtId="0" fontId="23" fillId="7" borderId="0" xfId="0" applyFont="1" applyFill="1" applyAlignment="1">
      <alignment horizontal="left" vertical="center"/>
    </xf>
    <xf numFmtId="0" fontId="23" fillId="5" borderId="2" xfId="0" applyFont="1" applyFill="1" applyBorder="1"/>
    <xf numFmtId="0" fontId="27" fillId="7" borderId="0" xfId="0" applyFont="1" applyFill="1" applyAlignment="1">
      <alignment horizontal="right"/>
    </xf>
    <xf numFmtId="171" fontId="27" fillId="7" borderId="0" xfId="2" applyNumberFormat="1" applyFont="1" applyFill="1" applyBorder="1" applyAlignment="1">
      <alignment horizontal="center" vertical="center"/>
    </xf>
    <xf numFmtId="0" fontId="23" fillId="5" borderId="0" xfId="0" applyFont="1" applyFill="1"/>
    <xf numFmtId="171" fontId="27" fillId="7" borderId="6" xfId="2" applyNumberFormat="1" applyFont="1" applyFill="1" applyBorder="1" applyAlignment="1">
      <alignment horizontal="center" vertical="center"/>
    </xf>
    <xf numFmtId="0" fontId="32" fillId="7" borderId="2" xfId="0" applyFont="1" applyFill="1" applyBorder="1"/>
    <xf numFmtId="3" fontId="23" fillId="7" borderId="12" xfId="0" applyNumberFormat="1" applyFont="1" applyFill="1" applyBorder="1" applyAlignment="1">
      <alignment horizontal="left" vertical="center"/>
    </xf>
    <xf numFmtId="182" fontId="13" fillId="7" borderId="12" xfId="5" quotePrefix="1" applyNumberFormat="1" applyFont="1" applyFill="1" applyBorder="1" applyAlignment="1">
      <alignment horizontal="center" vertical="center"/>
    </xf>
    <xf numFmtId="182" fontId="13" fillId="7" borderId="8" xfId="5" quotePrefix="1" applyNumberFormat="1" applyFont="1" applyFill="1" applyBorder="1" applyAlignment="1">
      <alignment horizontal="center" vertical="center"/>
    </xf>
    <xf numFmtId="182" fontId="13" fillId="7" borderId="0" xfId="5" quotePrefix="1" applyNumberFormat="1" applyFont="1" applyFill="1" applyBorder="1" applyAlignment="1">
      <alignment horizontal="center" vertical="center"/>
    </xf>
    <xf numFmtId="3" fontId="12" fillId="7" borderId="0" xfId="0" applyNumberFormat="1" applyFont="1" applyFill="1" applyAlignment="1">
      <alignment horizontal="center" vertical="center"/>
    </xf>
    <xf numFmtId="0" fontId="13" fillId="0" borderId="0" xfId="0" applyFont="1" applyAlignment="1">
      <alignment horizontal="center" vertical="center"/>
    </xf>
    <xf numFmtId="181" fontId="12" fillId="7" borderId="0" xfId="0" applyNumberFormat="1" applyFont="1" applyFill="1" applyAlignment="1">
      <alignment horizontal="center" vertical="center"/>
    </xf>
    <xf numFmtId="0" fontId="26" fillId="7" borderId="0" xfId="0" applyFont="1" applyFill="1" applyAlignment="1">
      <alignment horizontal="center" vertical="center"/>
    </xf>
    <xf numFmtId="181" fontId="26" fillId="7" borderId="0" xfId="0" applyNumberFormat="1" applyFont="1" applyFill="1" applyAlignment="1">
      <alignment horizontal="left" vertical="center"/>
    </xf>
    <xf numFmtId="171" fontId="26" fillId="7" borderId="0" xfId="2" applyNumberFormat="1" applyFont="1" applyFill="1" applyBorder="1" applyAlignment="1">
      <alignment horizontal="left" vertical="center"/>
    </xf>
    <xf numFmtId="0" fontId="29" fillId="7" borderId="12" xfId="0" applyFont="1" applyFill="1" applyBorder="1"/>
    <xf numFmtId="0" fontId="23" fillId="7" borderId="12" xfId="0" applyFont="1" applyFill="1" applyBorder="1" applyAlignment="1">
      <alignment horizontal="center" vertical="center" wrapText="1"/>
    </xf>
    <xf numFmtId="0" fontId="23" fillId="7" borderId="12" xfId="0" applyFont="1" applyFill="1" applyBorder="1" applyAlignment="1">
      <alignment horizontal="left" vertical="center"/>
    </xf>
    <xf numFmtId="0" fontId="23" fillId="7" borderId="12" xfId="0" applyFont="1" applyFill="1" applyBorder="1" applyAlignment="1">
      <alignment vertical="center"/>
    </xf>
    <xf numFmtId="0" fontId="23" fillId="7" borderId="0" xfId="0" applyFont="1" applyFill="1" applyAlignment="1">
      <alignment horizontal="center" vertical="center" wrapText="1"/>
    </xf>
    <xf numFmtId="0" fontId="12" fillId="7" borderId="0" xfId="0" applyFont="1" applyFill="1" applyAlignment="1">
      <alignment vertical="center"/>
    </xf>
    <xf numFmtId="0" fontId="23" fillId="7" borderId="0" xfId="0" applyFont="1" applyFill="1" applyAlignment="1">
      <alignment vertical="center"/>
    </xf>
    <xf numFmtId="183" fontId="13" fillId="7" borderId="0" xfId="0" applyNumberFormat="1" applyFont="1" applyFill="1" applyAlignment="1">
      <alignment horizontal="center" vertical="center"/>
    </xf>
    <xf numFmtId="9" fontId="13" fillId="0" borderId="0" xfId="6" applyFont="1" applyFill="1" applyBorder="1" applyAlignment="1">
      <alignment horizontal="left" vertical="center"/>
    </xf>
    <xf numFmtId="0" fontId="13" fillId="0" borderId="0" xfId="0" applyFont="1" applyAlignment="1">
      <alignment horizontal="left" vertical="center"/>
    </xf>
    <xf numFmtId="183" fontId="13" fillId="0" borderId="0" xfId="0" applyNumberFormat="1" applyFont="1" applyAlignment="1">
      <alignment horizontal="center" vertical="center"/>
    </xf>
    <xf numFmtId="9" fontId="13" fillId="7" borderId="0" xfId="6" applyFont="1" applyFill="1" applyBorder="1" applyAlignment="1">
      <alignment horizontal="center" vertical="center"/>
    </xf>
    <xf numFmtId="165" fontId="13" fillId="0" borderId="0" xfId="7" applyFont="1" applyFill="1" applyBorder="1" applyAlignment="1">
      <alignment horizontal="left" vertical="center"/>
    </xf>
    <xf numFmtId="0" fontId="13" fillId="7" borderId="0" xfId="0" applyFont="1" applyFill="1" applyAlignment="1">
      <alignment horizontal="left" vertical="center"/>
    </xf>
    <xf numFmtId="14" fontId="13" fillId="7" borderId="0" xfId="0" applyNumberFormat="1" applyFont="1" applyFill="1" applyAlignment="1">
      <alignment horizontal="center" vertical="center"/>
    </xf>
    <xf numFmtId="184" fontId="13" fillId="0" borderId="0" xfId="7" applyNumberFormat="1" applyFont="1" applyFill="1" applyAlignment="1">
      <alignment horizontal="left" vertical="center"/>
    </xf>
    <xf numFmtId="165" fontId="13" fillId="0" borderId="0" xfId="7" applyFont="1" applyFill="1" applyAlignment="1">
      <alignment horizontal="left" vertical="center"/>
    </xf>
    <xf numFmtId="0" fontId="13" fillId="0" borderId="0" xfId="0" quotePrefix="1" applyFont="1" applyAlignment="1">
      <alignment horizontal="left" vertical="center"/>
    </xf>
    <xf numFmtId="3" fontId="13" fillId="7" borderId="0" xfId="0" applyNumberFormat="1" applyFont="1" applyFill="1" applyAlignment="1">
      <alignment horizontal="center" vertical="center"/>
    </xf>
    <xf numFmtId="181" fontId="13" fillId="0" borderId="0" xfId="0" applyNumberFormat="1" applyFont="1" applyAlignment="1">
      <alignment horizontal="left" vertical="center"/>
    </xf>
    <xf numFmtId="0" fontId="33" fillId="7" borderId="0" xfId="0" applyFont="1" applyFill="1" applyAlignment="1">
      <alignment horizontal="left" vertical="center"/>
    </xf>
    <xf numFmtId="0" fontId="12" fillId="7" borderId="21" xfId="0" applyFont="1" applyFill="1" applyBorder="1" applyAlignment="1">
      <alignment horizontal="left" vertical="center"/>
    </xf>
    <xf numFmtId="3" fontId="13" fillId="7" borderId="21" xfId="0" applyNumberFormat="1" applyFont="1" applyFill="1" applyBorder="1" applyAlignment="1">
      <alignment horizontal="center" vertical="center"/>
    </xf>
    <xf numFmtId="0" fontId="13" fillId="0" borderId="0" xfId="0" applyFont="1"/>
    <xf numFmtId="184" fontId="13" fillId="0" borderId="0" xfId="0" applyNumberFormat="1" applyFont="1"/>
    <xf numFmtId="0" fontId="13" fillId="0" borderId="22" xfId="0" applyFont="1" applyBorder="1" applyAlignment="1">
      <alignment horizontal="left" vertical="center"/>
    </xf>
    <xf numFmtId="0" fontId="12" fillId="7" borderId="22" xfId="0" applyFont="1" applyFill="1" applyBorder="1" applyAlignment="1">
      <alignment horizontal="left" vertical="center"/>
    </xf>
    <xf numFmtId="0" fontId="13" fillId="0" borderId="21" xfId="0" applyFont="1" applyBorder="1" applyAlignment="1">
      <alignment horizontal="left" vertical="center"/>
    </xf>
    <xf numFmtId="181" fontId="13" fillId="0" borderId="0" xfId="6" applyNumberFormat="1" applyFont="1" applyFill="1" applyBorder="1" applyAlignment="1">
      <alignment horizontal="center" vertical="center"/>
    </xf>
    <xf numFmtId="2" fontId="12" fillId="7" borderId="12" xfId="6" applyNumberFormat="1" applyFont="1" applyFill="1" applyBorder="1" applyAlignment="1">
      <alignment horizontal="center" vertical="center"/>
    </xf>
    <xf numFmtId="4" fontId="12" fillId="7" borderId="0" xfId="0" applyNumberFormat="1" applyFont="1" applyFill="1" applyAlignment="1">
      <alignment horizontal="right" vertical="center"/>
    </xf>
    <xf numFmtId="9" fontId="12" fillId="7" borderId="0" xfId="6" applyFont="1" applyFill="1" applyBorder="1" applyAlignment="1">
      <alignment horizontal="center" vertical="center"/>
    </xf>
    <xf numFmtId="166" fontId="33" fillId="7" borderId="0" xfId="5" applyFont="1" applyFill="1" applyBorder="1" applyAlignment="1">
      <alignment horizontal="center" vertical="center"/>
    </xf>
    <xf numFmtId="4" fontId="12" fillId="7" borderId="0" xfId="0" applyNumberFormat="1" applyFont="1" applyFill="1" applyAlignment="1">
      <alignment horizontal="right"/>
    </xf>
    <xf numFmtId="171" fontId="12" fillId="7" borderId="0" xfId="6" applyNumberFormat="1" applyFont="1" applyFill="1" applyBorder="1" applyAlignment="1">
      <alignment horizontal="center" vertical="center"/>
    </xf>
    <xf numFmtId="3" fontId="12" fillId="7" borderId="0" xfId="6" applyNumberFormat="1" applyFont="1" applyFill="1" applyBorder="1" applyAlignment="1">
      <alignment horizontal="left" vertical="center"/>
    </xf>
    <xf numFmtId="3" fontId="12" fillId="7" borderId="0" xfId="0" applyNumberFormat="1" applyFont="1" applyFill="1" applyAlignment="1">
      <alignment horizontal="left" vertical="center"/>
    </xf>
    <xf numFmtId="4" fontId="12" fillId="7" borderId="0" xfId="0" applyNumberFormat="1" applyFont="1" applyFill="1" applyAlignment="1">
      <alignment horizontal="left" vertical="center"/>
    </xf>
    <xf numFmtId="0" fontId="35" fillId="2" borderId="12" xfId="8" applyFont="1" applyFill="1" applyBorder="1" applyAlignment="1">
      <alignment vertical="center"/>
    </xf>
    <xf numFmtId="0" fontId="13" fillId="0" borderId="0" xfId="9"/>
    <xf numFmtId="0" fontId="32" fillId="0" borderId="0" xfId="10" applyFont="1" applyBorder="1" applyAlignment="1">
      <alignment horizontal="centerContinuous" vertical="center"/>
    </xf>
    <xf numFmtId="0" fontId="13" fillId="7" borderId="0" xfId="11" applyFont="1" applyFill="1"/>
    <xf numFmtId="0" fontId="31" fillId="0" borderId="0" xfId="9" applyFont="1"/>
    <xf numFmtId="14" fontId="32" fillId="0" borderId="0" xfId="10" applyNumberFormat="1" applyFont="1" applyBorder="1" applyAlignment="1">
      <alignment horizontal="centerContinuous" vertical="center"/>
    </xf>
    <xf numFmtId="0" fontId="36" fillId="0" borderId="0" xfId="10" applyFont="1" applyBorder="1" applyAlignment="1">
      <alignment horizontal="center" vertical="center" wrapText="1"/>
    </xf>
    <xf numFmtId="0" fontId="32" fillId="0" borderId="0" xfId="10" applyFont="1" applyBorder="1" applyAlignment="1">
      <alignment vertical="center" wrapText="1"/>
    </xf>
    <xf numFmtId="0" fontId="32" fillId="0" borderId="23" xfId="10" applyFont="1" applyBorder="1" applyAlignment="1">
      <alignment horizontal="centerContinuous" vertical="center"/>
    </xf>
    <xf numFmtId="166" fontId="13" fillId="0" borderId="0" xfId="9" applyNumberFormat="1" applyAlignment="1">
      <alignment horizontal="right"/>
    </xf>
    <xf numFmtId="171" fontId="13" fillId="0" borderId="0" xfId="12" applyNumberFormat="1" applyFont="1" applyFill="1" applyAlignment="1">
      <alignment horizontal="right"/>
    </xf>
    <xf numFmtId="172" fontId="13" fillId="0" borderId="0" xfId="9" applyNumberFormat="1" applyAlignment="1">
      <alignment horizontal="right"/>
    </xf>
    <xf numFmtId="185" fontId="13" fillId="0" borderId="0" xfId="9" applyNumberFormat="1" applyAlignment="1">
      <alignment horizontal="right"/>
    </xf>
    <xf numFmtId="186" fontId="13" fillId="0" borderId="0" xfId="9" applyNumberFormat="1" applyAlignment="1">
      <alignment horizontal="right"/>
    </xf>
    <xf numFmtId="174" fontId="13" fillId="8" borderId="18" xfId="9" applyNumberFormat="1" applyFill="1" applyBorder="1" applyAlignment="1">
      <alignment horizontal="center" vertical="center"/>
    </xf>
    <xf numFmtId="164" fontId="13" fillId="0" borderId="0" xfId="9" applyNumberFormat="1" applyAlignment="1">
      <alignment horizontal="left" indent="1"/>
    </xf>
    <xf numFmtId="0" fontId="13" fillId="0" borderId="0" xfId="13" applyFont="1"/>
    <xf numFmtId="0" fontId="13" fillId="7" borderId="0" xfId="11" applyFont="1" applyFill="1" applyAlignment="1">
      <alignment horizontal="right"/>
    </xf>
    <xf numFmtId="0" fontId="32" fillId="0" borderId="3" xfId="15" applyFont="1" applyBorder="1" applyAlignment="1">
      <alignment horizontal="left"/>
    </xf>
    <xf numFmtId="187" fontId="13" fillId="7" borderId="2" xfId="11" applyNumberFormat="1" applyFont="1" applyFill="1" applyBorder="1" applyAlignment="1">
      <alignment horizontal="right"/>
    </xf>
    <xf numFmtId="0" fontId="13" fillId="7" borderId="2" xfId="11" applyFont="1" applyFill="1" applyBorder="1" applyAlignment="1">
      <alignment horizontal="right"/>
    </xf>
    <xf numFmtId="0" fontId="32" fillId="0" borderId="5" xfId="15" applyFont="1" applyBorder="1" applyAlignment="1">
      <alignment horizontal="left"/>
    </xf>
    <xf numFmtId="169" fontId="13" fillId="0" borderId="0" xfId="16" applyNumberFormat="1" applyFont="1" applyFill="1" applyBorder="1">
      <alignment horizontal="right"/>
    </xf>
    <xf numFmtId="0" fontId="32" fillId="9" borderId="5" xfId="15" applyFont="1" applyFill="1" applyBorder="1" applyAlignment="1">
      <alignment horizontal="left"/>
    </xf>
    <xf numFmtId="169" fontId="13" fillId="9" borderId="0" xfId="16" applyNumberFormat="1" applyFont="1" applyFill="1" applyBorder="1">
      <alignment horizontal="right"/>
    </xf>
    <xf numFmtId="174" fontId="13" fillId="9" borderId="0" xfId="16" applyNumberFormat="1" applyFont="1" applyFill="1" applyBorder="1">
      <alignment horizontal="right"/>
    </xf>
    <xf numFmtId="0" fontId="32" fillId="0" borderId="7" xfId="15" applyFont="1" applyBorder="1" applyAlignment="1">
      <alignment horizontal="left"/>
    </xf>
    <xf numFmtId="169" fontId="13" fillId="0" borderId="12" xfId="16" applyNumberFormat="1" applyFont="1" applyFill="1" applyBorder="1">
      <alignment horizontal="right"/>
    </xf>
    <xf numFmtId="185" fontId="13" fillId="0" borderId="12" xfId="9" applyNumberFormat="1" applyBorder="1" applyAlignment="1">
      <alignment horizontal="right"/>
    </xf>
    <xf numFmtId="0" fontId="37" fillId="0" borderId="0" xfId="8" applyFont="1"/>
    <xf numFmtId="0" fontId="38" fillId="0" borderId="0" xfId="17" applyFont="1"/>
    <xf numFmtId="0" fontId="39" fillId="0" borderId="0" xfId="0" applyFont="1"/>
    <xf numFmtId="0" fontId="40" fillId="0" borderId="12" xfId="8" applyFont="1" applyBorder="1" applyAlignment="1">
      <alignment horizontal="center" vertical="center"/>
    </xf>
    <xf numFmtId="0" fontId="40" fillId="0" borderId="12" xfId="8" applyFont="1" applyBorder="1" applyAlignment="1">
      <alignment horizontal="left" vertical="center"/>
    </xf>
    <xf numFmtId="0" fontId="37" fillId="0" borderId="18" xfId="8" applyFont="1" applyBorder="1" applyAlignment="1">
      <alignment horizontal="center" vertical="center" wrapText="1"/>
    </xf>
    <xf numFmtId="17" fontId="37" fillId="0" borderId="18" xfId="8" applyNumberFormat="1" applyFont="1" applyBorder="1" applyAlignment="1">
      <alignment horizontal="center" vertical="center"/>
    </xf>
    <xf numFmtId="174" fontId="37" fillId="0" borderId="18" xfId="8" applyNumberFormat="1" applyFont="1" applyBorder="1" applyAlignment="1">
      <alignment horizontal="center" vertical="center"/>
    </xf>
    <xf numFmtId="0" fontId="37" fillId="0" borderId="18" xfId="8" applyFont="1" applyBorder="1" applyAlignment="1">
      <alignment horizontal="left" vertical="center"/>
    </xf>
    <xf numFmtId="0" fontId="37" fillId="0" borderId="0" xfId="8" applyFont="1" applyAlignment="1">
      <alignment vertical="top"/>
    </xf>
    <xf numFmtId="174" fontId="37" fillId="0" borderId="0" xfId="8" applyNumberFormat="1" applyFont="1" applyAlignment="1">
      <alignment vertical="top"/>
    </xf>
    <xf numFmtId="189" fontId="40" fillId="0" borderId="3" xfId="15" applyNumberFormat="1" applyFont="1" applyBorder="1" applyAlignment="1">
      <alignment horizontal="left"/>
    </xf>
    <xf numFmtId="174" fontId="40" fillId="0" borderId="4" xfId="18" applyNumberFormat="1" applyFont="1" applyBorder="1" applyAlignment="1" applyProtection="1">
      <alignment horizontal="center" vertical="top"/>
      <protection locked="0"/>
    </xf>
    <xf numFmtId="174" fontId="40" fillId="0" borderId="0" xfId="18" applyNumberFormat="1" applyFont="1" applyAlignment="1" applyProtection="1">
      <alignment horizontal="center" vertical="top"/>
      <protection locked="0"/>
    </xf>
    <xf numFmtId="189" fontId="40" fillId="0" borderId="5" xfId="15" applyNumberFormat="1" applyFont="1" applyBorder="1" applyAlignment="1">
      <alignment horizontal="left"/>
    </xf>
    <xf numFmtId="174" fontId="40" fillId="0" borderId="6" xfId="18" applyNumberFormat="1" applyFont="1" applyBorder="1" applyAlignment="1" applyProtection="1">
      <alignment horizontal="center" vertical="top"/>
      <protection locked="0"/>
    </xf>
    <xf numFmtId="189" fontId="40" fillId="9" borderId="5" xfId="15" applyNumberFormat="1" applyFont="1" applyFill="1" applyBorder="1" applyAlignment="1">
      <alignment horizontal="left"/>
    </xf>
    <xf numFmtId="174" fontId="40" fillId="9" borderId="6" xfId="18" applyNumberFormat="1" applyFont="1" applyFill="1" applyBorder="1" applyAlignment="1" applyProtection="1">
      <alignment horizontal="center" vertical="top"/>
      <protection locked="0"/>
    </xf>
    <xf numFmtId="189" fontId="40" fillId="0" borderId="7" xfId="15" applyNumberFormat="1" applyFont="1" applyBorder="1" applyAlignment="1">
      <alignment horizontal="left"/>
    </xf>
    <xf numFmtId="174" fontId="40" fillId="0" borderId="8" xfId="18" applyNumberFormat="1" applyFont="1" applyBorder="1" applyAlignment="1" applyProtection="1">
      <alignment horizontal="center" vertical="top"/>
      <protection locked="0"/>
    </xf>
    <xf numFmtId="181" fontId="30" fillId="5" borderId="0" xfId="0" applyNumberFormat="1" applyFont="1" applyFill="1" applyAlignment="1">
      <alignment horizontal="center" vertical="center"/>
    </xf>
    <xf numFmtId="0" fontId="31" fillId="0" borderId="0" xfId="9" applyFont="1" applyAlignment="1">
      <alignment horizontal="left"/>
    </xf>
    <xf numFmtId="180" fontId="23" fillId="7" borderId="8" xfId="0" applyNumberFormat="1" applyFont="1" applyFill="1" applyBorder="1" applyAlignment="1">
      <alignment horizontal="center" vertical="center"/>
    </xf>
    <xf numFmtId="0" fontId="42" fillId="7" borderId="0" xfId="0" applyFont="1" applyFill="1"/>
    <xf numFmtId="14" fontId="32" fillId="7" borderId="20" xfId="0" applyNumberFormat="1" applyFont="1" applyFill="1" applyBorder="1" applyAlignment="1">
      <alignment horizontal="center" vertical="center"/>
    </xf>
    <xf numFmtId="181" fontId="32" fillId="5" borderId="2" xfId="0" applyNumberFormat="1" applyFont="1" applyFill="1" applyBorder="1" applyAlignment="1">
      <alignment horizontal="center" vertical="center"/>
    </xf>
    <xf numFmtId="181" fontId="32" fillId="5" borderId="4" xfId="0" applyNumberFormat="1" applyFont="1" applyFill="1" applyBorder="1" applyAlignment="1">
      <alignment horizontal="center" vertical="center"/>
    </xf>
    <xf numFmtId="181" fontId="32" fillId="5" borderId="0" xfId="0" applyNumberFormat="1" applyFont="1" applyFill="1" applyAlignment="1">
      <alignment horizontal="center" vertical="center"/>
    </xf>
    <xf numFmtId="181" fontId="32" fillId="5" borderId="6" xfId="0" applyNumberFormat="1" applyFont="1" applyFill="1" applyBorder="1" applyAlignment="1">
      <alignment horizontal="center" vertical="center"/>
    </xf>
    <xf numFmtId="170" fontId="9" fillId="0" borderId="16" xfId="0" applyNumberFormat="1" applyFont="1" applyBorder="1" applyAlignment="1">
      <alignment horizontal="center"/>
    </xf>
    <xf numFmtId="174" fontId="9" fillId="0" borderId="17" xfId="2" applyNumberFormat="1" applyFont="1" applyFill="1" applyBorder="1" applyAlignment="1">
      <alignment horizontal="center"/>
    </xf>
    <xf numFmtId="174" fontId="5" fillId="0" borderId="17" xfId="2" applyNumberFormat="1" applyFont="1" applyFill="1" applyBorder="1" applyAlignment="1">
      <alignment horizontal="center"/>
    </xf>
    <xf numFmtId="174" fontId="17" fillId="0" borderId="0" xfId="1" applyNumberFormat="1" applyFont="1" applyFill="1" applyAlignment="1">
      <alignment horizontal="center"/>
    </xf>
    <xf numFmtId="168" fontId="5" fillId="0" borderId="16" xfId="0" applyNumberFormat="1" applyFont="1" applyBorder="1"/>
    <xf numFmtId="168" fontId="5" fillId="0" borderId="17" xfId="0" applyNumberFormat="1" applyFont="1" applyBorder="1"/>
    <xf numFmtId="174" fontId="9" fillId="3" borderId="0" xfId="0" applyNumberFormat="1" applyFont="1" applyFill="1" applyAlignment="1">
      <alignment horizontal="centerContinuous"/>
    </xf>
    <xf numFmtId="174" fontId="5" fillId="0" borderId="16" xfId="2" applyNumberFormat="1" applyFont="1" applyFill="1" applyBorder="1" applyAlignment="1">
      <alignment horizontal="center"/>
    </xf>
    <xf numFmtId="169" fontId="43" fillId="3" borderId="0" xfId="0" applyNumberFormat="1" applyFont="1" applyFill="1" applyAlignment="1">
      <alignment horizontal="center"/>
    </xf>
    <xf numFmtId="191" fontId="43" fillId="3" borderId="0" xfId="0" applyNumberFormat="1" applyFont="1" applyFill="1" applyAlignment="1">
      <alignment horizontal="center"/>
    </xf>
    <xf numFmtId="0" fontId="0" fillId="0" borderId="12" xfId="0" applyBorder="1"/>
    <xf numFmtId="9" fontId="0" fillId="0" borderId="0" xfId="2" applyFont="1"/>
    <xf numFmtId="171" fontId="0" fillId="0" borderId="0" xfId="2" applyNumberFormat="1" applyFont="1"/>
    <xf numFmtId="176" fontId="0" fillId="0" borderId="0" xfId="0" applyNumberFormat="1"/>
    <xf numFmtId="0" fontId="0" fillId="0" borderId="12" xfId="0" applyBorder="1" applyAlignment="1">
      <alignment horizontal="right"/>
    </xf>
    <xf numFmtId="174" fontId="0" fillId="0" borderId="0" xfId="0" applyNumberFormat="1" applyAlignment="1">
      <alignment horizontal="center"/>
    </xf>
    <xf numFmtId="168" fontId="0" fillId="0" borderId="0" xfId="0" applyNumberFormat="1"/>
    <xf numFmtId="0" fontId="0" fillId="0" borderId="24" xfId="0" applyBorder="1"/>
    <xf numFmtId="0" fontId="0" fillId="0" borderId="25" xfId="0" applyBorder="1"/>
    <xf numFmtId="0" fontId="0" fillId="0" borderId="26" xfId="0" applyBorder="1"/>
    <xf numFmtId="0" fontId="0" fillId="0" borderId="27" xfId="0" applyBorder="1"/>
    <xf numFmtId="0" fontId="18" fillId="2" borderId="3" xfId="0" applyFont="1" applyFill="1" applyBorder="1"/>
    <xf numFmtId="0" fontId="18" fillId="2" borderId="2" xfId="0" applyFont="1" applyFill="1" applyBorder="1"/>
    <xf numFmtId="0" fontId="18" fillId="2" borderId="2" xfId="0" applyFont="1" applyFill="1" applyBorder="1" applyAlignment="1">
      <alignment horizontal="centerContinuous"/>
    </xf>
    <xf numFmtId="0" fontId="0" fillId="2" borderId="2" xfId="0" applyFill="1" applyBorder="1" applyAlignment="1">
      <alignment horizontal="centerContinuous"/>
    </xf>
    <xf numFmtId="0" fontId="0" fillId="2" borderId="4" xfId="0" applyFill="1" applyBorder="1" applyAlignment="1">
      <alignment horizontal="centerContinuous"/>
    </xf>
    <xf numFmtId="0" fontId="18" fillId="2" borderId="5" xfId="0" applyFont="1" applyFill="1" applyBorder="1"/>
    <xf numFmtId="0" fontId="44" fillId="2" borderId="0" xfId="0" applyFont="1" applyFill="1"/>
    <xf numFmtId="174" fontId="18" fillId="2" borderId="0" xfId="0" applyNumberFormat="1" applyFont="1" applyFill="1" applyAlignment="1">
      <alignment horizontal="center"/>
    </xf>
    <xf numFmtId="174" fontId="18" fillId="2" borderId="6" xfId="0" applyNumberFormat="1" applyFont="1" applyFill="1" applyBorder="1" applyAlignment="1">
      <alignment horizontal="center"/>
    </xf>
    <xf numFmtId="169" fontId="18" fillId="2" borderId="0" xfId="0" applyNumberFormat="1" applyFont="1" applyFill="1" applyAlignment="1">
      <alignment horizontal="center"/>
    </xf>
    <xf numFmtId="0" fontId="0" fillId="0" borderId="28" xfId="0" applyBorder="1"/>
    <xf numFmtId="0" fontId="0" fillId="0" borderId="29" xfId="0" applyBorder="1"/>
    <xf numFmtId="169" fontId="18" fillId="2" borderId="12" xfId="0" applyNumberFormat="1" applyFont="1" applyFill="1" applyBorder="1" applyAlignment="1">
      <alignment horizontal="center"/>
    </xf>
    <xf numFmtId="0" fontId="0" fillId="0" borderId="30" xfId="0" applyBorder="1"/>
    <xf numFmtId="0" fontId="0" fillId="0" borderId="31" xfId="0" applyBorder="1"/>
    <xf numFmtId="0" fontId="0" fillId="0" borderId="32" xfId="0" applyBorder="1"/>
    <xf numFmtId="177" fontId="17" fillId="0" borderId="0" xfId="1" applyNumberFormat="1" applyFont="1" applyFill="1" applyAlignment="1">
      <alignment horizontal="center"/>
    </xf>
    <xf numFmtId="1" fontId="18" fillId="2" borderId="0" xfId="0" applyNumberFormat="1" applyFont="1" applyFill="1" applyAlignment="1">
      <alignment horizontal="center"/>
    </xf>
    <xf numFmtId="1" fontId="18" fillId="2" borderId="12" xfId="0" applyNumberFormat="1" applyFont="1" applyFill="1" applyBorder="1" applyAlignment="1">
      <alignment horizontal="center"/>
    </xf>
    <xf numFmtId="0" fontId="18" fillId="2" borderId="0" xfId="0" applyFont="1" applyFill="1" applyAlignment="1">
      <alignment horizontal="center" vertical="center" textRotation="90"/>
    </xf>
    <xf numFmtId="0" fontId="18" fillId="2" borderId="12" xfId="0" applyFont="1" applyFill="1" applyBorder="1" applyAlignment="1">
      <alignment horizontal="center" vertical="center" textRotation="90"/>
    </xf>
    <xf numFmtId="0" fontId="0" fillId="11" borderId="24" xfId="0" applyFill="1" applyBorder="1"/>
    <xf numFmtId="0" fontId="0" fillId="11" borderId="26" xfId="0" applyFill="1" applyBorder="1"/>
    <xf numFmtId="0" fontId="7" fillId="0" borderId="0" xfId="0" applyFont="1" applyAlignment="1">
      <alignment horizontal="center"/>
    </xf>
    <xf numFmtId="0" fontId="7" fillId="0" borderId="0" xfId="0" applyFont="1" applyAlignment="1">
      <alignment horizontal="center" vertical="center"/>
    </xf>
    <xf numFmtId="9" fontId="7" fillId="0" borderId="0" xfId="2" applyFont="1" applyAlignment="1">
      <alignment horizontal="center"/>
    </xf>
    <xf numFmtId="10" fontId="45" fillId="0" borderId="0" xfId="0" applyNumberFormat="1" applyFont="1" applyAlignment="1">
      <alignment horizontal="center"/>
    </xf>
    <xf numFmtId="168" fontId="3" fillId="0" borderId="0" xfId="1" applyNumberFormat="1" applyFont="1" applyFill="1" applyBorder="1"/>
    <xf numFmtId="168" fontId="7" fillId="0" borderId="15" xfId="0" applyNumberFormat="1" applyFont="1" applyBorder="1" applyAlignment="1">
      <alignment horizontal="center"/>
    </xf>
    <xf numFmtId="168" fontId="9" fillId="0" borderId="0" xfId="0" applyNumberFormat="1" applyFont="1"/>
    <xf numFmtId="168" fontId="9" fillId="0" borderId="6" xfId="0" applyNumberFormat="1" applyFont="1" applyBorder="1"/>
    <xf numFmtId="171" fontId="3" fillId="0" borderId="0" xfId="0" applyNumberFormat="1" applyFont="1"/>
    <xf numFmtId="171" fontId="3" fillId="0" borderId="6" xfId="0" applyNumberFormat="1" applyFont="1" applyBorder="1"/>
    <xf numFmtId="171" fontId="3" fillId="0" borderId="12" xfId="0" applyNumberFormat="1" applyFont="1" applyBorder="1"/>
    <xf numFmtId="177" fontId="3" fillId="0" borderId="8" xfId="0" applyNumberFormat="1" applyFont="1" applyBorder="1"/>
    <xf numFmtId="0" fontId="34" fillId="7" borderId="12" xfId="0" applyFont="1" applyFill="1" applyBorder="1" applyAlignment="1">
      <alignment horizontal="left" vertical="center"/>
    </xf>
    <xf numFmtId="181" fontId="34" fillId="5" borderId="2" xfId="0" applyNumberFormat="1" applyFont="1" applyFill="1" applyBorder="1" applyAlignment="1">
      <alignment horizontal="center" vertical="center"/>
    </xf>
    <xf numFmtId="181" fontId="34" fillId="5" borderId="0" xfId="0" applyNumberFormat="1" applyFont="1" applyFill="1" applyAlignment="1">
      <alignment horizontal="center" vertical="center"/>
    </xf>
    <xf numFmtId="0" fontId="40" fillId="0" borderId="0" xfId="8" applyFont="1" applyAlignment="1">
      <alignment horizontal="center" vertical="center"/>
    </xf>
    <xf numFmtId="0" fontId="37" fillId="0" borderId="0" xfId="8" applyFont="1" applyAlignment="1">
      <alignment horizontal="left" vertical="center"/>
    </xf>
    <xf numFmtId="0" fontId="37" fillId="0" borderId="0" xfId="8" applyFont="1" applyAlignment="1">
      <alignment horizontal="center" vertical="center"/>
    </xf>
    <xf numFmtId="174" fontId="46" fillId="0" borderId="18" xfId="8" applyNumberFormat="1" applyFont="1" applyBorder="1" applyAlignment="1">
      <alignment horizontal="center" vertical="center"/>
    </xf>
    <xf numFmtId="169" fontId="3" fillId="0" borderId="0" xfId="2" applyNumberFormat="1" applyFont="1" applyAlignment="1">
      <alignment horizontal="center"/>
    </xf>
    <xf numFmtId="166" fontId="3" fillId="0" borderId="0" xfId="1" applyFont="1"/>
    <xf numFmtId="2" fontId="3" fillId="0" borderId="0" xfId="0" applyNumberFormat="1" applyFont="1"/>
    <xf numFmtId="181" fontId="34" fillId="7" borderId="2" xfId="0" quotePrefix="1" applyNumberFormat="1" applyFont="1" applyFill="1" applyBorder="1" applyAlignment="1">
      <alignment horizontal="center" vertical="center"/>
    </xf>
    <xf numFmtId="37" fontId="34" fillId="7" borderId="2" xfId="0" quotePrefix="1" applyNumberFormat="1" applyFont="1" applyFill="1" applyBorder="1" applyAlignment="1">
      <alignment horizontal="center" vertical="center"/>
    </xf>
    <xf numFmtId="181" fontId="23" fillId="7" borderId="2" xfId="0" quotePrefix="1" applyNumberFormat="1" applyFont="1" applyFill="1" applyBorder="1" applyAlignment="1">
      <alignment horizontal="center" vertical="center"/>
    </xf>
    <xf numFmtId="181" fontId="23" fillId="7" borderId="4" xfId="0" quotePrefix="1" applyNumberFormat="1" applyFont="1" applyFill="1" applyBorder="1" applyAlignment="1">
      <alignment horizontal="center" vertical="center"/>
    </xf>
    <xf numFmtId="3" fontId="23" fillId="7" borderId="0" xfId="0" applyNumberFormat="1" applyFont="1" applyFill="1" applyAlignment="1">
      <alignment horizontal="center" vertical="center"/>
    </xf>
    <xf numFmtId="14" fontId="23" fillId="7" borderId="0" xfId="0" applyNumberFormat="1" applyFont="1" applyFill="1"/>
    <xf numFmtId="171" fontId="23" fillId="7" borderId="0" xfId="2" applyNumberFormat="1" applyFont="1" applyFill="1" applyAlignment="1">
      <alignment horizontal="center" vertical="center"/>
    </xf>
    <xf numFmtId="3" fontId="23" fillId="7" borderId="0" xfId="0" applyNumberFormat="1" applyFont="1" applyFill="1" applyAlignment="1">
      <alignment horizontal="center" vertical="center" wrapText="1"/>
    </xf>
    <xf numFmtId="181" fontId="23" fillId="7" borderId="0" xfId="0" applyNumberFormat="1" applyFont="1" applyFill="1" applyAlignment="1">
      <alignment horizontal="center" vertical="center" wrapText="1"/>
    </xf>
    <xf numFmtId="183" fontId="34" fillId="7" borderId="0" xfId="0" applyNumberFormat="1" applyFont="1" applyFill="1" applyAlignment="1">
      <alignment horizontal="center" vertical="center"/>
    </xf>
    <xf numFmtId="183" fontId="34" fillId="0" borderId="0" xfId="0" applyNumberFormat="1" applyFont="1" applyAlignment="1">
      <alignment horizontal="center" vertical="center"/>
    </xf>
    <xf numFmtId="3" fontId="12" fillId="7" borderId="21" xfId="0" applyNumberFormat="1" applyFont="1" applyFill="1" applyBorder="1" applyAlignment="1">
      <alignment horizontal="center" vertical="center"/>
    </xf>
    <xf numFmtId="3" fontId="34" fillId="7" borderId="21" xfId="0" applyNumberFormat="1" applyFont="1" applyFill="1" applyBorder="1" applyAlignment="1">
      <alignment horizontal="center" vertical="center"/>
    </xf>
    <xf numFmtId="3" fontId="34" fillId="7" borderId="0" xfId="0" applyNumberFormat="1" applyFont="1" applyFill="1" applyAlignment="1">
      <alignment horizontal="center" vertical="center"/>
    </xf>
    <xf numFmtId="3" fontId="13" fillId="3" borderId="21" xfId="0" applyNumberFormat="1" applyFont="1" applyFill="1" applyBorder="1" applyAlignment="1">
      <alignment horizontal="center" vertical="center"/>
    </xf>
    <xf numFmtId="192" fontId="12" fillId="0" borderId="0" xfId="0" applyNumberFormat="1" applyFont="1" applyAlignment="1">
      <alignment horizontal="center" vertical="center"/>
    </xf>
    <xf numFmtId="192" fontId="12" fillId="7" borderId="0" xfId="6" applyNumberFormat="1" applyFont="1" applyFill="1" applyBorder="1" applyAlignment="1">
      <alignment horizontal="center" vertical="center"/>
    </xf>
    <xf numFmtId="192" fontId="13" fillId="7" borderId="0" xfId="6" applyNumberFormat="1" applyFont="1" applyFill="1" applyBorder="1" applyAlignment="1">
      <alignment horizontal="center" vertical="center"/>
    </xf>
    <xf numFmtId="1" fontId="13" fillId="3" borderId="12" xfId="0" applyNumberFormat="1" applyFont="1" applyFill="1" applyBorder="1" applyAlignment="1">
      <alignment horizontal="center" vertical="center"/>
    </xf>
    <xf numFmtId="1" fontId="12" fillId="7" borderId="12" xfId="6" applyNumberFormat="1" applyFont="1" applyFill="1" applyBorder="1" applyAlignment="1">
      <alignment horizontal="center" vertical="center"/>
    </xf>
    <xf numFmtId="182" fontId="32" fillId="0" borderId="20" xfId="0" applyNumberFormat="1" applyFont="1" applyBorder="1" applyAlignment="1">
      <alignment horizontal="center" vertical="center"/>
    </xf>
    <xf numFmtId="14" fontId="28" fillId="7" borderId="10" xfId="0" applyNumberFormat="1" applyFont="1" applyFill="1" applyBorder="1" applyAlignment="1">
      <alignment horizontal="center" vertical="center"/>
    </xf>
    <xf numFmtId="180" fontId="23" fillId="7" borderId="10" xfId="0" applyNumberFormat="1" applyFont="1" applyFill="1" applyBorder="1" applyAlignment="1">
      <alignment horizontal="center" vertical="center"/>
    </xf>
    <xf numFmtId="181" fontId="32" fillId="5" borderId="9" xfId="0" applyNumberFormat="1" applyFont="1" applyFill="1" applyBorder="1" applyAlignment="1">
      <alignment horizontal="center" vertical="center"/>
    </xf>
    <xf numFmtId="171" fontId="42" fillId="3" borderId="0" xfId="2" applyNumberFormat="1" applyFont="1" applyFill="1" applyBorder="1" applyAlignment="1">
      <alignment horizontal="center" vertical="center"/>
    </xf>
    <xf numFmtId="171" fontId="42" fillId="3" borderId="6" xfId="2" applyNumberFormat="1" applyFont="1" applyFill="1" applyBorder="1" applyAlignment="1">
      <alignment horizontal="center" vertical="center"/>
    </xf>
    <xf numFmtId="171" fontId="42" fillId="3" borderId="10" xfId="2" applyNumberFormat="1" applyFont="1" applyFill="1" applyBorder="1" applyAlignment="1">
      <alignment horizontal="center" vertical="center"/>
    </xf>
    <xf numFmtId="181" fontId="32" fillId="5" borderId="10" xfId="0" applyNumberFormat="1" applyFont="1" applyFill="1" applyBorder="1" applyAlignment="1">
      <alignment horizontal="center" vertical="center"/>
    </xf>
    <xf numFmtId="171" fontId="27" fillId="7" borderId="10" xfId="2" applyNumberFormat="1" applyFont="1" applyFill="1" applyBorder="1" applyAlignment="1">
      <alignment horizontal="center" vertical="center"/>
    </xf>
    <xf numFmtId="181" fontId="23" fillId="7" borderId="9" xfId="0" quotePrefix="1" applyNumberFormat="1" applyFont="1" applyFill="1" applyBorder="1" applyAlignment="1">
      <alignment horizontal="center" vertical="center"/>
    </xf>
    <xf numFmtId="181" fontId="23" fillId="7" borderId="0" xfId="0" quotePrefix="1" applyNumberFormat="1" applyFont="1" applyFill="1" applyAlignment="1">
      <alignment horizontal="center" vertical="center"/>
    </xf>
    <xf numFmtId="181" fontId="23" fillId="7" borderId="6" xfId="0" quotePrefix="1" applyNumberFormat="1" applyFont="1" applyFill="1" applyBorder="1" applyAlignment="1">
      <alignment horizontal="center" vertical="center"/>
    </xf>
    <xf numFmtId="181" fontId="23" fillId="7" borderId="10" xfId="0" quotePrefix="1" applyNumberFormat="1" applyFont="1" applyFill="1" applyBorder="1" applyAlignment="1">
      <alignment horizontal="center" vertical="center"/>
    </xf>
    <xf numFmtId="37" fontId="13" fillId="7" borderId="0" xfId="0" quotePrefix="1" applyNumberFormat="1" applyFont="1" applyFill="1" applyAlignment="1">
      <alignment horizontal="center" vertical="center"/>
    </xf>
    <xf numFmtId="37" fontId="13" fillId="7" borderId="6" xfId="0" quotePrefix="1" applyNumberFormat="1" applyFont="1" applyFill="1" applyBorder="1" applyAlignment="1">
      <alignment horizontal="center" vertical="center"/>
    </xf>
    <xf numFmtId="37" fontId="13" fillId="7" borderId="10" xfId="0" quotePrefix="1" applyNumberFormat="1" applyFont="1" applyFill="1" applyBorder="1" applyAlignment="1">
      <alignment horizontal="center" vertical="center"/>
    </xf>
    <xf numFmtId="182" fontId="13" fillId="7" borderId="11" xfId="5" quotePrefix="1" applyNumberFormat="1" applyFont="1" applyFill="1" applyBorder="1" applyAlignment="1">
      <alignment horizontal="center" vertical="center"/>
    </xf>
    <xf numFmtId="37" fontId="34" fillId="7" borderId="4" xfId="0" quotePrefix="1" applyNumberFormat="1" applyFont="1" applyFill="1" applyBorder="1" applyAlignment="1">
      <alignment horizontal="center" vertical="center"/>
    </xf>
    <xf numFmtId="0" fontId="32" fillId="7" borderId="0" xfId="0" applyFont="1" applyFill="1"/>
    <xf numFmtId="181" fontId="34" fillId="7" borderId="0" xfId="0" quotePrefix="1" applyNumberFormat="1" applyFont="1" applyFill="1" applyAlignment="1">
      <alignment horizontal="center" vertical="center"/>
    </xf>
    <xf numFmtId="37" fontId="34" fillId="7" borderId="0" xfId="0" quotePrefix="1" applyNumberFormat="1" applyFont="1" applyFill="1" applyAlignment="1">
      <alignment horizontal="center" vertical="center"/>
    </xf>
    <xf numFmtId="37" fontId="34" fillId="7" borderId="6" xfId="0" quotePrefix="1" applyNumberFormat="1" applyFont="1" applyFill="1" applyBorder="1" applyAlignment="1">
      <alignment horizontal="center" vertical="center"/>
    </xf>
    <xf numFmtId="181" fontId="34" fillId="5" borderId="4" xfId="0" applyNumberFormat="1" applyFont="1" applyFill="1" applyBorder="1" applyAlignment="1">
      <alignment horizontal="center" vertical="center"/>
    </xf>
    <xf numFmtId="181" fontId="34" fillId="5" borderId="6" xfId="0" applyNumberFormat="1" applyFont="1" applyFill="1" applyBorder="1" applyAlignment="1">
      <alignment horizontal="center" vertical="center"/>
    </xf>
    <xf numFmtId="181" fontId="30" fillId="5" borderId="6" xfId="0" applyNumberFormat="1" applyFont="1" applyFill="1" applyBorder="1" applyAlignment="1">
      <alignment horizontal="center" vertical="center"/>
    </xf>
    <xf numFmtId="0" fontId="49" fillId="0" borderId="33" xfId="0" applyFont="1" applyBorder="1" applyAlignment="1">
      <alignment horizontal="right" wrapText="1"/>
    </xf>
    <xf numFmtId="0" fontId="49" fillId="0" borderId="34" xfId="0" applyFont="1" applyBorder="1" applyAlignment="1">
      <alignment horizontal="right" wrapText="1"/>
    </xf>
    <xf numFmtId="0" fontId="49" fillId="0" borderId="35" xfId="0" applyFont="1" applyBorder="1" applyAlignment="1">
      <alignment horizontal="right"/>
    </xf>
    <xf numFmtId="14" fontId="49" fillId="0" borderId="35" xfId="0" applyNumberFormat="1" applyFont="1" applyBorder="1" applyAlignment="1">
      <alignment horizontal="right"/>
    </xf>
    <xf numFmtId="0" fontId="49" fillId="0" borderId="36" xfId="0" applyFont="1" applyBorder="1" applyAlignment="1">
      <alignment horizontal="right"/>
    </xf>
    <xf numFmtId="186" fontId="13" fillId="9" borderId="2" xfId="11" applyNumberFormat="1" applyFont="1" applyFill="1" applyBorder="1" applyAlignment="1">
      <alignment horizontal="right" vertical="center"/>
    </xf>
    <xf numFmtId="186" fontId="13" fillId="9" borderId="0" xfId="16" applyNumberFormat="1" applyFont="1" applyFill="1" applyBorder="1" applyAlignment="1">
      <alignment horizontal="right" vertical="center"/>
    </xf>
    <xf numFmtId="171" fontId="13" fillId="0" borderId="0" xfId="12" applyNumberFormat="1" applyFont="1" applyFill="1" applyBorder="1" applyAlignment="1">
      <alignment horizontal="right"/>
    </xf>
    <xf numFmtId="178" fontId="13" fillId="7" borderId="0" xfId="16" applyFont="1" applyFill="1" applyBorder="1">
      <alignment horizontal="right"/>
    </xf>
    <xf numFmtId="188" fontId="13" fillId="7" borderId="0" xfId="16" applyNumberFormat="1" applyFont="1" applyFill="1" applyBorder="1">
      <alignment horizontal="right"/>
    </xf>
    <xf numFmtId="186" fontId="32" fillId="10" borderId="3" xfId="16" applyNumberFormat="1" applyFont="1" applyFill="1" applyBorder="1" applyAlignment="1">
      <alignment horizontal="right" vertical="center"/>
    </xf>
    <xf numFmtId="186" fontId="32" fillId="10" borderId="4" xfId="16" applyNumberFormat="1" applyFont="1" applyFill="1" applyBorder="1" applyAlignment="1">
      <alignment horizontal="right" vertical="center"/>
    </xf>
    <xf numFmtId="186" fontId="13" fillId="10" borderId="0" xfId="16" applyNumberFormat="1" applyFont="1" applyFill="1" applyBorder="1" applyAlignment="1">
      <alignment horizontal="right" vertical="center"/>
    </xf>
    <xf numFmtId="186" fontId="32" fillId="10" borderId="7" xfId="16" applyNumberFormat="1" applyFont="1" applyFill="1" applyBorder="1" applyAlignment="1">
      <alignment horizontal="right" vertical="center"/>
    </xf>
    <xf numFmtId="186" fontId="32" fillId="10" borderId="8" xfId="16" applyNumberFormat="1" applyFont="1" applyFill="1" applyBorder="1" applyAlignment="1">
      <alignment horizontal="right" vertical="center"/>
    </xf>
    <xf numFmtId="172" fontId="13" fillId="7" borderId="0" xfId="9" applyNumberFormat="1" applyFill="1" applyAlignment="1">
      <alignment horizontal="right"/>
    </xf>
    <xf numFmtId="185" fontId="13" fillId="7" borderId="0" xfId="9" applyNumberFormat="1" applyFill="1" applyAlignment="1">
      <alignment horizontal="right"/>
    </xf>
    <xf numFmtId="186" fontId="13" fillId="9" borderId="12" xfId="16" applyNumberFormat="1" applyFont="1" applyFill="1" applyBorder="1" applyAlignment="1">
      <alignment horizontal="right" vertical="center"/>
    </xf>
    <xf numFmtId="0" fontId="12" fillId="7" borderId="0" xfId="0" applyFont="1" applyFill="1" applyAlignment="1">
      <alignment vertical="top"/>
    </xf>
    <xf numFmtId="0" fontId="49" fillId="4" borderId="0" xfId="0" applyFont="1" applyFill="1" applyAlignment="1">
      <alignment horizontal="left"/>
    </xf>
    <xf numFmtId="0" fontId="49" fillId="4" borderId="0" xfId="0" applyFont="1" applyFill="1" applyAlignment="1">
      <alignment horizontal="right"/>
    </xf>
    <xf numFmtId="0" fontId="51" fillId="4" borderId="0" xfId="0" applyFont="1" applyFill="1" applyAlignment="1">
      <alignment horizontal="left"/>
    </xf>
    <xf numFmtId="0" fontId="50" fillId="0" borderId="12" xfId="0" applyFont="1" applyBorder="1" applyAlignment="1">
      <alignment horizontal="right" wrapText="1"/>
    </xf>
    <xf numFmtId="4" fontId="37" fillId="0" borderId="18" xfId="8" applyNumberFormat="1" applyFont="1" applyBorder="1" applyAlignment="1">
      <alignment horizontal="center" vertical="center" wrapText="1"/>
    </xf>
    <xf numFmtId="181" fontId="37" fillId="0" borderId="18" xfId="8" applyNumberFormat="1" applyFont="1" applyBorder="1" applyAlignment="1">
      <alignment horizontal="center" vertical="center"/>
    </xf>
    <xf numFmtId="174" fontId="40" fillId="0" borderId="2" xfId="18" applyNumberFormat="1" applyFont="1" applyBorder="1" applyAlignment="1" applyProtection="1">
      <alignment horizontal="center" vertical="top"/>
      <protection locked="0"/>
    </xf>
    <xf numFmtId="174" fontId="40" fillId="9" borderId="0" xfId="18" applyNumberFormat="1" applyFont="1" applyFill="1" applyAlignment="1" applyProtection="1">
      <alignment horizontal="center" vertical="top"/>
      <protection locked="0"/>
    </xf>
    <xf numFmtId="174" fontId="40" fillId="0" borderId="12" xfId="18" applyNumberFormat="1" applyFont="1" applyBorder="1" applyAlignment="1" applyProtection="1">
      <alignment horizontal="center" vertical="top"/>
      <protection locked="0"/>
    </xf>
    <xf numFmtId="9" fontId="5" fillId="3" borderId="0" xfId="2" applyFont="1" applyFill="1" applyAlignment="1">
      <alignment horizontal="center" vertical="center"/>
    </xf>
    <xf numFmtId="3" fontId="3" fillId="0" borderId="0" xfId="0" applyNumberFormat="1" applyFont="1" applyAlignment="1">
      <alignment horizontal="center" vertical="center"/>
    </xf>
    <xf numFmtId="171" fontId="7" fillId="0" borderId="0" xfId="2" applyNumberFormat="1" applyFont="1" applyAlignment="1">
      <alignment horizontal="center" vertical="center"/>
    </xf>
    <xf numFmtId="3" fontId="7" fillId="0" borderId="0" xfId="0" applyNumberFormat="1" applyFont="1" applyAlignment="1">
      <alignment horizontal="center" vertical="center"/>
    </xf>
    <xf numFmtId="9" fontId="45" fillId="3" borderId="37" xfId="0" applyNumberFormat="1" applyFont="1" applyFill="1" applyBorder="1" applyAlignment="1">
      <alignment horizontal="center"/>
    </xf>
    <xf numFmtId="3" fontId="7" fillId="4" borderId="0" xfId="0" applyNumberFormat="1" applyFont="1" applyFill="1" applyAlignment="1">
      <alignment horizontal="center"/>
    </xf>
    <xf numFmtId="171" fontId="7" fillId="4" borderId="0" xfId="0" applyNumberFormat="1" applyFont="1" applyFill="1" applyAlignment="1">
      <alignment horizontal="center"/>
    </xf>
    <xf numFmtId="169" fontId="52" fillId="3" borderId="38" xfId="0" applyNumberFormat="1" applyFont="1" applyFill="1" applyBorder="1" applyAlignment="1">
      <alignment horizontal="center"/>
    </xf>
    <xf numFmtId="171" fontId="52" fillId="3" borderId="39" xfId="2" applyNumberFormat="1" applyFont="1" applyFill="1" applyBorder="1" applyAlignment="1">
      <alignment horizontal="center"/>
    </xf>
    <xf numFmtId="171" fontId="0" fillId="0" borderId="0" xfId="2" applyNumberFormat="1" applyFont="1" applyFill="1" applyAlignment="1">
      <alignment horizontal="center"/>
    </xf>
    <xf numFmtId="193" fontId="32" fillId="0" borderId="12" xfId="10" applyNumberFormat="1" applyFont="1" applyBorder="1">
      <alignment horizontal="center" vertical="center"/>
    </xf>
    <xf numFmtId="193" fontId="32" fillId="0" borderId="12" xfId="10" applyNumberFormat="1" applyFont="1" applyBorder="1" applyAlignment="1">
      <alignment horizontal="center" vertical="center" wrapText="1"/>
    </xf>
    <xf numFmtId="194" fontId="32" fillId="0" borderId="12" xfId="10" applyNumberFormat="1" applyFont="1" applyFill="1" applyBorder="1">
      <alignment horizontal="center" vertical="center"/>
    </xf>
    <xf numFmtId="0" fontId="32" fillId="8" borderId="12" xfId="10" applyFont="1" applyFill="1" applyBorder="1">
      <alignment horizontal="center" vertical="center"/>
    </xf>
    <xf numFmtId="164" fontId="13" fillId="0" borderId="18" xfId="9" applyNumberFormat="1" applyBorder="1" applyAlignment="1">
      <alignment horizontal="left"/>
    </xf>
    <xf numFmtId="195" fontId="13" fillId="0" borderId="18" xfId="9" applyNumberFormat="1" applyBorder="1" applyAlignment="1">
      <alignment horizontal="center" vertical="center"/>
    </xf>
    <xf numFmtId="1" fontId="13" fillId="0" borderId="17" xfId="9" applyNumberFormat="1" applyBorder="1" applyAlignment="1">
      <alignment horizontal="center" vertical="center"/>
    </xf>
    <xf numFmtId="193" fontId="32" fillId="0" borderId="0" xfId="10" applyNumberFormat="1" applyFont="1" applyBorder="1">
      <alignment horizontal="center" vertical="center"/>
    </xf>
    <xf numFmtId="193" fontId="32" fillId="0" borderId="0" xfId="10" applyNumberFormat="1" applyFont="1" applyBorder="1" applyAlignment="1">
      <alignment horizontal="center" vertical="center" wrapText="1"/>
    </xf>
    <xf numFmtId="0" fontId="49" fillId="0" borderId="40" xfId="0" applyFont="1" applyBorder="1" applyAlignment="1">
      <alignment horizontal="right" wrapText="1"/>
    </xf>
    <xf numFmtId="14" fontId="49" fillId="0" borderId="41" xfId="0" applyNumberFormat="1" applyFont="1" applyBorder="1" applyAlignment="1">
      <alignment horizontal="right"/>
    </xf>
    <xf numFmtId="0" fontId="49" fillId="0" borderId="0" xfId="0" applyFont="1" applyAlignment="1">
      <alignment horizontal="left" wrapText="1"/>
    </xf>
    <xf numFmtId="0" fontId="49" fillId="0" borderId="0" xfId="0" applyFont="1" applyAlignment="1">
      <alignment horizontal="left"/>
    </xf>
    <xf numFmtId="0" fontId="49" fillId="0" borderId="0" xfId="0" applyFont="1" applyAlignment="1">
      <alignment horizontal="right"/>
    </xf>
    <xf numFmtId="3" fontId="13" fillId="0" borderId="18" xfId="9" applyNumberFormat="1" applyBorder="1" applyAlignment="1">
      <alignment horizontal="center" vertical="center"/>
    </xf>
    <xf numFmtId="0" fontId="32" fillId="0" borderId="23" xfId="10" applyFont="1" applyFill="1" applyBorder="1" applyAlignment="1">
      <alignment horizontal="centerContinuous" vertical="center"/>
    </xf>
    <xf numFmtId="14" fontId="48" fillId="7" borderId="12" xfId="0" applyNumberFormat="1" applyFont="1" applyFill="1" applyBorder="1" applyAlignment="1">
      <alignment horizontal="right" vertical="center" wrapText="1"/>
    </xf>
    <xf numFmtId="0" fontId="32" fillId="8" borderId="42" xfId="10" applyFont="1" applyFill="1" applyBorder="1" applyAlignment="1">
      <alignment horizontal="centerContinuous" vertical="center"/>
    </xf>
    <xf numFmtId="0" fontId="32" fillId="8" borderId="23" xfId="10" applyFont="1" applyFill="1" applyBorder="1" applyAlignment="1">
      <alignment horizontal="centerContinuous" vertical="center"/>
    </xf>
    <xf numFmtId="0" fontId="49" fillId="8" borderId="33" xfId="0" applyFont="1" applyFill="1" applyBorder="1" applyAlignment="1">
      <alignment horizontal="right" wrapText="1"/>
    </xf>
    <xf numFmtId="0" fontId="49" fillId="8" borderId="35" xfId="0" applyFont="1" applyFill="1" applyBorder="1" applyAlignment="1">
      <alignment horizontal="right"/>
    </xf>
    <xf numFmtId="3" fontId="13" fillId="8" borderId="18" xfId="9" applyNumberFormat="1" applyFill="1" applyBorder="1" applyAlignment="1">
      <alignment horizontal="center" vertical="center"/>
    </xf>
    <xf numFmtId="0" fontId="13" fillId="0" borderId="0" xfId="11" applyFont="1" applyAlignment="1">
      <alignment horizontal="right"/>
    </xf>
    <xf numFmtId="181" fontId="13" fillId="0" borderId="18" xfId="9" applyNumberFormat="1" applyBorder="1" applyAlignment="1">
      <alignment horizontal="center" vertical="center"/>
    </xf>
    <xf numFmtId="181" fontId="13" fillId="0" borderId="2" xfId="9" applyNumberFormat="1" applyBorder="1" applyAlignment="1">
      <alignment horizontal="center" vertical="center"/>
    </xf>
    <xf numFmtId="181" fontId="13" fillId="0" borderId="0" xfId="9" applyNumberFormat="1" applyAlignment="1">
      <alignment horizontal="center" vertical="center"/>
    </xf>
    <xf numFmtId="181" fontId="13" fillId="9" borderId="0" xfId="9" applyNumberFormat="1" applyFill="1" applyAlignment="1">
      <alignment horizontal="center" vertical="center"/>
    </xf>
    <xf numFmtId="181" fontId="13" fillId="0" borderId="12" xfId="9" applyNumberFormat="1" applyBorder="1" applyAlignment="1">
      <alignment horizontal="center" vertical="center"/>
    </xf>
    <xf numFmtId="181" fontId="13" fillId="8" borderId="18" xfId="9" applyNumberFormat="1" applyFill="1" applyBorder="1" applyAlignment="1">
      <alignment horizontal="center" vertical="center"/>
    </xf>
    <xf numFmtId="176" fontId="13" fillId="9" borderId="2" xfId="11" applyNumberFormat="1" applyFont="1" applyFill="1" applyBorder="1" applyAlignment="1">
      <alignment horizontal="center" vertical="center"/>
    </xf>
    <xf numFmtId="176" fontId="13" fillId="9" borderId="0" xfId="16" applyNumberFormat="1" applyFont="1" applyFill="1" applyBorder="1" applyAlignment="1">
      <alignment horizontal="center" vertical="center"/>
    </xf>
    <xf numFmtId="176" fontId="13" fillId="10" borderId="0" xfId="16" applyNumberFormat="1" applyFont="1" applyFill="1" applyBorder="1" applyAlignment="1">
      <alignment horizontal="center" vertical="center"/>
    </xf>
    <xf numFmtId="176" fontId="13" fillId="9" borderId="12" xfId="16" applyNumberFormat="1" applyFont="1" applyFill="1" applyBorder="1" applyAlignment="1">
      <alignment horizontal="center" vertical="center"/>
    </xf>
    <xf numFmtId="181" fontId="13" fillId="0" borderId="0" xfId="9" applyNumberFormat="1" applyAlignment="1">
      <alignment horizontal="right"/>
    </xf>
    <xf numFmtId="181" fontId="13" fillId="0" borderId="4" xfId="9" applyNumberFormat="1" applyBorder="1" applyAlignment="1">
      <alignment horizontal="center" vertical="center"/>
    </xf>
    <xf numFmtId="181" fontId="13" fillId="0" borderId="6" xfId="9" applyNumberFormat="1" applyBorder="1" applyAlignment="1">
      <alignment horizontal="center" vertical="center"/>
    </xf>
    <xf numFmtId="181" fontId="13" fillId="9" borderId="6" xfId="9" applyNumberFormat="1" applyFill="1" applyBorder="1" applyAlignment="1">
      <alignment horizontal="center" vertical="center"/>
    </xf>
    <xf numFmtId="181" fontId="13" fillId="0" borderId="8" xfId="9" applyNumberFormat="1" applyBorder="1" applyAlignment="1">
      <alignment horizontal="center" vertical="center"/>
    </xf>
    <xf numFmtId="3" fontId="13" fillId="0" borderId="17" xfId="9" applyNumberFormat="1" applyBorder="1" applyAlignment="1">
      <alignment horizontal="center" vertical="center"/>
    </xf>
    <xf numFmtId="168" fontId="53" fillId="2" borderId="43" xfId="0" applyNumberFormat="1" applyFont="1" applyFill="1" applyBorder="1"/>
    <xf numFmtId="0" fontId="54" fillId="0" borderId="0" xfId="0" applyFont="1"/>
    <xf numFmtId="3" fontId="3" fillId="0" borderId="0" xfId="0" applyNumberFormat="1" applyFont="1" applyAlignment="1">
      <alignment horizontal="center"/>
    </xf>
    <xf numFmtId="3" fontId="7" fillId="0" borderId="0" xfId="0" applyNumberFormat="1" applyFont="1" applyAlignment="1">
      <alignment horizontal="center"/>
    </xf>
    <xf numFmtId="3" fontId="7" fillId="4" borderId="0" xfId="1" applyNumberFormat="1" applyFont="1" applyFill="1" applyAlignment="1">
      <alignment horizontal="center"/>
    </xf>
    <xf numFmtId="3" fontId="3" fillId="4" borderId="0" xfId="0" applyNumberFormat="1" applyFont="1" applyFill="1" applyAlignment="1">
      <alignment horizontal="center"/>
    </xf>
    <xf numFmtId="196" fontId="9" fillId="0" borderId="0" xfId="1" applyNumberFormat="1" applyFont="1" applyAlignment="1">
      <alignment horizontal="center" vertical="center"/>
    </xf>
    <xf numFmtId="196" fontId="3" fillId="4" borderId="0" xfId="1" applyNumberFormat="1" applyFont="1" applyFill="1" applyAlignment="1">
      <alignment horizontal="center"/>
    </xf>
    <xf numFmtId="0" fontId="0" fillId="0" borderId="44" xfId="0" applyBorder="1" applyAlignment="1">
      <alignment horizontal="left"/>
    </xf>
    <xf numFmtId="168" fontId="17" fillId="0" borderId="0" xfId="1" applyNumberFormat="1" applyFont="1" applyFill="1" applyBorder="1" applyAlignment="1">
      <alignment horizontal="center"/>
    </xf>
    <xf numFmtId="168" fontId="0" fillId="0" borderId="0" xfId="2" applyNumberFormat="1" applyFont="1" applyFill="1" applyAlignment="1">
      <alignment horizontal="center"/>
    </xf>
    <xf numFmtId="168" fontId="0" fillId="0" borderId="44" xfId="1" applyNumberFormat="1" applyFont="1" applyFill="1" applyBorder="1" applyAlignment="1">
      <alignment horizontal="center"/>
    </xf>
    <xf numFmtId="168" fontId="17" fillId="0" borderId="44" xfId="1" applyNumberFormat="1" applyFont="1" applyFill="1" applyBorder="1"/>
    <xf numFmtId="175" fontId="0" fillId="0" borderId="44" xfId="0" applyNumberFormat="1" applyBorder="1" applyAlignment="1">
      <alignment horizontal="center"/>
    </xf>
    <xf numFmtId="168" fontId="0" fillId="0" borderId="44" xfId="1" applyNumberFormat="1" applyFont="1" applyBorder="1" applyAlignment="1">
      <alignment horizontal="center"/>
    </xf>
    <xf numFmtId="168" fontId="0" fillId="0" borderId="44" xfId="2" applyNumberFormat="1" applyFont="1" applyFill="1" applyBorder="1" applyAlignment="1">
      <alignment horizontal="center"/>
    </xf>
    <xf numFmtId="168" fontId="1" fillId="0" borderId="0" xfId="1" applyNumberFormat="1" applyFont="1" applyFill="1"/>
    <xf numFmtId="168" fontId="1" fillId="0" borderId="44" xfId="1" applyNumberFormat="1" applyFont="1" applyFill="1" applyBorder="1"/>
    <xf numFmtId="168" fontId="17" fillId="0" borderId="0" xfId="1" applyNumberFormat="1" applyFont="1" applyFill="1" applyAlignment="1">
      <alignment horizontal="center"/>
    </xf>
    <xf numFmtId="3" fontId="17" fillId="0" borderId="0" xfId="0" applyNumberFormat="1" applyFont="1"/>
    <xf numFmtId="168" fontId="17" fillId="0" borderId="0" xfId="1" applyNumberFormat="1" applyFont="1" applyFill="1" applyAlignment="1">
      <alignment horizontal="right" vertical="center"/>
    </xf>
    <xf numFmtId="197" fontId="0" fillId="0" borderId="0" xfId="0" applyNumberFormat="1"/>
    <xf numFmtId="0" fontId="55" fillId="0" borderId="0" xfId="0" applyFont="1"/>
    <xf numFmtId="0" fontId="56" fillId="12" borderId="3" xfId="0" applyFont="1" applyFill="1" applyBorder="1"/>
    <xf numFmtId="0" fontId="56" fillId="12" borderId="2" xfId="0" applyFont="1" applyFill="1" applyBorder="1"/>
    <xf numFmtId="0" fontId="56" fillId="12" borderId="2" xfId="0" applyFont="1" applyFill="1" applyBorder="1" applyAlignment="1">
      <alignment horizontal="center" vertical="center"/>
    </xf>
    <xf numFmtId="0" fontId="56" fillId="12" borderId="4" xfId="0" applyFont="1" applyFill="1" applyBorder="1" applyAlignment="1">
      <alignment horizontal="center" vertical="center"/>
    </xf>
    <xf numFmtId="0" fontId="3" fillId="12" borderId="3" xfId="0" applyFont="1" applyFill="1" applyBorder="1" applyAlignment="1">
      <alignment horizontal="center" vertical="center"/>
    </xf>
    <xf numFmtId="0" fontId="3" fillId="12" borderId="2" xfId="0" applyFont="1" applyFill="1" applyBorder="1"/>
    <xf numFmtId="0" fontId="3" fillId="12" borderId="4" xfId="0" applyFont="1" applyFill="1" applyBorder="1"/>
    <xf numFmtId="0" fontId="3" fillId="12" borderId="3" xfId="0" applyFont="1" applyFill="1" applyBorder="1"/>
    <xf numFmtId="0" fontId="57" fillId="12" borderId="2" xfId="0" applyFont="1" applyFill="1" applyBorder="1" applyAlignment="1">
      <alignment vertical="center"/>
    </xf>
    <xf numFmtId="0" fontId="7" fillId="12" borderId="5" xfId="0" applyFont="1" applyFill="1" applyBorder="1"/>
    <xf numFmtId="0" fontId="7" fillId="12" borderId="6" xfId="0" applyFont="1" applyFill="1" applyBorder="1"/>
    <xf numFmtId="198" fontId="7" fillId="0" borderId="0" xfId="0" applyNumberFormat="1" applyFont="1" applyAlignment="1">
      <alignment horizontal="centerContinuous" vertical="center"/>
    </xf>
    <xf numFmtId="198" fontId="7" fillId="12" borderId="5" xfId="0" applyNumberFormat="1" applyFont="1" applyFill="1" applyBorder="1" applyAlignment="1">
      <alignment horizontal="centerContinuous" vertical="center"/>
    </xf>
    <xf numFmtId="0" fontId="3" fillId="12" borderId="5" xfId="0" applyFont="1" applyFill="1" applyBorder="1"/>
    <xf numFmtId="0" fontId="3" fillId="12" borderId="0" xfId="0" applyFont="1" applyFill="1"/>
    <xf numFmtId="0" fontId="7" fillId="12" borderId="12" xfId="0" applyFont="1" applyFill="1" applyBorder="1" applyAlignment="1">
      <alignment horizontal="left" vertical="center" wrapText="1"/>
    </xf>
    <xf numFmtId="0" fontId="7" fillId="12" borderId="12" xfId="0" applyFont="1" applyFill="1" applyBorder="1" applyAlignment="1">
      <alignment horizontal="center" vertical="center" wrapText="1"/>
    </xf>
    <xf numFmtId="0" fontId="7" fillId="0" borderId="0" xfId="0" applyFont="1" applyAlignment="1">
      <alignment horizontal="center" vertical="center" wrapText="1"/>
    </xf>
    <xf numFmtId="0" fontId="7" fillId="12" borderId="5" xfId="0" applyFont="1" applyFill="1" applyBorder="1" applyAlignment="1">
      <alignment horizontal="center" vertical="center" wrapText="1"/>
    </xf>
    <xf numFmtId="0" fontId="7" fillId="12" borderId="6" xfId="0" applyFont="1" applyFill="1" applyBorder="1" applyAlignment="1">
      <alignment horizontal="center" vertical="center" wrapText="1"/>
    </xf>
    <xf numFmtId="0" fontId="7" fillId="12" borderId="5" xfId="0" applyFont="1" applyFill="1" applyBorder="1" applyAlignment="1">
      <alignment wrapText="1"/>
    </xf>
    <xf numFmtId="0" fontId="7" fillId="7" borderId="0" xfId="0" applyFont="1" applyFill="1" applyAlignment="1">
      <alignment horizontal="center" vertical="center" wrapText="1"/>
    </xf>
    <xf numFmtId="0" fontId="7" fillId="12" borderId="7" xfId="0" applyFont="1" applyFill="1" applyBorder="1" applyAlignment="1">
      <alignment horizontal="center" vertical="center" wrapText="1"/>
    </xf>
    <xf numFmtId="0" fontId="3" fillId="12" borderId="0" xfId="0" applyFont="1" applyFill="1" applyAlignment="1">
      <alignment horizontal="center" vertical="center"/>
    </xf>
    <xf numFmtId="0" fontId="3" fillId="12" borderId="5" xfId="0" applyFont="1" applyFill="1" applyBorder="1" applyAlignment="1">
      <alignment horizontal="center" vertical="center"/>
    </xf>
    <xf numFmtId="0" fontId="3" fillId="12" borderId="6" xfId="0" applyFont="1" applyFill="1" applyBorder="1"/>
    <xf numFmtId="0" fontId="3" fillId="12" borderId="6" xfId="0" applyFont="1" applyFill="1" applyBorder="1" applyAlignment="1">
      <alignment horizontal="center" vertical="center"/>
    </xf>
    <xf numFmtId="199" fontId="3" fillId="12" borderId="6" xfId="0" applyNumberFormat="1" applyFont="1" applyFill="1" applyBorder="1" applyAlignment="1">
      <alignment horizontal="center" vertical="center"/>
    </xf>
    <xf numFmtId="0" fontId="58" fillId="0" borderId="0" xfId="0" applyFont="1"/>
    <xf numFmtId="0" fontId="3" fillId="12" borderId="45" xfId="0" applyFont="1" applyFill="1" applyBorder="1" applyAlignment="1">
      <alignment horizontal="left" vertical="center"/>
    </xf>
    <xf numFmtId="0" fontId="3" fillId="12" borderId="45" xfId="0" applyFont="1" applyFill="1" applyBorder="1" applyAlignment="1">
      <alignment horizontal="center" vertical="center"/>
    </xf>
    <xf numFmtId="200" fontId="3" fillId="12" borderId="45" xfId="0" applyNumberFormat="1" applyFont="1" applyFill="1" applyBorder="1" applyAlignment="1">
      <alignment horizontal="center" vertical="center"/>
    </xf>
    <xf numFmtId="199" fontId="3" fillId="12" borderId="45" xfId="0" applyNumberFormat="1" applyFont="1" applyFill="1" applyBorder="1" applyAlignment="1">
      <alignment horizontal="center" vertical="center"/>
    </xf>
    <xf numFmtId="199" fontId="3" fillId="0" borderId="0" xfId="0" applyNumberFormat="1" applyFont="1" applyAlignment="1">
      <alignment horizontal="center" vertical="center"/>
    </xf>
    <xf numFmtId="199" fontId="3" fillId="12" borderId="5" xfId="0" applyNumberFormat="1" applyFont="1" applyFill="1" applyBorder="1" applyAlignment="1">
      <alignment horizontal="center" vertical="center"/>
    </xf>
    <xf numFmtId="190" fontId="7" fillId="12" borderId="45" xfId="0" applyNumberFormat="1" applyFont="1" applyFill="1" applyBorder="1" applyAlignment="1">
      <alignment horizontal="center" vertical="center"/>
    </xf>
    <xf numFmtId="171" fontId="3" fillId="12" borderId="45" xfId="2" applyNumberFormat="1" applyFont="1" applyFill="1" applyBorder="1" applyAlignment="1">
      <alignment horizontal="center" vertical="center"/>
    </xf>
    <xf numFmtId="9" fontId="3" fillId="12" borderId="46" xfId="2" applyFont="1" applyFill="1" applyBorder="1" applyAlignment="1">
      <alignment horizontal="center" vertical="center"/>
    </xf>
    <xf numFmtId="9" fontId="3" fillId="0" borderId="0" xfId="2" applyFont="1" applyFill="1" applyBorder="1" applyAlignment="1">
      <alignment horizontal="center" vertical="center"/>
    </xf>
    <xf numFmtId="9" fontId="3" fillId="12" borderId="5" xfId="2" applyFont="1" applyFill="1" applyBorder="1" applyAlignment="1">
      <alignment horizontal="center" vertical="center"/>
    </xf>
    <xf numFmtId="171" fontId="3" fillId="12" borderId="0" xfId="2" applyNumberFormat="1" applyFont="1" applyFill="1" applyBorder="1" applyAlignment="1">
      <alignment vertical="center"/>
    </xf>
    <xf numFmtId="3" fontId="9" fillId="12" borderId="0" xfId="0" applyNumberFormat="1" applyFont="1" applyFill="1" applyAlignment="1">
      <alignment vertical="center"/>
    </xf>
    <xf numFmtId="201" fontId="3" fillId="12" borderId="45" xfId="0" applyNumberFormat="1" applyFont="1" applyFill="1" applyBorder="1" applyAlignment="1">
      <alignment horizontal="center" vertical="center"/>
    </xf>
    <xf numFmtId="199" fontId="9" fillId="12" borderId="0" xfId="0" applyNumberFormat="1" applyFont="1" applyFill="1" applyAlignment="1">
      <alignment horizontal="center" vertical="center"/>
    </xf>
    <xf numFmtId="199" fontId="6" fillId="0" borderId="0" xfId="0" applyNumberFormat="1" applyFont="1" applyAlignment="1">
      <alignment horizontal="center" vertical="center"/>
    </xf>
    <xf numFmtId="199" fontId="6" fillId="12" borderId="5" xfId="0" applyNumberFormat="1" applyFont="1" applyFill="1" applyBorder="1" applyAlignment="1">
      <alignment horizontal="center" vertical="center"/>
    </xf>
    <xf numFmtId="182" fontId="6" fillId="13" borderId="0" xfId="0" applyNumberFormat="1" applyFont="1" applyFill="1" applyAlignment="1">
      <alignment vertical="center"/>
    </xf>
    <xf numFmtId="199" fontId="9" fillId="12" borderId="0" xfId="0" applyNumberFormat="1" applyFont="1" applyFill="1" applyAlignment="1">
      <alignment vertical="center"/>
    </xf>
    <xf numFmtId="182" fontId="3" fillId="12" borderId="45" xfId="0" applyNumberFormat="1" applyFont="1" applyFill="1" applyBorder="1" applyAlignment="1">
      <alignment horizontal="center" vertical="center"/>
    </xf>
    <xf numFmtId="182" fontId="9" fillId="12" borderId="45" xfId="2" applyNumberFormat="1" applyFont="1" applyFill="1" applyBorder="1" applyAlignment="1">
      <alignment horizontal="center" vertical="center"/>
    </xf>
    <xf numFmtId="0" fontId="3" fillId="12" borderId="0" xfId="0" applyFont="1" applyFill="1" applyAlignment="1">
      <alignment horizontal="left" vertical="center"/>
    </xf>
    <xf numFmtId="200" fontId="3" fillId="12" borderId="0" xfId="0" applyNumberFormat="1" applyFont="1" applyFill="1" applyAlignment="1">
      <alignment horizontal="center" vertical="center"/>
    </xf>
    <xf numFmtId="199" fontId="3" fillId="12" borderId="0" xfId="0" applyNumberFormat="1" applyFont="1" applyFill="1" applyAlignment="1">
      <alignment horizontal="center" vertical="center"/>
    </xf>
    <xf numFmtId="190" fontId="7" fillId="12" borderId="0" xfId="0" applyNumberFormat="1" applyFont="1" applyFill="1" applyAlignment="1">
      <alignment horizontal="center" vertical="center"/>
    </xf>
    <xf numFmtId="171" fontId="3" fillId="12" borderId="0" xfId="2" applyNumberFormat="1" applyFont="1" applyFill="1" applyBorder="1" applyAlignment="1">
      <alignment horizontal="center" vertical="center"/>
    </xf>
    <xf numFmtId="9" fontId="3" fillId="12" borderId="6" xfId="2" applyFont="1" applyFill="1" applyBorder="1" applyAlignment="1">
      <alignment horizontal="center" vertical="center"/>
    </xf>
    <xf numFmtId="3" fontId="9" fillId="12" borderId="0" xfId="0" applyNumberFormat="1" applyFont="1" applyFill="1" applyAlignment="1">
      <alignment horizontal="center" vertical="center"/>
    </xf>
    <xf numFmtId="201" fontId="3" fillId="12" borderId="0" xfId="0" applyNumberFormat="1" applyFont="1" applyFill="1" applyAlignment="1">
      <alignment horizontal="center" vertical="center"/>
    </xf>
    <xf numFmtId="182" fontId="3" fillId="12" borderId="0" xfId="0" applyNumberFormat="1" applyFont="1" applyFill="1" applyAlignment="1">
      <alignment horizontal="center" vertical="center"/>
    </xf>
    <xf numFmtId="182" fontId="9" fillId="12" borderId="0" xfId="2" applyNumberFormat="1" applyFont="1" applyFill="1" applyBorder="1" applyAlignment="1">
      <alignment horizontal="center" vertical="center"/>
    </xf>
    <xf numFmtId="182" fontId="6" fillId="13" borderId="0" xfId="0" applyNumberFormat="1" applyFont="1" applyFill="1" applyAlignment="1">
      <alignment horizontal="center" vertical="center"/>
    </xf>
    <xf numFmtId="199" fontId="3" fillId="12" borderId="5" xfId="0" applyNumberFormat="1" applyFont="1" applyFill="1" applyBorder="1"/>
    <xf numFmtId="3" fontId="7" fillId="12" borderId="6" xfId="0" applyNumberFormat="1" applyFont="1" applyFill="1" applyBorder="1" applyAlignment="1">
      <alignment horizontal="center" vertical="center"/>
    </xf>
    <xf numFmtId="199" fontId="3" fillId="12" borderId="12" xfId="0" applyNumberFormat="1" applyFont="1" applyFill="1" applyBorder="1" applyAlignment="1">
      <alignment horizontal="center" vertical="center"/>
    </xf>
    <xf numFmtId="199" fontId="3" fillId="12" borderId="47" xfId="0" applyNumberFormat="1" applyFont="1" applyFill="1" applyBorder="1" applyAlignment="1">
      <alignment horizontal="center" vertical="center"/>
    </xf>
    <xf numFmtId="9" fontId="3" fillId="12" borderId="47" xfId="2" applyFont="1" applyFill="1" applyBorder="1" applyAlignment="1">
      <alignment horizontal="center" vertical="center"/>
    </xf>
    <xf numFmtId="10" fontId="3" fillId="12" borderId="12" xfId="2" applyNumberFormat="1" applyFont="1" applyFill="1" applyBorder="1" applyAlignment="1">
      <alignment horizontal="center" vertical="center"/>
    </xf>
    <xf numFmtId="182" fontId="9" fillId="13" borderId="12" xfId="0" applyNumberFormat="1" applyFont="1" applyFill="1" applyBorder="1" applyAlignment="1">
      <alignment horizontal="center" vertical="center"/>
    </xf>
    <xf numFmtId="0" fontId="7" fillId="12" borderId="2" xfId="0" applyFont="1" applyFill="1" applyBorder="1"/>
    <xf numFmtId="0" fontId="7" fillId="12" borderId="2" xfId="0" applyFont="1" applyFill="1" applyBorder="1" applyAlignment="1">
      <alignment horizontal="center" vertical="center"/>
    </xf>
    <xf numFmtId="3" fontId="7" fillId="12" borderId="2" xfId="0" applyNumberFormat="1" applyFont="1" applyFill="1" applyBorder="1" applyAlignment="1">
      <alignment horizontal="center" vertical="center"/>
    </xf>
    <xf numFmtId="3" fontId="7" fillId="12" borderId="0" xfId="0" applyNumberFormat="1" applyFont="1" applyFill="1" applyAlignment="1">
      <alignment horizontal="center" vertical="center"/>
    </xf>
    <xf numFmtId="9" fontId="59" fillId="12" borderId="0" xfId="2" applyFont="1" applyFill="1" applyBorder="1" applyAlignment="1">
      <alignment horizontal="center" vertical="center"/>
    </xf>
    <xf numFmtId="9" fontId="59" fillId="12" borderId="6" xfId="2" applyFont="1" applyFill="1" applyBorder="1" applyAlignment="1">
      <alignment horizontal="center" vertical="center"/>
    </xf>
    <xf numFmtId="9" fontId="59" fillId="0" borderId="0" xfId="2" applyFont="1" applyFill="1" applyBorder="1" applyAlignment="1">
      <alignment horizontal="center" vertical="center"/>
    </xf>
    <xf numFmtId="9" fontId="59" fillId="12" borderId="5" xfId="2" applyFont="1" applyFill="1" applyBorder="1" applyAlignment="1">
      <alignment horizontal="center" vertical="center"/>
    </xf>
    <xf numFmtId="171" fontId="7" fillId="12" borderId="0" xfId="2" applyNumberFormat="1" applyFont="1" applyFill="1" applyBorder="1" applyAlignment="1">
      <alignment horizontal="center" vertical="center"/>
    </xf>
    <xf numFmtId="3" fontId="59" fillId="12" borderId="2" xfId="2" applyNumberFormat="1" applyFont="1" applyFill="1" applyBorder="1" applyAlignment="1">
      <alignment horizontal="center" vertical="center"/>
    </xf>
    <xf numFmtId="201" fontId="7" fillId="12" borderId="2" xfId="0" applyNumberFormat="1" applyFont="1" applyFill="1" applyBorder="1" applyAlignment="1">
      <alignment horizontal="center" vertical="center"/>
    </xf>
    <xf numFmtId="0" fontId="9" fillId="0" borderId="0" xfId="0" applyFont="1"/>
    <xf numFmtId="3" fontId="7" fillId="12" borderId="5" xfId="0" applyNumberFormat="1" applyFont="1" applyFill="1" applyBorder="1" applyAlignment="1">
      <alignment horizontal="center" vertical="center"/>
    </xf>
    <xf numFmtId="169" fontId="7" fillId="12" borderId="0" xfId="0" applyNumberFormat="1" applyFont="1" applyFill="1" applyAlignment="1">
      <alignment horizontal="center" vertical="center"/>
    </xf>
    <xf numFmtId="171" fontId="7" fillId="12" borderId="2" xfId="2" applyNumberFormat="1" applyFont="1" applyFill="1" applyBorder="1" applyAlignment="1">
      <alignment horizontal="center" vertical="center"/>
    </xf>
    <xf numFmtId="182" fontId="7" fillId="12" borderId="2" xfId="0" applyNumberFormat="1" applyFont="1" applyFill="1" applyBorder="1" applyAlignment="1">
      <alignment horizontal="center" vertical="center"/>
    </xf>
    <xf numFmtId="182" fontId="7" fillId="12" borderId="2" xfId="2" applyNumberFormat="1" applyFont="1" applyFill="1" applyBorder="1" applyAlignment="1">
      <alignment horizontal="center" vertical="center"/>
    </xf>
    <xf numFmtId="3" fontId="3" fillId="12" borderId="7" xfId="0" applyNumberFormat="1" applyFont="1" applyFill="1" applyBorder="1" applyAlignment="1">
      <alignment horizontal="center" vertical="center"/>
    </xf>
    <xf numFmtId="3" fontId="3" fillId="12" borderId="12" xfId="0" applyNumberFormat="1" applyFont="1" applyFill="1" applyBorder="1" applyAlignment="1">
      <alignment horizontal="center" vertical="center"/>
    </xf>
    <xf numFmtId="3" fontId="3" fillId="12" borderId="8" xfId="0" applyNumberFormat="1" applyFont="1" applyFill="1" applyBorder="1" applyAlignment="1">
      <alignment horizontal="center" vertical="center"/>
    </xf>
    <xf numFmtId="0" fontId="4" fillId="12" borderId="7" xfId="0" applyFont="1" applyFill="1" applyBorder="1"/>
    <xf numFmtId="3" fontId="4" fillId="12" borderId="12" xfId="0" applyNumberFormat="1" applyFont="1" applyFill="1" applyBorder="1" applyAlignment="1">
      <alignment horizontal="center" vertical="center"/>
    </xf>
    <xf numFmtId="3" fontId="4" fillId="12" borderId="8" xfId="0" applyNumberFormat="1" applyFont="1" applyFill="1" applyBorder="1" applyAlignment="1">
      <alignment horizontal="center" vertical="center"/>
    </xf>
    <xf numFmtId="0" fontId="3" fillId="12" borderId="7" xfId="0" applyFont="1" applyFill="1" applyBorder="1"/>
    <xf numFmtId="3" fontId="3" fillId="0" borderId="0" xfId="0" applyNumberFormat="1" applyFont="1"/>
    <xf numFmtId="14" fontId="3" fillId="0" borderId="0" xfId="0" applyNumberFormat="1" applyFont="1" applyAlignment="1">
      <alignment horizontal="center"/>
    </xf>
    <xf numFmtId="166" fontId="3" fillId="0" borderId="0" xfId="1" applyFont="1" applyFill="1"/>
    <xf numFmtId="198" fontId="8" fillId="12" borderId="0" xfId="0" applyNumberFormat="1" applyFont="1" applyFill="1" applyAlignment="1">
      <alignment vertical="center"/>
    </xf>
    <xf numFmtId="0" fontId="3" fillId="0" borderId="9" xfId="0" applyFont="1" applyBorder="1" applyAlignment="1">
      <alignment horizontal="center" vertical="center"/>
    </xf>
    <xf numFmtId="0" fontId="3" fillId="0" borderId="11" xfId="2" applyNumberFormat="1" applyFont="1" applyBorder="1" applyAlignment="1">
      <alignment horizontal="center" vertical="center"/>
    </xf>
    <xf numFmtId="171" fontId="3" fillId="9" borderId="0" xfId="2" applyNumberFormat="1" applyFont="1" applyFill="1" applyBorder="1" applyAlignment="1">
      <alignment horizontal="center" vertical="center"/>
    </xf>
    <xf numFmtId="10" fontId="3" fillId="9" borderId="0" xfId="2" applyNumberFormat="1" applyFont="1" applyFill="1" applyBorder="1" applyAlignment="1">
      <alignment horizontal="center"/>
    </xf>
    <xf numFmtId="0" fontId="7" fillId="9" borderId="0" xfId="0" applyFont="1" applyFill="1" applyAlignment="1">
      <alignment vertical="center"/>
    </xf>
    <xf numFmtId="0" fontId="7" fillId="9" borderId="0" xfId="0" applyFont="1" applyFill="1" applyAlignment="1">
      <alignment horizontal="right" vertical="center"/>
    </xf>
    <xf numFmtId="169" fontId="7" fillId="9" borderId="0" xfId="0" applyNumberFormat="1" applyFont="1" applyFill="1" applyAlignment="1">
      <alignment vertical="center"/>
    </xf>
    <xf numFmtId="194" fontId="45" fillId="9" borderId="0" xfId="0" applyNumberFormat="1" applyFont="1" applyFill="1" applyAlignment="1">
      <alignment horizontal="center"/>
    </xf>
    <xf numFmtId="0" fontId="3" fillId="0" borderId="3" xfId="0" applyFont="1" applyBorder="1"/>
    <xf numFmtId="198" fontId="8" fillId="12" borderId="0" xfId="0" applyNumberFormat="1" applyFont="1" applyFill="1" applyAlignment="1">
      <alignment horizontal="center" vertical="center"/>
    </xf>
    <xf numFmtId="198" fontId="7" fillId="12" borderId="0" xfId="0" applyNumberFormat="1" applyFont="1" applyFill="1" applyAlignment="1">
      <alignment horizontal="center" vertical="center"/>
    </xf>
    <xf numFmtId="0" fontId="8" fillId="12" borderId="0" xfId="0" applyFont="1" applyFill="1" applyAlignment="1">
      <alignment horizontal="center"/>
    </xf>
    <xf numFmtId="198" fontId="3" fillId="12" borderId="0" xfId="0" applyNumberFormat="1" applyFont="1" applyFill="1" applyAlignment="1">
      <alignment horizontal="center"/>
    </xf>
    <xf numFmtId="0" fontId="26" fillId="7" borderId="0" xfId="0" applyFont="1" applyFill="1" applyAlignment="1">
      <alignment horizontal="center" vertical="center"/>
    </xf>
    <xf numFmtId="0" fontId="18" fillId="2" borderId="5" xfId="0" applyFont="1" applyFill="1" applyBorder="1" applyAlignment="1">
      <alignment horizontal="center" vertical="center" textRotation="90"/>
    </xf>
    <xf numFmtId="0" fontId="18" fillId="2" borderId="7" xfId="0" applyFont="1" applyFill="1" applyBorder="1" applyAlignment="1">
      <alignment horizontal="center" vertical="center" textRotation="90"/>
    </xf>
    <xf numFmtId="0" fontId="5" fillId="6" borderId="4" xfId="0" applyFont="1" applyFill="1" applyBorder="1" applyAlignment="1">
      <alignment horizontal="center"/>
    </xf>
    <xf numFmtId="0" fontId="3" fillId="6" borderId="6" xfId="0" applyFont="1" applyFill="1" applyBorder="1" applyAlignment="1">
      <alignment horizontal="center"/>
    </xf>
    <xf numFmtId="170" fontId="3" fillId="6" borderId="6" xfId="0" applyNumberFormat="1" applyFont="1" applyFill="1" applyBorder="1" applyAlignment="1">
      <alignment horizontal="center"/>
    </xf>
    <xf numFmtId="171" fontId="3" fillId="6" borderId="8" xfId="2" applyNumberFormat="1" applyFont="1" applyFill="1" applyBorder="1" applyAlignment="1">
      <alignment horizontal="center"/>
    </xf>
    <xf numFmtId="0" fontId="3" fillId="6" borderId="0" xfId="0" applyFont="1" applyFill="1"/>
    <xf numFmtId="168" fontId="5" fillId="6" borderId="2" xfId="1" applyNumberFormat="1" applyFont="1" applyFill="1" applyBorder="1"/>
    <xf numFmtId="168" fontId="5" fillId="6" borderId="0" xfId="1" applyNumberFormat="1" applyFont="1" applyFill="1" applyBorder="1"/>
    <xf numFmtId="168" fontId="9" fillId="6" borderId="0" xfId="1" applyNumberFormat="1" applyFont="1" applyFill="1" applyBorder="1"/>
    <xf numFmtId="171" fontId="3" fillId="6" borderId="12" xfId="2" applyNumberFormat="1" applyFont="1" applyFill="1" applyBorder="1"/>
    <xf numFmtId="168" fontId="3" fillId="6" borderId="4" xfId="1" applyNumberFormat="1" applyFont="1" applyFill="1" applyBorder="1"/>
    <xf numFmtId="168" fontId="3" fillId="6" borderId="6" xfId="1" applyNumberFormat="1" applyFont="1" applyFill="1" applyBorder="1"/>
    <xf numFmtId="168" fontId="3" fillId="6" borderId="6" xfId="0" applyNumberFormat="1" applyFont="1" applyFill="1" applyBorder="1"/>
    <xf numFmtId="171" fontId="3" fillId="6" borderId="8" xfId="2" applyNumberFormat="1" applyFont="1" applyFill="1" applyBorder="1"/>
    <xf numFmtId="0" fontId="7" fillId="6" borderId="15" xfId="0" applyFont="1" applyFill="1" applyBorder="1"/>
    <xf numFmtId="0" fontId="7" fillId="6" borderId="15" xfId="0" applyFont="1" applyFill="1" applyBorder="1" applyAlignment="1">
      <alignment horizontal="center"/>
    </xf>
    <xf numFmtId="0" fontId="5" fillId="6" borderId="16" xfId="0" applyFont="1" applyFill="1" applyBorder="1"/>
    <xf numFmtId="0" fontId="5" fillId="6" borderId="17" xfId="0" applyFont="1" applyFill="1" applyBorder="1" applyAlignment="1">
      <alignment horizontal="center" vertical="center"/>
    </xf>
    <xf numFmtId="4" fontId="9" fillId="6" borderId="17" xfId="0" applyNumberFormat="1" applyFont="1" applyFill="1" applyBorder="1" applyAlignment="1">
      <alignment horizontal="center" vertical="center"/>
    </xf>
    <xf numFmtId="0" fontId="5" fillId="6" borderId="17" xfId="0" applyFont="1" applyFill="1" applyBorder="1"/>
    <xf numFmtId="0" fontId="5" fillId="6" borderId="16" xfId="0" applyFont="1" applyFill="1" applyBorder="1" applyAlignment="1">
      <alignment horizontal="center"/>
    </xf>
    <xf numFmtId="0" fontId="5" fillId="6" borderId="17" xfId="0" applyFont="1" applyFill="1" applyBorder="1" applyAlignment="1">
      <alignment horizontal="center"/>
    </xf>
    <xf numFmtId="170" fontId="5" fillId="6" borderId="6" xfId="0" applyNumberFormat="1" applyFont="1" applyFill="1" applyBorder="1" applyAlignment="1">
      <alignment horizontal="center"/>
    </xf>
    <xf numFmtId="170" fontId="9" fillId="6" borderId="6" xfId="0" applyNumberFormat="1" applyFont="1" applyFill="1" applyBorder="1" applyAlignment="1">
      <alignment horizontal="center"/>
    </xf>
    <xf numFmtId="171" fontId="5" fillId="6" borderId="6" xfId="0" applyNumberFormat="1" applyFont="1" applyFill="1" applyBorder="1" applyAlignment="1">
      <alignment horizontal="center"/>
    </xf>
    <xf numFmtId="171" fontId="5" fillId="6" borderId="8" xfId="0" applyNumberFormat="1" applyFont="1" applyFill="1" applyBorder="1" applyAlignment="1">
      <alignment horizontal="center"/>
    </xf>
    <xf numFmtId="168" fontId="9" fillId="6" borderId="2" xfId="1" applyNumberFormat="1" applyFont="1" applyFill="1" applyBorder="1" applyAlignment="1">
      <alignment horizontal="center"/>
    </xf>
    <xf numFmtId="168" fontId="9" fillId="6" borderId="4" xfId="1" applyNumberFormat="1" applyFont="1" applyFill="1" applyBorder="1" applyAlignment="1">
      <alignment horizontal="center"/>
    </xf>
  </cellXfs>
  <cellStyles count="19">
    <cellStyle name="Comma" xfId="1" builtinId="3"/>
    <cellStyle name="Comma 3" xfId="5" xr:uid="{E08A6055-A30E-4B0D-83DC-26DF7826636C}"/>
    <cellStyle name="Currency 2 2" xfId="7" xr:uid="{B073B856-DE55-43C2-932A-F0A9957BA105}"/>
    <cellStyle name="Currency 2 2 2" xfId="14" xr:uid="{A5C9A2EF-3554-4B33-A3BD-037C682DE624}"/>
    <cellStyle name="Multiple 2 2" xfId="16" xr:uid="{08F19B28-F2DD-4DF7-8F91-18257F6D720B}"/>
    <cellStyle name="Normal" xfId="0" builtinId="0"/>
    <cellStyle name="Normal 16" xfId="3" xr:uid="{C836AD86-C4F9-483F-9F31-BCAB1FF51930}"/>
    <cellStyle name="Normal 2 2 2 2" xfId="8" xr:uid="{A97849A9-04AE-4C03-B7C2-A89595540532}"/>
    <cellStyle name="Normal 2 3 2" xfId="4" xr:uid="{F8CB8175-871F-4D2A-87FF-E0F7E1BCE8BE}"/>
    <cellStyle name="Normal 2 3 2 2" xfId="11" xr:uid="{B908454B-1624-4D6D-A9BC-2C2DEFB9D873}"/>
    <cellStyle name="Normal 2 6" xfId="17" xr:uid="{700E3612-FB94-45F4-A216-77EF7A95BA96}"/>
    <cellStyle name="Normal 3 2 4 2" xfId="9" xr:uid="{9AD7AFE8-07FD-4CCF-992B-D07A4911DCFD}"/>
    <cellStyle name="Normal 4 3" xfId="15" xr:uid="{637F29C7-101A-4871-89CA-BA7484C8223D}"/>
    <cellStyle name="Normal 5 2 2" xfId="13" xr:uid="{F449CF76-04FE-42BF-B32A-B3064D8D1791}"/>
    <cellStyle name="Normal_PPMCCOMP_comb1" xfId="18" xr:uid="{98820ACF-0769-411C-B296-6F3C4BDAE65C}"/>
    <cellStyle name="Per cent" xfId="2" builtinId="5"/>
    <cellStyle name="Percent 2 2 2 2" xfId="12" xr:uid="{18D57E0B-B209-4A78-AE20-163CC90D2986}"/>
    <cellStyle name="Percent 2 3" xfId="6" xr:uid="{09E838CE-E6A3-492D-8777-BA2FA0358FC1}"/>
    <cellStyle name="Table Col Head" xfId="10" xr:uid="{C137095A-A33D-4FEF-90E2-616D58FA4BE3}"/>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darkUp"/>
      </fill>
    </dxf>
    <dxf>
      <font>
        <color rgb="FF006100"/>
      </font>
      <fill>
        <patternFill>
          <bgColor rgb="FFC6EFCE"/>
        </patternFill>
      </fill>
    </dxf>
    <dxf>
      <font>
        <color rgb="FF9C0006"/>
      </font>
      <fill>
        <patternFill>
          <bgColor rgb="FFFFC7CE"/>
        </patternFill>
      </fill>
    </dxf>
    <dxf>
      <fill>
        <patternFill>
          <bgColor theme="0" tint="-0.14996795556505021"/>
        </patternFill>
      </fill>
      <border>
        <left/>
        <right/>
        <top/>
        <bottom/>
        <vertical/>
        <horizontal/>
      </border>
    </dxf>
  </dxfs>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429257381968949E-2"/>
          <c:y val="8.8082876508059335E-2"/>
          <c:w val="0.78387364090730316"/>
          <c:h val="0.65873602338022197"/>
        </c:manualLayout>
      </c:layout>
      <c:barChart>
        <c:barDir val="col"/>
        <c:grouping val="clustered"/>
        <c:varyColors val="0"/>
        <c:ser>
          <c:idx val="1"/>
          <c:order val="1"/>
          <c:tx>
            <c:strRef>
              <c:f>'Blended IRR_Calc Adjusted'!$F$27</c:f>
              <c:strCache>
                <c:ptCount val="1"/>
                <c:pt idx="0">
                  <c:v>Distributions</c:v>
                </c:pt>
              </c:strCache>
            </c:strRef>
          </c:tx>
          <c:spPr>
            <a:solidFill>
              <a:schemeClr val="accent2"/>
            </a:solidFill>
            <a:ln>
              <a:noFill/>
            </a:ln>
            <a:effectLst/>
          </c:spPr>
          <c:invertIfNegative val="0"/>
          <c:cat>
            <c:numRef>
              <c:f>'Blended IRR_Calc Adjusted'!$H$25:$BN$25</c:f>
              <c:numCache>
                <c:formatCode>[$-409]mmm\-yy;@</c:formatCode>
                <c:ptCount val="59"/>
                <c:pt idx="0">
                  <c:v>0</c:v>
                </c:pt>
                <c:pt idx="1">
                  <c:v>121</c:v>
                </c:pt>
                <c:pt idx="2">
                  <c:v>213</c:v>
                </c:pt>
                <c:pt idx="3">
                  <c:v>305</c:v>
                </c:pt>
                <c:pt idx="4">
                  <c:v>397</c:v>
                </c:pt>
                <c:pt idx="5">
                  <c:v>486</c:v>
                </c:pt>
                <c:pt idx="6">
                  <c:v>578</c:v>
                </c:pt>
                <c:pt idx="7">
                  <c:v>670</c:v>
                </c:pt>
                <c:pt idx="8">
                  <c:v>762</c:v>
                </c:pt>
                <c:pt idx="9">
                  <c:v>851</c:v>
                </c:pt>
                <c:pt idx="10">
                  <c:v>943</c:v>
                </c:pt>
                <c:pt idx="11">
                  <c:v>1035</c:v>
                </c:pt>
                <c:pt idx="12">
                  <c:v>1127</c:v>
                </c:pt>
                <c:pt idx="13">
                  <c:v>1216</c:v>
                </c:pt>
                <c:pt idx="14">
                  <c:v>1308</c:v>
                </c:pt>
                <c:pt idx="15">
                  <c:v>1400</c:v>
                </c:pt>
                <c:pt idx="16">
                  <c:v>1492</c:v>
                </c:pt>
                <c:pt idx="17">
                  <c:v>1582</c:v>
                </c:pt>
                <c:pt idx="18">
                  <c:v>1674</c:v>
                </c:pt>
                <c:pt idx="19">
                  <c:v>1766</c:v>
                </c:pt>
                <c:pt idx="20">
                  <c:v>1858</c:v>
                </c:pt>
                <c:pt idx="21">
                  <c:v>1947</c:v>
                </c:pt>
                <c:pt idx="22">
                  <c:v>2039</c:v>
                </c:pt>
                <c:pt idx="23">
                  <c:v>2131</c:v>
                </c:pt>
                <c:pt idx="24">
                  <c:v>2223</c:v>
                </c:pt>
                <c:pt idx="25">
                  <c:v>2312</c:v>
                </c:pt>
                <c:pt idx="26">
                  <c:v>2404</c:v>
                </c:pt>
                <c:pt idx="27">
                  <c:v>2496</c:v>
                </c:pt>
                <c:pt idx="28">
                  <c:v>2588</c:v>
                </c:pt>
                <c:pt idx="29">
                  <c:v>2677</c:v>
                </c:pt>
                <c:pt idx="30">
                  <c:v>2769</c:v>
                </c:pt>
                <c:pt idx="31">
                  <c:v>2861</c:v>
                </c:pt>
                <c:pt idx="32">
                  <c:v>2953</c:v>
                </c:pt>
                <c:pt idx="33">
                  <c:v>3043</c:v>
                </c:pt>
                <c:pt idx="34">
                  <c:v>3135</c:v>
                </c:pt>
                <c:pt idx="35">
                  <c:v>3227</c:v>
                </c:pt>
                <c:pt idx="36">
                  <c:v>3319</c:v>
                </c:pt>
                <c:pt idx="37">
                  <c:v>3408</c:v>
                </c:pt>
                <c:pt idx="38">
                  <c:v>3500</c:v>
                </c:pt>
                <c:pt idx="39">
                  <c:v>3592</c:v>
                </c:pt>
                <c:pt idx="40">
                  <c:v>3684</c:v>
                </c:pt>
                <c:pt idx="41">
                  <c:v>3773</c:v>
                </c:pt>
                <c:pt idx="42">
                  <c:v>3865</c:v>
                </c:pt>
                <c:pt idx="43">
                  <c:v>3957</c:v>
                </c:pt>
                <c:pt idx="44">
                  <c:v>4049</c:v>
                </c:pt>
                <c:pt idx="45">
                  <c:v>4138</c:v>
                </c:pt>
                <c:pt idx="46">
                  <c:v>4230</c:v>
                </c:pt>
                <c:pt idx="47">
                  <c:v>4322</c:v>
                </c:pt>
                <c:pt idx="48">
                  <c:v>4414</c:v>
                </c:pt>
                <c:pt idx="49">
                  <c:v>4504</c:v>
                </c:pt>
                <c:pt idx="50">
                  <c:v>4596</c:v>
                </c:pt>
                <c:pt idx="51">
                  <c:v>4688</c:v>
                </c:pt>
                <c:pt idx="52">
                  <c:v>4780</c:v>
                </c:pt>
                <c:pt idx="53">
                  <c:v>4869</c:v>
                </c:pt>
                <c:pt idx="54">
                  <c:v>4961</c:v>
                </c:pt>
                <c:pt idx="55">
                  <c:v>5053</c:v>
                </c:pt>
                <c:pt idx="56">
                  <c:v>5145</c:v>
                </c:pt>
                <c:pt idx="57">
                  <c:v>5234</c:v>
                </c:pt>
                <c:pt idx="58">
                  <c:v>5326</c:v>
                </c:pt>
              </c:numCache>
            </c:numRef>
          </c:cat>
          <c:val>
            <c:numRef>
              <c:f>'Blended IRR_Calc Adjusted'!$H$27:$BN$27</c:f>
              <c:numCache>
                <c:formatCode>[$$-409]#,##0</c:formatCode>
                <c:ptCount val="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numCache>
            </c:numRef>
          </c:val>
          <c:extLst>
            <c:ext xmlns:c16="http://schemas.microsoft.com/office/drawing/2014/chart" uri="{C3380CC4-5D6E-409C-BE32-E72D297353CC}">
              <c16:uniqueId val="{00000000-3E6C-4CB9-A816-1F800DA48175}"/>
            </c:ext>
          </c:extLst>
        </c:ser>
        <c:dLbls>
          <c:showLegendKey val="0"/>
          <c:showVal val="0"/>
          <c:showCatName val="0"/>
          <c:showSerName val="0"/>
          <c:showPercent val="0"/>
          <c:showBubbleSize val="0"/>
        </c:dLbls>
        <c:gapWidth val="219"/>
        <c:axId val="759489871"/>
        <c:axId val="1795145983"/>
      </c:barChart>
      <c:lineChart>
        <c:grouping val="stacked"/>
        <c:varyColors val="0"/>
        <c:ser>
          <c:idx val="0"/>
          <c:order val="0"/>
          <c:tx>
            <c:strRef>
              <c:f>'Blended IRR_Calc Adjusted'!$F$26</c:f>
              <c:strCache>
                <c:ptCount val="1"/>
                <c:pt idx="0">
                  <c:v>DPI</c:v>
                </c:pt>
              </c:strCache>
            </c:strRef>
          </c:tx>
          <c:spPr>
            <a:ln w="28575" cap="rnd">
              <a:solidFill>
                <a:schemeClr val="accent1"/>
              </a:solidFill>
              <a:round/>
            </a:ln>
            <a:effectLst/>
          </c:spPr>
          <c:marker>
            <c:symbol val="none"/>
          </c:marker>
          <c:cat>
            <c:numRef>
              <c:f>'Blended IRR_Calc Adjusted'!$H$25:$BN$25</c:f>
              <c:numCache>
                <c:formatCode>[$-409]mmm\-yy;@</c:formatCode>
                <c:ptCount val="59"/>
                <c:pt idx="0">
                  <c:v>0</c:v>
                </c:pt>
                <c:pt idx="1">
                  <c:v>121</c:v>
                </c:pt>
                <c:pt idx="2">
                  <c:v>213</c:v>
                </c:pt>
                <c:pt idx="3">
                  <c:v>305</c:v>
                </c:pt>
                <c:pt idx="4">
                  <c:v>397</c:v>
                </c:pt>
                <c:pt idx="5">
                  <c:v>486</c:v>
                </c:pt>
                <c:pt idx="6">
                  <c:v>578</c:v>
                </c:pt>
                <c:pt idx="7">
                  <c:v>670</c:v>
                </c:pt>
                <c:pt idx="8">
                  <c:v>762</c:v>
                </c:pt>
                <c:pt idx="9">
                  <c:v>851</c:v>
                </c:pt>
                <c:pt idx="10">
                  <c:v>943</c:v>
                </c:pt>
                <c:pt idx="11">
                  <c:v>1035</c:v>
                </c:pt>
                <c:pt idx="12">
                  <c:v>1127</c:v>
                </c:pt>
                <c:pt idx="13">
                  <c:v>1216</c:v>
                </c:pt>
                <c:pt idx="14">
                  <c:v>1308</c:v>
                </c:pt>
                <c:pt idx="15">
                  <c:v>1400</c:v>
                </c:pt>
                <c:pt idx="16">
                  <c:v>1492</c:v>
                </c:pt>
                <c:pt idx="17">
                  <c:v>1582</c:v>
                </c:pt>
                <c:pt idx="18">
                  <c:v>1674</c:v>
                </c:pt>
                <c:pt idx="19">
                  <c:v>1766</c:v>
                </c:pt>
                <c:pt idx="20">
                  <c:v>1858</c:v>
                </c:pt>
                <c:pt idx="21">
                  <c:v>1947</c:v>
                </c:pt>
                <c:pt idx="22">
                  <c:v>2039</c:v>
                </c:pt>
                <c:pt idx="23">
                  <c:v>2131</c:v>
                </c:pt>
                <c:pt idx="24">
                  <c:v>2223</c:v>
                </c:pt>
                <c:pt idx="25">
                  <c:v>2312</c:v>
                </c:pt>
                <c:pt idx="26">
                  <c:v>2404</c:v>
                </c:pt>
                <c:pt idx="27">
                  <c:v>2496</c:v>
                </c:pt>
                <c:pt idx="28">
                  <c:v>2588</c:v>
                </c:pt>
                <c:pt idx="29">
                  <c:v>2677</c:v>
                </c:pt>
                <c:pt idx="30">
                  <c:v>2769</c:v>
                </c:pt>
                <c:pt idx="31">
                  <c:v>2861</c:v>
                </c:pt>
                <c:pt idx="32">
                  <c:v>2953</c:v>
                </c:pt>
                <c:pt idx="33">
                  <c:v>3043</c:v>
                </c:pt>
                <c:pt idx="34">
                  <c:v>3135</c:v>
                </c:pt>
                <c:pt idx="35">
                  <c:v>3227</c:v>
                </c:pt>
                <c:pt idx="36">
                  <c:v>3319</c:v>
                </c:pt>
                <c:pt idx="37">
                  <c:v>3408</c:v>
                </c:pt>
                <c:pt idx="38">
                  <c:v>3500</c:v>
                </c:pt>
                <c:pt idx="39">
                  <c:v>3592</c:v>
                </c:pt>
                <c:pt idx="40">
                  <c:v>3684</c:v>
                </c:pt>
                <c:pt idx="41">
                  <c:v>3773</c:v>
                </c:pt>
                <c:pt idx="42">
                  <c:v>3865</c:v>
                </c:pt>
                <c:pt idx="43">
                  <c:v>3957</c:v>
                </c:pt>
                <c:pt idx="44">
                  <c:v>4049</c:v>
                </c:pt>
                <c:pt idx="45">
                  <c:v>4138</c:v>
                </c:pt>
                <c:pt idx="46">
                  <c:v>4230</c:v>
                </c:pt>
                <c:pt idx="47">
                  <c:v>4322</c:v>
                </c:pt>
                <c:pt idx="48">
                  <c:v>4414</c:v>
                </c:pt>
                <c:pt idx="49">
                  <c:v>4504</c:v>
                </c:pt>
                <c:pt idx="50">
                  <c:v>4596</c:v>
                </c:pt>
                <c:pt idx="51">
                  <c:v>4688</c:v>
                </c:pt>
                <c:pt idx="52">
                  <c:v>4780</c:v>
                </c:pt>
                <c:pt idx="53">
                  <c:v>4869</c:v>
                </c:pt>
                <c:pt idx="54">
                  <c:v>4961</c:v>
                </c:pt>
                <c:pt idx="55">
                  <c:v>5053</c:v>
                </c:pt>
                <c:pt idx="56">
                  <c:v>5145</c:v>
                </c:pt>
                <c:pt idx="57">
                  <c:v>5234</c:v>
                </c:pt>
                <c:pt idx="58">
                  <c:v>5326</c:v>
                </c:pt>
              </c:numCache>
            </c:numRef>
          </c:cat>
          <c:val>
            <c:numRef>
              <c:f>'Blended IRR_Calc Adjusted'!$H$26:$BN$26</c:f>
              <c:numCache>
                <c:formatCode>General</c:formatCode>
                <c:ptCount val="59"/>
                <c:pt idx="0">
                  <c:v>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numCache>
            </c:numRef>
          </c:val>
          <c:smooth val="0"/>
          <c:extLst>
            <c:ext xmlns:c16="http://schemas.microsoft.com/office/drawing/2014/chart" uri="{C3380CC4-5D6E-409C-BE32-E72D297353CC}">
              <c16:uniqueId val="{00000001-3E6C-4CB9-A816-1F800DA48175}"/>
            </c:ext>
          </c:extLst>
        </c:ser>
        <c:dLbls>
          <c:showLegendKey val="0"/>
          <c:showVal val="0"/>
          <c:showCatName val="0"/>
          <c:showSerName val="0"/>
          <c:showPercent val="0"/>
          <c:showBubbleSize val="0"/>
        </c:dLbls>
        <c:marker val="1"/>
        <c:smooth val="0"/>
        <c:axId val="419666239"/>
        <c:axId val="1370259039"/>
      </c:lineChart>
      <c:dateAx>
        <c:axId val="419666239"/>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ES"/>
          </a:p>
        </c:txPr>
        <c:crossAx val="1370259039"/>
        <c:crosses val="autoZero"/>
        <c:auto val="1"/>
        <c:lblOffset val="100"/>
        <c:baseTimeUnit val="months"/>
        <c:majorUnit val="12"/>
        <c:majorTimeUnit val="months"/>
      </c:dateAx>
      <c:valAx>
        <c:axId val="1370259039"/>
        <c:scaling>
          <c:orientation val="minMax"/>
        </c:scaling>
        <c:delete val="0"/>
        <c:axPos val="l"/>
        <c:majorGridlines>
          <c:spPr>
            <a:ln w="9525" cap="flat" cmpd="sng" algn="ctr">
              <a:solidFill>
                <a:schemeClr val="bg1">
                  <a:lumMod val="85000"/>
                  <a:alpha val="80000"/>
                </a:schemeClr>
              </a:solidFill>
              <a:round/>
            </a:ln>
            <a:effectLst/>
          </c:spPr>
        </c:majorGridlines>
        <c:title>
          <c:tx>
            <c:rich>
              <a:bodyPr rot="0" spcFirstLastPara="1" vertOverflow="ellipsis" wrap="square" anchor="ctr" anchorCtr="1"/>
              <a:lstStyle/>
              <a:p>
                <a:pPr>
                  <a:defRPr sz="800" b="1" i="0" u="sng"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800" b="1" u="sng">
                    <a:solidFill>
                      <a:sysClr val="windowText" lastClr="000000"/>
                    </a:solidFill>
                    <a:latin typeface="Arial" panose="020B0604020202020204" pitchFamily="34" charset="0"/>
                    <a:cs typeface="Arial" panose="020B0604020202020204" pitchFamily="34" charset="0"/>
                  </a:rPr>
                  <a:t>DPI</a:t>
                </a:r>
              </a:p>
            </c:rich>
          </c:tx>
          <c:layout>
            <c:manualLayout>
              <c:xMode val="edge"/>
              <c:yMode val="edge"/>
              <c:x val="5.7239102741811633E-2"/>
              <c:y val="1.0881284775224076E-2"/>
            </c:manualLayout>
          </c:layout>
          <c:overlay val="0"/>
          <c:spPr>
            <a:noFill/>
            <a:ln>
              <a:noFill/>
            </a:ln>
            <a:effectLst/>
          </c:spPr>
          <c:txPr>
            <a:bodyPr rot="0" spcFirstLastPara="1" vertOverflow="ellipsis" wrap="square" anchor="ctr" anchorCtr="1"/>
            <a:lstStyle/>
            <a:p>
              <a:pPr>
                <a:defRPr sz="800" b="1" i="0" u="sng"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ES"/>
            </a:p>
          </c:txPr>
        </c:title>
        <c:numFmt formatCode="0.00\x"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ES"/>
          </a:p>
        </c:txPr>
        <c:crossAx val="419666239"/>
        <c:crosses val="autoZero"/>
        <c:crossBetween val="between"/>
        <c:majorUnit val="0.2"/>
      </c:valAx>
      <c:valAx>
        <c:axId val="1795145983"/>
        <c:scaling>
          <c:orientation val="minMax"/>
          <c:min val="0"/>
        </c:scaling>
        <c:delete val="0"/>
        <c:axPos val="r"/>
        <c:title>
          <c:tx>
            <c:rich>
              <a:bodyPr rot="0" spcFirstLastPara="1" vertOverflow="ellipsis" wrap="square" anchor="ctr" anchorCtr="1"/>
              <a:lstStyle/>
              <a:p>
                <a:pPr>
                  <a:defRPr sz="800" b="1" i="0" u="sng"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800" b="1" u="sng">
                    <a:solidFill>
                      <a:sysClr val="windowText" lastClr="000000"/>
                    </a:solidFill>
                    <a:latin typeface="Arial" panose="020B0604020202020204" pitchFamily="34" charset="0"/>
                    <a:cs typeface="Arial" panose="020B0604020202020204" pitchFamily="34" charset="0"/>
                  </a:rPr>
                  <a:t>Distributions</a:t>
                </a:r>
              </a:p>
            </c:rich>
          </c:tx>
          <c:layout>
            <c:manualLayout>
              <c:xMode val="edge"/>
              <c:yMode val="edge"/>
              <c:x val="0.88100392262831995"/>
              <c:y val="9.6620491872120504E-3"/>
            </c:manualLayout>
          </c:layout>
          <c:overlay val="0"/>
          <c:spPr>
            <a:noFill/>
            <a:ln>
              <a:noFill/>
            </a:ln>
            <a:effectLst/>
          </c:spPr>
          <c:txPr>
            <a:bodyPr rot="0" spcFirstLastPara="1" vertOverflow="ellipsis" wrap="square" anchor="ctr" anchorCtr="1"/>
            <a:lstStyle/>
            <a:p>
              <a:pPr>
                <a:defRPr sz="800" b="1" i="0" u="sng"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ES"/>
            </a:p>
          </c:txPr>
        </c:title>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ES"/>
          </a:p>
        </c:txPr>
        <c:crossAx val="759489871"/>
        <c:crosses val="max"/>
        <c:crossBetween val="between"/>
      </c:valAx>
      <c:dateAx>
        <c:axId val="759489871"/>
        <c:scaling>
          <c:orientation val="minMax"/>
        </c:scaling>
        <c:delete val="1"/>
        <c:axPos val="b"/>
        <c:numFmt formatCode="[$-409]mmm\-yy;@" sourceLinked="1"/>
        <c:majorTickMark val="out"/>
        <c:minorTickMark val="none"/>
        <c:tickLblPos val="nextTo"/>
        <c:crossAx val="1795145983"/>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62786</xdr:colOff>
      <xdr:row>37</xdr:row>
      <xdr:rowOff>57935</xdr:rowOff>
    </xdr:from>
    <xdr:to>
      <xdr:col>19</xdr:col>
      <xdr:colOff>63426</xdr:colOff>
      <xdr:row>53</xdr:row>
      <xdr:rowOff>11206</xdr:rowOff>
    </xdr:to>
    <xdr:graphicFrame macro="">
      <xdr:nvGraphicFramePr>
        <xdr:cNvPr id="2" name="Chart 1">
          <a:extLst>
            <a:ext uri="{FF2B5EF4-FFF2-40B4-BE49-F238E27FC236}">
              <a16:creationId xmlns:a16="http://schemas.microsoft.com/office/drawing/2014/main" id="{6F3BFF42-6581-4CCA-A5B6-6C02E4A47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netorgft11488835.sharepoint.com/sites/SeineCapital/Documents%20partages/Seine%20Capital%20Main%20Directory/1.%20Investment%20Opportunities%20&amp;%20DDs/2.%20Deals%20Directory/Brahmaputra/2.%20Model/Project%20Brahmaputra%20-%20v21%20-%20Copie%20(2).xlsx" TargetMode="External"/><Relationship Id="rId1" Type="http://schemas.openxmlformats.org/officeDocument/2006/relationships/externalLinkPath" Target="/3E17DD35/Project%20Brahmaputra%20-%20v21%20-%20Copie%20(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netorgft11488835.sharepoint.com/sites/SeineCapital/Documents%20partages/Seine%20Capital%20Main%20Directory/4.%20Tools/1.%20Templates/CapIQ/SPG_CompanyComparableAnalysis_v1.xlsm" TargetMode="External"/><Relationship Id="rId1" Type="http://schemas.openxmlformats.org/officeDocument/2006/relationships/externalLinkPath" Target="/sites/SeineCapital/Documents%20partages/Seine%20Capital%20Main%20Directory/4.%20Tools/1.%20Templates/CapIQ/SPG_CompanyComparableAnalysis_v1.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Program%20Files/SNL%20Financial/SNLxl/SNLXLAddin.xla" TargetMode="External"/><Relationship Id="rId1" Type="http://schemas.openxmlformats.org/officeDocument/2006/relationships/externalLinkPath" Target="file:///C:/Program%20Files/SNL%20Financial/SNLxl/SNLXLAddin.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snloffice"/>
      <sheetName val="Summary"/>
      <sheetName val="Sent to seller"/>
      <sheetName val="NAV comparison"/>
      <sheetName val="Fx Table"/>
      <sheetName val="Pricing Table"/>
      <sheetName val="Pricing Table Adjusted"/>
      <sheetName val="Portfolio"/>
      <sheetName val="Interim CFs"/>
      <sheetName val="Blended IRR_Calc"/>
      <sheetName val="Blended IRR_Calc Adjusted"/>
      <sheetName val="GEO III Co-Invest"/>
      <sheetName val="GEO III FoF"/>
      <sheetName val="QS Paragon"/>
      <sheetName val="Sensitivities"/>
      <sheetName val="Portfolio breakdown"/>
      <sheetName val="Companies Valu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5">
          <cell r="D5">
            <v>45016</v>
          </cell>
        </row>
        <row r="6">
          <cell r="D6">
            <v>45291</v>
          </cell>
        </row>
        <row r="8">
          <cell r="D8" t="str">
            <v>USD</v>
          </cell>
        </row>
      </sheetData>
      <sheetData sheetId="8" refreshError="1"/>
      <sheetData sheetId="9" refreshError="1"/>
      <sheetData sheetId="10"/>
      <sheetData sheetId="11"/>
      <sheetData sheetId="12"/>
      <sheetData sheetId="13"/>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snloffice"/>
      <sheetName val="_CIQHiddenCacheSheet"/>
      <sheetName val="Instructions"/>
      <sheetName val="Data_Tab"/>
      <sheetName val="Financial_Data"/>
      <sheetName val="Trading_Multiples"/>
      <sheetName val="Operating_Statistics"/>
      <sheetName val="General"/>
      <sheetName val="Implied_Valuation"/>
      <sheetName val="Valuation_Chart"/>
    </sheetNames>
    <sheetDataSet>
      <sheetData sheetId="0" refreshError="1"/>
      <sheetData sheetId="1" refreshError="1"/>
      <sheetData sheetId="2" refreshError="1">
        <row r="27">
          <cell r="F27" t="str">
            <v>NTM</v>
          </cell>
        </row>
        <row r="31">
          <cell r="F31" t="str">
            <v>Millions</v>
          </cell>
        </row>
        <row r="37">
          <cell r="U37" t="str">
            <v>USD</v>
          </cell>
        </row>
      </sheetData>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 val="SNLXLAddin"/>
    </sheetNames>
    <definedNames>
      <definedName name="SNL"/>
    </definedNames>
    <sheetDataSet>
      <sheetData sheetId="0"/>
      <sheetData sheetId="1"/>
      <sheetData sheetId="2"/>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Vincent Letellier" id="{1A5001B8-2CFC-4263-80E6-3F8EC8C95801}" userId="Vincent Letellier"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 dT="2023-09-05T13:37:35.08" personId="{1A5001B8-2CFC-4263-80E6-3F8EC8C95801}" id="{111C64EE-91B7-43DB-9FD8-268B82ACD2B4}">
    <text>Seine or GP</text>
  </threadedComment>
  <threadedComment ref="F15" dT="2023-09-10T16:39:13.02" personId="{1A5001B8-2CFC-4263-80E6-3F8EC8C95801}" id="{856CF87C-5EA2-4B12-8941-EF0C0AB12B08}">
    <text>US / Europe / RoW / Global</tex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3-09-10T16:43:35.63" personId="{1A5001B8-2CFC-4263-80E6-3F8EC8C95801}" id="{2E131C56-2759-4C2C-9A2A-624E4853F36A}">
    <text>Actuals or Forecast</text>
  </threadedComment>
  <threadedComment ref="F5" dT="2023-09-10T16:43:49.12" personId="{1A5001B8-2CFC-4263-80E6-3F8EC8C95801}" id="{87422EAF-CA9A-4454-A22D-634DCADA72ED}">
    <text>Distribution or Call</text>
  </threadedComment>
</ThreadedComments>
</file>

<file path=xl/threadedComments/threadedComment3.xml><?xml version="1.0" encoding="utf-8"?>
<ThreadedComments xmlns="http://schemas.microsoft.com/office/spreadsheetml/2018/threadedcomments" xmlns:x="http://schemas.openxmlformats.org/spreadsheetml/2006/main">
  <threadedComment ref="AA12" dT="2023-09-05T13:36:45.98" personId="{1A5001B8-2CFC-4263-80E6-3F8EC8C95801}" id="{BEC008EF-DDF3-473A-BB34-13754BAC5D60}">
    <text>Exit delay in months for sensi</text>
  </threadedComment>
  <threadedComment ref="AE12" dT="2023-09-05T13:36:58.41" personId="{1A5001B8-2CFC-4263-80E6-3F8EC8C95801}" id="{2A565BCC-F156-4433-B9C9-C215C702A485}">
    <text>Uplift MM increase for sensi</text>
  </threadedComment>
  <threadedComment ref="B41" dT="2023-09-09T20:16:46.43" personId="{1A5001B8-2CFC-4263-80E6-3F8EC8C95801}" id="{02332026-D726-481D-9D4F-89A41C6EEE89}">
    <text>Insert date</text>
  </threadedComment>
  <threadedComment ref="C41" dT="2023-09-09T20:16:38.41" personId="{1A5001B8-2CFC-4263-80E6-3F8EC8C95801}" id="{620BB35F-40C9-4F09-B4BE-B59D17D01474}">
    <text>Insert distrib positive and cap calls negative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5A3F5-011B-40E3-AABA-D43D3FAB61AB}">
  <dimension ref="A1:A9"/>
  <sheetViews>
    <sheetView workbookViewId="0"/>
  </sheetViews>
  <sheetFormatPr baseColWidth="10" defaultColWidth="8.83203125" defaultRowHeight="15"/>
  <sheetData>
    <row r="1" spans="1:1">
      <c r="A1" t="s">
        <v>370</v>
      </c>
    </row>
    <row r="2" spans="1:1">
      <c r="A2" t="s">
        <v>371</v>
      </c>
    </row>
    <row r="3" spans="1:1">
      <c r="A3" t="s">
        <v>372</v>
      </c>
    </row>
    <row r="4" spans="1:1">
      <c r="A4" t="s">
        <v>373</v>
      </c>
    </row>
    <row r="5" spans="1:1">
      <c r="A5" t="s">
        <v>374</v>
      </c>
    </row>
    <row r="6" spans="1:1">
      <c r="A6" t="s">
        <v>375</v>
      </c>
    </row>
    <row r="7" spans="1:1">
      <c r="A7" t="s">
        <v>376</v>
      </c>
    </row>
    <row r="8" spans="1:1">
      <c r="A8" t="s">
        <v>377</v>
      </c>
    </row>
    <row r="9" spans="1:1">
      <c r="A9"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E3435-741A-488A-AAF7-63E85C3255AC}">
  <sheetPr>
    <tabColor theme="4" tint="0.79998168889431442"/>
  </sheetPr>
  <dimension ref="B2:AW29"/>
  <sheetViews>
    <sheetView workbookViewId="0"/>
  </sheetViews>
  <sheetFormatPr baseColWidth="10" defaultColWidth="8.83203125" defaultRowHeight="14"/>
  <cols>
    <col min="1" max="1" width="8.83203125" style="1"/>
    <col min="2" max="2" width="24.83203125" style="1" bestFit="1" customWidth="1"/>
    <col min="3" max="3" width="8.83203125" style="1" customWidth="1"/>
    <col min="4" max="5" width="10.33203125" style="1" customWidth="1"/>
    <col min="6" max="6" width="13.5" style="1" customWidth="1"/>
    <col min="7" max="8" width="1.6640625" style="1" customWidth="1"/>
    <col min="9" max="9" width="12.33203125" style="1" customWidth="1"/>
    <col min="10" max="10" width="15.5" style="1" customWidth="1"/>
    <col min="11" max="11" width="14.83203125" style="1" customWidth="1"/>
    <col min="12" max="12" width="14.1640625" style="1" customWidth="1"/>
    <col min="13" max="13" width="14.5" style="1" customWidth="1"/>
    <col min="14" max="14" width="11.33203125" style="1" customWidth="1"/>
    <col min="15" max="15" width="7.83203125" style="1" customWidth="1"/>
    <col min="16" max="18" width="1.6640625" style="1" customWidth="1"/>
    <col min="19" max="19" width="14.33203125" style="1" customWidth="1"/>
    <col min="20" max="20" width="11.5" style="1" customWidth="1"/>
    <col min="21" max="23" width="1.6640625" style="1" customWidth="1"/>
    <col min="24" max="26" width="15.1640625" style="1" customWidth="1"/>
    <col min="27" max="27" width="16.6640625" style="1" customWidth="1"/>
    <col min="28" max="28" width="14.83203125" style="1" customWidth="1"/>
    <col min="29" max="29" width="1.6640625" style="1" customWidth="1"/>
    <col min="30" max="31" width="1.6640625" style="1" hidden="1" customWidth="1"/>
    <col min="32" max="32" width="16.6640625" style="1" hidden="1" customWidth="1"/>
    <col min="33" max="33" width="1.6640625" style="1" hidden="1" customWidth="1"/>
    <col min="34" max="35" width="1.6640625" style="1" customWidth="1"/>
    <col min="36" max="36" width="13.83203125" style="1" customWidth="1"/>
    <col min="37" max="37" width="9.1640625" style="1" customWidth="1"/>
    <col min="38" max="38" width="10.6640625" style="1" customWidth="1"/>
    <col min="39" max="39" width="10.5" style="1" customWidth="1"/>
    <col min="40" max="40" width="10.33203125" style="1" customWidth="1"/>
    <col min="41" max="42" width="1.6640625" style="1" customWidth="1"/>
    <col min="43" max="43" width="1.6640625" style="1" hidden="1" customWidth="1"/>
    <col min="44" max="46" width="0" style="1" hidden="1" customWidth="1"/>
    <col min="47" max="47" width="1.6640625" style="1" hidden="1" customWidth="1"/>
    <col min="48" max="49" width="8.83203125" style="1"/>
    <col min="50" max="50" width="7.83203125" style="1" bestFit="1" customWidth="1"/>
    <col min="51" max="51" width="11.1640625" style="1" bestFit="1" customWidth="1"/>
    <col min="52" max="52" width="8.5" style="1" bestFit="1" customWidth="1"/>
    <col min="53" max="53" width="8.83203125" style="1"/>
    <col min="54" max="54" width="11" style="1" bestFit="1" customWidth="1"/>
    <col min="55" max="55" width="5.1640625" style="1" bestFit="1" customWidth="1"/>
    <col min="56" max="56" width="22.5" style="1" customWidth="1"/>
    <col min="57" max="57" width="19.5" style="1" bestFit="1" customWidth="1"/>
    <col min="58" max="16384" width="8.83203125" style="1"/>
  </cols>
  <sheetData>
    <row r="2" spans="2:49">
      <c r="B2" s="530"/>
    </row>
    <row r="3" spans="2:49" ht="23.25" customHeight="1">
      <c r="H3" s="531"/>
      <c r="I3" s="532"/>
      <c r="J3" s="533"/>
      <c r="K3" s="533"/>
      <c r="L3" s="533"/>
      <c r="M3" s="533"/>
      <c r="N3" s="533"/>
      <c r="O3" s="533"/>
      <c r="P3" s="534"/>
      <c r="Q3" s="106"/>
      <c r="R3" s="535"/>
      <c r="S3" s="536"/>
      <c r="T3" s="536"/>
      <c r="U3" s="537"/>
      <c r="W3" s="538"/>
      <c r="X3" s="539"/>
      <c r="Y3" s="539"/>
      <c r="Z3" s="539"/>
      <c r="AA3" s="539"/>
      <c r="AB3" s="539"/>
      <c r="AC3" s="537"/>
      <c r="AE3" s="538"/>
      <c r="AF3" s="536"/>
      <c r="AG3" s="537"/>
      <c r="AI3" s="538"/>
      <c r="AJ3" s="536"/>
      <c r="AK3" s="536"/>
      <c r="AL3" s="536"/>
      <c r="AM3" s="536"/>
      <c r="AN3" s="536"/>
      <c r="AO3" s="537"/>
      <c r="AQ3" s="538"/>
      <c r="AR3" s="536"/>
      <c r="AS3" s="536"/>
      <c r="AT3" s="536"/>
      <c r="AU3" s="537"/>
      <c r="AW3" s="530"/>
    </row>
    <row r="4" spans="2:49">
      <c r="H4" s="540"/>
      <c r="I4" s="626"/>
      <c r="J4" s="626"/>
      <c r="K4" s="626"/>
      <c r="L4" s="626"/>
      <c r="M4" s="626"/>
      <c r="N4" s="626"/>
      <c r="O4" s="626"/>
      <c r="P4" s="541"/>
      <c r="Q4" s="542"/>
      <c r="R4" s="543"/>
      <c r="S4" s="636"/>
      <c r="T4" s="636"/>
      <c r="U4" s="541"/>
      <c r="V4" s="13"/>
      <c r="W4" s="540"/>
      <c r="X4" s="637" t="s">
        <v>360</v>
      </c>
      <c r="Y4" s="637"/>
      <c r="Z4" s="637"/>
      <c r="AA4" s="637"/>
      <c r="AB4" s="637"/>
      <c r="AC4" s="541"/>
      <c r="AD4" s="13"/>
      <c r="AE4" s="544"/>
      <c r="AF4" s="545"/>
      <c r="AG4" s="541"/>
      <c r="AI4" s="544"/>
      <c r="AJ4" s="545"/>
      <c r="AK4" s="545"/>
      <c r="AL4" s="545"/>
      <c r="AM4" s="638"/>
      <c r="AN4" s="638"/>
      <c r="AO4" s="541"/>
      <c r="AP4" s="13"/>
      <c r="AQ4" s="544"/>
      <c r="AR4" s="639">
        <f>+I4</f>
        <v>0</v>
      </c>
      <c r="AS4" s="639"/>
      <c r="AT4" s="639"/>
      <c r="AU4" s="541"/>
    </row>
    <row r="5" spans="2:49" ht="68.25" customHeight="1">
      <c r="B5" s="546" t="s">
        <v>345</v>
      </c>
      <c r="C5" s="547" t="s">
        <v>3</v>
      </c>
      <c r="D5" s="547" t="s">
        <v>327</v>
      </c>
      <c r="E5" s="547" t="s">
        <v>346</v>
      </c>
      <c r="F5" s="547" t="s">
        <v>347</v>
      </c>
      <c r="G5" s="548"/>
      <c r="H5" s="549"/>
      <c r="I5" s="547" t="s">
        <v>328</v>
      </c>
      <c r="J5" s="547" t="s">
        <v>348</v>
      </c>
      <c r="K5" s="547" t="s">
        <v>351</v>
      </c>
      <c r="L5" s="547" t="s">
        <v>349</v>
      </c>
      <c r="M5" s="547" t="s">
        <v>350</v>
      </c>
      <c r="N5" s="547" t="s">
        <v>5</v>
      </c>
      <c r="O5" s="547" t="s">
        <v>352</v>
      </c>
      <c r="P5" s="550"/>
      <c r="Q5" s="548"/>
      <c r="R5" s="549"/>
      <c r="S5" s="547" t="s">
        <v>353</v>
      </c>
      <c r="T5" s="547" t="s">
        <v>354</v>
      </c>
      <c r="U5" s="550"/>
      <c r="V5" s="548"/>
      <c r="W5" s="549"/>
      <c r="X5" s="547" t="s">
        <v>334</v>
      </c>
      <c r="Y5" s="547" t="s">
        <v>335</v>
      </c>
      <c r="Z5" s="547" t="s">
        <v>355</v>
      </c>
      <c r="AA5" s="547" t="s">
        <v>349</v>
      </c>
      <c r="AB5" s="547" t="s">
        <v>356</v>
      </c>
      <c r="AC5" s="550"/>
      <c r="AD5" s="548"/>
      <c r="AE5" s="551"/>
      <c r="AF5" s="547" t="s">
        <v>357</v>
      </c>
      <c r="AG5" s="550"/>
      <c r="AH5" s="552"/>
      <c r="AI5" s="553"/>
      <c r="AJ5" s="547" t="s">
        <v>368</v>
      </c>
      <c r="AK5" s="547" t="s">
        <v>369</v>
      </c>
      <c r="AL5" s="547" t="s">
        <v>13</v>
      </c>
      <c r="AM5" s="547" t="s">
        <v>358</v>
      </c>
      <c r="AN5" s="547" t="s">
        <v>359</v>
      </c>
      <c r="AO5" s="550"/>
      <c r="AP5" s="548"/>
      <c r="AQ5" s="551"/>
      <c r="AR5" s="547" t="s">
        <v>45</v>
      </c>
      <c r="AS5" s="547" t="s">
        <v>46</v>
      </c>
      <c r="AT5" s="547" t="s">
        <v>47</v>
      </c>
      <c r="AU5" s="550"/>
    </row>
    <row r="6" spans="2:49">
      <c r="B6" s="545"/>
      <c r="C6" s="554"/>
      <c r="D6" s="545"/>
      <c r="E6" s="545"/>
      <c r="F6" s="554"/>
      <c r="G6" s="106"/>
      <c r="H6" s="555"/>
      <c r="I6" s="545"/>
      <c r="J6" s="554"/>
      <c r="K6" s="545"/>
      <c r="L6" s="545"/>
      <c r="M6" s="545"/>
      <c r="N6" s="545"/>
      <c r="O6" s="545"/>
      <c r="P6" s="556"/>
      <c r="R6" s="544"/>
      <c r="S6" s="554"/>
      <c r="T6" s="554"/>
      <c r="U6" s="557"/>
      <c r="V6" s="106"/>
      <c r="W6" s="555"/>
      <c r="X6" s="554"/>
      <c r="Y6" s="554"/>
      <c r="Z6" s="554"/>
      <c r="AA6" s="554"/>
      <c r="AB6" s="554"/>
      <c r="AC6" s="557"/>
      <c r="AD6" s="106"/>
      <c r="AE6" s="544"/>
      <c r="AF6" s="554"/>
      <c r="AG6" s="558"/>
      <c r="AH6" s="106"/>
      <c r="AI6" s="555"/>
      <c r="AJ6" s="554"/>
      <c r="AK6" s="554"/>
      <c r="AL6" s="554"/>
      <c r="AM6" s="554"/>
      <c r="AN6" s="554"/>
      <c r="AO6" s="557"/>
      <c r="AP6" s="106"/>
      <c r="AQ6" s="544"/>
      <c r="AR6" s="554"/>
      <c r="AS6" s="554"/>
      <c r="AT6" s="554"/>
      <c r="AU6" s="557"/>
      <c r="AW6" s="559"/>
    </row>
    <row r="7" spans="2:49">
      <c r="B7" s="560">
        <f>Portfolio!C16</f>
        <v>0</v>
      </c>
      <c r="C7" s="561">
        <f>Portfolio!D16</f>
        <v>0</v>
      </c>
      <c r="D7" s="561">
        <f>Portfolio!G16</f>
        <v>0</v>
      </c>
      <c r="E7" s="562">
        <f>Portfolio!H16</f>
        <v>0</v>
      </c>
      <c r="F7" s="563">
        <f>Portfolio!K16</f>
        <v>0</v>
      </c>
      <c r="G7" s="564"/>
      <c r="H7" s="565"/>
      <c r="I7" s="566">
        <f>Portfolio!J16</f>
        <v>0</v>
      </c>
      <c r="J7" s="563">
        <v>8000000</v>
      </c>
      <c r="K7" s="563">
        <f>Portfolio!M16</f>
        <v>0</v>
      </c>
      <c r="L7" s="563"/>
      <c r="M7" s="563">
        <f>Portfolio!N16</f>
        <v>0</v>
      </c>
      <c r="N7" s="563">
        <f>Portfolio!O16</f>
        <v>0</v>
      </c>
      <c r="O7" s="567" t="e">
        <f>+N7/$N$11</f>
        <v>#DIV/0!</v>
      </c>
      <c r="P7" s="568"/>
      <c r="Q7" s="569"/>
      <c r="R7" s="570"/>
      <c r="S7" s="571"/>
      <c r="T7" s="572"/>
      <c r="U7" s="558"/>
      <c r="V7" s="564"/>
      <c r="W7" s="565"/>
      <c r="X7" s="573">
        <f>Portfolio!W16</f>
        <v>0</v>
      </c>
      <c r="Y7" s="573">
        <f>Portfolio!X16</f>
        <v>0</v>
      </c>
      <c r="Z7" s="573"/>
      <c r="AA7" s="573"/>
      <c r="AB7" s="574"/>
      <c r="AC7" s="558"/>
      <c r="AD7" s="564"/>
      <c r="AE7" s="565"/>
      <c r="AF7" s="563"/>
      <c r="AG7" s="558"/>
      <c r="AH7" s="575"/>
      <c r="AI7" s="576"/>
      <c r="AJ7" s="573"/>
      <c r="AK7" s="573"/>
      <c r="AL7" s="573"/>
      <c r="AM7" s="577"/>
      <c r="AN7" s="578"/>
      <c r="AO7" s="558"/>
      <c r="AP7" s="564"/>
      <c r="AQ7" s="565"/>
      <c r="AR7" s="579" t="e">
        <f>#REF!/J7</f>
        <v>#REF!</v>
      </c>
      <c r="AS7" s="580" t="e">
        <f>AT7-AR7</f>
        <v>#REF!</v>
      </c>
      <c r="AT7" s="580" t="e">
        <f>(#REF!+#REF!)/J7</f>
        <v>#REF!</v>
      </c>
      <c r="AU7" s="558"/>
    </row>
    <row r="8" spans="2:49">
      <c r="B8" s="581"/>
      <c r="C8" s="554"/>
      <c r="D8" s="554"/>
      <c r="E8" s="582"/>
      <c r="F8" s="583"/>
      <c r="G8" s="564"/>
      <c r="H8" s="565"/>
      <c r="I8" s="584"/>
      <c r="J8" s="583"/>
      <c r="K8" s="583"/>
      <c r="L8" s="583"/>
      <c r="M8" s="583"/>
      <c r="N8" s="583"/>
      <c r="O8" s="585"/>
      <c r="P8" s="586"/>
      <c r="Q8" s="569"/>
      <c r="R8" s="570"/>
      <c r="S8" s="585"/>
      <c r="T8" s="587"/>
      <c r="U8" s="558"/>
      <c r="V8" s="564"/>
      <c r="W8" s="565"/>
      <c r="X8" s="588"/>
      <c r="Y8" s="588"/>
      <c r="Z8" s="588"/>
      <c r="AA8" s="588"/>
      <c r="AB8" s="574"/>
      <c r="AC8" s="558"/>
      <c r="AD8" s="564"/>
      <c r="AE8" s="565"/>
      <c r="AF8" s="583"/>
      <c r="AG8" s="558"/>
      <c r="AH8" s="575"/>
      <c r="AI8" s="576"/>
      <c r="AJ8" s="588"/>
      <c r="AK8" s="588"/>
      <c r="AL8" s="588"/>
      <c r="AM8" s="577"/>
      <c r="AN8" s="578"/>
      <c r="AO8" s="558"/>
      <c r="AP8" s="564"/>
      <c r="AQ8" s="565"/>
      <c r="AR8" s="589"/>
      <c r="AS8" s="590"/>
      <c r="AT8" s="590"/>
      <c r="AU8" s="558"/>
    </row>
    <row r="9" spans="2:49">
      <c r="B9" s="560">
        <f>Portfolio!C17</f>
        <v>0</v>
      </c>
      <c r="C9" s="561">
        <f>Portfolio!D17</f>
        <v>0</v>
      </c>
      <c r="D9" s="561">
        <f>Portfolio!G17</f>
        <v>0</v>
      </c>
      <c r="E9" s="562">
        <f>Portfolio!H17</f>
        <v>0</v>
      </c>
      <c r="F9" s="563">
        <f>Portfolio!K17</f>
        <v>0</v>
      </c>
      <c r="G9" s="564"/>
      <c r="H9" s="565"/>
      <c r="I9" s="566">
        <f>Portfolio!J17</f>
        <v>0</v>
      </c>
      <c r="J9" s="563">
        <v>4000000</v>
      </c>
      <c r="K9" s="563">
        <f>Portfolio!M17</f>
        <v>0</v>
      </c>
      <c r="L9" s="563"/>
      <c r="M9" s="563">
        <f>Portfolio!N17</f>
        <v>0</v>
      </c>
      <c r="N9" s="563">
        <f>Portfolio!O17</f>
        <v>0</v>
      </c>
      <c r="O9" s="567" t="e">
        <f>+N9/$N$11</f>
        <v>#DIV/0!</v>
      </c>
      <c r="P9" s="586"/>
      <c r="Q9" s="569"/>
      <c r="R9" s="570"/>
      <c r="S9" s="571"/>
      <c r="T9" s="572"/>
      <c r="U9" s="558"/>
      <c r="V9" s="564"/>
      <c r="W9" s="565"/>
      <c r="X9" s="573">
        <f>Portfolio!W17</f>
        <v>0</v>
      </c>
      <c r="Y9" s="573">
        <f>Portfolio!X17</f>
        <v>0</v>
      </c>
      <c r="Z9" s="573"/>
      <c r="AA9" s="573"/>
      <c r="AB9" s="574"/>
      <c r="AC9" s="558"/>
      <c r="AD9" s="564"/>
      <c r="AE9" s="565"/>
      <c r="AF9" s="583"/>
      <c r="AG9" s="558"/>
      <c r="AH9" s="575"/>
      <c r="AI9" s="576"/>
      <c r="AJ9" s="573"/>
      <c r="AK9" s="573"/>
      <c r="AL9" s="573"/>
      <c r="AM9" s="591"/>
      <c r="AN9" s="574"/>
      <c r="AO9" s="558"/>
      <c r="AP9" s="564"/>
      <c r="AQ9" s="565"/>
      <c r="AR9" s="589"/>
      <c r="AS9" s="590"/>
      <c r="AT9" s="590"/>
      <c r="AU9" s="558"/>
    </row>
    <row r="10" spans="2:49">
      <c r="B10" s="581"/>
      <c r="C10" s="554"/>
      <c r="D10" s="554"/>
      <c r="E10" s="554"/>
      <c r="F10" s="583"/>
      <c r="G10" s="564"/>
      <c r="H10" s="565"/>
      <c r="I10" s="594"/>
      <c r="J10" s="594"/>
      <c r="K10" s="595"/>
      <c r="L10" s="595"/>
      <c r="M10" s="595"/>
      <c r="N10" s="595"/>
      <c r="O10" s="596"/>
      <c r="P10" s="586"/>
      <c r="Q10" s="569"/>
      <c r="R10" s="570"/>
      <c r="S10" s="597"/>
      <c r="T10" s="574"/>
      <c r="U10" s="558"/>
      <c r="V10" s="564"/>
      <c r="W10" s="565"/>
      <c r="X10" s="583"/>
      <c r="Y10" s="583"/>
      <c r="Z10" s="583"/>
      <c r="AA10" s="583"/>
      <c r="AB10" s="574"/>
      <c r="AC10" s="558"/>
      <c r="AD10" s="564"/>
      <c r="AE10" s="565"/>
      <c r="AF10" s="583"/>
      <c r="AG10" s="558"/>
      <c r="AH10" s="564"/>
      <c r="AI10" s="565"/>
      <c r="AJ10" s="598"/>
      <c r="AK10" s="598"/>
      <c r="AL10" s="574"/>
      <c r="AM10" s="598"/>
      <c r="AN10" s="574"/>
      <c r="AO10" s="558"/>
      <c r="AP10" s="564"/>
      <c r="AQ10" s="565"/>
      <c r="AR10" s="589"/>
      <c r="AS10" s="590"/>
      <c r="AT10" s="590"/>
      <c r="AU10" s="593"/>
    </row>
    <row r="11" spans="2:49">
      <c r="B11" s="599" t="s">
        <v>0</v>
      </c>
      <c r="C11" s="600"/>
      <c r="D11" s="600"/>
      <c r="E11" s="600"/>
      <c r="F11" s="601"/>
      <c r="G11" s="564"/>
      <c r="H11" s="565"/>
      <c r="I11" s="602"/>
      <c r="J11" s="602">
        <f>+SUM(J6:J10)</f>
        <v>12000000</v>
      </c>
      <c r="K11" s="602">
        <f>SUM(K7:K9)</f>
        <v>0</v>
      </c>
      <c r="L11" s="602">
        <f>SUM(L7:L9)</f>
        <v>0</v>
      </c>
      <c r="M11" s="602">
        <f>SUM(M7:M9)</f>
        <v>0</v>
      </c>
      <c r="N11" s="602">
        <f>SUM(N7:N9)</f>
        <v>0</v>
      </c>
      <c r="O11" s="603" t="e">
        <f>+#REF!/#REF!</f>
        <v>#REF!</v>
      </c>
      <c r="P11" s="604"/>
      <c r="Q11" s="605"/>
      <c r="R11" s="606"/>
      <c r="S11" s="607"/>
      <c r="T11" s="608">
        <f>N11*S11</f>
        <v>0</v>
      </c>
      <c r="U11" s="558"/>
      <c r="V11" s="462"/>
      <c r="W11" s="565"/>
      <c r="X11" s="601">
        <f>+SUM(X6:X10)</f>
        <v>0</v>
      </c>
      <c r="Y11" s="609">
        <f>+SUM(Y6:Y10)</f>
        <v>0</v>
      </c>
      <c r="Z11" s="609">
        <f>+SUM(Z6:Z10)</f>
        <v>0</v>
      </c>
      <c r="AA11" s="609">
        <f>+SUM(AA6:AA10)</f>
        <v>0</v>
      </c>
      <c r="AB11" s="601">
        <f>T11+X11+Y11</f>
        <v>0</v>
      </c>
      <c r="AC11" s="558"/>
      <c r="AD11" s="610"/>
      <c r="AE11" s="592"/>
      <c r="AF11" s="601"/>
      <c r="AG11" s="558"/>
      <c r="AH11" s="462"/>
      <c r="AI11" s="611"/>
      <c r="AJ11" s="612"/>
      <c r="AK11" s="612"/>
      <c r="AL11" s="613"/>
      <c r="AM11" s="612" t="e">
        <f ca="1">'Pricing Table Adjusted'!E32</f>
        <v>#REF!</v>
      </c>
      <c r="AN11" s="613" t="e">
        <f ca="1">'Pricing Table Adjusted'!E33</f>
        <v>#REF!</v>
      </c>
      <c r="AO11" s="593"/>
      <c r="AP11" s="462"/>
      <c r="AQ11" s="592"/>
      <c r="AR11" s="614"/>
      <c r="AS11" s="614"/>
      <c r="AT11" s="615"/>
      <c r="AU11" s="593"/>
    </row>
    <row r="12" spans="2:49">
      <c r="C12" s="106"/>
      <c r="F12" s="460"/>
      <c r="G12" s="460"/>
      <c r="H12" s="616"/>
      <c r="I12" s="617"/>
      <c r="J12" s="617"/>
      <c r="K12" s="617"/>
      <c r="L12" s="617"/>
      <c r="M12" s="617"/>
      <c r="N12" s="617"/>
      <c r="O12" s="617"/>
      <c r="P12" s="618"/>
      <c r="Q12" s="460"/>
      <c r="R12" s="616"/>
      <c r="S12" s="617"/>
      <c r="T12" s="617"/>
      <c r="U12" s="618"/>
      <c r="V12" s="460"/>
      <c r="W12" s="616"/>
      <c r="X12" s="617"/>
      <c r="Y12" s="617"/>
      <c r="Z12" s="617"/>
      <c r="AA12" s="617"/>
      <c r="AB12" s="617"/>
      <c r="AC12" s="618"/>
      <c r="AD12" s="610"/>
      <c r="AE12" s="619"/>
      <c r="AF12" s="620"/>
      <c r="AG12" s="621"/>
      <c r="AH12" s="460"/>
      <c r="AI12" s="616"/>
      <c r="AJ12" s="617"/>
      <c r="AK12" s="617"/>
      <c r="AL12" s="617"/>
      <c r="AM12" s="617"/>
      <c r="AN12" s="617"/>
      <c r="AO12" s="618"/>
      <c r="AP12" s="460"/>
      <c r="AQ12" s="622"/>
      <c r="AR12" s="617"/>
      <c r="AS12" s="617"/>
      <c r="AT12" s="617"/>
      <c r="AU12" s="618"/>
    </row>
    <row r="15" spans="2:49">
      <c r="Z15" s="623"/>
    </row>
    <row r="23" spans="2:6" s="610" customFormat="1"/>
    <row r="24" spans="2:6" s="610" customFormat="1"/>
    <row r="25" spans="2:6" s="610" customFormat="1"/>
    <row r="26" spans="2:6" s="610" customFormat="1"/>
    <row r="27" spans="2:6" s="610" customFormat="1"/>
    <row r="28" spans="2:6">
      <c r="B28" s="624"/>
    </row>
    <row r="29" spans="2:6">
      <c r="F29" s="625"/>
    </row>
  </sheetData>
  <mergeCells count="4">
    <mergeCell ref="S4:T4"/>
    <mergeCell ref="X4:AB4"/>
    <mergeCell ref="AM4:AN4"/>
    <mergeCell ref="AR4:AT4"/>
  </mergeCells>
  <pageMargins left="0.7" right="0.7" top="0.75" bottom="0.75" header="0.3" footer="0.3"/>
  <pageSetup orientation="portrait" horizontalDpi="1200" verticalDpi="1200" r:id="rId1"/>
  <ignoredErrors>
    <ignoredError sqref="AM11:AN11" evalErro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06F99-D283-4BF8-8035-0210648182E8}">
  <sheetPr>
    <tabColor rgb="FF00B050"/>
  </sheetPr>
  <dimension ref="A1:K32"/>
  <sheetViews>
    <sheetView workbookViewId="0">
      <selection activeCell="C22" sqref="C22"/>
    </sheetView>
  </sheetViews>
  <sheetFormatPr baseColWidth="10" defaultColWidth="0" defaultRowHeight="14" zeroHeight="1"/>
  <cols>
    <col min="1" max="1" width="2.6640625" style="1" customWidth="1"/>
    <col min="2" max="2" width="32.6640625" style="1" customWidth="1"/>
    <col min="3" max="3" width="20.1640625" style="4" bestFit="1" customWidth="1"/>
    <col min="4" max="4" width="2.6640625" style="4" customWidth="1"/>
    <col min="5" max="5" width="14" style="1" bestFit="1" customWidth="1"/>
    <col min="6" max="6" width="2.6640625" style="1" customWidth="1"/>
    <col min="7" max="7" width="9.1640625" style="1" hidden="1" customWidth="1"/>
    <col min="8" max="11" width="12.6640625" style="1" hidden="1" customWidth="1"/>
    <col min="12" max="16384" width="9.1640625" style="1" hidden="1"/>
  </cols>
  <sheetData>
    <row r="1" spans="2:7"/>
    <row r="2" spans="2:7">
      <c r="B2" s="2" t="str">
        <f>"Project "&amp;Portfolio!$D$4&amp;" - Pricing Table"</f>
        <v>Project  - Pricing Table</v>
      </c>
      <c r="C2" s="2"/>
      <c r="D2" s="2"/>
      <c r="E2" s="2"/>
    </row>
    <row r="3" spans="2:7"/>
    <row r="4" spans="2:7">
      <c r="C4" s="87">
        <v>1</v>
      </c>
      <c r="D4" s="87"/>
    </row>
    <row r="5" spans="2:7">
      <c r="B5" s="2"/>
      <c r="C5" s="10">
        <f>INDEX(Portfolio!$C:$C,MATCH('Pricing Table'!C$4,Portfolio!$B:$B,0))</f>
        <v>0</v>
      </c>
      <c r="D5" s="85"/>
      <c r="E5" s="10" t="s">
        <v>0</v>
      </c>
    </row>
    <row r="6" spans="2:7">
      <c r="B6" s="1" t="s">
        <v>1</v>
      </c>
      <c r="C6" s="6" t="e">
        <f>INDEX(Portfolio!$J:$J,MATCH(C$5,Portfolio!$C:$C,0))</f>
        <v>#N/A</v>
      </c>
      <c r="D6" s="6"/>
      <c r="E6" s="73">
        <f>refdate</f>
        <v>0</v>
      </c>
    </row>
    <row r="7" spans="2:7">
      <c r="B7" s="1" t="s">
        <v>327</v>
      </c>
      <c r="C7" s="6" t="e">
        <f>INDEX(Portfolio!$G:$G,MATCH(C$5,Portfolio!$C:$C,0))</f>
        <v>#N/A</v>
      </c>
      <c r="D7" s="6"/>
      <c r="E7" s="73">
        <f>CCY</f>
        <v>0</v>
      </c>
    </row>
    <row r="8" spans="2:7">
      <c r="B8" s="1" t="s">
        <v>3</v>
      </c>
      <c r="C8" s="4" t="e">
        <f>INDEX(Portfolio!$D:$D,MATCH('Pricing Table'!C$5,Portfolio!$C:$C,0))</f>
        <v>#N/A</v>
      </c>
      <c r="D8" s="6"/>
      <c r="E8" s="170" t="e">
        <f>SUMPRODUCT(C8:D8,C11:D11)</f>
        <v>#N/A</v>
      </c>
    </row>
    <row r="9" spans="2:7">
      <c r="B9" s="1" t="s">
        <v>4</v>
      </c>
      <c r="C9" s="42" t="e">
        <f>INDEX(Portfolio!$H:$H,MATCH(C$5,Portfolio!$C:$C,0))</f>
        <v>#N/A</v>
      </c>
      <c r="D9" s="42"/>
      <c r="E9" s="74">
        <v>1</v>
      </c>
    </row>
    <row r="10" spans="2:7" s="13" customFormat="1">
      <c r="B10" s="13" t="s">
        <v>5</v>
      </c>
      <c r="C10" s="38" t="e">
        <f>INDEX(Portfolio!$O:$O,MATCH(C$5,Portfolio!$C:$C,0))</f>
        <v>#N/A</v>
      </c>
      <c r="D10" s="109"/>
      <c r="E10" s="75" t="e">
        <f>SUMPRODUCT(C10:D10,C9:D9)</f>
        <v>#N/A</v>
      </c>
    </row>
    <row r="11" spans="2:7">
      <c r="B11" s="15" t="s">
        <v>6</v>
      </c>
      <c r="C11" s="59" t="e">
        <f>(C10*C9)/$E$10</f>
        <v>#N/A</v>
      </c>
      <c r="D11" s="110"/>
      <c r="E11" s="76" t="e">
        <f>(E10*E9)/$E$10</f>
        <v>#N/A</v>
      </c>
      <c r="G11" s="13"/>
    </row>
    <row r="12" spans="2:7">
      <c r="E12" s="77"/>
      <c r="G12" s="13"/>
    </row>
    <row r="13" spans="2:7">
      <c r="B13" s="1" t="s">
        <v>7</v>
      </c>
      <c r="C13" s="102" t="e" cm="1">
        <f t="array" aca="1" ref="C13" ca="1">INDIRECT("'"&amp;C$5&amp;"'!d31")</f>
        <v>#REF!</v>
      </c>
      <c r="D13" s="111"/>
      <c r="E13" s="78" t="e">
        <f ca="1">SUMPRODUCT(C13:D13,C9:D9)</f>
        <v>#REF!</v>
      </c>
      <c r="G13" s="13"/>
    </row>
    <row r="14" spans="2:7">
      <c r="E14" s="77"/>
      <c r="G14" s="13"/>
    </row>
    <row r="15" spans="2:7">
      <c r="B15" s="1" t="s">
        <v>9</v>
      </c>
      <c r="C15" s="102" t="e" cm="1">
        <f t="array" aca="1" ref="C15" ca="1">INDIRECT("'"&amp;C$5&amp;"'!d32")</f>
        <v>#REF!</v>
      </c>
      <c r="D15" s="111"/>
      <c r="E15" s="78" t="e">
        <f ca="1">SUMPRODUCT(C15:D15,C9:D9)</f>
        <v>#REF!</v>
      </c>
      <c r="G15" s="13"/>
    </row>
    <row r="16" spans="2:7">
      <c r="B16" s="1" t="s">
        <v>10</v>
      </c>
      <c r="C16" s="102" t="e" cm="1">
        <f t="array" aca="1" ref="C16" ca="1">INDIRECT("'"&amp;C$5&amp;"'!d33")</f>
        <v>#REF!</v>
      </c>
      <c r="D16" s="111"/>
      <c r="E16" s="78" t="e">
        <f ca="1">SUMPRODUCT(C16:D16,C9:D9)</f>
        <v>#REF!</v>
      </c>
      <c r="G16" s="13"/>
    </row>
    <row r="17" spans="2:8">
      <c r="B17" s="1" t="s">
        <v>11</v>
      </c>
      <c r="C17" s="102" t="e" cm="1">
        <f t="array" aca="1" ref="C17" ca="1">INDIRECT("'"&amp;C$5&amp;"'!d34")</f>
        <v>#REF!</v>
      </c>
      <c r="D17" s="111"/>
      <c r="E17" s="78" t="e">
        <f ca="1">SUMPRODUCT(C17:D17,C9:D9)</f>
        <v>#REF!</v>
      </c>
      <c r="G17" s="13"/>
    </row>
    <row r="18" spans="2:8">
      <c r="B18" s="1" t="s">
        <v>12</v>
      </c>
      <c r="C18" s="102" t="e" cm="1">
        <f t="array" aca="1" ref="C18" ca="1">INDIRECT("'"&amp;C$5&amp;"'!d35")</f>
        <v>#REF!</v>
      </c>
      <c r="D18" s="111"/>
      <c r="E18" s="78" t="e">
        <f ca="1">SUMPRODUCT(C18:D18,C9:D$9)</f>
        <v>#REF!</v>
      </c>
      <c r="G18" s="13"/>
    </row>
    <row r="19" spans="2:8" s="13" customFormat="1">
      <c r="B19" s="39" t="s">
        <v>13</v>
      </c>
      <c r="C19" s="40" t="e">
        <f ca="1">C13+SUM(C15:C18)</f>
        <v>#REF!</v>
      </c>
      <c r="D19" s="40"/>
      <c r="E19" s="80" t="e">
        <f ca="1">SUMPRODUCT(C19:D19,C9:D9)</f>
        <v>#REF!</v>
      </c>
    </row>
    <row r="20" spans="2:8" s="13" customFormat="1">
      <c r="C20" s="37"/>
      <c r="D20" s="37"/>
      <c r="E20" s="79"/>
    </row>
    <row r="21" spans="2:8" s="13" customFormat="1">
      <c r="B21" s="1" t="s">
        <v>14</v>
      </c>
      <c r="C21" s="102" t="e" cm="1">
        <f t="array" aca="1" ref="C21" ca="1">-INDIRECT("'"&amp;C$5&amp;"'!d36")</f>
        <v>#REF!</v>
      </c>
      <c r="D21" s="111"/>
      <c r="E21" s="78" t="e">
        <f ca="1">SUMPRODUCT(C21:D21,C9:D9)</f>
        <v>#REF!</v>
      </c>
      <c r="H21" s="139"/>
    </row>
    <row r="22" spans="2:8">
      <c r="E22" s="77"/>
      <c r="G22" s="13"/>
    </row>
    <row r="23" spans="2:8">
      <c r="B23" s="1" t="s">
        <v>341</v>
      </c>
      <c r="C23" s="60">
        <v>2</v>
      </c>
      <c r="D23" s="112"/>
      <c r="E23" s="81"/>
      <c r="G23" s="13"/>
    </row>
    <row r="24" spans="2:8" s="13" customFormat="1">
      <c r="B24" s="13" t="s">
        <v>15</v>
      </c>
      <c r="C24" s="511" t="e">
        <f ca="1">C19/C23</f>
        <v>#REF!</v>
      </c>
      <c r="D24" s="41"/>
      <c r="E24" s="512" t="e">
        <f ca="1">SUMPRODUCT($C24:$D24,$C$9:$D$9)</f>
        <v>#REF!</v>
      </c>
    </row>
    <row r="25" spans="2:8">
      <c r="E25" s="77"/>
    </row>
    <row r="26" spans="2:8">
      <c r="B26" s="1" t="s">
        <v>16</v>
      </c>
      <c r="C26" s="510" t="e">
        <f ca="1">C24-C21</f>
        <v>#REF!</v>
      </c>
      <c r="D26" s="36"/>
      <c r="E26" s="513" t="e">
        <f ca="1">E24-E21</f>
        <v>#REF!</v>
      </c>
    </row>
    <row r="27" spans="2:8" s="13" customFormat="1">
      <c r="B27" s="13" t="s">
        <v>17</v>
      </c>
      <c r="C27" s="14" t="e">
        <f ca="1">C26/C10</f>
        <v>#REF!</v>
      </c>
      <c r="D27" s="113"/>
      <c r="E27" s="82" t="e">
        <f ca="1">E26/E10</f>
        <v>#REF!</v>
      </c>
      <c r="G27" s="14"/>
    </row>
    <row r="28" spans="2:8">
      <c r="E28" s="77"/>
    </row>
    <row r="29" spans="2:8" s="13" customFormat="1">
      <c r="B29" s="13" t="s">
        <v>330</v>
      </c>
      <c r="C29" s="37" t="e">
        <f ca="1">C19/C24</f>
        <v>#REF!</v>
      </c>
      <c r="D29" s="37"/>
      <c r="E29" s="79" t="e">
        <f ca="1">E19/E24</f>
        <v>#REF!</v>
      </c>
    </row>
    <row r="30" spans="2:8" s="13" customFormat="1">
      <c r="B30" s="13" t="s">
        <v>18</v>
      </c>
      <c r="C30" s="14" t="e">
        <f>INDEX(Portfolio!$AB:$AB,MATCH('Pricing Table'!C$5,Portfolio!$C:$C,0))</f>
        <v>#N/A</v>
      </c>
      <c r="D30" s="113"/>
      <c r="E30" s="82" t="e">
        <f ca="1">Portfolio!$AB$12</f>
        <v>#N/A</v>
      </c>
    </row>
    <row r="31" spans="2:8">
      <c r="E31" s="82"/>
    </row>
    <row r="32" spans="2:8"/>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B6AE-6CF1-42F1-B54C-EE67E2CCAAF7}">
  <sheetPr>
    <tabColor theme="9" tint="0.39997558519241921"/>
  </sheetPr>
  <dimension ref="A1:K41"/>
  <sheetViews>
    <sheetView workbookViewId="0">
      <selection activeCell="C23" sqref="C23"/>
    </sheetView>
  </sheetViews>
  <sheetFormatPr baseColWidth="10" defaultColWidth="0" defaultRowHeight="14" zeroHeight="1"/>
  <cols>
    <col min="1" max="1" width="2.6640625" style="1" customWidth="1"/>
    <col min="2" max="2" width="32.6640625" style="1" customWidth="1"/>
    <col min="3" max="3" width="20.1640625" style="4" bestFit="1" customWidth="1"/>
    <col min="4" max="4" width="2.6640625" style="4" customWidth="1"/>
    <col min="5" max="5" width="14" style="1" bestFit="1" customWidth="1"/>
    <col min="6" max="6" width="2.6640625" style="1" customWidth="1"/>
    <col min="7" max="7" width="9.1640625" style="1" hidden="1" customWidth="1"/>
    <col min="8" max="11" width="12.6640625" style="1" hidden="1" customWidth="1"/>
    <col min="12" max="16384" width="9.1640625" style="1" hidden="1"/>
  </cols>
  <sheetData>
    <row r="1" spans="2:7"/>
    <row r="2" spans="2:7">
      <c r="B2" s="2" t="str">
        <f>"Project "&amp;Portfolio!$D$4&amp;" - Pricing Table"</f>
        <v>Project  - Pricing Table</v>
      </c>
      <c r="C2" s="2"/>
      <c r="D2" s="2"/>
      <c r="E2" s="2"/>
    </row>
    <row r="3" spans="2:7"/>
    <row r="4" spans="2:7">
      <c r="C4" s="87">
        <v>1</v>
      </c>
      <c r="D4" s="87"/>
    </row>
    <row r="5" spans="2:7">
      <c r="B5" s="2"/>
      <c r="C5" s="10">
        <f>INDEX(Portfolio!$C:$C,MATCH('Pricing Table Adjusted'!C$4,Portfolio!$B:$B,0))</f>
        <v>0</v>
      </c>
      <c r="D5" s="85"/>
      <c r="E5" s="10" t="s">
        <v>0</v>
      </c>
    </row>
    <row r="6" spans="2:7">
      <c r="B6" s="1" t="s">
        <v>328</v>
      </c>
      <c r="C6" s="6" t="e">
        <f>INDEX(Portfolio!$J:$J,MATCH(C$5,Portfolio!$C:$C,0))</f>
        <v>#N/A</v>
      </c>
      <c r="D6" s="6"/>
      <c r="E6" s="73" t="e">
        <f>C6</f>
        <v>#N/A</v>
      </c>
    </row>
    <row r="7" spans="2:7">
      <c r="B7" s="1" t="s">
        <v>327</v>
      </c>
      <c r="C7" s="6" t="e">
        <f>INDEX(Portfolio!$G:$G,MATCH(C$5,Portfolio!$C:$C,0))</f>
        <v>#N/A</v>
      </c>
      <c r="D7" s="6"/>
      <c r="E7" s="73" t="e">
        <f>C7</f>
        <v>#N/A</v>
      </c>
    </row>
    <row r="8" spans="2:7">
      <c r="B8" s="1" t="s">
        <v>3</v>
      </c>
      <c r="C8" s="4" t="e">
        <f>INDEX(Portfolio!$D:$D,MATCH('Pricing Table Adjusted'!C$5,Portfolio!$C:$C,0))</f>
        <v>#N/A</v>
      </c>
      <c r="D8" s="6"/>
      <c r="E8" s="170" t="e">
        <f>SUMPRODUCT(C8:D8,C11:D11)</f>
        <v>#N/A</v>
      </c>
    </row>
    <row r="9" spans="2:7">
      <c r="B9" s="1" t="s">
        <v>4</v>
      </c>
      <c r="C9" s="42" t="e">
        <f>INDEX(Portfolio!$H:$H,MATCH(C$5,Portfolio!$C:$C,0))</f>
        <v>#N/A</v>
      </c>
      <c r="D9" s="42"/>
      <c r="E9" s="74">
        <v>1</v>
      </c>
    </row>
    <row r="10" spans="2:7" s="13" customFormat="1">
      <c r="B10" s="13" t="s">
        <v>5</v>
      </c>
      <c r="C10" s="38" t="e">
        <f>INDEX(Portfolio!$O:$O,MATCH(C$5,Portfolio!$C:$C,0))</f>
        <v>#N/A</v>
      </c>
      <c r="D10" s="109"/>
      <c r="E10" s="75" t="e">
        <f>SUMPRODUCT(C10:D10,C9:D9)</f>
        <v>#N/A</v>
      </c>
    </row>
    <row r="11" spans="2:7">
      <c r="B11" s="15" t="s">
        <v>6</v>
      </c>
      <c r="C11" s="59" t="e">
        <f>(C10*C9)/$E$10</f>
        <v>#N/A</v>
      </c>
      <c r="D11" s="110"/>
      <c r="E11" s="76" t="e">
        <f>(E10*E9)/$E$10</f>
        <v>#N/A</v>
      </c>
      <c r="G11" s="13"/>
    </row>
    <row r="12" spans="2:7">
      <c r="E12" s="77"/>
      <c r="G12" s="13"/>
    </row>
    <row r="13" spans="2:7">
      <c r="B13" s="1" t="s">
        <v>7</v>
      </c>
      <c r="C13" s="102" t="e" cm="1">
        <f t="array" aca="1" ref="C13" ca="1">INDIRECT("'"&amp;C$5&amp;"'!d31")</f>
        <v>#REF!</v>
      </c>
      <c r="D13" s="111"/>
      <c r="E13" s="78" t="e">
        <f ca="1">SUMPRODUCT(C13:D13,C9:D9)</f>
        <v>#REF!</v>
      </c>
      <c r="G13" s="13"/>
    </row>
    <row r="14" spans="2:7">
      <c r="E14" s="77"/>
      <c r="G14" s="13"/>
    </row>
    <row r="15" spans="2:7">
      <c r="B15" s="1" t="s">
        <v>9</v>
      </c>
      <c r="C15" s="102" t="e" cm="1">
        <f t="array" aca="1" ref="C15" ca="1">INDIRECT("'"&amp;C$5&amp;"'!d32")</f>
        <v>#REF!</v>
      </c>
      <c r="D15" s="111"/>
      <c r="E15" s="78" t="e">
        <f ca="1">SUMPRODUCT(C15:D15,C9:D9)</f>
        <v>#REF!</v>
      </c>
      <c r="G15" s="13"/>
    </row>
    <row r="16" spans="2:7">
      <c r="B16" s="1" t="s">
        <v>12</v>
      </c>
      <c r="C16" s="102" t="e" cm="1">
        <f t="array" aca="1" ref="C16" ca="1">INDIRECT("'"&amp;C$5&amp;"'!d35")</f>
        <v>#REF!</v>
      </c>
      <c r="D16" s="111"/>
      <c r="E16" s="78" t="e">
        <f ca="1">SUMPRODUCT(C16:D16,C9:D9)</f>
        <v>#REF!</v>
      </c>
      <c r="G16" s="13"/>
    </row>
    <row r="17" spans="2:8" s="13" customFormat="1">
      <c r="B17" s="39" t="s">
        <v>13</v>
      </c>
      <c r="C17" s="40" t="e">
        <f ca="1">C13+SUM(C15:C16)</f>
        <v>#REF!</v>
      </c>
      <c r="D17" s="40"/>
      <c r="E17" s="80" t="e">
        <f ca="1">SUMPRODUCT(C17:D17,C9:D$9)</f>
        <v>#REF!</v>
      </c>
    </row>
    <row r="18" spans="2:8" s="13" customFormat="1" ht="15" thickBot="1">
      <c r="C18" s="37"/>
      <c r="D18" s="37"/>
      <c r="E18" s="79"/>
    </row>
    <row r="19" spans="2:8" s="13" customFormat="1" ht="15" thickBot="1">
      <c r="B19" s="1" t="s">
        <v>139</v>
      </c>
      <c r="C19" s="459">
        <f>E19</f>
        <v>0</v>
      </c>
      <c r="D19" s="111"/>
      <c r="E19" s="463">
        <v>0</v>
      </c>
      <c r="H19" s="139"/>
    </row>
    <row r="20" spans="2:8">
      <c r="B20" s="1" t="s">
        <v>16</v>
      </c>
      <c r="C20" s="460" t="e">
        <f>C10*(1-C19)</f>
        <v>#N/A</v>
      </c>
      <c r="E20" s="464" t="e">
        <f>E10*(1-E19)</f>
        <v>#N/A</v>
      </c>
      <c r="G20" s="13"/>
    </row>
    <row r="21" spans="2:8">
      <c r="B21" s="13" t="s">
        <v>17</v>
      </c>
      <c r="C21" s="461" t="e">
        <f>C20/C10</f>
        <v>#N/A</v>
      </c>
      <c r="D21" s="112"/>
      <c r="E21" s="465" t="e">
        <f>E20/E10</f>
        <v>#N/A</v>
      </c>
      <c r="G21" s="13"/>
    </row>
    <row r="22" spans="2:8" s="13" customFormat="1">
      <c r="B22" s="1"/>
      <c r="C22" s="4"/>
      <c r="D22" s="41"/>
      <c r="E22" s="79"/>
    </row>
    <row r="23" spans="2:8">
      <c r="B23" s="1" t="s">
        <v>14</v>
      </c>
      <c r="C23" s="102" t="e" cm="1">
        <f t="array" aca="1" ref="C23" ca="1">-INDIRECT("'"&amp;C$5&amp;"'!d36")</f>
        <v>#REF!</v>
      </c>
      <c r="E23" s="78" t="e">
        <f ca="1">SUMPRODUCT(C23:D23,C9:D9)</f>
        <v>#REF!</v>
      </c>
    </row>
    <row r="24" spans="2:8">
      <c r="C24" s="102"/>
      <c r="D24" s="36"/>
      <c r="E24" s="77"/>
    </row>
    <row r="25" spans="2:8" s="13" customFormat="1">
      <c r="B25" s="13" t="s">
        <v>15</v>
      </c>
      <c r="C25" s="462" t="e">
        <f ca="1">C20+C23</f>
        <v>#N/A</v>
      </c>
      <c r="D25" s="113"/>
      <c r="E25" s="75" t="e">
        <f ca="1">SUMPRODUCT(C25:D25,C9:D9)</f>
        <v>#N/A</v>
      </c>
      <c r="G25" s="14"/>
    </row>
    <row r="26" spans="2:8" s="13" customFormat="1">
      <c r="C26" s="462"/>
      <c r="D26" s="113"/>
      <c r="E26" s="75"/>
      <c r="G26" s="14"/>
    </row>
    <row r="27" spans="2:8">
      <c r="B27" s="1" t="s">
        <v>10</v>
      </c>
      <c r="C27" s="102" t="e" cm="1">
        <f t="array" aca="1" ref="C27" ca="1">INDIRECT("'"&amp;C$5&amp;"'!d33")</f>
        <v>#REF!</v>
      </c>
      <c r="D27" s="111"/>
      <c r="E27" s="78" t="e">
        <f ca="1">SUMPRODUCT(C27:D27,C9:D9)</f>
        <v>#REF!</v>
      </c>
      <c r="G27" s="13"/>
    </row>
    <row r="28" spans="2:8">
      <c r="B28" s="1" t="s">
        <v>11</v>
      </c>
      <c r="C28" s="102" t="e" cm="1">
        <f t="array" aca="1" ref="C28" ca="1">INDIRECT("'"&amp;C$5&amp;"'!d34")</f>
        <v>#REF!</v>
      </c>
      <c r="D28" s="111"/>
      <c r="E28" s="78" t="e">
        <f ca="1">SUMPRODUCT(C28:D28,C9:D9)</f>
        <v>#REF!</v>
      </c>
      <c r="G28" s="13"/>
    </row>
    <row r="29" spans="2:8">
      <c r="C29" s="102"/>
      <c r="D29" s="111"/>
      <c r="E29" s="78"/>
      <c r="G29" s="13"/>
    </row>
    <row r="30" spans="2:8">
      <c r="B30" s="1" t="s">
        <v>329</v>
      </c>
      <c r="C30" s="514" t="e">
        <f ca="1">C25+C27</f>
        <v>#N/A</v>
      </c>
      <c r="D30" s="111"/>
      <c r="E30" s="515" t="e">
        <f ca="1">E25+E27</f>
        <v>#N/A</v>
      </c>
      <c r="G30" s="13"/>
    </row>
    <row r="31" spans="2:8" ht="15" thickBot="1">
      <c r="E31" s="77"/>
    </row>
    <row r="32" spans="2:8" s="13" customFormat="1">
      <c r="B32" s="13" t="s">
        <v>330</v>
      </c>
      <c r="C32" s="37" t="e">
        <f ca="1">C17/C25</f>
        <v>#REF!</v>
      </c>
      <c r="D32" s="37"/>
      <c r="E32" s="466" t="e">
        <f ca="1">E17/E25</f>
        <v>#REF!</v>
      </c>
    </row>
    <row r="33" spans="2:5" s="13" customFormat="1" ht="15" thickBot="1">
      <c r="B33" s="13" t="s">
        <v>18</v>
      </c>
      <c r="C33" s="14">
        <f>'Blended IRR_Calc Adjusted'!G6</f>
        <v>0</v>
      </c>
      <c r="D33" s="113"/>
      <c r="E33" s="467" t="e">
        <f ca="1">'Blended IRR_Calc Adjusted'!C26</f>
        <v>#REF!</v>
      </c>
    </row>
    <row r="34" spans="2:5">
      <c r="E34" s="82"/>
    </row>
    <row r="35" spans="2:5"/>
    <row r="36" spans="2:5"/>
    <row r="37" spans="2:5"/>
    <row r="38" spans="2:5"/>
    <row r="39" spans="2:5"/>
    <row r="40" spans="2:5"/>
    <row r="41" spans="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8004D-9B7A-4E80-A606-EAA769C404F9}">
  <sheetPr>
    <tabColor rgb="FF00B050"/>
  </sheetPr>
  <dimension ref="A1:V27"/>
  <sheetViews>
    <sheetView workbookViewId="0"/>
  </sheetViews>
  <sheetFormatPr baseColWidth="10" defaultColWidth="0" defaultRowHeight="14" zeroHeight="1"/>
  <cols>
    <col min="1" max="1" width="2.6640625" style="1" customWidth="1"/>
    <col min="2" max="21" width="9.1640625" style="1" customWidth="1"/>
    <col min="22" max="22" width="2.6640625" style="1" customWidth="1"/>
    <col min="23" max="16384" width="9.1640625" style="1" hidden="1"/>
  </cols>
  <sheetData>
    <row r="1" spans="2:21"/>
    <row r="2" spans="2:21">
      <c r="B2" s="2" t="str">
        <f>"Project "&amp;Portfolio!$D$4&amp;" - Fx Table"</f>
        <v>Project  - Fx Table</v>
      </c>
      <c r="C2" s="2"/>
      <c r="D2" s="2"/>
      <c r="E2" s="2"/>
      <c r="F2" s="2"/>
      <c r="G2" s="2"/>
      <c r="H2" s="2"/>
      <c r="I2" s="2"/>
      <c r="J2" s="2"/>
      <c r="K2" s="2"/>
      <c r="L2" s="2"/>
      <c r="M2" s="2"/>
      <c r="N2" s="2"/>
      <c r="O2" s="2"/>
      <c r="P2" s="2"/>
      <c r="Q2" s="2"/>
      <c r="R2" s="2"/>
      <c r="S2" s="2"/>
      <c r="T2" s="2"/>
      <c r="U2" s="2"/>
    </row>
    <row r="3" spans="2:21"/>
    <row r="4" spans="2:21">
      <c r="B4" s="173">
        <f ca="1">TODAY()</f>
        <v>45439</v>
      </c>
      <c r="C4" s="43"/>
      <c r="D4" s="43"/>
      <c r="E4" s="43"/>
      <c r="F4" s="43"/>
      <c r="G4" s="43"/>
      <c r="I4" s="173">
        <f>refdate</f>
        <v>0</v>
      </c>
      <c r="J4" s="43"/>
      <c r="K4" s="43"/>
      <c r="L4" s="43"/>
      <c r="M4" s="43"/>
      <c r="N4" s="43"/>
      <c r="P4" s="43" t="s">
        <v>19</v>
      </c>
      <c r="Q4" s="43"/>
      <c r="R4" s="43"/>
      <c r="S4" s="43"/>
      <c r="T4" s="43"/>
      <c r="U4" s="43"/>
    </row>
    <row r="5" spans="2:21">
      <c r="B5" s="88"/>
      <c r="C5" s="88" t="str">
        <f>+B6</f>
        <v>EUR</v>
      </c>
      <c r="D5" s="88" t="str">
        <f>+B7</f>
        <v>USD</v>
      </c>
      <c r="E5" s="88" t="s">
        <v>20</v>
      </c>
      <c r="F5" s="88" t="str">
        <f>+B9</f>
        <v>CAD</v>
      </c>
      <c r="G5" s="88" t="str">
        <f>+B10</f>
        <v>AUD</v>
      </c>
      <c r="I5" s="88"/>
      <c r="J5" s="88" t="str">
        <f>+I6</f>
        <v>EUR</v>
      </c>
      <c r="K5" s="88" t="str">
        <f>+I7</f>
        <v>USD</v>
      </c>
      <c r="L5" s="88" t="str">
        <f>+I8</f>
        <v>GBP</v>
      </c>
      <c r="M5" s="88" t="str">
        <f>+I9</f>
        <v>CAD</v>
      </c>
      <c r="N5" s="88" t="str">
        <f>+I10</f>
        <v>AUD</v>
      </c>
      <c r="P5" s="88"/>
      <c r="Q5" s="88" t="str">
        <f>+P6</f>
        <v>EUR</v>
      </c>
      <c r="R5" s="88" t="str">
        <f>+P7</f>
        <v>USD</v>
      </c>
      <c r="S5" s="88" t="str">
        <f>+P8</f>
        <v>GBP</v>
      </c>
      <c r="T5" s="88" t="str">
        <f>+P9</f>
        <v>CAD</v>
      </c>
      <c r="U5" s="88" t="str">
        <f>+P10</f>
        <v>AUD</v>
      </c>
    </row>
    <row r="6" spans="2:21">
      <c r="B6" s="88" t="s">
        <v>21</v>
      </c>
      <c r="C6" s="125" t="e" cm="1">
        <f t="array" aca="1" ref="C6" ca="1">[3]!SNL("EXCHANGE RATES",$B6,C$5,$B$4)</f>
        <v>#NAME?</v>
      </c>
      <c r="D6" s="125" t="e" cm="1">
        <f t="array" aca="1" ref="D6" ca="1">[3]!SNL("EXCHANGE RATES",$B6,D$5,$B$4)</f>
        <v>#NAME?</v>
      </c>
      <c r="E6" s="125" t="e" cm="1">
        <f t="array" aca="1" ref="E6" ca="1">[3]!SNL("EXCHANGE RATES",$B6,E$5,$B$4)</f>
        <v>#NAME?</v>
      </c>
      <c r="F6" s="125" t="e" cm="1">
        <f t="array" aca="1" ref="F6" ca="1">[3]!SNL("EXCHANGE RATES",$B6,F$5,$B$4)</f>
        <v>#NAME?</v>
      </c>
      <c r="G6" s="125" t="e" cm="1">
        <f t="array" aca="1" ref="G6" ca="1">[3]!SNL("EXCHANGE RATES",$B6,G$5,$B$4)</f>
        <v>#NAME?</v>
      </c>
      <c r="I6" s="88" t="s">
        <v>21</v>
      </c>
      <c r="J6" s="125" t="str" cm="1">
        <f t="array" ref="J6">[3]!SNL("EXCHANGE RATES",$I6,J$5,$I$4)</f>
        <v>#PEND</v>
      </c>
      <c r="K6" s="125" t="str" cm="1">
        <f t="array" ref="K6">[3]!SNL("EXCHANGE RATES",$I6,K$5,$I$4)</f>
        <v>#PEND</v>
      </c>
      <c r="L6" s="125" t="str" cm="1">
        <f t="array" ref="L6">[3]!SNL("EXCHANGE RATES",$I6,L$5,$I$4)</f>
        <v>#PEND</v>
      </c>
      <c r="M6" s="125" t="str" cm="1">
        <f t="array" ref="M6">[3]!SNL("EXCHANGE RATES",$I6,M$5,$I$4)</f>
        <v>#PEND</v>
      </c>
      <c r="N6" s="125" t="str" cm="1">
        <f t="array" ref="N6">[3]!SNL("EXCHANGE RATES",$I6,N$5,$I$4)</f>
        <v>#PEND</v>
      </c>
      <c r="P6" s="88" t="s">
        <v>21</v>
      </c>
      <c r="Q6" s="174" t="e">
        <f ca="1">C6/J6</f>
        <v>#NAME?</v>
      </c>
      <c r="R6" s="174" t="e">
        <f t="shared" ref="R6:U10" ca="1" si="0">D6/K6</f>
        <v>#NAME?</v>
      </c>
      <c r="S6" s="174" t="e">
        <f t="shared" ca="1" si="0"/>
        <v>#NAME?</v>
      </c>
      <c r="T6" s="174" t="e">
        <f t="shared" ca="1" si="0"/>
        <v>#NAME?</v>
      </c>
      <c r="U6" s="174" t="e">
        <f t="shared" ca="1" si="0"/>
        <v>#NAME?</v>
      </c>
    </row>
    <row r="7" spans="2:21">
      <c r="B7" s="88" t="s">
        <v>22</v>
      </c>
      <c r="C7" s="89" t="e" cm="1">
        <f t="array" aca="1" ref="C7" ca="1">[3]!SNL("EXCHANGE RATES",$B7,C$5,$B$4)</f>
        <v>#NAME?</v>
      </c>
      <c r="D7" s="89" t="e" cm="1">
        <f t="array" aca="1" ref="D7" ca="1">[3]!SNL("EXCHANGE RATES",$B7,D$5,$B$4)</f>
        <v>#NAME?</v>
      </c>
      <c r="E7" s="89" t="e" cm="1">
        <f t="array" aca="1" ref="E7" ca="1">[3]!SNL("EXCHANGE RATES",$B7,E$5,$B$4)</f>
        <v>#NAME?</v>
      </c>
      <c r="F7" s="89" t="e" cm="1">
        <f t="array" aca="1" ref="F7" ca="1">[3]!SNL("EXCHANGE RATES",$B7,F$5,$B$4)</f>
        <v>#NAME?</v>
      </c>
      <c r="G7" s="89" t="e" cm="1">
        <f t="array" aca="1" ref="G7" ca="1">[3]!SNL("EXCHANGE RATES",$B7,G$5,$B$4)</f>
        <v>#NAME?</v>
      </c>
      <c r="I7" s="88" t="s">
        <v>22</v>
      </c>
      <c r="J7" s="89" t="str" cm="1">
        <f t="array" ref="J7">[3]!SNL("EXCHANGE RATES",$I7,J$5,$I$4)</f>
        <v>#PEND</v>
      </c>
      <c r="K7" s="89" t="str" cm="1">
        <f t="array" ref="K7">[3]!SNL("EXCHANGE RATES",$I7,K$5,$I$4)</f>
        <v>#PEND</v>
      </c>
      <c r="L7" s="89" t="str" cm="1">
        <f t="array" ref="L7">[3]!SNL("EXCHANGE RATES",$I7,L$5,$I$4)</f>
        <v>#PEND</v>
      </c>
      <c r="M7" s="89" t="str" cm="1">
        <f t="array" ref="M7">[3]!SNL("EXCHANGE RATES",$I7,M$5,$I$4)</f>
        <v>#PEND</v>
      </c>
      <c r="N7" s="89" t="str" cm="1">
        <f t="array" ref="N7">[3]!SNL("EXCHANGE RATES",$I7,N$5,$I$4)</f>
        <v>#PEND</v>
      </c>
      <c r="P7" s="88" t="s">
        <v>22</v>
      </c>
      <c r="Q7" s="174" t="e">
        <f t="shared" ref="Q7:Q10" ca="1" si="1">C7/J7</f>
        <v>#NAME?</v>
      </c>
      <c r="R7" s="174" t="e">
        <f t="shared" ca="1" si="0"/>
        <v>#NAME?</v>
      </c>
      <c r="S7" s="174" t="e">
        <f t="shared" ca="1" si="0"/>
        <v>#NAME?</v>
      </c>
      <c r="T7" s="174" t="e">
        <f t="shared" ca="1" si="0"/>
        <v>#NAME?</v>
      </c>
      <c r="U7" s="174" t="e">
        <f t="shared" ca="1" si="0"/>
        <v>#NAME?</v>
      </c>
    </row>
    <row r="8" spans="2:21">
      <c r="B8" s="88" t="s">
        <v>20</v>
      </c>
      <c r="C8" s="89" t="e" cm="1">
        <f t="array" aca="1" ref="C8" ca="1">[3]!SNL("EXCHANGE RATES",$B8,C$5,$B$4)</f>
        <v>#NAME?</v>
      </c>
      <c r="D8" s="89" t="e" cm="1">
        <f t="array" aca="1" ref="D8" ca="1">[3]!SNL("EXCHANGE RATES",$B8,D$5,$B$4)</f>
        <v>#NAME?</v>
      </c>
      <c r="E8" s="89" t="e" cm="1">
        <f t="array" aca="1" ref="E8" ca="1">[3]!SNL("EXCHANGE RATES",$B8,E$5,$B$4)</f>
        <v>#NAME?</v>
      </c>
      <c r="F8" s="89" t="e" cm="1">
        <f t="array" aca="1" ref="F8" ca="1">[3]!SNL("EXCHANGE RATES",$B8,F$5,$B$4)</f>
        <v>#NAME?</v>
      </c>
      <c r="G8" s="89" t="e" cm="1">
        <f t="array" aca="1" ref="G8" ca="1">[3]!SNL("EXCHANGE RATES",$B8,G$5,$B$4)</f>
        <v>#NAME?</v>
      </c>
      <c r="I8" s="88" t="s">
        <v>20</v>
      </c>
      <c r="J8" s="89" t="str" cm="1">
        <f t="array" ref="J8">[3]!SNL("EXCHANGE RATES",$I8,J$5,$I$4)</f>
        <v>#PEND</v>
      </c>
      <c r="K8" s="89" t="str" cm="1">
        <f t="array" ref="K8">[3]!SNL("EXCHANGE RATES",$I8,K$5,$I$4)</f>
        <v>#PEND</v>
      </c>
      <c r="L8" s="89" t="str" cm="1">
        <f t="array" ref="L8">[3]!SNL("EXCHANGE RATES",$I8,L$5,$I$4)</f>
        <v>#PEND</v>
      </c>
      <c r="M8" s="89" t="str" cm="1">
        <f t="array" ref="M8">[3]!SNL("EXCHANGE RATES",$I8,M$5,$I$4)</f>
        <v>#PEND</v>
      </c>
      <c r="N8" s="89" t="str" cm="1">
        <f t="array" ref="N8">[3]!SNL("EXCHANGE RATES",$I8,N$5,$I$4)</f>
        <v>#PEND</v>
      </c>
      <c r="P8" s="88" t="s">
        <v>20</v>
      </c>
      <c r="Q8" s="174" t="e">
        <f t="shared" ca="1" si="1"/>
        <v>#NAME?</v>
      </c>
      <c r="R8" s="174" t="e">
        <f t="shared" ca="1" si="0"/>
        <v>#NAME?</v>
      </c>
      <c r="S8" s="174" t="e">
        <f t="shared" ca="1" si="0"/>
        <v>#NAME?</v>
      </c>
      <c r="T8" s="174" t="e">
        <f t="shared" ca="1" si="0"/>
        <v>#NAME?</v>
      </c>
      <c r="U8" s="174" t="e">
        <f t="shared" ca="1" si="0"/>
        <v>#NAME?</v>
      </c>
    </row>
    <row r="9" spans="2:21">
      <c r="B9" s="88" t="s">
        <v>23</v>
      </c>
      <c r="C9" s="89" t="e" cm="1">
        <f t="array" aca="1" ref="C9" ca="1">[3]!SNL("EXCHANGE RATES",$B9,C$5,$B$4)</f>
        <v>#NAME?</v>
      </c>
      <c r="D9" s="89" t="e" cm="1">
        <f t="array" aca="1" ref="D9" ca="1">[3]!SNL("EXCHANGE RATES",$B9,D$5,$B$4)</f>
        <v>#NAME?</v>
      </c>
      <c r="E9" s="89" t="e" cm="1">
        <f t="array" aca="1" ref="E9" ca="1">[3]!SNL("EXCHANGE RATES",$B9,E$5,$B$4)</f>
        <v>#NAME?</v>
      </c>
      <c r="F9" s="89" t="e" cm="1">
        <f t="array" aca="1" ref="F9" ca="1">[3]!SNL("EXCHANGE RATES",$B9,F$5,$B$4)</f>
        <v>#NAME?</v>
      </c>
      <c r="G9" s="89" t="e" cm="1">
        <f t="array" aca="1" ref="G9" ca="1">[3]!SNL("EXCHANGE RATES",$B9,G$5,$B$4)</f>
        <v>#NAME?</v>
      </c>
      <c r="I9" s="88" t="s">
        <v>23</v>
      </c>
      <c r="J9" s="89" t="str" cm="1">
        <f t="array" ref="J9">[3]!SNL("EXCHANGE RATES",$I9,J$5,$I$4)</f>
        <v>#PEND</v>
      </c>
      <c r="K9" s="89" t="str" cm="1">
        <f t="array" ref="K9">[3]!SNL("EXCHANGE RATES",$I9,K$5,$I$4)</f>
        <v>#PEND</v>
      </c>
      <c r="L9" s="89" t="str" cm="1">
        <f t="array" ref="L9">[3]!SNL("EXCHANGE RATES",$I9,L$5,$I$4)</f>
        <v>#PEND</v>
      </c>
      <c r="M9" s="89" t="str" cm="1">
        <f t="array" ref="M9">[3]!SNL("EXCHANGE RATES",$I9,M$5,$I$4)</f>
        <v>#PEND</v>
      </c>
      <c r="N9" s="89" t="str" cm="1">
        <f t="array" ref="N9">[3]!SNL("EXCHANGE RATES",$I9,N$5,$I$4)</f>
        <v>#PEND</v>
      </c>
      <c r="P9" s="88" t="s">
        <v>23</v>
      </c>
      <c r="Q9" s="174" t="e">
        <f t="shared" ca="1" si="1"/>
        <v>#NAME?</v>
      </c>
      <c r="R9" s="174" t="e">
        <f t="shared" ca="1" si="0"/>
        <v>#NAME?</v>
      </c>
      <c r="S9" s="174" t="e">
        <f t="shared" ca="1" si="0"/>
        <v>#NAME?</v>
      </c>
      <c r="T9" s="174" t="e">
        <f t="shared" ca="1" si="0"/>
        <v>#NAME?</v>
      </c>
      <c r="U9" s="174" t="e">
        <f t="shared" ca="1" si="0"/>
        <v>#NAME?</v>
      </c>
    </row>
    <row r="10" spans="2:21">
      <c r="B10" s="88" t="s">
        <v>24</v>
      </c>
      <c r="C10" s="89" t="e" cm="1">
        <f t="array" aca="1" ref="C10" ca="1">[3]!SNL("EXCHANGE RATES",$B10,C$5,$B$4)</f>
        <v>#NAME?</v>
      </c>
      <c r="D10" s="89" t="e" cm="1">
        <f t="array" aca="1" ref="D10" ca="1">[3]!SNL("EXCHANGE RATES",$B10,D$5,$B$4)</f>
        <v>#NAME?</v>
      </c>
      <c r="E10" s="89" t="e" cm="1">
        <f t="array" aca="1" ref="E10" ca="1">[3]!SNL("EXCHANGE RATES",$B10,E$5,$B$4)</f>
        <v>#NAME?</v>
      </c>
      <c r="F10" s="89" t="e" cm="1">
        <f t="array" aca="1" ref="F10" ca="1">[3]!SNL("EXCHANGE RATES",$B10,F$5,$B$4)</f>
        <v>#NAME?</v>
      </c>
      <c r="G10" s="89" t="e" cm="1">
        <f t="array" aca="1" ref="G10" ca="1">[3]!SNL("EXCHANGE RATES",$B10,G$5,$B$4)</f>
        <v>#NAME?</v>
      </c>
      <c r="I10" s="88" t="s">
        <v>24</v>
      </c>
      <c r="J10" s="89" t="str" cm="1">
        <f t="array" ref="J10">[3]!SNL("EXCHANGE RATES",$I10,J$5,$I$4)</f>
        <v>#PEND</v>
      </c>
      <c r="K10" s="89" t="str" cm="1">
        <f t="array" ref="K10">[3]!SNL("EXCHANGE RATES",$I10,K$5,$I$4)</f>
        <v>#PEND</v>
      </c>
      <c r="L10" s="89" t="str" cm="1">
        <f t="array" ref="L10">[3]!SNL("EXCHANGE RATES",$I10,L$5,$I$4)</f>
        <v>#PEND</v>
      </c>
      <c r="M10" s="89" t="str" cm="1">
        <f t="array" ref="M10">[3]!SNL("EXCHANGE RATES",$I10,M$5,$I$4)</f>
        <v>#PEND</v>
      </c>
      <c r="N10" s="89" t="str" cm="1">
        <f t="array" ref="N10">[3]!SNL("EXCHANGE RATES",$I10,N$5,$I$4)</f>
        <v>#PEND</v>
      </c>
      <c r="P10" s="88" t="s">
        <v>24</v>
      </c>
      <c r="Q10" s="174" t="e">
        <f t="shared" ca="1" si="1"/>
        <v>#NAME?</v>
      </c>
      <c r="R10" s="174" t="e">
        <f t="shared" ca="1" si="0"/>
        <v>#NAME?</v>
      </c>
      <c r="S10" s="174" t="e">
        <f t="shared" ca="1" si="0"/>
        <v>#NAME?</v>
      </c>
      <c r="T10" s="174" t="e">
        <f t="shared" ca="1" si="0"/>
        <v>#NAME?</v>
      </c>
      <c r="U10" s="174" t="e">
        <f t="shared" ca="1" si="0"/>
        <v>#NAME?</v>
      </c>
    </row>
    <row r="11" spans="2:21">
      <c r="C11" s="169"/>
      <c r="D11" s="169"/>
      <c r="E11" s="169"/>
      <c r="F11" s="169"/>
      <c r="G11" s="169"/>
    </row>
    <row r="12" spans="2:21" hidden="1">
      <c r="C12" s="169"/>
      <c r="D12" s="169"/>
      <c r="E12" s="169"/>
      <c r="F12" s="169"/>
      <c r="G12" s="169"/>
    </row>
    <row r="13" spans="2:21" hidden="1">
      <c r="C13" s="169"/>
      <c r="D13" s="169"/>
      <c r="E13" s="169"/>
      <c r="F13" s="169"/>
      <c r="G13" s="169"/>
    </row>
    <row r="14" spans="2:21" hidden="1">
      <c r="C14" s="169"/>
      <c r="D14" s="169"/>
      <c r="E14" s="169"/>
      <c r="F14" s="169"/>
      <c r="G14" s="169"/>
    </row>
    <row r="15" spans="2:21" hidden="1">
      <c r="C15" s="169"/>
      <c r="D15" s="169"/>
      <c r="E15" s="169"/>
      <c r="F15" s="169"/>
      <c r="G15" s="169"/>
    </row>
    <row r="16" spans="2:21" hidden="1">
      <c r="C16" s="169"/>
      <c r="D16" s="169"/>
      <c r="E16" s="169"/>
      <c r="F16" s="169"/>
      <c r="G16" s="169"/>
    </row>
    <row r="17"/>
    <row r="18"/>
    <row r="19"/>
    <row r="20"/>
    <row r="21"/>
    <row r="22"/>
    <row r="23"/>
    <row r="24"/>
    <row r="25"/>
    <row r="26"/>
    <row r="27"/>
  </sheetData>
  <pageMargins left="0.7" right="0.7" top="0.75" bottom="0.75" header="0.3" footer="0.3"/>
  <ignoredErrors>
    <ignoredError sqref="Q6:U10" evalError="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9014-526E-48D2-94B5-B51268E7BF79}">
  <sheetPr>
    <tabColor rgb="FF00B050"/>
  </sheetPr>
  <dimension ref="A1:AC33"/>
  <sheetViews>
    <sheetView workbookViewId="0"/>
  </sheetViews>
  <sheetFormatPr baseColWidth="10" defaultColWidth="0" defaultRowHeight="14" zeroHeight="1"/>
  <cols>
    <col min="1" max="1" width="2.6640625" style="1" customWidth="1"/>
    <col min="2" max="2" width="4.6640625" style="4" customWidth="1"/>
    <col min="3" max="3" width="15.5" style="1" customWidth="1"/>
    <col min="4" max="4" width="14.33203125" style="4" bestFit="1" customWidth="1"/>
    <col min="5" max="5" width="10" style="4" customWidth="1"/>
    <col min="6" max="6" width="10.33203125" style="4" customWidth="1"/>
    <col min="7" max="8" width="9.1640625" style="1" customWidth="1"/>
    <col min="9" max="9" width="2.6640625" style="1" customWidth="1"/>
    <col min="10" max="10" width="9.6640625" style="1" bestFit="1" customWidth="1"/>
    <col min="11" max="11" width="14.33203125" style="1" bestFit="1" customWidth="1"/>
    <col min="12" max="12" width="14.83203125" style="1" bestFit="1" customWidth="1"/>
    <col min="13" max="13" width="12.5" style="1" bestFit="1" customWidth="1"/>
    <col min="14" max="14" width="13.6640625" style="1" bestFit="1" customWidth="1"/>
    <col min="15" max="15" width="14.5" style="1" bestFit="1" customWidth="1"/>
    <col min="16" max="20" width="9.1640625" style="1" customWidth="1"/>
    <col min="21" max="21" width="2.6640625" style="1" customWidth="1"/>
    <col min="22" max="24" width="13.1640625" style="1" bestFit="1" customWidth="1"/>
    <col min="25" max="25" width="2.6640625" style="1" customWidth="1"/>
    <col min="26" max="28" width="16.33203125" style="4" bestFit="1" customWidth="1"/>
    <col min="29" max="29" width="2.6640625" style="1" customWidth="1"/>
    <col min="30" max="16384" width="9.1640625" style="1" hidden="1"/>
  </cols>
  <sheetData>
    <row r="1" spans="2:29"/>
    <row r="2" spans="2:29">
      <c r="B2" s="2" t="str">
        <f>"Project "&amp;Portfolio!$D$4&amp;" - Portfolio"</f>
        <v>Project  - Portfolio</v>
      </c>
      <c r="C2" s="2"/>
      <c r="D2" s="2"/>
      <c r="E2" s="2"/>
      <c r="F2" s="2"/>
      <c r="G2" s="2"/>
      <c r="H2" s="2"/>
      <c r="I2" s="2"/>
      <c r="J2" s="2"/>
      <c r="K2" s="2"/>
      <c r="L2" s="2"/>
      <c r="M2" s="2"/>
      <c r="N2" s="2"/>
      <c r="O2" s="2"/>
      <c r="P2" s="2"/>
      <c r="Q2" s="2"/>
      <c r="R2" s="2"/>
      <c r="S2" s="2"/>
      <c r="T2" s="2"/>
      <c r="U2" s="2"/>
      <c r="V2" s="2"/>
      <c r="W2" s="2"/>
      <c r="X2" s="2"/>
      <c r="Y2" s="2"/>
      <c r="Z2" s="10"/>
      <c r="AA2" s="10"/>
      <c r="AB2" s="10"/>
      <c r="AC2" s="61"/>
    </row>
    <row r="3" spans="2:29"/>
    <row r="4" spans="2:29">
      <c r="B4" s="2" t="s">
        <v>25</v>
      </c>
      <c r="C4" s="2"/>
      <c r="D4" s="3"/>
    </row>
    <row r="5" spans="2:29">
      <c r="B5" s="2" t="s">
        <v>1</v>
      </c>
      <c r="C5" s="2"/>
      <c r="D5" s="26"/>
    </row>
    <row r="6" spans="2:29">
      <c r="B6" s="2" t="s">
        <v>26</v>
      </c>
      <c r="C6" s="2"/>
      <c r="D6" s="26"/>
    </row>
    <row r="7" spans="2:29">
      <c r="B7" s="2" t="s">
        <v>27</v>
      </c>
      <c r="C7" s="2"/>
      <c r="D7" s="3"/>
      <c r="E7" s="1"/>
      <c r="F7" s="1"/>
    </row>
    <row r="8" spans="2:29">
      <c r="B8" s="2" t="s">
        <v>28</v>
      </c>
      <c r="C8" s="2"/>
      <c r="D8" s="3"/>
      <c r="E8" s="1"/>
      <c r="F8" s="1"/>
    </row>
    <row r="9" spans="2:29">
      <c r="B9" s="2" t="s">
        <v>29</v>
      </c>
      <c r="C9" s="2"/>
      <c r="D9" s="3" t="s">
        <v>30</v>
      </c>
      <c r="E9" s="1"/>
      <c r="F9" s="1"/>
    </row>
    <row r="10" spans="2:29">
      <c r="D10" s="1"/>
      <c r="E10" s="1"/>
      <c r="F10" s="1"/>
    </row>
    <row r="11" spans="2:29" ht="15" thickBot="1"/>
    <row r="12" spans="2:29" s="13" customFormat="1" ht="15" thickBot="1">
      <c r="B12" s="30"/>
      <c r="C12" s="29" t="s">
        <v>0</v>
      </c>
      <c r="D12" s="90" t="e">
        <f>SUMPRODUCT($D$16:$D$33,$O$16:$O$33,$H$16:$H$33)/$O$12</f>
        <v>#DIV/0!</v>
      </c>
      <c r="E12" s="30"/>
      <c r="F12" s="30"/>
      <c r="G12" s="30">
        <f>CCY</f>
        <v>0</v>
      </c>
      <c r="H12" s="64">
        <v>1</v>
      </c>
      <c r="J12" s="65">
        <f>refdate</f>
        <v>0</v>
      </c>
      <c r="K12" s="66">
        <f>SUMPRODUCT(K$16:K$33,$H$16:$H$33)</f>
        <v>0</v>
      </c>
      <c r="L12" s="66">
        <f>SUMPRODUCT(L$16:L$33,$H$16:$H$33)</f>
        <v>0</v>
      </c>
      <c r="M12" s="66">
        <f>SUMPRODUCT(M$16:M$33,$H$16:$H$33)</f>
        <v>0</v>
      </c>
      <c r="N12" s="66">
        <f>SUMPRODUCT(N$16:N$33,$H$16:$H$33)</f>
        <v>0</v>
      </c>
      <c r="O12" s="66">
        <f>SUMPRODUCT(O$16:O$33,$H$16:$H$33)</f>
        <v>0</v>
      </c>
      <c r="P12" s="67" t="e">
        <f>SUM(P16:P33)</f>
        <v>#DIV/0!</v>
      </c>
      <c r="Q12" s="31" t="e">
        <f>N12/L12</f>
        <v>#DIV/0!</v>
      </c>
      <c r="R12" s="31" t="e">
        <f>O12/L12</f>
        <v>#DIV/0!</v>
      </c>
      <c r="S12" s="31" t="e">
        <f>Q12+R12</f>
        <v>#DIV/0!</v>
      </c>
      <c r="T12" s="30" t="s">
        <v>31</v>
      </c>
      <c r="V12" s="66">
        <f t="shared" ref="V12:X12" si="0">SUMPRODUCT(V$16:V$33,$H$16:$H$33)</f>
        <v>0</v>
      </c>
      <c r="W12" s="66">
        <f t="shared" si="0"/>
        <v>0</v>
      </c>
      <c r="X12" s="66">
        <f t="shared" si="0"/>
        <v>0</v>
      </c>
      <c r="Z12" s="100" t="e">
        <f ca="1">'Blended IRR_Calc'!$D$12</f>
        <v>#N/A</v>
      </c>
      <c r="AA12" s="99" t="e">
        <f ca="1">'Blended IRR_Calc'!$D$11</f>
        <v>#DIV/0!</v>
      </c>
      <c r="AB12" s="164" t="e">
        <f ca="1">'Blended IRR_Calc'!$D$10</f>
        <v>#N/A</v>
      </c>
      <c r="AC12" s="92"/>
    </row>
    <row r="13" spans="2:29"/>
    <row r="14" spans="2:29">
      <c r="B14" s="71"/>
      <c r="C14" s="69" t="s">
        <v>32</v>
      </c>
      <c r="D14" s="69"/>
      <c r="E14" s="69"/>
      <c r="F14" s="69"/>
      <c r="G14" s="69"/>
      <c r="H14" s="69"/>
      <c r="I14" s="61"/>
      <c r="J14" s="70"/>
      <c r="K14" s="69" t="s">
        <v>33</v>
      </c>
      <c r="L14" s="69"/>
      <c r="M14" s="69"/>
      <c r="N14" s="69"/>
      <c r="O14" s="69"/>
      <c r="P14" s="69"/>
      <c r="Q14" s="69"/>
      <c r="R14" s="69"/>
      <c r="S14" s="69"/>
      <c r="T14" s="69"/>
      <c r="U14" s="61"/>
      <c r="V14" s="69" t="s">
        <v>34</v>
      </c>
      <c r="W14" s="69"/>
      <c r="X14" s="69"/>
      <c r="Y14" s="61"/>
      <c r="Z14" s="69" t="s">
        <v>35</v>
      </c>
      <c r="AA14" s="69"/>
      <c r="AB14" s="69"/>
      <c r="AC14" s="93"/>
    </row>
    <row r="15" spans="2:29">
      <c r="B15" s="10" t="s">
        <v>36</v>
      </c>
      <c r="C15" s="2" t="s">
        <v>37</v>
      </c>
      <c r="D15" s="10" t="s">
        <v>3</v>
      </c>
      <c r="E15" s="10" t="s">
        <v>38</v>
      </c>
      <c r="F15" s="10" t="s">
        <v>39</v>
      </c>
      <c r="G15" s="10" t="s">
        <v>2</v>
      </c>
      <c r="H15" s="10" t="s">
        <v>40</v>
      </c>
      <c r="I15" s="61"/>
      <c r="J15" s="10" t="s">
        <v>1</v>
      </c>
      <c r="K15" s="10" t="s">
        <v>41</v>
      </c>
      <c r="L15" s="10" t="s">
        <v>42</v>
      </c>
      <c r="M15" s="10" t="s">
        <v>43</v>
      </c>
      <c r="N15" s="10" t="s">
        <v>44</v>
      </c>
      <c r="O15" s="10" t="s">
        <v>5</v>
      </c>
      <c r="P15" s="10" t="s">
        <v>6</v>
      </c>
      <c r="Q15" s="10" t="s">
        <v>45</v>
      </c>
      <c r="R15" s="10" t="s">
        <v>46</v>
      </c>
      <c r="S15" s="10" t="s">
        <v>47</v>
      </c>
      <c r="T15" s="10" t="s">
        <v>48</v>
      </c>
      <c r="U15" s="61"/>
      <c r="V15" s="10" t="s">
        <v>0</v>
      </c>
      <c r="W15" s="10" t="s">
        <v>49</v>
      </c>
      <c r="X15" s="10" t="s">
        <v>50</v>
      </c>
      <c r="Y15" s="61"/>
      <c r="Z15" s="96" t="s">
        <v>51</v>
      </c>
      <c r="AA15" s="96" t="s">
        <v>52</v>
      </c>
      <c r="AB15" s="96" t="s">
        <v>53</v>
      </c>
      <c r="AC15" s="94"/>
    </row>
    <row r="16" spans="2:29">
      <c r="B16" s="86">
        <v>1</v>
      </c>
      <c r="C16" s="45"/>
      <c r="D16" s="46"/>
      <c r="E16" s="46"/>
      <c r="F16" s="46"/>
      <c r="G16" s="46"/>
      <c r="H16" s="91">
        <f>IFERROR(INDEX('Fx Table'!$C$6:$G$10,MATCH(CCY,'Fx Table'!$C$5:$G$5,0),MATCH(Portfolio!$G16,'Fx Table'!$B$6:$B$10,0)),0)</f>
        <v>0</v>
      </c>
      <c r="J16" s="47"/>
      <c r="K16" s="48"/>
      <c r="L16" s="48"/>
      <c r="M16" s="48"/>
      <c r="N16" s="48"/>
      <c r="O16" s="48"/>
      <c r="P16" s="63" t="e">
        <f>(O16*H16)/$O$12</f>
        <v>#DIV/0!</v>
      </c>
      <c r="Q16" s="44" t="e">
        <f>N16/L16</f>
        <v>#DIV/0!</v>
      </c>
      <c r="R16" s="44" t="e">
        <f>O16/L16</f>
        <v>#DIV/0!</v>
      </c>
      <c r="S16" s="44" t="e">
        <f>Q16+R16</f>
        <v>#DIV/0!</v>
      </c>
      <c r="T16" s="49"/>
      <c r="V16" s="97">
        <f>W16+X16</f>
        <v>0</v>
      </c>
      <c r="W16" s="97">
        <f>-SUMIFS('Interim CFs'!$H:$H,'Interim CFs'!$F:$F,Portfolio!W$15,'Interim CFs'!$B:$B,Portfolio!$C16)</f>
        <v>0</v>
      </c>
      <c r="X16" s="97">
        <f>-SUMIFS('Interim CFs'!$H:$H,'Interim CFs'!$F:$F,Portfolio!X$15,'Interim CFs'!$B:$B,Portfolio!$C16)</f>
        <v>0</v>
      </c>
      <c r="Z16" s="101" t="e" cm="1">
        <f t="array" aca="1" ref="Z16" ca="1">INDIRECT("'"&amp;$C16&amp;"'!d43")</f>
        <v>#REF!</v>
      </c>
      <c r="AA16" s="98" t="e" cm="1">
        <f t="array" aca="1" ref="AA16" ca="1">INDIRECT("'"&amp;$C16&amp;"'!d42")</f>
        <v>#REF!</v>
      </c>
      <c r="AB16" s="140" t="e" cm="1">
        <f t="array" aca="1" ref="AB16" ca="1">INDIRECT("'"&amp;$C16&amp;"'!d41")</f>
        <v>#REF!</v>
      </c>
      <c r="AC16" s="95"/>
    </row>
    <row r="17" spans="2:29">
      <c r="B17" s="86">
        <f>B16+1</f>
        <v>2</v>
      </c>
      <c r="C17" s="45"/>
      <c r="D17" s="46"/>
      <c r="E17" s="46"/>
      <c r="F17" s="46"/>
      <c r="G17" s="46"/>
      <c r="H17" s="91"/>
      <c r="J17" s="47"/>
      <c r="K17" s="48"/>
      <c r="L17" s="48"/>
      <c r="M17" s="48"/>
      <c r="N17" s="48"/>
      <c r="O17" s="48"/>
      <c r="P17" s="63"/>
      <c r="Q17" s="44"/>
      <c r="R17" s="44"/>
      <c r="S17" s="44"/>
      <c r="T17" s="49"/>
      <c r="V17" s="97"/>
      <c r="W17" s="97"/>
      <c r="X17" s="97"/>
      <c r="Z17" s="101"/>
      <c r="AA17" s="98"/>
      <c r="AB17" s="140"/>
      <c r="AC17" s="95"/>
    </row>
    <row r="18" spans="2:29">
      <c r="B18" s="86">
        <f t="shared" ref="B18:B32" si="1">B17+1</f>
        <v>3</v>
      </c>
      <c r="C18" s="45"/>
      <c r="D18" s="46"/>
      <c r="E18" s="46"/>
      <c r="F18" s="46"/>
      <c r="G18" s="46"/>
      <c r="H18" s="91"/>
      <c r="J18" s="47"/>
      <c r="K18" s="48"/>
      <c r="L18" s="48"/>
      <c r="M18" s="48"/>
      <c r="N18" s="48"/>
      <c r="O18" s="48"/>
      <c r="P18" s="63"/>
      <c r="Q18" s="44"/>
      <c r="R18" s="44"/>
      <c r="S18" s="44"/>
      <c r="T18" s="49"/>
      <c r="V18" s="97"/>
      <c r="W18" s="97"/>
      <c r="X18" s="97"/>
      <c r="Z18" s="101"/>
      <c r="AA18" s="98"/>
      <c r="AB18" s="140"/>
      <c r="AC18" s="95"/>
    </row>
    <row r="19" spans="2:29">
      <c r="B19" s="86">
        <f t="shared" si="1"/>
        <v>4</v>
      </c>
      <c r="C19" s="45"/>
      <c r="D19" s="46"/>
      <c r="E19" s="46"/>
      <c r="F19" s="46"/>
      <c r="G19" s="46"/>
      <c r="H19" s="91"/>
      <c r="J19" s="47"/>
      <c r="K19" s="48"/>
      <c r="L19" s="48"/>
      <c r="M19" s="48"/>
      <c r="N19" s="48"/>
      <c r="O19" s="48"/>
      <c r="P19" s="63"/>
      <c r="Q19" s="44"/>
      <c r="R19" s="44"/>
      <c r="S19" s="44"/>
      <c r="T19" s="49"/>
      <c r="V19" s="97"/>
      <c r="W19" s="97"/>
      <c r="X19" s="97"/>
      <c r="Z19" s="101"/>
      <c r="AA19" s="98"/>
      <c r="AB19" s="140"/>
      <c r="AC19" s="95"/>
    </row>
    <row r="20" spans="2:29">
      <c r="B20" s="86">
        <f t="shared" si="1"/>
        <v>5</v>
      </c>
      <c r="C20" s="45"/>
      <c r="D20" s="46"/>
      <c r="E20" s="46"/>
      <c r="F20" s="46"/>
      <c r="G20" s="46"/>
      <c r="H20" s="91"/>
      <c r="J20" s="47"/>
      <c r="K20" s="48"/>
      <c r="L20" s="48"/>
      <c r="M20" s="48"/>
      <c r="N20" s="48"/>
      <c r="O20" s="48"/>
      <c r="P20" s="63"/>
      <c r="Q20" s="44"/>
      <c r="R20" s="44"/>
      <c r="S20" s="44"/>
      <c r="T20" s="49"/>
      <c r="V20" s="97"/>
      <c r="W20" s="97"/>
      <c r="X20" s="97"/>
      <c r="Z20" s="101"/>
      <c r="AA20" s="98"/>
      <c r="AB20" s="140"/>
      <c r="AC20" s="95"/>
    </row>
    <row r="21" spans="2:29">
      <c r="B21" s="86">
        <f t="shared" si="1"/>
        <v>6</v>
      </c>
      <c r="C21" s="45"/>
      <c r="D21" s="46"/>
      <c r="E21" s="46"/>
      <c r="F21" s="46"/>
      <c r="G21" s="46"/>
      <c r="H21" s="91"/>
      <c r="J21" s="47"/>
      <c r="K21" s="48"/>
      <c r="L21" s="48"/>
      <c r="M21" s="48"/>
      <c r="N21" s="48"/>
      <c r="O21" s="48"/>
      <c r="P21" s="63"/>
      <c r="Q21" s="44"/>
      <c r="R21" s="44"/>
      <c r="S21" s="44"/>
      <c r="T21" s="49"/>
      <c r="V21" s="97"/>
      <c r="W21" s="97"/>
      <c r="X21" s="97"/>
      <c r="Z21" s="101"/>
      <c r="AA21" s="98"/>
      <c r="AB21" s="140"/>
      <c r="AC21" s="95"/>
    </row>
    <row r="22" spans="2:29">
      <c r="B22" s="86">
        <f t="shared" si="1"/>
        <v>7</v>
      </c>
      <c r="C22" s="45"/>
      <c r="D22" s="46"/>
      <c r="E22" s="46"/>
      <c r="F22" s="46"/>
      <c r="G22" s="46"/>
      <c r="H22" s="91"/>
      <c r="J22" s="47"/>
      <c r="K22" s="48"/>
      <c r="L22" s="48"/>
      <c r="M22" s="48"/>
      <c r="N22" s="48"/>
      <c r="O22" s="48"/>
      <c r="P22" s="63"/>
      <c r="Q22" s="44"/>
      <c r="R22" s="44"/>
      <c r="S22" s="44"/>
      <c r="T22" s="49"/>
      <c r="V22" s="97"/>
      <c r="W22" s="97"/>
      <c r="X22" s="97"/>
      <c r="Z22" s="101"/>
      <c r="AA22" s="98"/>
      <c r="AB22" s="140"/>
      <c r="AC22" s="95"/>
    </row>
    <row r="23" spans="2:29">
      <c r="B23" s="86">
        <f t="shared" si="1"/>
        <v>8</v>
      </c>
      <c r="C23" s="45"/>
      <c r="D23" s="46"/>
      <c r="E23" s="46"/>
      <c r="F23" s="46"/>
      <c r="G23" s="46"/>
      <c r="H23" s="91"/>
      <c r="J23" s="47"/>
      <c r="K23" s="48"/>
      <c r="L23" s="48"/>
      <c r="M23" s="48"/>
      <c r="N23" s="48"/>
      <c r="O23" s="48"/>
      <c r="P23" s="63"/>
      <c r="Q23" s="44"/>
      <c r="R23" s="44"/>
      <c r="S23" s="44"/>
      <c r="T23" s="49"/>
      <c r="V23" s="97"/>
      <c r="W23" s="97"/>
      <c r="X23" s="97"/>
      <c r="Z23" s="101"/>
      <c r="AA23" s="98"/>
      <c r="AB23" s="140"/>
      <c r="AC23" s="95"/>
    </row>
    <row r="24" spans="2:29">
      <c r="B24" s="86">
        <f t="shared" si="1"/>
        <v>9</v>
      </c>
      <c r="C24" s="45"/>
      <c r="D24" s="46"/>
      <c r="E24" s="46"/>
      <c r="F24" s="46"/>
      <c r="G24" s="46"/>
      <c r="H24" s="91"/>
      <c r="J24" s="47"/>
      <c r="K24" s="48"/>
      <c r="L24" s="48"/>
      <c r="M24" s="48"/>
      <c r="N24" s="48"/>
      <c r="O24" s="48"/>
      <c r="P24" s="63"/>
      <c r="Q24" s="44"/>
      <c r="R24" s="44"/>
      <c r="S24" s="44"/>
      <c r="T24" s="49"/>
      <c r="V24" s="97"/>
      <c r="W24" s="97"/>
      <c r="X24" s="97"/>
      <c r="Z24" s="101"/>
      <c r="AA24" s="98"/>
      <c r="AB24" s="140"/>
      <c r="AC24" s="95"/>
    </row>
    <row r="25" spans="2:29">
      <c r="B25" s="86">
        <f t="shared" si="1"/>
        <v>10</v>
      </c>
      <c r="C25" s="45"/>
      <c r="D25" s="46"/>
      <c r="E25" s="46"/>
      <c r="F25" s="46"/>
      <c r="G25" s="46"/>
      <c r="H25" s="91"/>
      <c r="J25" s="47"/>
      <c r="K25" s="48"/>
      <c r="L25" s="48"/>
      <c r="M25" s="48"/>
      <c r="N25" s="48"/>
      <c r="O25" s="48"/>
      <c r="P25" s="63"/>
      <c r="Q25" s="44"/>
      <c r="R25" s="44"/>
      <c r="S25" s="44"/>
      <c r="T25" s="49"/>
      <c r="V25" s="97"/>
      <c r="W25" s="97"/>
      <c r="X25" s="97"/>
      <c r="Z25" s="101"/>
      <c r="AA25" s="98"/>
      <c r="AB25" s="140"/>
      <c r="AC25" s="95"/>
    </row>
    <row r="26" spans="2:29">
      <c r="B26" s="86">
        <f t="shared" si="1"/>
        <v>11</v>
      </c>
      <c r="C26" s="45"/>
      <c r="D26" s="46"/>
      <c r="E26" s="46"/>
      <c r="F26" s="46"/>
      <c r="G26" s="46"/>
      <c r="H26" s="91"/>
      <c r="J26" s="47"/>
      <c r="K26" s="48"/>
      <c r="L26" s="48"/>
      <c r="M26" s="48"/>
      <c r="N26" s="48"/>
      <c r="O26" s="48"/>
      <c r="P26" s="63"/>
      <c r="Q26" s="44"/>
      <c r="R26" s="44"/>
      <c r="S26" s="44"/>
      <c r="T26" s="49"/>
      <c r="V26" s="97"/>
      <c r="W26" s="97"/>
      <c r="X26" s="97"/>
      <c r="Z26" s="101"/>
      <c r="AA26" s="98"/>
      <c r="AB26" s="140"/>
      <c r="AC26" s="95"/>
    </row>
    <row r="27" spans="2:29">
      <c r="B27" s="86">
        <f t="shared" si="1"/>
        <v>12</v>
      </c>
      <c r="C27" s="45"/>
      <c r="D27" s="46"/>
      <c r="E27" s="46"/>
      <c r="F27" s="46"/>
      <c r="G27" s="46"/>
      <c r="H27" s="91"/>
      <c r="J27" s="47"/>
      <c r="K27" s="48"/>
      <c r="L27" s="48"/>
      <c r="M27" s="48"/>
      <c r="N27" s="48"/>
      <c r="O27" s="48"/>
      <c r="P27" s="63"/>
      <c r="Q27" s="44"/>
      <c r="R27" s="44"/>
      <c r="S27" s="44"/>
      <c r="T27" s="49"/>
      <c r="V27" s="97"/>
      <c r="W27" s="97"/>
      <c r="X27" s="97"/>
      <c r="Z27" s="101"/>
      <c r="AA27" s="98"/>
      <c r="AB27" s="140"/>
      <c r="AC27" s="95"/>
    </row>
    <row r="28" spans="2:29">
      <c r="B28" s="86">
        <f t="shared" si="1"/>
        <v>13</v>
      </c>
      <c r="C28" s="45"/>
      <c r="D28" s="46"/>
      <c r="E28" s="46"/>
      <c r="F28" s="46"/>
      <c r="G28" s="46"/>
      <c r="H28" s="91"/>
      <c r="J28" s="47"/>
      <c r="K28" s="48"/>
      <c r="L28" s="48"/>
      <c r="M28" s="48"/>
      <c r="N28" s="48"/>
      <c r="O28" s="48"/>
      <c r="P28" s="63"/>
      <c r="Q28" s="44"/>
      <c r="R28" s="44"/>
      <c r="S28" s="44"/>
      <c r="T28" s="49"/>
      <c r="V28" s="97"/>
      <c r="W28" s="97"/>
      <c r="X28" s="97"/>
      <c r="Z28" s="101"/>
      <c r="AA28" s="98"/>
      <c r="AB28" s="140"/>
      <c r="AC28" s="95"/>
    </row>
    <row r="29" spans="2:29">
      <c r="B29" s="86">
        <f t="shared" si="1"/>
        <v>14</v>
      </c>
      <c r="C29" s="45"/>
      <c r="D29" s="46"/>
      <c r="E29" s="46"/>
      <c r="F29" s="46"/>
      <c r="G29" s="46"/>
      <c r="H29" s="91"/>
      <c r="J29" s="47"/>
      <c r="K29" s="48"/>
      <c r="L29" s="48"/>
      <c r="M29" s="48"/>
      <c r="N29" s="48"/>
      <c r="O29" s="48"/>
      <c r="P29" s="63"/>
      <c r="Q29" s="44"/>
      <c r="R29" s="44"/>
      <c r="S29" s="44"/>
      <c r="T29" s="49"/>
      <c r="V29" s="97"/>
      <c r="W29" s="97"/>
      <c r="X29" s="97"/>
      <c r="Z29" s="101"/>
      <c r="AA29" s="98"/>
      <c r="AB29" s="140"/>
      <c r="AC29" s="95"/>
    </row>
    <row r="30" spans="2:29">
      <c r="B30" s="86">
        <f t="shared" si="1"/>
        <v>15</v>
      </c>
      <c r="C30" s="45"/>
      <c r="D30" s="46"/>
      <c r="E30" s="46"/>
      <c r="F30" s="46"/>
      <c r="G30" s="46"/>
      <c r="H30" s="91"/>
      <c r="J30" s="47"/>
      <c r="K30" s="48"/>
      <c r="L30" s="48"/>
      <c r="M30" s="48"/>
      <c r="N30" s="48"/>
      <c r="O30" s="48"/>
      <c r="P30" s="63"/>
      <c r="Q30" s="44"/>
      <c r="R30" s="44"/>
      <c r="S30" s="44"/>
      <c r="T30" s="49"/>
      <c r="V30" s="97"/>
      <c r="W30" s="97"/>
      <c r="X30" s="97"/>
      <c r="Z30" s="101"/>
      <c r="AA30" s="98"/>
      <c r="AB30" s="140"/>
      <c r="AC30" s="95"/>
    </row>
    <row r="31" spans="2:29">
      <c r="B31" s="86">
        <f t="shared" si="1"/>
        <v>16</v>
      </c>
      <c r="C31" s="45"/>
      <c r="D31" s="46"/>
      <c r="E31" s="46"/>
      <c r="F31" s="46"/>
      <c r="G31" s="46"/>
      <c r="H31" s="91"/>
      <c r="J31" s="47"/>
      <c r="K31" s="48"/>
      <c r="L31" s="48"/>
      <c r="M31" s="48"/>
      <c r="N31" s="48"/>
      <c r="O31" s="48"/>
      <c r="P31" s="63"/>
      <c r="Q31" s="44"/>
      <c r="R31" s="44"/>
      <c r="S31" s="44"/>
      <c r="T31" s="49"/>
      <c r="V31" s="97"/>
      <c r="W31" s="97"/>
      <c r="X31" s="97"/>
      <c r="Z31" s="101"/>
      <c r="AA31" s="98"/>
      <c r="AB31" s="140"/>
      <c r="AC31" s="95"/>
    </row>
    <row r="32" spans="2:29">
      <c r="B32" s="86">
        <f t="shared" si="1"/>
        <v>17</v>
      </c>
      <c r="C32" s="45"/>
      <c r="D32" s="46"/>
      <c r="E32" s="46"/>
      <c r="F32" s="46"/>
      <c r="G32" s="46"/>
      <c r="H32" s="91"/>
      <c r="J32" s="47"/>
      <c r="K32" s="48"/>
      <c r="L32" s="48"/>
      <c r="M32" s="48"/>
      <c r="N32" s="48"/>
      <c r="O32" s="48"/>
      <c r="P32" s="63"/>
      <c r="Q32" s="44"/>
      <c r="R32" s="44"/>
      <c r="S32" s="44"/>
      <c r="T32" s="49"/>
      <c r="V32" s="97"/>
      <c r="W32" s="97"/>
      <c r="X32" s="97"/>
      <c r="Z32" s="101"/>
      <c r="AA32" s="98"/>
      <c r="AB32" s="140"/>
      <c r="AC32" s="95"/>
    </row>
    <row r="33" spans="2:29">
      <c r="B33" s="86"/>
      <c r="C33" s="45"/>
      <c r="D33" s="46"/>
      <c r="E33" s="46"/>
      <c r="F33" s="46"/>
      <c r="G33" s="46"/>
      <c r="H33" s="91"/>
      <c r="J33" s="47"/>
      <c r="K33" s="48"/>
      <c r="L33" s="48"/>
      <c r="M33" s="48"/>
      <c r="N33" s="48"/>
      <c r="O33" s="48"/>
      <c r="P33" s="63"/>
      <c r="Q33" s="44"/>
      <c r="R33" s="44"/>
      <c r="S33" s="44"/>
      <c r="T33" s="49"/>
      <c r="V33" s="97"/>
      <c r="W33" s="97"/>
      <c r="X33" s="97"/>
      <c r="Z33" s="101"/>
      <c r="AA33" s="98"/>
      <c r="AB33" s="140"/>
      <c r="AC33" s="95"/>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F571F-6511-4D97-AB98-2F216794D63E}">
  <sheetPr>
    <tabColor rgb="FF00B050"/>
  </sheetPr>
  <dimension ref="A1:J14"/>
  <sheetViews>
    <sheetView workbookViewId="0"/>
  </sheetViews>
  <sheetFormatPr baseColWidth="10" defaultColWidth="0" defaultRowHeight="14" zeroHeight="1"/>
  <cols>
    <col min="1" max="1" width="2.6640625" style="1" customWidth="1"/>
    <col min="2" max="2" width="18.6640625" style="1" bestFit="1" customWidth="1"/>
    <col min="3" max="3" width="2.6640625" style="1" customWidth="1"/>
    <col min="4" max="4" width="9.33203125" style="4" bestFit="1" customWidth="1"/>
    <col min="5" max="5" width="7.83203125" style="4" bestFit="1" customWidth="1"/>
    <col min="6" max="6" width="11.5" style="4" bestFit="1" customWidth="1"/>
    <col min="7" max="7" width="5.5" style="4" bestFit="1" customWidth="1"/>
    <col min="8" max="8" width="17.6640625" style="1" bestFit="1" customWidth="1"/>
    <col min="9" max="9" width="2.6640625" style="1" customWidth="1"/>
    <col min="10" max="10" width="13.5" style="1" hidden="1" customWidth="1"/>
    <col min="11" max="16384" width="9.1640625" style="1" hidden="1"/>
  </cols>
  <sheetData>
    <row r="1" spans="2:10"/>
    <row r="2" spans="2:10">
      <c r="B2" s="2" t="str">
        <f>"Project "&amp;Portfolio!$D$4&amp;" - Interim CFs"</f>
        <v>Project  - Interim CFs</v>
      </c>
      <c r="C2" s="2"/>
      <c r="D2" s="2"/>
      <c r="E2" s="2"/>
      <c r="F2" s="2"/>
      <c r="G2" s="2"/>
      <c r="H2" s="2"/>
    </row>
    <row r="3" spans="2:10"/>
    <row r="4" spans="2:10">
      <c r="B4" s="509" t="s">
        <v>326</v>
      </c>
    </row>
    <row r="5" spans="2:10">
      <c r="B5" s="16" t="s">
        <v>37</v>
      </c>
      <c r="C5" s="16"/>
      <c r="D5" s="10" t="s">
        <v>54</v>
      </c>
      <c r="E5" s="10" t="s">
        <v>55</v>
      </c>
      <c r="F5" s="10" t="s">
        <v>54</v>
      </c>
      <c r="G5" s="10" t="s">
        <v>2</v>
      </c>
      <c r="H5" s="10" t="s">
        <v>56</v>
      </c>
    </row>
    <row r="6" spans="2:10">
      <c r="B6" s="45"/>
      <c r="C6" s="45"/>
      <c r="D6" s="46"/>
      <c r="E6" s="47"/>
      <c r="F6" s="46"/>
      <c r="G6" s="46"/>
      <c r="H6" s="134"/>
      <c r="I6" s="83"/>
    </row>
    <row r="7" spans="2:10">
      <c r="B7" s="45"/>
      <c r="C7" s="45"/>
      <c r="D7" s="46"/>
      <c r="E7" s="47"/>
      <c r="F7" s="46"/>
      <c r="G7" s="46"/>
      <c r="H7" s="97"/>
      <c r="J7" s="11"/>
    </row>
    <row r="8" spans="2:10">
      <c r="B8" s="45"/>
      <c r="C8" s="45"/>
      <c r="D8" s="46"/>
      <c r="E8" s="47"/>
      <c r="F8" s="46"/>
      <c r="G8" s="46"/>
      <c r="H8" s="48"/>
    </row>
    <row r="9" spans="2:10">
      <c r="B9" s="45"/>
      <c r="C9" s="45"/>
      <c r="D9" s="46"/>
      <c r="E9" s="47"/>
      <c r="F9" s="46"/>
      <c r="G9" s="46"/>
      <c r="H9" s="48"/>
    </row>
    <row r="10" spans="2:10">
      <c r="B10" s="45"/>
      <c r="C10" s="45"/>
      <c r="D10" s="46"/>
      <c r="E10" s="47"/>
      <c r="F10" s="46"/>
      <c r="G10" s="46"/>
      <c r="H10" s="48"/>
    </row>
    <row r="11" spans="2:10">
      <c r="B11" s="45"/>
      <c r="C11" s="45"/>
      <c r="D11" s="46"/>
      <c r="E11" s="47"/>
      <c r="F11" s="46"/>
      <c r="G11" s="46"/>
      <c r="H11" s="48"/>
    </row>
    <row r="12" spans="2:10">
      <c r="B12" s="45"/>
      <c r="C12" s="45"/>
      <c r="D12" s="46"/>
      <c r="E12" s="47"/>
      <c r="F12" s="46"/>
      <c r="G12" s="46"/>
      <c r="H12" s="48"/>
    </row>
    <row r="13" spans="2:10">
      <c r="B13" s="45"/>
      <c r="C13" s="45"/>
      <c r="D13" s="46"/>
      <c r="E13" s="47"/>
      <c r="F13" s="46"/>
      <c r="G13" s="46"/>
      <c r="H13" s="48"/>
    </row>
    <row r="14" spans="2:10"/>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BA0-2055-4288-9413-F96B292955B3}">
  <sheetPr>
    <tabColor rgb="FF00B050"/>
  </sheetPr>
  <dimension ref="B1:BM16"/>
  <sheetViews>
    <sheetView workbookViewId="0"/>
  </sheetViews>
  <sheetFormatPr baseColWidth="10" defaultColWidth="8.83203125" defaultRowHeight="15" zeroHeight="1"/>
  <cols>
    <col min="1" max="1" width="2.6640625" customWidth="1"/>
    <col min="2" max="2" width="15.5" customWidth="1"/>
    <col min="3" max="3" width="5.5" style="145" bestFit="1" customWidth="1"/>
    <col min="4" max="4" width="12.5" style="145" bestFit="1" customWidth="1"/>
    <col min="5" max="5" width="2.6640625" style="145" customWidth="1"/>
    <col min="6" max="6" width="14.1640625" bestFit="1" customWidth="1"/>
    <col min="7" max="7" width="13.33203125" bestFit="1" customWidth="1"/>
    <col min="8" max="10" width="10.83203125" bestFit="1" customWidth="1"/>
    <col min="11" max="12" width="11.83203125" bestFit="1" customWidth="1"/>
    <col min="13" max="13" width="10.83203125" bestFit="1" customWidth="1"/>
    <col min="14" max="14" width="13.33203125" bestFit="1" customWidth="1"/>
    <col min="15" max="15" width="11.6640625" bestFit="1" customWidth="1"/>
    <col min="16" max="16" width="13.5" bestFit="1" customWidth="1"/>
    <col min="17" max="19" width="10.83203125" bestFit="1" customWidth="1"/>
    <col min="20" max="20" width="11.6640625" bestFit="1" customWidth="1"/>
    <col min="21" max="22" width="10.5" bestFit="1" customWidth="1"/>
    <col min="23" max="30" width="9" bestFit="1" customWidth="1"/>
    <col min="31" max="34" width="8" bestFit="1" customWidth="1"/>
    <col min="35" max="35" width="7.1640625" bestFit="1" customWidth="1"/>
    <col min="36" max="36" width="6.6640625" bestFit="1" customWidth="1"/>
    <col min="37" max="38" width="7" bestFit="1" customWidth="1"/>
    <col min="39" max="39" width="7.1640625" bestFit="1" customWidth="1"/>
    <col min="40" max="40" width="6.6640625" bestFit="1" customWidth="1"/>
    <col min="41" max="42" width="7" bestFit="1" customWidth="1"/>
    <col min="43" max="43" width="7.1640625" bestFit="1" customWidth="1"/>
    <col min="44" max="44" width="6.6640625" bestFit="1" customWidth="1"/>
    <col min="45" max="46" width="7" bestFit="1" customWidth="1"/>
    <col min="47" max="47" width="7.1640625" bestFit="1" customWidth="1"/>
    <col min="48" max="48" width="6.6640625" bestFit="1" customWidth="1"/>
    <col min="49" max="50" width="7" bestFit="1" customWidth="1"/>
    <col min="51" max="51" width="7.1640625" bestFit="1" customWidth="1"/>
    <col min="52" max="52" width="6.6640625" bestFit="1" customWidth="1"/>
    <col min="53" max="54" width="7" bestFit="1" customWidth="1"/>
    <col min="55" max="55" width="7.1640625" bestFit="1" customWidth="1"/>
    <col min="56" max="56" width="6.6640625" bestFit="1" customWidth="1"/>
    <col min="57" max="58" width="7" bestFit="1" customWidth="1"/>
    <col min="59" max="59" width="7.1640625" bestFit="1" customWidth="1"/>
    <col min="60" max="60" width="6.6640625" bestFit="1" customWidth="1"/>
    <col min="61" max="62" width="7" bestFit="1" customWidth="1"/>
    <col min="63" max="63" width="7.1640625" bestFit="1" customWidth="1"/>
    <col min="64" max="64" width="6.6640625" bestFit="1" customWidth="1"/>
  </cols>
  <sheetData>
    <row r="1" spans="2:65"/>
    <row r="2" spans="2:65" s="1" customFormat="1" ht="14">
      <c r="B2" s="2" t="str">
        <f>"Project "&amp;Portfolio!$D$4&amp;" - IRR Calculation at deal level"</f>
        <v>Project  - IRR Calculation at deal level</v>
      </c>
      <c r="C2" s="10"/>
      <c r="D2" s="10"/>
      <c r="E2" s="10"/>
      <c r="F2" s="2"/>
      <c r="G2" s="2"/>
      <c r="H2" s="2"/>
      <c r="I2" s="2"/>
      <c r="J2" s="2"/>
      <c r="K2" s="107"/>
      <c r="L2" s="2"/>
      <c r="M2" s="2"/>
      <c r="N2" s="2"/>
      <c r="O2" s="2"/>
      <c r="P2" s="107"/>
      <c r="Q2" s="107"/>
      <c r="R2" s="2"/>
      <c r="S2" s="2"/>
      <c r="T2" s="2"/>
      <c r="U2" s="2"/>
      <c r="V2" s="2"/>
      <c r="W2" s="2"/>
      <c r="X2" s="2"/>
      <c r="Y2" s="2"/>
      <c r="Z2" s="2"/>
      <c r="AA2" s="2"/>
      <c r="AB2" s="2"/>
      <c r="AC2" s="2"/>
      <c r="AD2" s="2"/>
      <c r="AE2" s="2"/>
      <c r="AF2" s="2"/>
      <c r="AG2" s="2"/>
      <c r="AH2" s="2"/>
      <c r="AI2" s="2"/>
      <c r="AJ2" s="2"/>
      <c r="AK2" s="2"/>
      <c r="AL2" s="2"/>
      <c r="AM2" s="2"/>
      <c r="AN2" s="10"/>
      <c r="AO2" s="10"/>
      <c r="AP2" s="2"/>
      <c r="AQ2" s="2"/>
      <c r="AR2" s="2"/>
      <c r="AS2" s="2"/>
      <c r="AT2" s="2"/>
      <c r="AU2" s="2"/>
      <c r="AV2" s="2"/>
      <c r="AW2" s="2"/>
      <c r="AX2" s="2"/>
      <c r="AY2" s="2"/>
      <c r="AZ2" s="2"/>
      <c r="BA2" s="2"/>
      <c r="BB2" s="2"/>
      <c r="BC2" s="2"/>
      <c r="BD2" s="2"/>
      <c r="BE2" s="2"/>
      <c r="BF2" s="2"/>
      <c r="BG2" s="2"/>
      <c r="BH2" s="2"/>
      <c r="BI2" s="2"/>
      <c r="BJ2" s="2"/>
      <c r="BK2" s="141"/>
      <c r="BL2" s="2"/>
    </row>
    <row r="3" spans="2:65"/>
    <row r="4" spans="2:65">
      <c r="F4" s="149">
        <v>0</v>
      </c>
      <c r="G4" s="149">
        <f>F4+0.25</f>
        <v>0.25</v>
      </c>
      <c r="H4" s="149">
        <f t="shared" ref="H4:BL4" si="0">G4+0.25</f>
        <v>0.5</v>
      </c>
      <c r="I4" s="149">
        <f t="shared" si="0"/>
        <v>0.75</v>
      </c>
      <c r="J4" s="149">
        <f t="shared" si="0"/>
        <v>1</v>
      </c>
      <c r="K4" s="149">
        <f t="shared" si="0"/>
        <v>1.25</v>
      </c>
      <c r="L4" s="149">
        <f t="shared" si="0"/>
        <v>1.5</v>
      </c>
      <c r="M4" s="149">
        <f t="shared" si="0"/>
        <v>1.75</v>
      </c>
      <c r="N4" s="149">
        <f t="shared" si="0"/>
        <v>2</v>
      </c>
      <c r="O4" s="149">
        <f t="shared" si="0"/>
        <v>2.25</v>
      </c>
      <c r="P4" s="149">
        <f t="shared" si="0"/>
        <v>2.5</v>
      </c>
      <c r="Q4" s="149">
        <f t="shared" si="0"/>
        <v>2.75</v>
      </c>
      <c r="R4" s="149">
        <f t="shared" si="0"/>
        <v>3</v>
      </c>
      <c r="S4" s="149">
        <f t="shared" si="0"/>
        <v>3.25</v>
      </c>
      <c r="T4" s="149">
        <f t="shared" si="0"/>
        <v>3.5</v>
      </c>
      <c r="U4" s="149">
        <f t="shared" si="0"/>
        <v>3.75</v>
      </c>
      <c r="V4" s="149">
        <f t="shared" si="0"/>
        <v>4</v>
      </c>
      <c r="W4" s="149">
        <f t="shared" si="0"/>
        <v>4.25</v>
      </c>
      <c r="X4" s="149">
        <f t="shared" si="0"/>
        <v>4.5</v>
      </c>
      <c r="Y4" s="149">
        <f t="shared" si="0"/>
        <v>4.75</v>
      </c>
      <c r="Z4" s="149">
        <f t="shared" si="0"/>
        <v>5</v>
      </c>
      <c r="AA4" s="149">
        <f t="shared" si="0"/>
        <v>5.25</v>
      </c>
      <c r="AB4" s="149">
        <f t="shared" si="0"/>
        <v>5.5</v>
      </c>
      <c r="AC4" s="149">
        <f t="shared" si="0"/>
        <v>5.75</v>
      </c>
      <c r="AD4" s="149">
        <f t="shared" si="0"/>
        <v>6</v>
      </c>
      <c r="AE4" s="149">
        <f t="shared" si="0"/>
        <v>6.25</v>
      </c>
      <c r="AF4" s="149">
        <f t="shared" si="0"/>
        <v>6.5</v>
      </c>
      <c r="AG4" s="149">
        <f t="shared" si="0"/>
        <v>6.75</v>
      </c>
      <c r="AH4" s="149">
        <f t="shared" si="0"/>
        <v>7</v>
      </c>
      <c r="AI4" s="149">
        <f t="shared" si="0"/>
        <v>7.25</v>
      </c>
      <c r="AJ4" s="149">
        <f t="shared" si="0"/>
        <v>7.5</v>
      </c>
      <c r="AK4" s="149">
        <f t="shared" si="0"/>
        <v>7.75</v>
      </c>
      <c r="AL4" s="149">
        <f t="shared" si="0"/>
        <v>8</v>
      </c>
      <c r="AM4" s="149">
        <f t="shared" si="0"/>
        <v>8.25</v>
      </c>
      <c r="AN4" s="149">
        <f t="shared" si="0"/>
        <v>8.5</v>
      </c>
      <c r="AO4" s="149">
        <f t="shared" si="0"/>
        <v>8.75</v>
      </c>
      <c r="AP4" s="149">
        <f t="shared" si="0"/>
        <v>9</v>
      </c>
      <c r="AQ4" s="149">
        <f t="shared" si="0"/>
        <v>9.25</v>
      </c>
      <c r="AR4" s="149">
        <f t="shared" si="0"/>
        <v>9.5</v>
      </c>
      <c r="AS4" s="149">
        <f t="shared" si="0"/>
        <v>9.75</v>
      </c>
      <c r="AT4" s="149">
        <f t="shared" si="0"/>
        <v>10</v>
      </c>
      <c r="AU4" s="149">
        <f t="shared" si="0"/>
        <v>10.25</v>
      </c>
      <c r="AV4" s="149">
        <f t="shared" si="0"/>
        <v>10.5</v>
      </c>
      <c r="AW4" s="149">
        <f t="shared" si="0"/>
        <v>10.75</v>
      </c>
      <c r="AX4" s="149">
        <f t="shared" si="0"/>
        <v>11</v>
      </c>
      <c r="AY4" s="149">
        <f t="shared" si="0"/>
        <v>11.25</v>
      </c>
      <c r="AZ4" s="149">
        <f t="shared" si="0"/>
        <v>11.5</v>
      </c>
      <c r="BA4" s="149">
        <f t="shared" si="0"/>
        <v>11.75</v>
      </c>
      <c r="BB4" s="149">
        <f t="shared" si="0"/>
        <v>12</v>
      </c>
      <c r="BC4" s="149">
        <f t="shared" si="0"/>
        <v>12.25</v>
      </c>
      <c r="BD4" s="149">
        <f t="shared" si="0"/>
        <v>12.5</v>
      </c>
      <c r="BE4" s="149">
        <f t="shared" si="0"/>
        <v>12.75</v>
      </c>
      <c r="BF4" s="149">
        <f t="shared" si="0"/>
        <v>13</v>
      </c>
      <c r="BG4" s="149">
        <f t="shared" si="0"/>
        <v>13.25</v>
      </c>
      <c r="BH4" s="149">
        <f t="shared" si="0"/>
        <v>13.5</v>
      </c>
      <c r="BI4" s="149">
        <f t="shared" si="0"/>
        <v>13.75</v>
      </c>
      <c r="BJ4" s="149">
        <f t="shared" si="0"/>
        <v>14</v>
      </c>
      <c r="BK4" s="149">
        <f t="shared" si="0"/>
        <v>14.25</v>
      </c>
      <c r="BL4" s="149">
        <f t="shared" si="0"/>
        <v>14.5</v>
      </c>
    </row>
    <row r="5" spans="2:65">
      <c r="B5" s="146" t="s">
        <v>37</v>
      </c>
      <c r="C5" s="147" t="s">
        <v>40</v>
      </c>
      <c r="D5" s="147" t="s">
        <v>0</v>
      </c>
      <c r="E5" s="152"/>
      <c r="F5" s="148">
        <f>closingdate</f>
        <v>0</v>
      </c>
      <c r="G5" s="148">
        <f>EOMONTH(F5,3)</f>
        <v>121</v>
      </c>
      <c r="H5" s="148">
        <f t="shared" ref="H5:BL5" si="1">EOMONTH(G5,3)</f>
        <v>213</v>
      </c>
      <c r="I5" s="148">
        <f t="shared" si="1"/>
        <v>305</v>
      </c>
      <c r="J5" s="148">
        <f t="shared" si="1"/>
        <v>397</v>
      </c>
      <c r="K5" s="148">
        <f t="shared" si="1"/>
        <v>486</v>
      </c>
      <c r="L5" s="148">
        <f t="shared" si="1"/>
        <v>578</v>
      </c>
      <c r="M5" s="148">
        <f t="shared" si="1"/>
        <v>670</v>
      </c>
      <c r="N5" s="148">
        <f t="shared" si="1"/>
        <v>762</v>
      </c>
      <c r="O5" s="148">
        <f t="shared" si="1"/>
        <v>851</v>
      </c>
      <c r="P5" s="148">
        <f t="shared" si="1"/>
        <v>943</v>
      </c>
      <c r="Q5" s="148">
        <f t="shared" si="1"/>
        <v>1035</v>
      </c>
      <c r="R5" s="148">
        <f t="shared" si="1"/>
        <v>1127</v>
      </c>
      <c r="S5" s="148">
        <f t="shared" si="1"/>
        <v>1216</v>
      </c>
      <c r="T5" s="148">
        <f t="shared" si="1"/>
        <v>1308</v>
      </c>
      <c r="U5" s="148">
        <f t="shared" si="1"/>
        <v>1400</v>
      </c>
      <c r="V5" s="148">
        <f t="shared" si="1"/>
        <v>1492</v>
      </c>
      <c r="W5" s="148">
        <f t="shared" si="1"/>
        <v>1582</v>
      </c>
      <c r="X5" s="148">
        <f t="shared" si="1"/>
        <v>1674</v>
      </c>
      <c r="Y5" s="148">
        <f t="shared" si="1"/>
        <v>1766</v>
      </c>
      <c r="Z5" s="148">
        <f t="shared" si="1"/>
        <v>1858</v>
      </c>
      <c r="AA5" s="148">
        <f t="shared" si="1"/>
        <v>1947</v>
      </c>
      <c r="AB5" s="148">
        <f t="shared" si="1"/>
        <v>2039</v>
      </c>
      <c r="AC5" s="148">
        <f t="shared" si="1"/>
        <v>2131</v>
      </c>
      <c r="AD5" s="148">
        <f t="shared" si="1"/>
        <v>2223</v>
      </c>
      <c r="AE5" s="148">
        <f t="shared" si="1"/>
        <v>2312</v>
      </c>
      <c r="AF5" s="148">
        <f t="shared" si="1"/>
        <v>2404</v>
      </c>
      <c r="AG5" s="148">
        <f t="shared" si="1"/>
        <v>2496</v>
      </c>
      <c r="AH5" s="148">
        <f t="shared" si="1"/>
        <v>2588</v>
      </c>
      <c r="AI5" s="148">
        <f t="shared" si="1"/>
        <v>2677</v>
      </c>
      <c r="AJ5" s="148">
        <f t="shared" si="1"/>
        <v>2769</v>
      </c>
      <c r="AK5" s="148">
        <f t="shared" si="1"/>
        <v>2861</v>
      </c>
      <c r="AL5" s="148">
        <f t="shared" si="1"/>
        <v>2953</v>
      </c>
      <c r="AM5" s="148">
        <f t="shared" si="1"/>
        <v>3043</v>
      </c>
      <c r="AN5" s="148">
        <f t="shared" si="1"/>
        <v>3135</v>
      </c>
      <c r="AO5" s="148">
        <f t="shared" si="1"/>
        <v>3227</v>
      </c>
      <c r="AP5" s="148">
        <f t="shared" si="1"/>
        <v>3319</v>
      </c>
      <c r="AQ5" s="148">
        <f t="shared" si="1"/>
        <v>3408</v>
      </c>
      <c r="AR5" s="148">
        <f t="shared" si="1"/>
        <v>3500</v>
      </c>
      <c r="AS5" s="148">
        <f t="shared" si="1"/>
        <v>3592</v>
      </c>
      <c r="AT5" s="148">
        <f t="shared" si="1"/>
        <v>3684</v>
      </c>
      <c r="AU5" s="148">
        <f t="shared" si="1"/>
        <v>3773</v>
      </c>
      <c r="AV5" s="148">
        <f t="shared" si="1"/>
        <v>3865</v>
      </c>
      <c r="AW5" s="148">
        <f t="shared" si="1"/>
        <v>3957</v>
      </c>
      <c r="AX5" s="148">
        <f t="shared" si="1"/>
        <v>4049</v>
      </c>
      <c r="AY5" s="148">
        <f t="shared" si="1"/>
        <v>4138</v>
      </c>
      <c r="AZ5" s="148">
        <f t="shared" si="1"/>
        <v>4230</v>
      </c>
      <c r="BA5" s="148">
        <f t="shared" si="1"/>
        <v>4322</v>
      </c>
      <c r="BB5" s="148">
        <f t="shared" si="1"/>
        <v>4414</v>
      </c>
      <c r="BC5" s="148">
        <f t="shared" si="1"/>
        <v>4504</v>
      </c>
      <c r="BD5" s="148">
        <f t="shared" si="1"/>
        <v>4596</v>
      </c>
      <c r="BE5" s="148">
        <f t="shared" si="1"/>
        <v>4688</v>
      </c>
      <c r="BF5" s="148">
        <f t="shared" si="1"/>
        <v>4780</v>
      </c>
      <c r="BG5" s="148">
        <f t="shared" si="1"/>
        <v>4869</v>
      </c>
      <c r="BH5" s="148">
        <f t="shared" si="1"/>
        <v>4961</v>
      </c>
      <c r="BI5" s="148">
        <f t="shared" si="1"/>
        <v>5053</v>
      </c>
      <c r="BJ5" s="148">
        <f t="shared" si="1"/>
        <v>5145</v>
      </c>
      <c r="BK5" s="148">
        <f t="shared" si="1"/>
        <v>5234</v>
      </c>
      <c r="BL5" s="148">
        <f t="shared" si="1"/>
        <v>5326</v>
      </c>
    </row>
    <row r="6" spans="2:65">
      <c r="B6" s="144">
        <f>Portfolio!C16</f>
        <v>0</v>
      </c>
      <c r="C6" s="155" t="e">
        <f>INDEX(Portfolio!$H:$H,MATCH('Blended IRR_Calc'!$B6,Portfolio!$C:$C,0))</f>
        <v>#N/A</v>
      </c>
      <c r="D6" s="150" t="e">
        <f ca="1">SUM(F6:BL6)</f>
        <v>#REF!</v>
      </c>
      <c r="E6" s="153"/>
      <c r="F6" s="160">
        <f ca="1">IFERROR(-INDEX('Pricing Table'!$24:$24,MATCH('Blended IRR_Calc'!$B6,'Pricing Table'!$5:$5,0)),0)</f>
        <v>0</v>
      </c>
      <c r="G6" s="151" t="e">
        <f ca="1">SUMIFS(INDIRECT("'"&amp;$B6&amp;"'!$BM:$BM"),INDIRECT("'"&amp;$B6&amp;"'!$AL:$AL"),'Blended IRR_Calc Adjusted'!H$5)</f>
        <v>#REF!</v>
      </c>
      <c r="H6" s="151" t="e">
        <f ca="1">SUMIFS(INDIRECT("'"&amp;$B6&amp;"'!$BM:$BM"),INDIRECT("'"&amp;$B6&amp;"'!$AL:$AL"),'Blended IRR_Calc Adjusted'!I$5)</f>
        <v>#REF!</v>
      </c>
      <c r="I6" s="151" t="e">
        <f ca="1">SUMIFS(INDIRECT("'"&amp;$B6&amp;"'!$BM:$BM"),INDIRECT("'"&amp;$B6&amp;"'!$AL:$AL"),'Blended IRR_Calc Adjusted'!J$5)</f>
        <v>#REF!</v>
      </c>
      <c r="J6" s="151" t="e">
        <f ca="1">SUMIFS(INDIRECT("'"&amp;$B6&amp;"'!$BM:$BM"),INDIRECT("'"&amp;$B6&amp;"'!$AL:$AL"),'Blended IRR_Calc Adjusted'!K$5)</f>
        <v>#REF!</v>
      </c>
      <c r="K6" s="151" t="e">
        <f ca="1">SUMIFS(INDIRECT("'"&amp;$B6&amp;"'!$BM:$BM"),INDIRECT("'"&amp;$B6&amp;"'!$AL:$AL"),'Blended IRR_Calc Adjusted'!L$5)</f>
        <v>#REF!</v>
      </c>
      <c r="L6" s="151" t="e">
        <f ca="1">SUMIFS(INDIRECT("'"&amp;$B6&amp;"'!$BM:$BM"),INDIRECT("'"&amp;$B6&amp;"'!$AL:$AL"),'Blended IRR_Calc Adjusted'!M$5)</f>
        <v>#REF!</v>
      </c>
      <c r="M6" s="151" t="e">
        <f ca="1">SUMIFS(INDIRECT("'"&amp;$B6&amp;"'!$BM:$BM"),INDIRECT("'"&amp;$B6&amp;"'!$AL:$AL"),'Blended IRR_Calc Adjusted'!N$5)</f>
        <v>#REF!</v>
      </c>
      <c r="N6" s="151" t="e">
        <f ca="1">SUMIFS(INDIRECT("'"&amp;$B6&amp;"'!$BM:$BM"),INDIRECT("'"&amp;$B6&amp;"'!$AL:$AL"),'Blended IRR_Calc Adjusted'!O$5)</f>
        <v>#REF!</v>
      </c>
      <c r="O6" s="151" t="e">
        <f ca="1">SUMIFS(INDIRECT("'"&amp;$B6&amp;"'!$BM:$BM"),INDIRECT("'"&amp;$B6&amp;"'!$AL:$AL"),'Blended IRR_Calc Adjusted'!P$5)</f>
        <v>#REF!</v>
      </c>
      <c r="P6" s="151" t="e">
        <f ca="1">SUMIFS(INDIRECT("'"&amp;$B6&amp;"'!$BM:$BM"),INDIRECT("'"&amp;$B6&amp;"'!$AL:$AL"),'Blended IRR_Calc Adjusted'!Q$5)</f>
        <v>#REF!</v>
      </c>
      <c r="Q6" s="151" t="e">
        <f ca="1">SUMIFS(INDIRECT("'"&amp;$B6&amp;"'!$BM:$BM"),INDIRECT("'"&amp;$B6&amp;"'!$AL:$AL"),'Blended IRR_Calc Adjusted'!R$5)</f>
        <v>#REF!</v>
      </c>
      <c r="R6" s="151" t="e">
        <f ca="1">SUMIFS(INDIRECT("'"&amp;$B6&amp;"'!$BM:$BM"),INDIRECT("'"&amp;$B6&amp;"'!$AL:$AL"),'Blended IRR_Calc Adjusted'!S$5)</f>
        <v>#REF!</v>
      </c>
      <c r="S6" s="151" t="e">
        <f ca="1">SUMIFS(INDIRECT("'"&amp;$B6&amp;"'!$BM:$BM"),INDIRECT("'"&amp;$B6&amp;"'!$AL:$AL"),'Blended IRR_Calc Adjusted'!T$5)</f>
        <v>#REF!</v>
      </c>
      <c r="T6" s="151" t="e">
        <f ca="1">SUMIFS(INDIRECT("'"&amp;$B6&amp;"'!$BM:$BM"),INDIRECT("'"&amp;$B6&amp;"'!$AL:$AL"),'Blended IRR_Calc Adjusted'!U$5)</f>
        <v>#REF!</v>
      </c>
      <c r="U6" s="151" t="e">
        <f ca="1">SUMIFS(INDIRECT("'"&amp;$B6&amp;"'!$BM:$BM"),INDIRECT("'"&amp;$B6&amp;"'!$AL:$AL"),'Blended IRR_Calc Adjusted'!V$5)</f>
        <v>#REF!</v>
      </c>
      <c r="V6" s="151" t="e">
        <f ca="1">SUMIFS(INDIRECT("'"&amp;$B6&amp;"'!$BM:$BM"),INDIRECT("'"&amp;$B6&amp;"'!$AL:$AL"),'Blended IRR_Calc Adjusted'!W$5)</f>
        <v>#REF!</v>
      </c>
      <c r="W6" s="151" t="e">
        <f ca="1">SUMIFS(INDIRECT("'"&amp;$B6&amp;"'!$BM:$BM"),INDIRECT("'"&amp;$B6&amp;"'!$AL:$AL"),'Blended IRR_Calc Adjusted'!X$5)</f>
        <v>#REF!</v>
      </c>
      <c r="X6" s="151" t="e">
        <f ca="1">SUMIFS(INDIRECT("'"&amp;$B6&amp;"'!$BM:$BM"),INDIRECT("'"&amp;$B6&amp;"'!$AL:$AL"),'Blended IRR_Calc Adjusted'!Y$5)</f>
        <v>#REF!</v>
      </c>
      <c r="Y6" s="151" t="e">
        <f ca="1">SUMIFS(INDIRECT("'"&amp;$B6&amp;"'!$BM:$BM"),INDIRECT("'"&amp;$B6&amp;"'!$AL:$AL"),'Blended IRR_Calc Adjusted'!Z$5)</f>
        <v>#REF!</v>
      </c>
      <c r="Z6" s="151" t="e">
        <f ca="1">SUMIFS(INDIRECT("'"&amp;$B6&amp;"'!$BM:$BM"),INDIRECT("'"&amp;$B6&amp;"'!$AL:$AL"),'Blended IRR_Calc Adjusted'!AA$5)</f>
        <v>#REF!</v>
      </c>
      <c r="AA6" s="151" t="e">
        <f ca="1">SUMIFS(INDIRECT("'"&amp;$B6&amp;"'!$BM:$BM"),INDIRECT("'"&amp;$B6&amp;"'!$AL:$AL"),'Blended IRR_Calc Adjusted'!AB$5)</f>
        <v>#REF!</v>
      </c>
      <c r="AB6" s="151" t="e">
        <f ca="1">SUMIFS(INDIRECT("'"&amp;$B6&amp;"'!$BM:$BM"),INDIRECT("'"&amp;$B6&amp;"'!$AL:$AL"),'Blended IRR_Calc Adjusted'!AC$5)</f>
        <v>#REF!</v>
      </c>
      <c r="AC6" s="151" t="e">
        <f ca="1">SUMIFS(INDIRECT("'"&amp;$B6&amp;"'!$BM:$BM"),INDIRECT("'"&amp;$B6&amp;"'!$AL:$AL"),'Blended IRR_Calc Adjusted'!AD$5)</f>
        <v>#REF!</v>
      </c>
      <c r="AD6" s="151" t="e">
        <f ca="1">SUMIFS(INDIRECT("'"&amp;$B6&amp;"'!$BM:$BM"),INDIRECT("'"&amp;$B6&amp;"'!$AL:$AL"),'Blended IRR_Calc Adjusted'!AE$5)</f>
        <v>#REF!</v>
      </c>
      <c r="AE6" s="151" t="e">
        <f ca="1">SUMIFS(INDIRECT("'"&amp;$B6&amp;"'!$BM:$BM"),INDIRECT("'"&amp;$B6&amp;"'!$AL:$AL"),'Blended IRR_Calc Adjusted'!AF$5)</f>
        <v>#REF!</v>
      </c>
      <c r="AF6" s="151" t="e">
        <f ca="1">SUMIFS(INDIRECT("'"&amp;$B6&amp;"'!$BM:$BM"),INDIRECT("'"&amp;$B6&amp;"'!$AL:$AL"),'Blended IRR_Calc Adjusted'!AG$5)</f>
        <v>#REF!</v>
      </c>
      <c r="AG6" s="151" t="e">
        <f ca="1">SUMIFS(INDIRECT("'"&amp;$B6&amp;"'!$BM:$BM"),INDIRECT("'"&amp;$B6&amp;"'!$AL:$AL"),'Blended IRR_Calc Adjusted'!AH$5)</f>
        <v>#REF!</v>
      </c>
      <c r="AH6" s="151" t="e">
        <f ca="1">SUMIFS(INDIRECT("'"&amp;$B6&amp;"'!$BM:$BM"),INDIRECT("'"&amp;$B6&amp;"'!$AL:$AL"),'Blended IRR_Calc Adjusted'!AI$5)</f>
        <v>#REF!</v>
      </c>
      <c r="AI6" s="151" t="e">
        <f ca="1">SUMIFS(INDIRECT("'"&amp;$B6&amp;"'!$BM:$BM"),INDIRECT("'"&amp;$B6&amp;"'!$AL:$AL"),'Blended IRR_Calc Adjusted'!AJ$5)</f>
        <v>#REF!</v>
      </c>
      <c r="AJ6" s="151" t="e">
        <f ca="1">SUMIFS(INDIRECT("'"&amp;$B6&amp;"'!$BM:$BM"),INDIRECT("'"&amp;$B6&amp;"'!$AL:$AL"),'Blended IRR_Calc Adjusted'!AK$5)</f>
        <v>#REF!</v>
      </c>
      <c r="AK6" s="151" t="e">
        <f ca="1">SUMIFS(INDIRECT("'"&amp;$B6&amp;"'!$BM:$BM"),INDIRECT("'"&amp;$B6&amp;"'!$AL:$AL"),'Blended IRR_Calc Adjusted'!AL$5)</f>
        <v>#REF!</v>
      </c>
      <c r="AL6" s="151" t="e">
        <f ca="1">SUMIFS(INDIRECT("'"&amp;$B6&amp;"'!$BM:$BM"),INDIRECT("'"&amp;$B6&amp;"'!$AL:$AL"),'Blended IRR_Calc Adjusted'!AM$5)</f>
        <v>#REF!</v>
      </c>
      <c r="AM6" s="151" t="e">
        <f ca="1">SUMIFS(INDIRECT("'"&amp;$B6&amp;"'!$BM:$BM"),INDIRECT("'"&amp;$B6&amp;"'!$AL:$AL"),'Blended IRR_Calc Adjusted'!AN$5)</f>
        <v>#REF!</v>
      </c>
      <c r="AN6" s="151" t="e">
        <f ca="1">SUMIFS(INDIRECT("'"&amp;$B6&amp;"'!$BM:$BM"),INDIRECT("'"&amp;$B6&amp;"'!$AL:$AL"),'Blended IRR_Calc Adjusted'!AO$5)</f>
        <v>#REF!</v>
      </c>
      <c r="AO6" s="151" t="e">
        <f ca="1">SUMIFS(INDIRECT("'"&amp;$B6&amp;"'!$BM:$BM"),INDIRECT("'"&amp;$B6&amp;"'!$AL:$AL"),'Blended IRR_Calc Adjusted'!AP$5)</f>
        <v>#REF!</v>
      </c>
      <c r="AP6" s="151" t="e">
        <f ca="1">SUMIFS(INDIRECT("'"&amp;$B6&amp;"'!$BM:$BM"),INDIRECT("'"&amp;$B6&amp;"'!$AL:$AL"),'Blended IRR_Calc Adjusted'!AQ$5)</f>
        <v>#REF!</v>
      </c>
      <c r="AQ6" s="151" t="e">
        <f ca="1">SUMIFS(INDIRECT("'"&amp;$B6&amp;"'!$BM:$BM"),INDIRECT("'"&amp;$B6&amp;"'!$AL:$AL"),'Blended IRR_Calc Adjusted'!AR$5)</f>
        <v>#REF!</v>
      </c>
      <c r="AR6" s="151" t="e">
        <f ca="1">SUMIFS(INDIRECT("'"&amp;$B6&amp;"'!$BM:$BM"),INDIRECT("'"&amp;$B6&amp;"'!$AL:$AL"),'Blended IRR_Calc Adjusted'!AS$5)</f>
        <v>#REF!</v>
      </c>
      <c r="AS6" s="151" t="e">
        <f ca="1">SUMIFS(INDIRECT("'"&amp;$B6&amp;"'!$BM:$BM"),INDIRECT("'"&amp;$B6&amp;"'!$AL:$AL"),'Blended IRR_Calc Adjusted'!AT$5)</f>
        <v>#REF!</v>
      </c>
      <c r="AT6" s="151" t="e">
        <f ca="1">SUMIFS(INDIRECT("'"&amp;$B6&amp;"'!$BM:$BM"),INDIRECT("'"&amp;$B6&amp;"'!$AL:$AL"),'Blended IRR_Calc Adjusted'!AU$5)</f>
        <v>#REF!</v>
      </c>
      <c r="AU6" s="151" t="e">
        <f ca="1">SUMIFS(INDIRECT("'"&amp;$B6&amp;"'!$BM:$BM"),INDIRECT("'"&amp;$B6&amp;"'!$AL:$AL"),'Blended IRR_Calc Adjusted'!AV$5)</f>
        <v>#REF!</v>
      </c>
      <c r="AV6" s="151" t="e">
        <f ca="1">SUMIFS(INDIRECT("'"&amp;$B6&amp;"'!$BM:$BM"),INDIRECT("'"&amp;$B6&amp;"'!$AL:$AL"),'Blended IRR_Calc Adjusted'!AW$5)</f>
        <v>#REF!</v>
      </c>
      <c r="AW6" s="151" t="e">
        <f ca="1">SUMIFS(INDIRECT("'"&amp;$B6&amp;"'!$BM:$BM"),INDIRECT("'"&amp;$B6&amp;"'!$AL:$AL"),'Blended IRR_Calc Adjusted'!AX$5)</f>
        <v>#REF!</v>
      </c>
      <c r="AX6" s="151" t="e">
        <f ca="1">SUMIFS(INDIRECT("'"&amp;$B6&amp;"'!$BM:$BM"),INDIRECT("'"&amp;$B6&amp;"'!$AL:$AL"),'Blended IRR_Calc Adjusted'!AY$5)</f>
        <v>#REF!</v>
      </c>
      <c r="AY6" s="151" t="e">
        <f ca="1">SUMIFS(INDIRECT("'"&amp;$B6&amp;"'!$BM:$BM"),INDIRECT("'"&amp;$B6&amp;"'!$AL:$AL"),'Blended IRR_Calc Adjusted'!AZ$5)</f>
        <v>#REF!</v>
      </c>
      <c r="AZ6" s="151" t="e">
        <f ca="1">SUMIFS(INDIRECT("'"&amp;$B6&amp;"'!$BM:$BM"),INDIRECT("'"&amp;$B6&amp;"'!$AL:$AL"),'Blended IRR_Calc Adjusted'!BA$5)</f>
        <v>#REF!</v>
      </c>
      <c r="BA6" s="151" t="e">
        <f ca="1">SUMIFS(INDIRECT("'"&amp;$B6&amp;"'!$BM:$BM"),INDIRECT("'"&amp;$B6&amp;"'!$AL:$AL"),'Blended IRR_Calc Adjusted'!BB$5)</f>
        <v>#REF!</v>
      </c>
      <c r="BB6" s="151" t="e">
        <f ca="1">SUMIFS(INDIRECT("'"&amp;$B6&amp;"'!$BM:$BM"),INDIRECT("'"&amp;$B6&amp;"'!$AL:$AL"),'Blended IRR_Calc Adjusted'!BC$5)</f>
        <v>#REF!</v>
      </c>
      <c r="BC6" s="151" t="e">
        <f ca="1">SUMIFS(INDIRECT("'"&amp;$B6&amp;"'!$BM:$BM"),INDIRECT("'"&amp;$B6&amp;"'!$AL:$AL"),'Blended IRR_Calc Adjusted'!BD$5)</f>
        <v>#REF!</v>
      </c>
      <c r="BD6" s="151" t="e">
        <f ca="1">SUMIFS(INDIRECT("'"&amp;$B6&amp;"'!$BM:$BM"),INDIRECT("'"&amp;$B6&amp;"'!$AL:$AL"),'Blended IRR_Calc Adjusted'!BE$5)</f>
        <v>#REF!</v>
      </c>
      <c r="BE6" s="151" t="e">
        <f ca="1">SUMIFS(INDIRECT("'"&amp;$B6&amp;"'!$BM:$BM"),INDIRECT("'"&amp;$B6&amp;"'!$AL:$AL"),'Blended IRR_Calc Adjusted'!BF$5)</f>
        <v>#REF!</v>
      </c>
      <c r="BF6" s="151" t="e">
        <f ca="1">SUMIFS(INDIRECT("'"&amp;$B6&amp;"'!$BM:$BM"),INDIRECT("'"&amp;$B6&amp;"'!$AL:$AL"),'Blended IRR_Calc Adjusted'!BG$5)</f>
        <v>#REF!</v>
      </c>
      <c r="BG6" s="151" t="e">
        <f ca="1">SUMIFS(INDIRECT("'"&amp;$B6&amp;"'!$BM:$BM"),INDIRECT("'"&amp;$B6&amp;"'!$AL:$AL"),'Blended IRR_Calc Adjusted'!BH$5)</f>
        <v>#REF!</v>
      </c>
      <c r="BH6" s="151" t="e">
        <f ca="1">SUMIFS(INDIRECT("'"&amp;$B6&amp;"'!$BM:$BM"),INDIRECT("'"&amp;$B6&amp;"'!$AL:$AL"),'Blended IRR_Calc Adjusted'!BI$5)</f>
        <v>#REF!</v>
      </c>
      <c r="BI6" s="151" t="e">
        <f ca="1">SUMIFS(INDIRECT("'"&amp;$B6&amp;"'!$BM:$BM"),INDIRECT("'"&amp;$B6&amp;"'!$AL:$AL"),'Blended IRR_Calc Adjusted'!BJ$5)</f>
        <v>#REF!</v>
      </c>
      <c r="BJ6" s="151" t="e">
        <f ca="1">SUMIFS(INDIRECT("'"&amp;$B6&amp;"'!$BM:$BM"),INDIRECT("'"&amp;$B6&amp;"'!$AL:$AL"),'Blended IRR_Calc Adjusted'!BK$5)</f>
        <v>#REF!</v>
      </c>
      <c r="BK6" s="151" t="e">
        <f ca="1">SUMIFS(INDIRECT("'"&amp;$B6&amp;"'!$BM:$BM"),INDIRECT("'"&amp;$B6&amp;"'!$AL:$AL"),'Blended IRR_Calc Adjusted'!BL$5)</f>
        <v>#REF!</v>
      </c>
      <c r="BL6" s="151" t="e">
        <f ca="1">SUMIFS(INDIRECT("'"&amp;$B6&amp;"'!$BM:$BM"),INDIRECT("'"&amp;$B6&amp;"'!$AL:$AL"),'Blended IRR_Calc Adjusted'!BM$5)</f>
        <v>#REF!</v>
      </c>
      <c r="BM6" s="151"/>
    </row>
    <row r="7" spans="2:65" ht="16" thickBot="1">
      <c r="B7" s="144">
        <f>Portfolio!C17</f>
        <v>0</v>
      </c>
      <c r="C7" s="155" t="e">
        <f>INDEX(Portfolio!$H:$H,MATCH('Blended IRR_Calc'!$B7,Portfolio!$C:$C,0))</f>
        <v>#N/A</v>
      </c>
      <c r="D7" s="150" t="e">
        <f ca="1">SUM(F7:BL7)</f>
        <v>#REF!</v>
      </c>
      <c r="E7" s="153"/>
      <c r="F7" s="160">
        <f ca="1">IFERROR(-INDEX('Pricing Table'!$24:$24,MATCH('Blended IRR_Calc'!$B7,'Pricing Table'!$5:$5,0)),0)</f>
        <v>0</v>
      </c>
      <c r="G7" s="151" t="e">
        <f ca="1">SUMIFS(INDIRECT("'"&amp;$B7&amp;"'!$BM:$BM"),INDIRECT("'"&amp;$B7&amp;"'!$AL:$AL"),'Blended IRR_Calc Adjusted'!H$5)</f>
        <v>#REF!</v>
      </c>
      <c r="H7" s="151" t="e">
        <f ca="1">SUMIFS(INDIRECT("'"&amp;$B7&amp;"'!$BM:$BM"),INDIRECT("'"&amp;$B7&amp;"'!$AL:$AL"),'Blended IRR_Calc Adjusted'!I$5)</f>
        <v>#REF!</v>
      </c>
      <c r="I7" s="151" t="e">
        <f ca="1">SUMIFS(INDIRECT("'"&amp;$B7&amp;"'!$BM:$BM"),INDIRECT("'"&amp;$B7&amp;"'!$AL:$AL"),'Blended IRR_Calc Adjusted'!J$5)</f>
        <v>#REF!</v>
      </c>
      <c r="J7" s="151" t="e">
        <f ca="1">SUMIFS(INDIRECT("'"&amp;$B7&amp;"'!$BM:$BM"),INDIRECT("'"&amp;$B7&amp;"'!$AL:$AL"),'Blended IRR_Calc Adjusted'!K$5)</f>
        <v>#REF!</v>
      </c>
      <c r="K7" s="151" t="e">
        <f ca="1">SUMIFS(INDIRECT("'"&amp;$B7&amp;"'!$BM:$BM"),INDIRECT("'"&amp;$B7&amp;"'!$AL:$AL"),'Blended IRR_Calc Adjusted'!L$5)</f>
        <v>#REF!</v>
      </c>
      <c r="L7" s="151" t="e">
        <f ca="1">SUMIFS(INDIRECT("'"&amp;$B7&amp;"'!$BM:$BM"),INDIRECT("'"&amp;$B7&amp;"'!$AL:$AL"),'Blended IRR_Calc Adjusted'!M$5)</f>
        <v>#REF!</v>
      </c>
      <c r="M7" s="151" t="e">
        <f ca="1">SUMIFS(INDIRECT("'"&amp;$B7&amp;"'!$BM:$BM"),INDIRECT("'"&amp;$B7&amp;"'!$AL:$AL"),'Blended IRR_Calc Adjusted'!N$5)</f>
        <v>#REF!</v>
      </c>
      <c r="N7" s="151" t="e">
        <f ca="1">SUMIFS(INDIRECT("'"&amp;$B7&amp;"'!$BM:$BM"),INDIRECT("'"&amp;$B7&amp;"'!$AL:$AL"),'Blended IRR_Calc Adjusted'!O$5)</f>
        <v>#REF!</v>
      </c>
      <c r="O7" s="151" t="e">
        <f ca="1">SUMIFS(INDIRECT("'"&amp;$B7&amp;"'!$BM:$BM"),INDIRECT("'"&amp;$B7&amp;"'!$AL:$AL"),'Blended IRR_Calc Adjusted'!P$5)</f>
        <v>#REF!</v>
      </c>
      <c r="P7" s="151" t="e">
        <f ca="1">SUMIFS(INDIRECT("'"&amp;$B7&amp;"'!$BM:$BM"),INDIRECT("'"&amp;$B7&amp;"'!$AL:$AL"),'Blended IRR_Calc Adjusted'!Q$5)</f>
        <v>#REF!</v>
      </c>
      <c r="Q7" s="151" t="e">
        <f ca="1">SUMIFS(INDIRECT("'"&amp;$B7&amp;"'!$BM:$BM"),INDIRECT("'"&amp;$B7&amp;"'!$AL:$AL"),'Blended IRR_Calc Adjusted'!R$5)</f>
        <v>#REF!</v>
      </c>
      <c r="R7" s="151" t="e">
        <f ca="1">SUMIFS(INDIRECT("'"&amp;$B7&amp;"'!$BM:$BM"),INDIRECT("'"&amp;$B7&amp;"'!$AL:$AL"),'Blended IRR_Calc Adjusted'!S$5)</f>
        <v>#REF!</v>
      </c>
      <c r="S7" s="151" t="e">
        <f ca="1">SUMIFS(INDIRECT("'"&amp;$B7&amp;"'!$BM:$BM"),INDIRECT("'"&amp;$B7&amp;"'!$AL:$AL"),'Blended IRR_Calc Adjusted'!T$5)</f>
        <v>#REF!</v>
      </c>
      <c r="T7" s="151" t="e">
        <f ca="1">SUMIFS(INDIRECT("'"&amp;$B7&amp;"'!$BM:$BM"),INDIRECT("'"&amp;$B7&amp;"'!$AL:$AL"),'Blended IRR_Calc Adjusted'!U$5)</f>
        <v>#REF!</v>
      </c>
      <c r="U7" s="151" t="e">
        <f ca="1">SUMIFS(INDIRECT("'"&amp;$B7&amp;"'!$BM:$BM"),INDIRECT("'"&amp;$B7&amp;"'!$AL:$AL"),'Blended IRR_Calc Adjusted'!V$5)</f>
        <v>#REF!</v>
      </c>
      <c r="V7" s="151" t="e">
        <f ca="1">SUMIFS(INDIRECT("'"&amp;$B7&amp;"'!$BM:$BM"),INDIRECT("'"&amp;$B7&amp;"'!$AL:$AL"),'Blended IRR_Calc Adjusted'!W$5)</f>
        <v>#REF!</v>
      </c>
      <c r="W7" s="151" t="e">
        <f ca="1">SUMIFS(INDIRECT("'"&amp;$B7&amp;"'!$BM:$BM"),INDIRECT("'"&amp;$B7&amp;"'!$AL:$AL"),'Blended IRR_Calc Adjusted'!X$5)</f>
        <v>#REF!</v>
      </c>
      <c r="X7" s="151" t="e">
        <f ca="1">SUMIFS(INDIRECT("'"&amp;$B7&amp;"'!$BM:$BM"),INDIRECT("'"&amp;$B7&amp;"'!$AL:$AL"),'Blended IRR_Calc Adjusted'!Y$5)</f>
        <v>#REF!</v>
      </c>
      <c r="Y7" s="151" t="e">
        <f ca="1">SUMIFS(INDIRECT("'"&amp;$B7&amp;"'!$BM:$BM"),INDIRECT("'"&amp;$B7&amp;"'!$AL:$AL"),'Blended IRR_Calc Adjusted'!Z$5)</f>
        <v>#REF!</v>
      </c>
      <c r="Z7" s="151" t="e">
        <f ca="1">SUMIFS(INDIRECT("'"&amp;$B7&amp;"'!$BM:$BM"),INDIRECT("'"&amp;$B7&amp;"'!$AL:$AL"),'Blended IRR_Calc Adjusted'!AA$5)</f>
        <v>#REF!</v>
      </c>
      <c r="AA7" s="151" t="e">
        <f ca="1">SUMIFS(INDIRECT("'"&amp;$B7&amp;"'!$BM:$BM"),INDIRECT("'"&amp;$B7&amp;"'!$AL:$AL"),'Blended IRR_Calc Adjusted'!AB$5)</f>
        <v>#REF!</v>
      </c>
      <c r="AB7" s="151" t="e">
        <f ca="1">SUMIFS(INDIRECT("'"&amp;$B7&amp;"'!$BM:$BM"),INDIRECT("'"&amp;$B7&amp;"'!$AL:$AL"),'Blended IRR_Calc Adjusted'!AC$5)</f>
        <v>#REF!</v>
      </c>
      <c r="AC7" s="151" t="e">
        <f ca="1">SUMIFS(INDIRECT("'"&amp;$B7&amp;"'!$BM:$BM"),INDIRECT("'"&amp;$B7&amp;"'!$AL:$AL"),'Blended IRR_Calc Adjusted'!AD$5)</f>
        <v>#REF!</v>
      </c>
      <c r="AD7" s="151" t="e">
        <f ca="1">SUMIFS(INDIRECT("'"&amp;$B7&amp;"'!$BM:$BM"),INDIRECT("'"&amp;$B7&amp;"'!$AL:$AL"),'Blended IRR_Calc Adjusted'!AE$5)</f>
        <v>#REF!</v>
      </c>
      <c r="AE7" s="151" t="e">
        <f ca="1">SUMIFS(INDIRECT("'"&amp;$B7&amp;"'!$BM:$BM"),INDIRECT("'"&amp;$B7&amp;"'!$AL:$AL"),'Blended IRR_Calc Adjusted'!AF$5)</f>
        <v>#REF!</v>
      </c>
      <c r="AF7" s="151" t="e">
        <f ca="1">SUMIFS(INDIRECT("'"&amp;$B7&amp;"'!$BM:$BM"),INDIRECT("'"&amp;$B7&amp;"'!$AL:$AL"),'Blended IRR_Calc Adjusted'!AG$5)</f>
        <v>#REF!</v>
      </c>
      <c r="AG7" s="151" t="e">
        <f ca="1">SUMIFS(INDIRECT("'"&amp;$B7&amp;"'!$BM:$BM"),INDIRECT("'"&amp;$B7&amp;"'!$AL:$AL"),'Blended IRR_Calc Adjusted'!AH$5)</f>
        <v>#REF!</v>
      </c>
      <c r="AH7" s="151" t="e">
        <f ca="1">SUMIFS(INDIRECT("'"&amp;$B7&amp;"'!$BM:$BM"),INDIRECT("'"&amp;$B7&amp;"'!$AL:$AL"),'Blended IRR_Calc Adjusted'!AI$5)</f>
        <v>#REF!</v>
      </c>
      <c r="AI7" s="151" t="e">
        <f ca="1">SUMIFS(INDIRECT("'"&amp;$B7&amp;"'!$BM:$BM"),INDIRECT("'"&amp;$B7&amp;"'!$AL:$AL"),'Blended IRR_Calc Adjusted'!AJ$5)</f>
        <v>#REF!</v>
      </c>
      <c r="AJ7" s="151" t="e">
        <f ca="1">SUMIFS(INDIRECT("'"&amp;$B7&amp;"'!$BM:$BM"),INDIRECT("'"&amp;$B7&amp;"'!$AL:$AL"),'Blended IRR_Calc Adjusted'!AK$5)</f>
        <v>#REF!</v>
      </c>
      <c r="AK7" s="151" t="e">
        <f ca="1">SUMIFS(INDIRECT("'"&amp;$B7&amp;"'!$BM:$BM"),INDIRECT("'"&amp;$B7&amp;"'!$AL:$AL"),'Blended IRR_Calc Adjusted'!AL$5)</f>
        <v>#REF!</v>
      </c>
      <c r="AL7" s="151" t="e">
        <f ca="1">SUMIFS(INDIRECT("'"&amp;$B7&amp;"'!$BM:$BM"),INDIRECT("'"&amp;$B7&amp;"'!$AL:$AL"),'Blended IRR_Calc Adjusted'!AM$5)</f>
        <v>#REF!</v>
      </c>
      <c r="AM7" s="151" t="e">
        <f ca="1">SUMIFS(INDIRECT("'"&amp;$B7&amp;"'!$BM:$BM"),INDIRECT("'"&amp;$B7&amp;"'!$AL:$AL"),'Blended IRR_Calc Adjusted'!AN$5)</f>
        <v>#REF!</v>
      </c>
      <c r="AN7" s="151" t="e">
        <f ca="1">SUMIFS(INDIRECT("'"&amp;$B7&amp;"'!$BM:$BM"),INDIRECT("'"&amp;$B7&amp;"'!$AL:$AL"),'Blended IRR_Calc Adjusted'!AO$5)</f>
        <v>#REF!</v>
      </c>
      <c r="AO7" s="151" t="e">
        <f ca="1">SUMIFS(INDIRECT("'"&amp;$B7&amp;"'!$BM:$BM"),INDIRECT("'"&amp;$B7&amp;"'!$AL:$AL"),'Blended IRR_Calc Adjusted'!AP$5)</f>
        <v>#REF!</v>
      </c>
      <c r="AP7" s="151" t="e">
        <f ca="1">SUMIFS(INDIRECT("'"&amp;$B7&amp;"'!$BM:$BM"),INDIRECT("'"&amp;$B7&amp;"'!$AL:$AL"),'Blended IRR_Calc Adjusted'!AQ$5)</f>
        <v>#REF!</v>
      </c>
      <c r="AQ7" s="151" t="e">
        <f ca="1">SUMIFS(INDIRECT("'"&amp;$B7&amp;"'!$BM:$BM"),INDIRECT("'"&amp;$B7&amp;"'!$AL:$AL"),'Blended IRR_Calc Adjusted'!AR$5)</f>
        <v>#REF!</v>
      </c>
      <c r="AR7" s="151" t="e">
        <f ca="1">SUMIFS(INDIRECT("'"&amp;$B7&amp;"'!$BM:$BM"),INDIRECT("'"&amp;$B7&amp;"'!$AL:$AL"),'Blended IRR_Calc Adjusted'!AS$5)</f>
        <v>#REF!</v>
      </c>
      <c r="AS7" s="151" t="e">
        <f ca="1">SUMIFS(INDIRECT("'"&amp;$B7&amp;"'!$BM:$BM"),INDIRECT("'"&amp;$B7&amp;"'!$AL:$AL"),'Blended IRR_Calc Adjusted'!AT$5)</f>
        <v>#REF!</v>
      </c>
      <c r="AT7" s="151" t="e">
        <f ca="1">SUMIFS(INDIRECT("'"&amp;$B7&amp;"'!$BM:$BM"),INDIRECT("'"&amp;$B7&amp;"'!$AL:$AL"),'Blended IRR_Calc Adjusted'!AU$5)</f>
        <v>#REF!</v>
      </c>
      <c r="AU7" s="151" t="e">
        <f ca="1">SUMIFS(INDIRECT("'"&amp;$B7&amp;"'!$BM:$BM"),INDIRECT("'"&amp;$B7&amp;"'!$AL:$AL"),'Blended IRR_Calc Adjusted'!AV$5)</f>
        <v>#REF!</v>
      </c>
      <c r="AV7" s="151" t="e">
        <f ca="1">SUMIFS(INDIRECT("'"&amp;$B7&amp;"'!$BM:$BM"),INDIRECT("'"&amp;$B7&amp;"'!$AL:$AL"),'Blended IRR_Calc Adjusted'!AW$5)</f>
        <v>#REF!</v>
      </c>
      <c r="AW7" s="151" t="e">
        <f ca="1">SUMIFS(INDIRECT("'"&amp;$B7&amp;"'!$BM:$BM"),INDIRECT("'"&amp;$B7&amp;"'!$AL:$AL"),'Blended IRR_Calc Adjusted'!AX$5)</f>
        <v>#REF!</v>
      </c>
      <c r="AX7" s="151" t="e">
        <f ca="1">SUMIFS(INDIRECT("'"&amp;$B7&amp;"'!$BM:$BM"),INDIRECT("'"&amp;$B7&amp;"'!$AL:$AL"),'Blended IRR_Calc Adjusted'!AY$5)</f>
        <v>#REF!</v>
      </c>
      <c r="AY7" s="151" t="e">
        <f ca="1">SUMIFS(INDIRECT("'"&amp;$B7&amp;"'!$BM:$BM"),INDIRECT("'"&amp;$B7&amp;"'!$AL:$AL"),'Blended IRR_Calc Adjusted'!AZ$5)</f>
        <v>#REF!</v>
      </c>
      <c r="AZ7" s="151" t="e">
        <f ca="1">SUMIFS(INDIRECT("'"&amp;$B7&amp;"'!$BM:$BM"),INDIRECT("'"&amp;$B7&amp;"'!$AL:$AL"),'Blended IRR_Calc Adjusted'!BA$5)</f>
        <v>#REF!</v>
      </c>
      <c r="BA7" s="151" t="e">
        <f ca="1">SUMIFS(INDIRECT("'"&amp;$B7&amp;"'!$BM:$BM"),INDIRECT("'"&amp;$B7&amp;"'!$AL:$AL"),'Blended IRR_Calc Adjusted'!BB$5)</f>
        <v>#REF!</v>
      </c>
      <c r="BB7" s="151" t="e">
        <f ca="1">SUMIFS(INDIRECT("'"&amp;$B7&amp;"'!$BM:$BM"),INDIRECT("'"&amp;$B7&amp;"'!$AL:$AL"),'Blended IRR_Calc Adjusted'!BC$5)</f>
        <v>#REF!</v>
      </c>
      <c r="BC7" s="151" t="e">
        <f ca="1">SUMIFS(INDIRECT("'"&amp;$B7&amp;"'!$BM:$BM"),INDIRECT("'"&amp;$B7&amp;"'!$AL:$AL"),'Blended IRR_Calc Adjusted'!BD$5)</f>
        <v>#REF!</v>
      </c>
      <c r="BD7" s="151" t="e">
        <f ca="1">SUMIFS(INDIRECT("'"&amp;$B7&amp;"'!$BM:$BM"),INDIRECT("'"&amp;$B7&amp;"'!$AL:$AL"),'Blended IRR_Calc Adjusted'!BE$5)</f>
        <v>#REF!</v>
      </c>
      <c r="BE7" s="151" t="e">
        <f ca="1">SUMIFS(INDIRECT("'"&amp;$B7&amp;"'!$BM:$BM"),INDIRECT("'"&amp;$B7&amp;"'!$AL:$AL"),'Blended IRR_Calc Adjusted'!BF$5)</f>
        <v>#REF!</v>
      </c>
      <c r="BF7" s="151" t="e">
        <f ca="1">SUMIFS(INDIRECT("'"&amp;$B7&amp;"'!$BM:$BM"),INDIRECT("'"&amp;$B7&amp;"'!$AL:$AL"),'Blended IRR_Calc Adjusted'!BG$5)</f>
        <v>#REF!</v>
      </c>
      <c r="BG7" s="151" t="e">
        <f ca="1">SUMIFS(INDIRECT("'"&amp;$B7&amp;"'!$BM:$BM"),INDIRECT("'"&amp;$B7&amp;"'!$AL:$AL"),'Blended IRR_Calc Adjusted'!BH$5)</f>
        <v>#REF!</v>
      </c>
      <c r="BH7" s="151" t="e">
        <f ca="1">SUMIFS(INDIRECT("'"&amp;$B7&amp;"'!$BM:$BM"),INDIRECT("'"&amp;$B7&amp;"'!$AL:$AL"),'Blended IRR_Calc Adjusted'!BI$5)</f>
        <v>#REF!</v>
      </c>
      <c r="BI7" s="151" t="e">
        <f ca="1">SUMIFS(INDIRECT("'"&amp;$B7&amp;"'!$BM:$BM"),INDIRECT("'"&amp;$B7&amp;"'!$AL:$AL"),'Blended IRR_Calc Adjusted'!BJ$5)</f>
        <v>#REF!</v>
      </c>
      <c r="BJ7" s="151" t="e">
        <f ca="1">SUMIFS(INDIRECT("'"&amp;$B7&amp;"'!$BM:$BM"),INDIRECT("'"&amp;$B7&amp;"'!$AL:$AL"),'Blended IRR_Calc Adjusted'!BK$5)</f>
        <v>#REF!</v>
      </c>
      <c r="BK7" s="151" t="e">
        <f ca="1">SUMIFS(INDIRECT("'"&amp;$B7&amp;"'!$BM:$BM"),INDIRECT("'"&amp;$B7&amp;"'!$AL:$AL"),'Blended IRR_Calc Adjusted'!BL$5)</f>
        <v>#REF!</v>
      </c>
      <c r="BL7" s="151" t="e">
        <f ca="1">SUMIFS(INDIRECT("'"&amp;$B7&amp;"'!$BM:$BM"),INDIRECT("'"&amp;$B7&amp;"'!$AL:$AL"),'Blended IRR_Calc Adjusted'!BM$5)</f>
        <v>#REF!</v>
      </c>
      <c r="BM7" s="151"/>
    </row>
    <row r="8" spans="2:65" s="159" customFormat="1">
      <c r="B8" s="156" t="s">
        <v>57</v>
      </c>
      <c r="C8" s="157"/>
      <c r="D8" s="158" t="e">
        <f ca="1">SUMPRODUCT(D6:D6,$C$6:$C$6)</f>
        <v>#REF!</v>
      </c>
      <c r="E8" s="158"/>
      <c r="F8" s="158" t="e">
        <f t="shared" ref="F8:AK8" ca="1" si="2">SUMPRODUCT(F6:F6,$C$6:$C$6)</f>
        <v>#N/A</v>
      </c>
      <c r="G8" s="158" t="e">
        <f t="shared" ca="1" si="2"/>
        <v>#REF!</v>
      </c>
      <c r="H8" s="158" t="e">
        <f t="shared" ca="1" si="2"/>
        <v>#REF!</v>
      </c>
      <c r="I8" s="158" t="e">
        <f t="shared" ca="1" si="2"/>
        <v>#REF!</v>
      </c>
      <c r="J8" s="158" t="e">
        <f t="shared" ca="1" si="2"/>
        <v>#REF!</v>
      </c>
      <c r="K8" s="158" t="e">
        <f t="shared" ca="1" si="2"/>
        <v>#REF!</v>
      </c>
      <c r="L8" s="158" t="e">
        <f t="shared" ca="1" si="2"/>
        <v>#REF!</v>
      </c>
      <c r="M8" s="158" t="e">
        <f t="shared" ca="1" si="2"/>
        <v>#REF!</v>
      </c>
      <c r="N8" s="158" t="e">
        <f t="shared" ca="1" si="2"/>
        <v>#REF!</v>
      </c>
      <c r="O8" s="158" t="e">
        <f t="shared" ca="1" si="2"/>
        <v>#REF!</v>
      </c>
      <c r="P8" s="158" t="e">
        <f t="shared" ca="1" si="2"/>
        <v>#REF!</v>
      </c>
      <c r="Q8" s="158" t="e">
        <f t="shared" ca="1" si="2"/>
        <v>#REF!</v>
      </c>
      <c r="R8" s="158" t="e">
        <f t="shared" ca="1" si="2"/>
        <v>#REF!</v>
      </c>
      <c r="S8" s="158" t="e">
        <f t="shared" ca="1" si="2"/>
        <v>#REF!</v>
      </c>
      <c r="T8" s="158" t="e">
        <f t="shared" ca="1" si="2"/>
        <v>#REF!</v>
      </c>
      <c r="U8" s="158" t="e">
        <f t="shared" ca="1" si="2"/>
        <v>#REF!</v>
      </c>
      <c r="V8" s="158" t="e">
        <f t="shared" ca="1" si="2"/>
        <v>#REF!</v>
      </c>
      <c r="W8" s="158" t="e">
        <f t="shared" ca="1" si="2"/>
        <v>#REF!</v>
      </c>
      <c r="X8" s="158" t="e">
        <f t="shared" ca="1" si="2"/>
        <v>#REF!</v>
      </c>
      <c r="Y8" s="158" t="e">
        <f t="shared" ca="1" si="2"/>
        <v>#REF!</v>
      </c>
      <c r="Z8" s="158" t="e">
        <f t="shared" ca="1" si="2"/>
        <v>#REF!</v>
      </c>
      <c r="AA8" s="158" t="e">
        <f t="shared" ca="1" si="2"/>
        <v>#REF!</v>
      </c>
      <c r="AB8" s="158" t="e">
        <f t="shared" ca="1" si="2"/>
        <v>#REF!</v>
      </c>
      <c r="AC8" s="158" t="e">
        <f t="shared" ca="1" si="2"/>
        <v>#REF!</v>
      </c>
      <c r="AD8" s="158" t="e">
        <f t="shared" ca="1" si="2"/>
        <v>#REF!</v>
      </c>
      <c r="AE8" s="158" t="e">
        <f t="shared" ca="1" si="2"/>
        <v>#REF!</v>
      </c>
      <c r="AF8" s="158" t="e">
        <f t="shared" ca="1" si="2"/>
        <v>#REF!</v>
      </c>
      <c r="AG8" s="158" t="e">
        <f t="shared" ca="1" si="2"/>
        <v>#REF!</v>
      </c>
      <c r="AH8" s="158" t="e">
        <f t="shared" ca="1" si="2"/>
        <v>#REF!</v>
      </c>
      <c r="AI8" s="158" t="e">
        <f t="shared" ca="1" si="2"/>
        <v>#REF!</v>
      </c>
      <c r="AJ8" s="158" t="e">
        <f t="shared" ca="1" si="2"/>
        <v>#REF!</v>
      </c>
      <c r="AK8" s="158" t="e">
        <f t="shared" ca="1" si="2"/>
        <v>#REF!</v>
      </c>
      <c r="AL8" s="158" t="e">
        <f t="shared" ref="AL8:BL8" ca="1" si="3">SUMPRODUCT(AL6:AL6,$C$6:$C$6)</f>
        <v>#REF!</v>
      </c>
      <c r="AM8" s="158" t="e">
        <f t="shared" ca="1" si="3"/>
        <v>#REF!</v>
      </c>
      <c r="AN8" s="158" t="e">
        <f t="shared" ca="1" si="3"/>
        <v>#REF!</v>
      </c>
      <c r="AO8" s="158" t="e">
        <f t="shared" ca="1" si="3"/>
        <v>#REF!</v>
      </c>
      <c r="AP8" s="158" t="e">
        <f t="shared" ca="1" si="3"/>
        <v>#REF!</v>
      </c>
      <c r="AQ8" s="158" t="e">
        <f t="shared" ca="1" si="3"/>
        <v>#REF!</v>
      </c>
      <c r="AR8" s="158" t="e">
        <f t="shared" ca="1" si="3"/>
        <v>#REF!</v>
      </c>
      <c r="AS8" s="158" t="e">
        <f t="shared" ca="1" si="3"/>
        <v>#REF!</v>
      </c>
      <c r="AT8" s="158" t="e">
        <f t="shared" ca="1" si="3"/>
        <v>#REF!</v>
      </c>
      <c r="AU8" s="158" t="e">
        <f t="shared" ca="1" si="3"/>
        <v>#REF!</v>
      </c>
      <c r="AV8" s="158" t="e">
        <f t="shared" ca="1" si="3"/>
        <v>#REF!</v>
      </c>
      <c r="AW8" s="158" t="e">
        <f t="shared" ca="1" si="3"/>
        <v>#REF!</v>
      </c>
      <c r="AX8" s="158" t="e">
        <f t="shared" ca="1" si="3"/>
        <v>#REF!</v>
      </c>
      <c r="AY8" s="158" t="e">
        <f t="shared" ca="1" si="3"/>
        <v>#REF!</v>
      </c>
      <c r="AZ8" s="158" t="e">
        <f t="shared" ca="1" si="3"/>
        <v>#REF!</v>
      </c>
      <c r="BA8" s="158" t="e">
        <f t="shared" ca="1" si="3"/>
        <v>#REF!</v>
      </c>
      <c r="BB8" s="158" t="e">
        <f t="shared" ca="1" si="3"/>
        <v>#REF!</v>
      </c>
      <c r="BC8" s="158" t="e">
        <f t="shared" ca="1" si="3"/>
        <v>#REF!</v>
      </c>
      <c r="BD8" s="158" t="e">
        <f t="shared" ca="1" si="3"/>
        <v>#REF!</v>
      </c>
      <c r="BE8" s="158" t="e">
        <f t="shared" ca="1" si="3"/>
        <v>#REF!</v>
      </c>
      <c r="BF8" s="158" t="e">
        <f t="shared" ca="1" si="3"/>
        <v>#REF!</v>
      </c>
      <c r="BG8" s="158" t="e">
        <f t="shared" ca="1" si="3"/>
        <v>#REF!</v>
      </c>
      <c r="BH8" s="158" t="e">
        <f t="shared" ca="1" si="3"/>
        <v>#REF!</v>
      </c>
      <c r="BI8" s="158" t="e">
        <f t="shared" ca="1" si="3"/>
        <v>#REF!</v>
      </c>
      <c r="BJ8" s="158" t="e">
        <f t="shared" ca="1" si="3"/>
        <v>#REF!</v>
      </c>
      <c r="BK8" s="158" t="e">
        <f t="shared" ca="1" si="3"/>
        <v>#REF!</v>
      </c>
      <c r="BL8" s="158" t="e">
        <f t="shared" ca="1" si="3"/>
        <v>#REF!</v>
      </c>
    </row>
    <row r="9" spans="2:65">
      <c r="B9" s="144"/>
      <c r="D9" s="153"/>
      <c r="E9" s="153"/>
      <c r="F9" s="154"/>
    </row>
    <row r="10" spans="2:65">
      <c r="B10" s="161" t="s">
        <v>58</v>
      </c>
      <c r="C10" s="162"/>
      <c r="D10" s="163" t="e">
        <f ca="1">XIRR($F$8:$BL$8,$F$5:$BL$5)</f>
        <v>#N/A</v>
      </c>
      <c r="E10" s="153"/>
    </row>
    <row r="11" spans="2:65">
      <c r="B11" s="161" t="s">
        <v>59</v>
      </c>
      <c r="C11" s="162"/>
      <c r="D11" s="323" t="e">
        <f ca="1">SUMIFS($F$8:$BL$8,$F$8:$BL$8,"&gt;0")/-SUMIFS($F$8:$BL$8,$F$8:$BL$8,"&lt;0")</f>
        <v>#DIV/0!</v>
      </c>
      <c r="E11" s="153"/>
    </row>
    <row r="12" spans="2:65">
      <c r="B12" s="161" t="s">
        <v>60</v>
      </c>
      <c r="C12" s="162"/>
      <c r="D12" s="357" t="e" cm="1">
        <f t="array" aca="1" ref="D12" ca="1">SUMPRODUCT(--($F$8:$BL$8&gt;0),$F$8:$BL$8,$F$4:$BL$4)/SUMIFS($F$8:$BL$8,$F$8:$BL$8,"&gt;0")</f>
        <v>#N/A</v>
      </c>
      <c r="E12" s="153"/>
    </row>
    <row r="13" spans="2:65">
      <c r="B13" s="144"/>
      <c r="D13" s="153"/>
      <c r="E13" s="153"/>
      <c r="F13" s="154"/>
    </row>
    <row r="14" spans="2:65"/>
    <row r="15" spans="2:65"/>
    <row r="16" spans="2:6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A7BF-D359-46F8-9BC5-7BBA673B466A}">
  <sheetPr>
    <tabColor theme="9" tint="0.39997558519241921"/>
  </sheetPr>
  <dimension ref="B1:BO56"/>
  <sheetViews>
    <sheetView workbookViewId="0"/>
  </sheetViews>
  <sheetFormatPr baseColWidth="10" defaultColWidth="8.83203125" defaultRowHeight="15" customHeight="1" zeroHeight="1"/>
  <cols>
    <col min="1" max="1" width="2.6640625" customWidth="1"/>
    <col min="2" max="2" width="15.5" customWidth="1"/>
    <col min="3" max="3" width="11.1640625" style="145" customWidth="1"/>
    <col min="4" max="4" width="10.6640625" style="145" customWidth="1"/>
    <col min="5" max="5" width="11.33203125" style="145" customWidth="1"/>
    <col min="6" max="6" width="9.5" style="145" customWidth="1"/>
    <col min="7" max="7" width="2.6640625" style="145" customWidth="1"/>
    <col min="8" max="8" width="14.1640625" bestFit="1" customWidth="1"/>
    <col min="9" max="9" width="13.33203125" bestFit="1" customWidth="1"/>
    <col min="10" max="12" width="10.83203125" bestFit="1" customWidth="1"/>
    <col min="13" max="14" width="11.83203125" bestFit="1" customWidth="1"/>
    <col min="15" max="15" width="10.83203125" bestFit="1" customWidth="1"/>
    <col min="16" max="16" width="13.33203125" bestFit="1" customWidth="1"/>
    <col min="17" max="17" width="11.6640625" bestFit="1" customWidth="1"/>
    <col min="18" max="18" width="13.5" bestFit="1" customWidth="1"/>
    <col min="19" max="21" width="10.83203125" bestFit="1" customWidth="1"/>
    <col min="22" max="22" width="11.6640625" bestFit="1" customWidth="1"/>
    <col min="23" max="24" width="10.5" bestFit="1" customWidth="1"/>
    <col min="25" max="32" width="9" bestFit="1" customWidth="1"/>
    <col min="33" max="36" width="8" bestFit="1" customWidth="1"/>
    <col min="37" max="37" width="7.1640625" bestFit="1" customWidth="1"/>
    <col min="38" max="38" width="6.6640625" bestFit="1" customWidth="1"/>
    <col min="39" max="40" width="7" bestFit="1" customWidth="1"/>
    <col min="41" max="41" width="7.1640625" bestFit="1" customWidth="1"/>
    <col min="42" max="42" width="6.6640625" bestFit="1" customWidth="1"/>
    <col min="43" max="44" width="7" bestFit="1" customWidth="1"/>
    <col min="45" max="45" width="7.1640625" bestFit="1" customWidth="1"/>
    <col min="46" max="46" width="6.6640625" bestFit="1" customWidth="1"/>
    <col min="47" max="48" width="7" bestFit="1" customWidth="1"/>
    <col min="49" max="49" width="7.1640625" bestFit="1" customWidth="1"/>
    <col min="50" max="50" width="6.6640625" bestFit="1" customWidth="1"/>
    <col min="51" max="52" width="7" bestFit="1" customWidth="1"/>
    <col min="53" max="53" width="7.1640625" bestFit="1" customWidth="1"/>
    <col min="54" max="54" width="6.6640625" bestFit="1" customWidth="1"/>
    <col min="55" max="56" width="7" bestFit="1" customWidth="1"/>
    <col min="57" max="57" width="7.1640625" bestFit="1" customWidth="1"/>
    <col min="58" max="58" width="6.6640625" bestFit="1" customWidth="1"/>
    <col min="59" max="60" width="7" bestFit="1" customWidth="1"/>
    <col min="61" max="61" width="7.1640625" bestFit="1" customWidth="1"/>
    <col min="62" max="62" width="6.6640625" bestFit="1" customWidth="1"/>
    <col min="63" max="64" width="7" bestFit="1" customWidth="1"/>
    <col min="65" max="65" width="7.1640625" bestFit="1" customWidth="1"/>
    <col min="66" max="66" width="6.6640625" bestFit="1" customWidth="1"/>
  </cols>
  <sheetData>
    <row r="1" spans="2:67"/>
    <row r="2" spans="2:67" s="1" customFormat="1" ht="14">
      <c r="B2" s="2" t="str">
        <f>"Project "&amp;Portfolio!$D$4&amp;" - IRR Calculation at deal level"</f>
        <v>Project  - IRR Calculation at deal level</v>
      </c>
      <c r="C2" s="10"/>
      <c r="D2" s="10"/>
      <c r="E2" s="10"/>
      <c r="F2" s="10"/>
      <c r="G2" s="10"/>
      <c r="H2" s="2"/>
      <c r="I2" s="2"/>
      <c r="J2" s="2"/>
      <c r="K2" s="2"/>
      <c r="L2" s="2"/>
      <c r="M2" s="107"/>
      <c r="N2" s="2"/>
      <c r="O2" s="2"/>
      <c r="P2" s="2"/>
      <c r="Q2" s="2"/>
      <c r="R2" s="107"/>
      <c r="S2" s="107"/>
      <c r="T2" s="2"/>
      <c r="U2" s="2"/>
      <c r="V2" s="2"/>
      <c r="W2" s="2"/>
      <c r="X2" s="2"/>
      <c r="Y2" s="2"/>
      <c r="Z2" s="2"/>
      <c r="AA2" s="2"/>
      <c r="AB2" s="2"/>
      <c r="AC2" s="2"/>
      <c r="AD2" s="2"/>
      <c r="AE2" s="2"/>
      <c r="AF2" s="2"/>
      <c r="AG2" s="2"/>
      <c r="AH2" s="2"/>
      <c r="AI2" s="2"/>
      <c r="AJ2" s="2"/>
      <c r="AK2" s="2"/>
      <c r="AL2" s="2"/>
      <c r="AM2" s="2"/>
      <c r="AN2" s="2"/>
      <c r="AO2" s="2"/>
      <c r="AP2" s="10"/>
      <c r="AQ2" s="10"/>
      <c r="AR2" s="2"/>
      <c r="AS2" s="2"/>
      <c r="AT2" s="2"/>
      <c r="AU2" s="2"/>
      <c r="AV2" s="2"/>
      <c r="AW2" s="2"/>
      <c r="AX2" s="2"/>
      <c r="AY2" s="2"/>
      <c r="AZ2" s="2"/>
      <c r="BA2" s="2"/>
      <c r="BB2" s="2"/>
      <c r="BC2" s="2"/>
      <c r="BD2" s="2"/>
      <c r="BE2" s="2"/>
      <c r="BF2" s="2"/>
      <c r="BG2" s="2"/>
      <c r="BH2" s="2"/>
      <c r="BI2" s="2"/>
      <c r="BJ2" s="2"/>
      <c r="BK2" s="2"/>
      <c r="BL2" s="2"/>
      <c r="BM2" s="141"/>
      <c r="BN2" s="2"/>
    </row>
    <row r="3" spans="2:67"/>
    <row r="4" spans="2:67">
      <c r="H4" s="149">
        <v>0</v>
      </c>
      <c r="I4" s="149">
        <f>H4+0.25</f>
        <v>0.25</v>
      </c>
      <c r="J4" s="149">
        <f t="shared" ref="J4:BN4" si="0">I4+0.25</f>
        <v>0.5</v>
      </c>
      <c r="K4" s="149">
        <f t="shared" si="0"/>
        <v>0.75</v>
      </c>
      <c r="L4" s="149">
        <f t="shared" si="0"/>
        <v>1</v>
      </c>
      <c r="M4" s="149">
        <f t="shared" si="0"/>
        <v>1.25</v>
      </c>
      <c r="N4" s="149">
        <f t="shared" si="0"/>
        <v>1.5</v>
      </c>
      <c r="O4" s="149">
        <f t="shared" si="0"/>
        <v>1.75</v>
      </c>
      <c r="P4" s="149">
        <f t="shared" si="0"/>
        <v>2</v>
      </c>
      <c r="Q4" s="149">
        <f t="shared" si="0"/>
        <v>2.25</v>
      </c>
      <c r="R4" s="149">
        <f t="shared" si="0"/>
        <v>2.5</v>
      </c>
      <c r="S4" s="149">
        <f t="shared" si="0"/>
        <v>2.75</v>
      </c>
      <c r="T4" s="149">
        <f t="shared" si="0"/>
        <v>3</v>
      </c>
      <c r="U4" s="149">
        <f t="shared" si="0"/>
        <v>3.25</v>
      </c>
      <c r="V4" s="149">
        <f t="shared" si="0"/>
        <v>3.5</v>
      </c>
      <c r="W4" s="149">
        <f t="shared" si="0"/>
        <v>3.75</v>
      </c>
      <c r="X4" s="149">
        <f t="shared" si="0"/>
        <v>4</v>
      </c>
      <c r="Y4" s="149">
        <f t="shared" si="0"/>
        <v>4.25</v>
      </c>
      <c r="Z4" s="149">
        <f t="shared" si="0"/>
        <v>4.5</v>
      </c>
      <c r="AA4" s="149">
        <f t="shared" si="0"/>
        <v>4.75</v>
      </c>
      <c r="AB4" s="149">
        <f t="shared" si="0"/>
        <v>5</v>
      </c>
      <c r="AC4" s="149">
        <f t="shared" si="0"/>
        <v>5.25</v>
      </c>
      <c r="AD4" s="149">
        <f t="shared" si="0"/>
        <v>5.5</v>
      </c>
      <c r="AE4" s="149">
        <f t="shared" si="0"/>
        <v>5.75</v>
      </c>
      <c r="AF4" s="149">
        <f t="shared" si="0"/>
        <v>6</v>
      </c>
      <c r="AG4" s="149">
        <f t="shared" si="0"/>
        <v>6.25</v>
      </c>
      <c r="AH4" s="149">
        <f t="shared" si="0"/>
        <v>6.5</v>
      </c>
      <c r="AI4" s="149">
        <f t="shared" si="0"/>
        <v>6.75</v>
      </c>
      <c r="AJ4" s="149">
        <f t="shared" si="0"/>
        <v>7</v>
      </c>
      <c r="AK4" s="149">
        <f t="shared" si="0"/>
        <v>7.25</v>
      </c>
      <c r="AL4" s="149">
        <f t="shared" si="0"/>
        <v>7.5</v>
      </c>
      <c r="AM4" s="149">
        <f t="shared" si="0"/>
        <v>7.75</v>
      </c>
      <c r="AN4" s="149">
        <f t="shared" si="0"/>
        <v>8</v>
      </c>
      <c r="AO4" s="149">
        <f t="shared" si="0"/>
        <v>8.25</v>
      </c>
      <c r="AP4" s="149">
        <f t="shared" si="0"/>
        <v>8.5</v>
      </c>
      <c r="AQ4" s="149">
        <f t="shared" si="0"/>
        <v>8.75</v>
      </c>
      <c r="AR4" s="149">
        <f t="shared" si="0"/>
        <v>9</v>
      </c>
      <c r="AS4" s="149">
        <f t="shared" si="0"/>
        <v>9.25</v>
      </c>
      <c r="AT4" s="149">
        <f t="shared" si="0"/>
        <v>9.5</v>
      </c>
      <c r="AU4" s="149">
        <f t="shared" si="0"/>
        <v>9.75</v>
      </c>
      <c r="AV4" s="149">
        <f t="shared" si="0"/>
        <v>10</v>
      </c>
      <c r="AW4" s="149">
        <f t="shared" si="0"/>
        <v>10.25</v>
      </c>
      <c r="AX4" s="149">
        <f t="shared" si="0"/>
        <v>10.5</v>
      </c>
      <c r="AY4" s="149">
        <f t="shared" si="0"/>
        <v>10.75</v>
      </c>
      <c r="AZ4" s="149">
        <f t="shared" si="0"/>
        <v>11</v>
      </c>
      <c r="BA4" s="149">
        <f t="shared" si="0"/>
        <v>11.25</v>
      </c>
      <c r="BB4" s="149">
        <f t="shared" si="0"/>
        <v>11.5</v>
      </c>
      <c r="BC4" s="149">
        <f t="shared" si="0"/>
        <v>11.75</v>
      </c>
      <c r="BD4" s="149">
        <f t="shared" si="0"/>
        <v>12</v>
      </c>
      <c r="BE4" s="149">
        <f t="shared" si="0"/>
        <v>12.25</v>
      </c>
      <c r="BF4" s="149">
        <f t="shared" si="0"/>
        <v>12.5</v>
      </c>
      <c r="BG4" s="149">
        <f t="shared" si="0"/>
        <v>12.75</v>
      </c>
      <c r="BH4" s="149">
        <f t="shared" si="0"/>
        <v>13</v>
      </c>
      <c r="BI4" s="149">
        <f t="shared" si="0"/>
        <v>13.25</v>
      </c>
      <c r="BJ4" s="149">
        <f t="shared" si="0"/>
        <v>13.5</v>
      </c>
      <c r="BK4" s="149">
        <f t="shared" si="0"/>
        <v>13.75</v>
      </c>
      <c r="BL4" s="149">
        <f t="shared" si="0"/>
        <v>14</v>
      </c>
      <c r="BM4" s="149">
        <f t="shared" si="0"/>
        <v>14.25</v>
      </c>
      <c r="BN4" s="149">
        <f t="shared" si="0"/>
        <v>14.5</v>
      </c>
    </row>
    <row r="5" spans="2:67">
      <c r="B5" s="146" t="s">
        <v>37</v>
      </c>
      <c r="C5" s="147" t="s">
        <v>337</v>
      </c>
      <c r="D5" s="147" t="s">
        <v>338</v>
      </c>
      <c r="E5" s="147" t="s">
        <v>0</v>
      </c>
      <c r="F5" s="147" t="s">
        <v>97</v>
      </c>
      <c r="G5" s="152"/>
      <c r="H5" s="148">
        <f>closingdate</f>
        <v>0</v>
      </c>
      <c r="I5" s="148">
        <f>EOMONTH(H5,3)</f>
        <v>121</v>
      </c>
      <c r="J5" s="148">
        <f t="shared" ref="J5:BN5" si="1">EOMONTH(I5,3)</f>
        <v>213</v>
      </c>
      <c r="K5" s="148">
        <f t="shared" si="1"/>
        <v>305</v>
      </c>
      <c r="L5" s="148">
        <f t="shared" si="1"/>
        <v>397</v>
      </c>
      <c r="M5" s="148">
        <f t="shared" si="1"/>
        <v>486</v>
      </c>
      <c r="N5" s="148">
        <f t="shared" si="1"/>
        <v>578</v>
      </c>
      <c r="O5" s="148">
        <f t="shared" si="1"/>
        <v>670</v>
      </c>
      <c r="P5" s="148">
        <f t="shared" si="1"/>
        <v>762</v>
      </c>
      <c r="Q5" s="148">
        <f t="shared" si="1"/>
        <v>851</v>
      </c>
      <c r="R5" s="148">
        <f t="shared" si="1"/>
        <v>943</v>
      </c>
      <c r="S5" s="148">
        <f t="shared" si="1"/>
        <v>1035</v>
      </c>
      <c r="T5" s="148">
        <f t="shared" si="1"/>
        <v>1127</v>
      </c>
      <c r="U5" s="148">
        <f t="shared" si="1"/>
        <v>1216</v>
      </c>
      <c r="V5" s="148">
        <f t="shared" si="1"/>
        <v>1308</v>
      </c>
      <c r="W5" s="148">
        <f t="shared" si="1"/>
        <v>1400</v>
      </c>
      <c r="X5" s="148">
        <f t="shared" si="1"/>
        <v>1492</v>
      </c>
      <c r="Y5" s="148">
        <f t="shared" si="1"/>
        <v>1582</v>
      </c>
      <c r="Z5" s="148">
        <f t="shared" si="1"/>
        <v>1674</v>
      </c>
      <c r="AA5" s="148">
        <f t="shared" si="1"/>
        <v>1766</v>
      </c>
      <c r="AB5" s="148">
        <f t="shared" si="1"/>
        <v>1858</v>
      </c>
      <c r="AC5" s="148">
        <f t="shared" si="1"/>
        <v>1947</v>
      </c>
      <c r="AD5" s="148">
        <f t="shared" si="1"/>
        <v>2039</v>
      </c>
      <c r="AE5" s="148">
        <f t="shared" si="1"/>
        <v>2131</v>
      </c>
      <c r="AF5" s="148">
        <f t="shared" si="1"/>
        <v>2223</v>
      </c>
      <c r="AG5" s="148">
        <f t="shared" si="1"/>
        <v>2312</v>
      </c>
      <c r="AH5" s="148">
        <f t="shared" si="1"/>
        <v>2404</v>
      </c>
      <c r="AI5" s="148">
        <f t="shared" si="1"/>
        <v>2496</v>
      </c>
      <c r="AJ5" s="148">
        <f t="shared" si="1"/>
        <v>2588</v>
      </c>
      <c r="AK5" s="148">
        <f t="shared" si="1"/>
        <v>2677</v>
      </c>
      <c r="AL5" s="148">
        <f t="shared" si="1"/>
        <v>2769</v>
      </c>
      <c r="AM5" s="148">
        <f t="shared" si="1"/>
        <v>2861</v>
      </c>
      <c r="AN5" s="148">
        <f t="shared" si="1"/>
        <v>2953</v>
      </c>
      <c r="AO5" s="148">
        <f t="shared" si="1"/>
        <v>3043</v>
      </c>
      <c r="AP5" s="148">
        <f t="shared" si="1"/>
        <v>3135</v>
      </c>
      <c r="AQ5" s="148">
        <f t="shared" si="1"/>
        <v>3227</v>
      </c>
      <c r="AR5" s="148">
        <f t="shared" si="1"/>
        <v>3319</v>
      </c>
      <c r="AS5" s="148">
        <f t="shared" si="1"/>
        <v>3408</v>
      </c>
      <c r="AT5" s="148">
        <f t="shared" si="1"/>
        <v>3500</v>
      </c>
      <c r="AU5" s="148">
        <f t="shared" si="1"/>
        <v>3592</v>
      </c>
      <c r="AV5" s="148">
        <f t="shared" si="1"/>
        <v>3684</v>
      </c>
      <c r="AW5" s="148">
        <f t="shared" si="1"/>
        <v>3773</v>
      </c>
      <c r="AX5" s="148">
        <f t="shared" si="1"/>
        <v>3865</v>
      </c>
      <c r="AY5" s="148">
        <f t="shared" si="1"/>
        <v>3957</v>
      </c>
      <c r="AZ5" s="148">
        <f t="shared" si="1"/>
        <v>4049</v>
      </c>
      <c r="BA5" s="148">
        <f t="shared" si="1"/>
        <v>4138</v>
      </c>
      <c r="BB5" s="148">
        <f t="shared" si="1"/>
        <v>4230</v>
      </c>
      <c r="BC5" s="148">
        <f t="shared" si="1"/>
        <v>4322</v>
      </c>
      <c r="BD5" s="148">
        <f t="shared" si="1"/>
        <v>4414</v>
      </c>
      <c r="BE5" s="148">
        <f t="shared" si="1"/>
        <v>4504</v>
      </c>
      <c r="BF5" s="148">
        <f t="shared" si="1"/>
        <v>4596</v>
      </c>
      <c r="BG5" s="148">
        <f t="shared" si="1"/>
        <v>4688</v>
      </c>
      <c r="BH5" s="148">
        <f t="shared" si="1"/>
        <v>4780</v>
      </c>
      <c r="BI5" s="148">
        <f t="shared" si="1"/>
        <v>4869</v>
      </c>
      <c r="BJ5" s="148">
        <f t="shared" si="1"/>
        <v>4961</v>
      </c>
      <c r="BK5" s="148">
        <f t="shared" si="1"/>
        <v>5053</v>
      </c>
      <c r="BL5" s="148">
        <f t="shared" si="1"/>
        <v>5145</v>
      </c>
      <c r="BM5" s="148">
        <f t="shared" si="1"/>
        <v>5234</v>
      </c>
      <c r="BN5" s="148">
        <f t="shared" si="1"/>
        <v>5326</v>
      </c>
    </row>
    <row r="6" spans="2:67">
      <c r="B6" s="144">
        <f>Portfolio!C16</f>
        <v>0</v>
      </c>
      <c r="C6" s="155" t="e">
        <f>INDEX(Portfolio!$H:$H,MATCH('Blended IRR_Calc Adjusted'!$B6,Portfolio!$C:$C,0))</f>
        <v>#N/A</v>
      </c>
      <c r="D6" s="155" t="s">
        <v>339</v>
      </c>
      <c r="E6" s="150" t="e">
        <f ca="1">SUM(H6:BN6)</f>
        <v>#REF!</v>
      </c>
      <c r="F6" s="468" t="e">
        <f ca="1">XIRR(H6:BM6,$H$5:$BM$5)</f>
        <v>#REF!</v>
      </c>
      <c r="G6" s="153"/>
      <c r="H6" s="160">
        <f ca="1">IFERROR(-INDEX('Pricing Table Adjusted'!$25:$25,MATCH('Blended IRR_Calc Adjusted'!$B6,'Pricing Table Adjusted'!$5:$5,0)),0)</f>
        <v>0</v>
      </c>
      <c r="I6" s="151" t="e">
        <f ca="1">SUMIFS(INDIRECT("'"&amp;$B6&amp;"'!$BM:$BM"),INDIRECT("'"&amp;$B6&amp;"'!$AL:$AL"),'Blended IRR_Calc Adjusted'!I$5)</f>
        <v>#REF!</v>
      </c>
      <c r="J6" s="151" t="e">
        <f ca="1">SUMIFS(INDIRECT("'"&amp;$B6&amp;"'!$BM:$BM"),INDIRECT("'"&amp;$B6&amp;"'!$AL:$AL"),'Blended IRR_Calc Adjusted'!J$5)</f>
        <v>#REF!</v>
      </c>
      <c r="K6" s="151" t="e">
        <f ca="1">SUMIFS(INDIRECT("'"&amp;$B6&amp;"'!$BM:$BM"),INDIRECT("'"&amp;$B6&amp;"'!$AL:$AL"),'Blended IRR_Calc Adjusted'!K$5)</f>
        <v>#REF!</v>
      </c>
      <c r="L6" s="151" t="e">
        <f ca="1">SUMIFS(INDIRECT("'"&amp;$B6&amp;"'!$BM:$BM"),INDIRECT("'"&amp;$B6&amp;"'!$AL:$AL"),'Blended IRR_Calc Adjusted'!L$5)</f>
        <v>#REF!</v>
      </c>
      <c r="M6" s="151" t="e">
        <f ca="1">SUMIFS(INDIRECT("'"&amp;$B6&amp;"'!$BM:$BM"),INDIRECT("'"&amp;$B6&amp;"'!$AL:$AL"),'Blended IRR_Calc Adjusted'!M$5)</f>
        <v>#REF!</v>
      </c>
      <c r="N6" s="151" t="e">
        <f ca="1">SUMIFS(INDIRECT("'"&amp;$B6&amp;"'!$BM:$BM"),INDIRECT("'"&amp;$B6&amp;"'!$AL:$AL"),'Blended IRR_Calc Adjusted'!N$5)</f>
        <v>#REF!</v>
      </c>
      <c r="O6" s="151" t="e">
        <f ca="1">SUMIFS(INDIRECT("'"&amp;$B6&amp;"'!$BM:$BM"),INDIRECT("'"&amp;$B6&amp;"'!$AL:$AL"),'Blended IRR_Calc Adjusted'!O$5)</f>
        <v>#REF!</v>
      </c>
      <c r="P6" s="151" t="e">
        <f ca="1">SUMIFS(INDIRECT("'"&amp;$B6&amp;"'!$BM:$BM"),INDIRECT("'"&amp;$B6&amp;"'!$AL:$AL"),'Blended IRR_Calc Adjusted'!P$5)</f>
        <v>#REF!</v>
      </c>
      <c r="Q6" s="151" t="e">
        <f ca="1">SUMIFS(INDIRECT("'"&amp;$B6&amp;"'!$BM:$BM"),INDIRECT("'"&amp;$B6&amp;"'!$AL:$AL"),'Blended IRR_Calc Adjusted'!Q$5)</f>
        <v>#REF!</v>
      </c>
      <c r="R6" s="151" t="e">
        <f ca="1">SUMIFS(INDIRECT("'"&amp;$B6&amp;"'!$BM:$BM"),INDIRECT("'"&amp;$B6&amp;"'!$AL:$AL"),'Blended IRR_Calc Adjusted'!R$5)</f>
        <v>#REF!</v>
      </c>
      <c r="S6" s="151" t="e">
        <f ca="1">SUMIFS(INDIRECT("'"&amp;$B6&amp;"'!$BM:$BM"),INDIRECT("'"&amp;$B6&amp;"'!$AL:$AL"),'Blended IRR_Calc Adjusted'!S$5)</f>
        <v>#REF!</v>
      </c>
      <c r="T6" s="151" t="e">
        <f ca="1">SUMIFS(INDIRECT("'"&amp;$B6&amp;"'!$BM:$BM"),INDIRECT("'"&amp;$B6&amp;"'!$AL:$AL"),'Blended IRR_Calc Adjusted'!T$5)</f>
        <v>#REF!</v>
      </c>
      <c r="U6" s="151" t="e">
        <f ca="1">SUMIFS(INDIRECT("'"&amp;$B6&amp;"'!$BM:$BM"),INDIRECT("'"&amp;$B6&amp;"'!$AL:$AL"),'Blended IRR_Calc Adjusted'!U$5)</f>
        <v>#REF!</v>
      </c>
      <c r="V6" s="151" t="e">
        <f ca="1">SUMIFS(INDIRECT("'"&amp;$B6&amp;"'!$BM:$BM"),INDIRECT("'"&amp;$B6&amp;"'!$AL:$AL"),'Blended IRR_Calc Adjusted'!V$5)</f>
        <v>#REF!</v>
      </c>
      <c r="W6" s="151" t="e">
        <f ca="1">SUMIFS(INDIRECT("'"&amp;$B6&amp;"'!$BM:$BM"),INDIRECT("'"&amp;$B6&amp;"'!$AL:$AL"),'Blended IRR_Calc Adjusted'!W$5)</f>
        <v>#REF!</v>
      </c>
      <c r="X6" s="151" t="e">
        <f ca="1">SUMIFS(INDIRECT("'"&amp;$B6&amp;"'!$BM:$BM"),INDIRECT("'"&amp;$B6&amp;"'!$AL:$AL"),'Blended IRR_Calc Adjusted'!X$5)</f>
        <v>#REF!</v>
      </c>
      <c r="Y6" s="151" t="e">
        <f ca="1">SUMIFS(INDIRECT("'"&amp;$B6&amp;"'!$BM:$BM"),INDIRECT("'"&amp;$B6&amp;"'!$AL:$AL"),'Blended IRR_Calc Adjusted'!Y$5)</f>
        <v>#REF!</v>
      </c>
      <c r="Z6" s="151" t="e">
        <f ca="1">SUMIFS(INDIRECT("'"&amp;$B6&amp;"'!$BM:$BM"),INDIRECT("'"&amp;$B6&amp;"'!$AL:$AL"),'Blended IRR_Calc Adjusted'!Z$5)</f>
        <v>#REF!</v>
      </c>
      <c r="AA6" s="151" t="e">
        <f ca="1">SUMIFS(INDIRECT("'"&amp;$B6&amp;"'!$BM:$BM"),INDIRECT("'"&amp;$B6&amp;"'!$AL:$AL"),'Blended IRR_Calc Adjusted'!AA$5)</f>
        <v>#REF!</v>
      </c>
      <c r="AB6" s="151" t="e">
        <f ca="1">SUMIFS(INDIRECT("'"&amp;$B6&amp;"'!$BM:$BM"),INDIRECT("'"&amp;$B6&amp;"'!$AL:$AL"),'Blended IRR_Calc Adjusted'!AB$5)</f>
        <v>#REF!</v>
      </c>
      <c r="AC6" s="151" t="e">
        <f ca="1">SUMIFS(INDIRECT("'"&amp;$B6&amp;"'!$BM:$BM"),INDIRECT("'"&amp;$B6&amp;"'!$AL:$AL"),'Blended IRR_Calc Adjusted'!AC$5)</f>
        <v>#REF!</v>
      </c>
      <c r="AD6" s="151" t="e">
        <f ca="1">SUMIFS(INDIRECT("'"&amp;$B6&amp;"'!$BM:$BM"),INDIRECT("'"&amp;$B6&amp;"'!$AL:$AL"),'Blended IRR_Calc Adjusted'!AD$5)</f>
        <v>#REF!</v>
      </c>
      <c r="AE6" s="151" t="e">
        <f ca="1">SUMIFS(INDIRECT("'"&amp;$B6&amp;"'!$BM:$BM"),INDIRECT("'"&amp;$B6&amp;"'!$AL:$AL"),'Blended IRR_Calc Adjusted'!AE$5)</f>
        <v>#REF!</v>
      </c>
      <c r="AF6" s="151" t="e">
        <f ca="1">SUMIFS(INDIRECT("'"&amp;$B6&amp;"'!$BM:$BM"),INDIRECT("'"&amp;$B6&amp;"'!$AL:$AL"),'Blended IRR_Calc Adjusted'!AF$5)</f>
        <v>#REF!</v>
      </c>
      <c r="AG6" s="151" t="e">
        <f ca="1">SUMIFS(INDIRECT("'"&amp;$B6&amp;"'!$BM:$BM"),INDIRECT("'"&amp;$B6&amp;"'!$AL:$AL"),'Blended IRR_Calc Adjusted'!AG$5)</f>
        <v>#REF!</v>
      </c>
      <c r="AH6" s="151" t="e">
        <f ca="1">SUMIFS(INDIRECT("'"&amp;$B6&amp;"'!$BM:$BM"),INDIRECT("'"&amp;$B6&amp;"'!$AL:$AL"),'Blended IRR_Calc Adjusted'!AH$5)</f>
        <v>#REF!</v>
      </c>
      <c r="AI6" s="151" t="e">
        <f ca="1">SUMIFS(INDIRECT("'"&amp;$B6&amp;"'!$BM:$BM"),INDIRECT("'"&amp;$B6&amp;"'!$AL:$AL"),'Blended IRR_Calc Adjusted'!AI$5)</f>
        <v>#REF!</v>
      </c>
      <c r="AJ6" s="151" t="e">
        <f ca="1">SUMIFS(INDIRECT("'"&amp;$B6&amp;"'!$BM:$BM"),INDIRECT("'"&amp;$B6&amp;"'!$AL:$AL"),'Blended IRR_Calc Adjusted'!AJ$5)</f>
        <v>#REF!</v>
      </c>
      <c r="AK6" s="151" t="e">
        <f ca="1">SUMIFS(INDIRECT("'"&amp;$B6&amp;"'!$BM:$BM"),INDIRECT("'"&amp;$B6&amp;"'!$AL:$AL"),'Blended IRR_Calc Adjusted'!AK$5)</f>
        <v>#REF!</v>
      </c>
      <c r="AL6" s="151" t="e">
        <f ca="1">SUMIFS(INDIRECT("'"&amp;$B6&amp;"'!$BM:$BM"),INDIRECT("'"&amp;$B6&amp;"'!$AL:$AL"),'Blended IRR_Calc Adjusted'!AL$5)</f>
        <v>#REF!</v>
      </c>
      <c r="AM6" s="151" t="e">
        <f ca="1">SUMIFS(INDIRECT("'"&amp;$B6&amp;"'!$BM:$BM"),INDIRECT("'"&amp;$B6&amp;"'!$AL:$AL"),'Blended IRR_Calc Adjusted'!AM$5)</f>
        <v>#REF!</v>
      </c>
      <c r="AN6" s="151" t="e">
        <f ca="1">SUMIFS(INDIRECT("'"&amp;$B6&amp;"'!$BM:$BM"),INDIRECT("'"&amp;$B6&amp;"'!$AL:$AL"),'Blended IRR_Calc Adjusted'!AN$5)</f>
        <v>#REF!</v>
      </c>
      <c r="AO6" s="151" t="e">
        <f ca="1">SUMIFS(INDIRECT("'"&amp;$B6&amp;"'!$BM:$BM"),INDIRECT("'"&amp;$B6&amp;"'!$AL:$AL"),'Blended IRR_Calc Adjusted'!AO$5)</f>
        <v>#REF!</v>
      </c>
      <c r="AP6" s="151" t="e">
        <f ca="1">SUMIFS(INDIRECT("'"&amp;$B6&amp;"'!$BM:$BM"),INDIRECT("'"&amp;$B6&amp;"'!$AL:$AL"),'Blended IRR_Calc Adjusted'!AP$5)</f>
        <v>#REF!</v>
      </c>
      <c r="AQ6" s="151" t="e">
        <f ca="1">SUMIFS(INDIRECT("'"&amp;$B6&amp;"'!$BM:$BM"),INDIRECT("'"&amp;$B6&amp;"'!$AL:$AL"),'Blended IRR_Calc Adjusted'!AQ$5)</f>
        <v>#REF!</v>
      </c>
      <c r="AR6" s="151" t="e">
        <f ca="1">SUMIFS(INDIRECT("'"&amp;$B6&amp;"'!$BM:$BM"),INDIRECT("'"&amp;$B6&amp;"'!$AL:$AL"),'Blended IRR_Calc Adjusted'!AR$5)</f>
        <v>#REF!</v>
      </c>
      <c r="AS6" s="151" t="e">
        <f ca="1">SUMIFS(INDIRECT("'"&amp;$B6&amp;"'!$BM:$BM"),INDIRECT("'"&amp;$B6&amp;"'!$AL:$AL"),'Blended IRR_Calc Adjusted'!AS$5)</f>
        <v>#REF!</v>
      </c>
      <c r="AT6" s="151" t="e">
        <f ca="1">SUMIFS(INDIRECT("'"&amp;$B6&amp;"'!$BM:$BM"),INDIRECT("'"&amp;$B6&amp;"'!$AL:$AL"),'Blended IRR_Calc Adjusted'!AT$5)</f>
        <v>#REF!</v>
      </c>
      <c r="AU6" s="151" t="e">
        <f ca="1">SUMIFS(INDIRECT("'"&amp;$B6&amp;"'!$BM:$BM"),INDIRECT("'"&amp;$B6&amp;"'!$AL:$AL"),'Blended IRR_Calc Adjusted'!AU$5)</f>
        <v>#REF!</v>
      </c>
      <c r="AV6" s="151" t="e">
        <f ca="1">SUMIFS(INDIRECT("'"&amp;$B6&amp;"'!$BM:$BM"),INDIRECT("'"&amp;$B6&amp;"'!$AL:$AL"),'Blended IRR_Calc Adjusted'!AV$5)</f>
        <v>#REF!</v>
      </c>
      <c r="AW6" s="151" t="e">
        <f ca="1">SUMIFS(INDIRECT("'"&amp;$B6&amp;"'!$BM:$BM"),INDIRECT("'"&amp;$B6&amp;"'!$AL:$AL"),'Blended IRR_Calc Adjusted'!AW$5)</f>
        <v>#REF!</v>
      </c>
      <c r="AX6" s="151" t="e">
        <f ca="1">SUMIFS(INDIRECT("'"&amp;$B6&amp;"'!$BM:$BM"),INDIRECT("'"&amp;$B6&amp;"'!$AL:$AL"),'Blended IRR_Calc Adjusted'!AX$5)</f>
        <v>#REF!</v>
      </c>
      <c r="AY6" s="151" t="e">
        <f ca="1">SUMIFS(INDIRECT("'"&amp;$B6&amp;"'!$BM:$BM"),INDIRECT("'"&amp;$B6&amp;"'!$AL:$AL"),'Blended IRR_Calc Adjusted'!AY$5)</f>
        <v>#REF!</v>
      </c>
      <c r="AZ6" s="151" t="e">
        <f ca="1">SUMIFS(INDIRECT("'"&amp;$B6&amp;"'!$BM:$BM"),INDIRECT("'"&amp;$B6&amp;"'!$AL:$AL"),'Blended IRR_Calc Adjusted'!AZ$5)</f>
        <v>#REF!</v>
      </c>
      <c r="BA6" s="151" t="e">
        <f ca="1">SUMIFS(INDIRECT("'"&amp;$B6&amp;"'!$BM:$BM"),INDIRECT("'"&amp;$B6&amp;"'!$AL:$AL"),'Blended IRR_Calc Adjusted'!BA$5)</f>
        <v>#REF!</v>
      </c>
      <c r="BB6" s="151" t="e">
        <f ca="1">SUMIFS(INDIRECT("'"&amp;$B6&amp;"'!$BM:$BM"),INDIRECT("'"&amp;$B6&amp;"'!$AL:$AL"),'Blended IRR_Calc Adjusted'!BB$5)</f>
        <v>#REF!</v>
      </c>
      <c r="BC6" s="151" t="e">
        <f ca="1">SUMIFS(INDIRECT("'"&amp;$B6&amp;"'!$BM:$BM"),INDIRECT("'"&amp;$B6&amp;"'!$AL:$AL"),'Blended IRR_Calc Adjusted'!BC$5)</f>
        <v>#REF!</v>
      </c>
      <c r="BD6" s="151" t="e">
        <f ca="1">SUMIFS(INDIRECT("'"&amp;$B6&amp;"'!$BM:$BM"),INDIRECT("'"&amp;$B6&amp;"'!$AL:$AL"),'Blended IRR_Calc Adjusted'!BD$5)</f>
        <v>#REF!</v>
      </c>
      <c r="BE6" s="151" t="e">
        <f ca="1">SUMIFS(INDIRECT("'"&amp;$B6&amp;"'!$BM:$BM"),INDIRECT("'"&amp;$B6&amp;"'!$AL:$AL"),'Blended IRR_Calc Adjusted'!BE$5)</f>
        <v>#REF!</v>
      </c>
      <c r="BF6" s="151" t="e">
        <f ca="1">SUMIFS(INDIRECT("'"&amp;$B6&amp;"'!$BM:$BM"),INDIRECT("'"&amp;$B6&amp;"'!$AL:$AL"),'Blended IRR_Calc Adjusted'!BF$5)</f>
        <v>#REF!</v>
      </c>
      <c r="BG6" s="151" t="e">
        <f ca="1">SUMIFS(INDIRECT("'"&amp;$B6&amp;"'!$BM:$BM"),INDIRECT("'"&amp;$B6&amp;"'!$AL:$AL"),'Blended IRR_Calc Adjusted'!BG$5)</f>
        <v>#REF!</v>
      </c>
      <c r="BH6" s="151" t="e">
        <f ca="1">SUMIFS(INDIRECT("'"&amp;$B6&amp;"'!$BM:$BM"),INDIRECT("'"&amp;$B6&amp;"'!$AL:$AL"),'Blended IRR_Calc Adjusted'!BH$5)</f>
        <v>#REF!</v>
      </c>
      <c r="BI6" s="151" t="e">
        <f ca="1">SUMIFS(INDIRECT("'"&amp;$B6&amp;"'!$BM:$BM"),INDIRECT("'"&amp;$B6&amp;"'!$AL:$AL"),'Blended IRR_Calc Adjusted'!BI$5)</f>
        <v>#REF!</v>
      </c>
      <c r="BJ6" s="151" t="e">
        <f ca="1">SUMIFS(INDIRECT("'"&amp;$B6&amp;"'!$BM:$BM"),INDIRECT("'"&amp;$B6&amp;"'!$AL:$AL"),'Blended IRR_Calc Adjusted'!BJ$5)</f>
        <v>#REF!</v>
      </c>
      <c r="BK6" s="151" t="e">
        <f ca="1">SUMIFS(INDIRECT("'"&amp;$B6&amp;"'!$BM:$BM"),INDIRECT("'"&amp;$B6&amp;"'!$AL:$AL"),'Blended IRR_Calc Adjusted'!BK$5)</f>
        <v>#REF!</v>
      </c>
      <c r="BL6" s="151" t="e">
        <f ca="1">SUMIFS(INDIRECT("'"&amp;$B6&amp;"'!$BM:$BM"),INDIRECT("'"&amp;$B6&amp;"'!$AL:$AL"),'Blended IRR_Calc Adjusted'!BL$5)</f>
        <v>#REF!</v>
      </c>
      <c r="BM6" s="151" t="e">
        <f ca="1">SUMIFS(INDIRECT("'"&amp;$B6&amp;"'!$BM:$BM"),INDIRECT("'"&amp;$B6&amp;"'!$AL:$AL"),'Blended IRR_Calc Adjusted'!BM$5)</f>
        <v>#REF!</v>
      </c>
      <c r="BN6" s="151" t="e">
        <f ca="1">SUMIFS(INDIRECT("'"&amp;$B6&amp;"'!$BM:$BM"),INDIRECT("'"&amp;$B6&amp;"'!$AL:$AL"),'Blended IRR_Calc Adjusted'!BN$5)</f>
        <v>#REF!</v>
      </c>
      <c r="BO6" s="151"/>
    </row>
    <row r="7" spans="2:67" ht="16" thickBot="1">
      <c r="B7" s="144">
        <f>Portfolio!C17</f>
        <v>0</v>
      </c>
      <c r="C7" s="155" t="e">
        <f>INDEX(Portfolio!$H:$H,MATCH('Blended IRR_Calc Adjusted'!$B7,Portfolio!$C:$C,0))</f>
        <v>#N/A</v>
      </c>
      <c r="D7" s="155" t="s">
        <v>339</v>
      </c>
      <c r="E7" s="150" t="e">
        <f ca="1">SUM(H7:BN7)</f>
        <v>#REF!</v>
      </c>
      <c r="F7" s="468" t="e">
        <f ca="1">XIRR(H7:BM7,$H$5:$BM$5)</f>
        <v>#REF!</v>
      </c>
      <c r="G7" s="153"/>
      <c r="H7" s="160">
        <f ca="1">IFERROR(-INDEX('Pricing Table Adjusted'!$25:$25,MATCH('Blended IRR_Calc Adjusted'!$B7,'Pricing Table Adjusted'!$5:$5,0)),0)</f>
        <v>0</v>
      </c>
      <c r="I7" s="151" t="e">
        <f ca="1">SUMIFS(INDIRECT("'"&amp;$B7&amp;"'!$BM:$BM"),INDIRECT("'"&amp;$B7&amp;"'!$AL:$AL"),'Blended IRR_Calc Adjusted'!I$5)</f>
        <v>#REF!</v>
      </c>
      <c r="J7" s="151" t="e">
        <f ca="1">SUMIFS(INDIRECT("'"&amp;$B7&amp;"'!$BM:$BM"),INDIRECT("'"&amp;$B7&amp;"'!$AL:$AL"),'Blended IRR_Calc Adjusted'!J$5)</f>
        <v>#REF!</v>
      </c>
      <c r="K7" s="151" t="e">
        <f ca="1">SUMIFS(INDIRECT("'"&amp;$B7&amp;"'!$BM:$BM"),INDIRECT("'"&amp;$B7&amp;"'!$AL:$AL"),'Blended IRR_Calc Adjusted'!K$5)</f>
        <v>#REF!</v>
      </c>
      <c r="L7" s="151" t="e">
        <f ca="1">SUMIFS(INDIRECT("'"&amp;$B7&amp;"'!$BM:$BM"),INDIRECT("'"&amp;$B7&amp;"'!$AL:$AL"),'Blended IRR_Calc Adjusted'!L$5)</f>
        <v>#REF!</v>
      </c>
      <c r="M7" s="151" t="e">
        <f ca="1">SUMIFS(INDIRECT("'"&amp;$B7&amp;"'!$BM:$BM"),INDIRECT("'"&amp;$B7&amp;"'!$AL:$AL"),'Blended IRR_Calc Adjusted'!M$5)</f>
        <v>#REF!</v>
      </c>
      <c r="N7" s="151" t="e">
        <f ca="1">SUMIFS(INDIRECT("'"&amp;$B7&amp;"'!$BM:$BM"),INDIRECT("'"&amp;$B7&amp;"'!$AL:$AL"),'Blended IRR_Calc Adjusted'!N$5)</f>
        <v>#REF!</v>
      </c>
      <c r="O7" s="151" t="e">
        <f ca="1">SUMIFS(INDIRECT("'"&amp;$B7&amp;"'!$BM:$BM"),INDIRECT("'"&amp;$B7&amp;"'!$AL:$AL"),'Blended IRR_Calc Adjusted'!O$5)</f>
        <v>#REF!</v>
      </c>
      <c r="P7" s="151" t="e">
        <f ca="1">SUMIFS(INDIRECT("'"&amp;$B7&amp;"'!$BM:$BM"),INDIRECT("'"&amp;$B7&amp;"'!$AL:$AL"),'Blended IRR_Calc Adjusted'!P$5)</f>
        <v>#REF!</v>
      </c>
      <c r="Q7" s="151" t="e">
        <f ca="1">SUMIFS(INDIRECT("'"&amp;$B7&amp;"'!$BM:$BM"),INDIRECT("'"&amp;$B7&amp;"'!$AL:$AL"),'Blended IRR_Calc Adjusted'!Q$5)</f>
        <v>#REF!</v>
      </c>
      <c r="R7" s="151" t="e">
        <f ca="1">SUMIFS(INDIRECT("'"&amp;$B7&amp;"'!$BM:$BM"),INDIRECT("'"&amp;$B7&amp;"'!$AL:$AL"),'Blended IRR_Calc Adjusted'!R$5)</f>
        <v>#REF!</v>
      </c>
      <c r="S7" s="151" t="e">
        <f ca="1">SUMIFS(INDIRECT("'"&amp;$B7&amp;"'!$BM:$BM"),INDIRECT("'"&amp;$B7&amp;"'!$AL:$AL"),'Blended IRR_Calc Adjusted'!S$5)</f>
        <v>#REF!</v>
      </c>
      <c r="T7" s="151" t="e">
        <f ca="1">SUMIFS(INDIRECT("'"&amp;$B7&amp;"'!$BM:$BM"),INDIRECT("'"&amp;$B7&amp;"'!$AL:$AL"),'Blended IRR_Calc Adjusted'!T$5)</f>
        <v>#REF!</v>
      </c>
      <c r="U7" s="151" t="e">
        <f ca="1">SUMIFS(INDIRECT("'"&amp;$B7&amp;"'!$BM:$BM"),INDIRECT("'"&amp;$B7&amp;"'!$AL:$AL"),'Blended IRR_Calc Adjusted'!U$5)</f>
        <v>#REF!</v>
      </c>
      <c r="V7" s="151" t="e">
        <f ca="1">SUMIFS(INDIRECT("'"&amp;$B7&amp;"'!$BM:$BM"),INDIRECT("'"&amp;$B7&amp;"'!$AL:$AL"),'Blended IRR_Calc Adjusted'!V$5)</f>
        <v>#REF!</v>
      </c>
      <c r="W7" s="151" t="e">
        <f ca="1">SUMIFS(INDIRECT("'"&amp;$B7&amp;"'!$BM:$BM"),INDIRECT("'"&amp;$B7&amp;"'!$AL:$AL"),'Blended IRR_Calc Adjusted'!W$5)</f>
        <v>#REF!</v>
      </c>
      <c r="X7" s="151" t="e">
        <f ca="1">SUMIFS(INDIRECT("'"&amp;$B7&amp;"'!$BM:$BM"),INDIRECT("'"&amp;$B7&amp;"'!$AL:$AL"),'Blended IRR_Calc Adjusted'!X$5)</f>
        <v>#REF!</v>
      </c>
      <c r="Y7" s="151" t="e">
        <f ca="1">SUMIFS(INDIRECT("'"&amp;$B7&amp;"'!$BM:$BM"),INDIRECT("'"&amp;$B7&amp;"'!$AL:$AL"),'Blended IRR_Calc Adjusted'!Y$5)</f>
        <v>#REF!</v>
      </c>
      <c r="Z7" s="151" t="e">
        <f ca="1">SUMIFS(INDIRECT("'"&amp;$B7&amp;"'!$BM:$BM"),INDIRECT("'"&amp;$B7&amp;"'!$AL:$AL"),'Blended IRR_Calc Adjusted'!Z$5)</f>
        <v>#REF!</v>
      </c>
      <c r="AA7" s="151" t="e">
        <f ca="1">SUMIFS(INDIRECT("'"&amp;$B7&amp;"'!$BM:$BM"),INDIRECT("'"&amp;$B7&amp;"'!$AL:$AL"),'Blended IRR_Calc Adjusted'!AA$5)</f>
        <v>#REF!</v>
      </c>
      <c r="AB7" s="151" t="e">
        <f ca="1">SUMIFS(INDIRECT("'"&amp;$B7&amp;"'!$BM:$BM"),INDIRECT("'"&amp;$B7&amp;"'!$AL:$AL"),'Blended IRR_Calc Adjusted'!AB$5)</f>
        <v>#REF!</v>
      </c>
      <c r="AC7" s="151" t="e">
        <f ca="1">SUMIFS(INDIRECT("'"&amp;$B7&amp;"'!$BM:$BM"),INDIRECT("'"&amp;$B7&amp;"'!$AL:$AL"),'Blended IRR_Calc Adjusted'!AC$5)</f>
        <v>#REF!</v>
      </c>
      <c r="AD7" s="151" t="e">
        <f ca="1">SUMIFS(INDIRECT("'"&amp;$B7&amp;"'!$BM:$BM"),INDIRECT("'"&amp;$B7&amp;"'!$AL:$AL"),'Blended IRR_Calc Adjusted'!AD$5)</f>
        <v>#REF!</v>
      </c>
      <c r="AE7" s="151" t="e">
        <f ca="1">SUMIFS(INDIRECT("'"&amp;$B7&amp;"'!$BM:$BM"),INDIRECT("'"&amp;$B7&amp;"'!$AL:$AL"),'Blended IRR_Calc Adjusted'!AE$5)</f>
        <v>#REF!</v>
      </c>
      <c r="AF7" s="151" t="e">
        <f ca="1">SUMIFS(INDIRECT("'"&amp;$B7&amp;"'!$BM:$BM"),INDIRECT("'"&amp;$B7&amp;"'!$AL:$AL"),'Blended IRR_Calc Adjusted'!AF$5)</f>
        <v>#REF!</v>
      </c>
      <c r="AG7" s="151" t="e">
        <f ca="1">SUMIFS(INDIRECT("'"&amp;$B7&amp;"'!$BM:$BM"),INDIRECT("'"&amp;$B7&amp;"'!$AL:$AL"),'Blended IRR_Calc Adjusted'!AG$5)</f>
        <v>#REF!</v>
      </c>
      <c r="AH7" s="151" t="e">
        <f ca="1">SUMIFS(INDIRECT("'"&amp;$B7&amp;"'!$BM:$BM"),INDIRECT("'"&amp;$B7&amp;"'!$AL:$AL"),'Blended IRR_Calc Adjusted'!AH$5)</f>
        <v>#REF!</v>
      </c>
      <c r="AI7" s="151" t="e">
        <f ca="1">SUMIFS(INDIRECT("'"&amp;$B7&amp;"'!$BM:$BM"),INDIRECT("'"&amp;$B7&amp;"'!$AL:$AL"),'Blended IRR_Calc Adjusted'!AI$5)</f>
        <v>#REF!</v>
      </c>
      <c r="AJ7" s="151" t="e">
        <f ca="1">SUMIFS(INDIRECT("'"&amp;$B7&amp;"'!$BM:$BM"),INDIRECT("'"&amp;$B7&amp;"'!$AL:$AL"),'Blended IRR_Calc Adjusted'!AJ$5)</f>
        <v>#REF!</v>
      </c>
      <c r="AK7" s="151" t="e">
        <f ca="1">SUMIFS(INDIRECT("'"&amp;$B7&amp;"'!$BM:$BM"),INDIRECT("'"&amp;$B7&amp;"'!$AL:$AL"),'Blended IRR_Calc Adjusted'!AK$5)</f>
        <v>#REF!</v>
      </c>
      <c r="AL7" s="151" t="e">
        <f ca="1">SUMIFS(INDIRECT("'"&amp;$B7&amp;"'!$BM:$BM"),INDIRECT("'"&amp;$B7&amp;"'!$AL:$AL"),'Blended IRR_Calc Adjusted'!AL$5)</f>
        <v>#REF!</v>
      </c>
      <c r="AM7" s="151" t="e">
        <f ca="1">SUMIFS(INDIRECT("'"&amp;$B7&amp;"'!$BM:$BM"),INDIRECT("'"&amp;$B7&amp;"'!$AL:$AL"),'Blended IRR_Calc Adjusted'!AM$5)</f>
        <v>#REF!</v>
      </c>
      <c r="AN7" s="151" t="e">
        <f ca="1">SUMIFS(INDIRECT("'"&amp;$B7&amp;"'!$BM:$BM"),INDIRECT("'"&amp;$B7&amp;"'!$AL:$AL"),'Blended IRR_Calc Adjusted'!AN$5)</f>
        <v>#REF!</v>
      </c>
      <c r="AO7" s="151" t="e">
        <f ca="1">SUMIFS(INDIRECT("'"&amp;$B7&amp;"'!$BM:$BM"),INDIRECT("'"&amp;$B7&amp;"'!$AL:$AL"),'Blended IRR_Calc Adjusted'!AO$5)</f>
        <v>#REF!</v>
      </c>
      <c r="AP7" s="151" t="e">
        <f ca="1">SUMIFS(INDIRECT("'"&amp;$B7&amp;"'!$BM:$BM"),INDIRECT("'"&amp;$B7&amp;"'!$AL:$AL"),'Blended IRR_Calc Adjusted'!AP$5)</f>
        <v>#REF!</v>
      </c>
      <c r="AQ7" s="151" t="e">
        <f ca="1">SUMIFS(INDIRECT("'"&amp;$B7&amp;"'!$BM:$BM"),INDIRECT("'"&amp;$B7&amp;"'!$AL:$AL"),'Blended IRR_Calc Adjusted'!AQ$5)</f>
        <v>#REF!</v>
      </c>
      <c r="AR7" s="151" t="e">
        <f ca="1">SUMIFS(INDIRECT("'"&amp;$B7&amp;"'!$BM:$BM"),INDIRECT("'"&amp;$B7&amp;"'!$AL:$AL"),'Blended IRR_Calc Adjusted'!AR$5)</f>
        <v>#REF!</v>
      </c>
      <c r="AS7" s="151" t="e">
        <f ca="1">SUMIFS(INDIRECT("'"&amp;$B7&amp;"'!$BM:$BM"),INDIRECT("'"&amp;$B7&amp;"'!$AL:$AL"),'Blended IRR_Calc Adjusted'!AS$5)</f>
        <v>#REF!</v>
      </c>
      <c r="AT7" s="151" t="e">
        <f ca="1">SUMIFS(INDIRECT("'"&amp;$B7&amp;"'!$BM:$BM"),INDIRECT("'"&amp;$B7&amp;"'!$AL:$AL"),'Blended IRR_Calc Adjusted'!AT$5)</f>
        <v>#REF!</v>
      </c>
      <c r="AU7" s="151" t="e">
        <f ca="1">SUMIFS(INDIRECT("'"&amp;$B7&amp;"'!$BM:$BM"),INDIRECT("'"&amp;$B7&amp;"'!$AL:$AL"),'Blended IRR_Calc Adjusted'!AU$5)</f>
        <v>#REF!</v>
      </c>
      <c r="AV7" s="151" t="e">
        <f ca="1">SUMIFS(INDIRECT("'"&amp;$B7&amp;"'!$BM:$BM"),INDIRECT("'"&amp;$B7&amp;"'!$AL:$AL"),'Blended IRR_Calc Adjusted'!AV$5)</f>
        <v>#REF!</v>
      </c>
      <c r="AW7" s="151" t="e">
        <f ca="1">SUMIFS(INDIRECT("'"&amp;$B7&amp;"'!$BM:$BM"),INDIRECT("'"&amp;$B7&amp;"'!$AL:$AL"),'Blended IRR_Calc Adjusted'!AW$5)</f>
        <v>#REF!</v>
      </c>
      <c r="AX7" s="151" t="e">
        <f ca="1">SUMIFS(INDIRECT("'"&amp;$B7&amp;"'!$BM:$BM"),INDIRECT("'"&amp;$B7&amp;"'!$AL:$AL"),'Blended IRR_Calc Adjusted'!AX$5)</f>
        <v>#REF!</v>
      </c>
      <c r="AY7" s="151" t="e">
        <f ca="1">SUMIFS(INDIRECT("'"&amp;$B7&amp;"'!$BM:$BM"),INDIRECT("'"&amp;$B7&amp;"'!$AL:$AL"),'Blended IRR_Calc Adjusted'!AY$5)</f>
        <v>#REF!</v>
      </c>
      <c r="AZ7" s="151" t="e">
        <f ca="1">SUMIFS(INDIRECT("'"&amp;$B7&amp;"'!$BM:$BM"),INDIRECT("'"&amp;$B7&amp;"'!$AL:$AL"),'Blended IRR_Calc Adjusted'!AZ$5)</f>
        <v>#REF!</v>
      </c>
      <c r="BA7" s="151" t="e">
        <f ca="1">SUMIFS(INDIRECT("'"&amp;$B7&amp;"'!$BM:$BM"),INDIRECT("'"&amp;$B7&amp;"'!$AL:$AL"),'Blended IRR_Calc Adjusted'!BA$5)</f>
        <v>#REF!</v>
      </c>
      <c r="BB7" s="151" t="e">
        <f ca="1">SUMIFS(INDIRECT("'"&amp;$B7&amp;"'!$BM:$BM"),INDIRECT("'"&amp;$B7&amp;"'!$AL:$AL"),'Blended IRR_Calc Adjusted'!BB$5)</f>
        <v>#REF!</v>
      </c>
      <c r="BC7" s="151" t="e">
        <f ca="1">SUMIFS(INDIRECT("'"&amp;$B7&amp;"'!$BM:$BM"),INDIRECT("'"&amp;$B7&amp;"'!$AL:$AL"),'Blended IRR_Calc Adjusted'!BC$5)</f>
        <v>#REF!</v>
      </c>
      <c r="BD7" s="151" t="e">
        <f ca="1">SUMIFS(INDIRECT("'"&amp;$B7&amp;"'!$BM:$BM"),INDIRECT("'"&amp;$B7&amp;"'!$AL:$AL"),'Blended IRR_Calc Adjusted'!BD$5)</f>
        <v>#REF!</v>
      </c>
      <c r="BE7" s="151" t="e">
        <f ca="1">SUMIFS(INDIRECT("'"&amp;$B7&amp;"'!$BM:$BM"),INDIRECT("'"&amp;$B7&amp;"'!$AL:$AL"),'Blended IRR_Calc Adjusted'!BE$5)</f>
        <v>#REF!</v>
      </c>
      <c r="BF7" s="151" t="e">
        <f ca="1">SUMIFS(INDIRECT("'"&amp;$B7&amp;"'!$BM:$BM"),INDIRECT("'"&amp;$B7&amp;"'!$AL:$AL"),'Blended IRR_Calc Adjusted'!BF$5)</f>
        <v>#REF!</v>
      </c>
      <c r="BG7" s="151" t="e">
        <f ca="1">SUMIFS(INDIRECT("'"&amp;$B7&amp;"'!$BM:$BM"),INDIRECT("'"&amp;$B7&amp;"'!$AL:$AL"),'Blended IRR_Calc Adjusted'!BG$5)</f>
        <v>#REF!</v>
      </c>
      <c r="BH7" s="151" t="e">
        <f ca="1">SUMIFS(INDIRECT("'"&amp;$B7&amp;"'!$BM:$BM"),INDIRECT("'"&amp;$B7&amp;"'!$AL:$AL"),'Blended IRR_Calc Adjusted'!BH$5)</f>
        <v>#REF!</v>
      </c>
      <c r="BI7" s="151" t="e">
        <f ca="1">SUMIFS(INDIRECT("'"&amp;$B7&amp;"'!$BM:$BM"),INDIRECT("'"&amp;$B7&amp;"'!$AL:$AL"),'Blended IRR_Calc Adjusted'!BI$5)</f>
        <v>#REF!</v>
      </c>
      <c r="BJ7" s="151" t="e">
        <f ca="1">SUMIFS(INDIRECT("'"&amp;$B7&amp;"'!$BM:$BM"),INDIRECT("'"&amp;$B7&amp;"'!$AL:$AL"),'Blended IRR_Calc Adjusted'!BJ$5)</f>
        <v>#REF!</v>
      </c>
      <c r="BK7" s="151" t="e">
        <f ca="1">SUMIFS(INDIRECT("'"&amp;$B7&amp;"'!$BM:$BM"),INDIRECT("'"&amp;$B7&amp;"'!$AL:$AL"),'Blended IRR_Calc Adjusted'!BK$5)</f>
        <v>#REF!</v>
      </c>
      <c r="BL7" s="151" t="e">
        <f ca="1">SUMIFS(INDIRECT("'"&amp;$B7&amp;"'!$BM:$BM"),INDIRECT("'"&amp;$B7&amp;"'!$AL:$AL"),'Blended IRR_Calc Adjusted'!BL$5)</f>
        <v>#REF!</v>
      </c>
      <c r="BM7" s="151" t="e">
        <f ca="1">SUMIFS(INDIRECT("'"&amp;$B7&amp;"'!$BM:$BM"),INDIRECT("'"&amp;$B7&amp;"'!$AL:$AL"),'Blended IRR_Calc Adjusted'!BM$5)</f>
        <v>#REF!</v>
      </c>
      <c r="BN7" s="151" t="e">
        <f ca="1">SUMIFS(INDIRECT("'"&amp;$B7&amp;"'!$BM:$BM"),INDIRECT("'"&amp;$B7&amp;"'!$AL:$AL"),'Blended IRR_Calc Adjusted'!BN$5)</f>
        <v>#REF!</v>
      </c>
      <c r="BO7" s="151"/>
    </row>
    <row r="8" spans="2:67" s="159" customFormat="1">
      <c r="B8" s="156" t="s">
        <v>332</v>
      </c>
      <c r="C8" s="157"/>
      <c r="D8" s="157"/>
      <c r="E8" s="158" t="e">
        <f ca="1">SUMPRODUCT(E6:E7,$C$6:$C$7)</f>
        <v>#REF!</v>
      </c>
      <c r="F8" s="158"/>
      <c r="G8" s="158"/>
      <c r="H8" s="158" t="e">
        <f ca="1">SUMPRODUCT(H6:H7,$C$6:$C$7)</f>
        <v>#N/A</v>
      </c>
      <c r="I8" s="158" t="e">
        <f t="shared" ref="I8:BN8" ca="1" si="2">SUMPRODUCT(I6:I7,$C$6:$C$7)</f>
        <v>#REF!</v>
      </c>
      <c r="J8" s="158" t="e">
        <f t="shared" ca="1" si="2"/>
        <v>#REF!</v>
      </c>
      <c r="K8" s="158" t="e">
        <f t="shared" ca="1" si="2"/>
        <v>#REF!</v>
      </c>
      <c r="L8" s="158" t="e">
        <f t="shared" ca="1" si="2"/>
        <v>#REF!</v>
      </c>
      <c r="M8" s="158" t="e">
        <f t="shared" ca="1" si="2"/>
        <v>#REF!</v>
      </c>
      <c r="N8" s="158" t="e">
        <f t="shared" ca="1" si="2"/>
        <v>#REF!</v>
      </c>
      <c r="O8" s="158" t="e">
        <f t="shared" ca="1" si="2"/>
        <v>#REF!</v>
      </c>
      <c r="P8" s="158" t="e">
        <f t="shared" ca="1" si="2"/>
        <v>#REF!</v>
      </c>
      <c r="Q8" s="158" t="e">
        <f t="shared" ca="1" si="2"/>
        <v>#REF!</v>
      </c>
      <c r="R8" s="158" t="e">
        <f t="shared" ca="1" si="2"/>
        <v>#REF!</v>
      </c>
      <c r="S8" s="158" t="e">
        <f t="shared" ca="1" si="2"/>
        <v>#REF!</v>
      </c>
      <c r="T8" s="158" t="e">
        <f t="shared" ca="1" si="2"/>
        <v>#REF!</v>
      </c>
      <c r="U8" s="158" t="e">
        <f t="shared" ca="1" si="2"/>
        <v>#REF!</v>
      </c>
      <c r="V8" s="158" t="e">
        <f t="shared" ca="1" si="2"/>
        <v>#REF!</v>
      </c>
      <c r="W8" s="158" t="e">
        <f t="shared" ca="1" si="2"/>
        <v>#REF!</v>
      </c>
      <c r="X8" s="158" t="e">
        <f t="shared" ca="1" si="2"/>
        <v>#REF!</v>
      </c>
      <c r="Y8" s="158" t="e">
        <f t="shared" ca="1" si="2"/>
        <v>#REF!</v>
      </c>
      <c r="Z8" s="158" t="e">
        <f t="shared" ca="1" si="2"/>
        <v>#REF!</v>
      </c>
      <c r="AA8" s="158" t="e">
        <f t="shared" ca="1" si="2"/>
        <v>#REF!</v>
      </c>
      <c r="AB8" s="158" t="e">
        <f t="shared" ca="1" si="2"/>
        <v>#REF!</v>
      </c>
      <c r="AC8" s="158" t="e">
        <f t="shared" ca="1" si="2"/>
        <v>#REF!</v>
      </c>
      <c r="AD8" s="158" t="e">
        <f t="shared" ca="1" si="2"/>
        <v>#REF!</v>
      </c>
      <c r="AE8" s="158" t="e">
        <f t="shared" ca="1" si="2"/>
        <v>#REF!</v>
      </c>
      <c r="AF8" s="158" t="e">
        <f t="shared" ca="1" si="2"/>
        <v>#REF!</v>
      </c>
      <c r="AG8" s="158" t="e">
        <f t="shared" ca="1" si="2"/>
        <v>#REF!</v>
      </c>
      <c r="AH8" s="158" t="e">
        <f t="shared" ca="1" si="2"/>
        <v>#REF!</v>
      </c>
      <c r="AI8" s="158" t="e">
        <f t="shared" ca="1" si="2"/>
        <v>#REF!</v>
      </c>
      <c r="AJ8" s="158" t="e">
        <f t="shared" ca="1" si="2"/>
        <v>#REF!</v>
      </c>
      <c r="AK8" s="158" t="e">
        <f t="shared" ca="1" si="2"/>
        <v>#REF!</v>
      </c>
      <c r="AL8" s="158" t="e">
        <f t="shared" ca="1" si="2"/>
        <v>#REF!</v>
      </c>
      <c r="AM8" s="158" t="e">
        <f t="shared" ca="1" si="2"/>
        <v>#REF!</v>
      </c>
      <c r="AN8" s="158" t="e">
        <f t="shared" ca="1" si="2"/>
        <v>#REF!</v>
      </c>
      <c r="AO8" s="158" t="e">
        <f t="shared" ca="1" si="2"/>
        <v>#REF!</v>
      </c>
      <c r="AP8" s="158" t="e">
        <f t="shared" ca="1" si="2"/>
        <v>#REF!</v>
      </c>
      <c r="AQ8" s="158" t="e">
        <f t="shared" ca="1" si="2"/>
        <v>#REF!</v>
      </c>
      <c r="AR8" s="158" t="e">
        <f t="shared" ca="1" si="2"/>
        <v>#REF!</v>
      </c>
      <c r="AS8" s="158" t="e">
        <f t="shared" ca="1" si="2"/>
        <v>#REF!</v>
      </c>
      <c r="AT8" s="158" t="e">
        <f t="shared" ca="1" si="2"/>
        <v>#REF!</v>
      </c>
      <c r="AU8" s="158" t="e">
        <f t="shared" ca="1" si="2"/>
        <v>#REF!</v>
      </c>
      <c r="AV8" s="158" t="e">
        <f t="shared" ca="1" si="2"/>
        <v>#REF!</v>
      </c>
      <c r="AW8" s="158" t="e">
        <f t="shared" ca="1" si="2"/>
        <v>#REF!</v>
      </c>
      <c r="AX8" s="158" t="e">
        <f t="shared" ca="1" si="2"/>
        <v>#REF!</v>
      </c>
      <c r="AY8" s="158" t="e">
        <f t="shared" ca="1" si="2"/>
        <v>#REF!</v>
      </c>
      <c r="AZ8" s="158" t="e">
        <f t="shared" ca="1" si="2"/>
        <v>#REF!</v>
      </c>
      <c r="BA8" s="158" t="e">
        <f t="shared" ca="1" si="2"/>
        <v>#REF!</v>
      </c>
      <c r="BB8" s="158" t="e">
        <f t="shared" ca="1" si="2"/>
        <v>#REF!</v>
      </c>
      <c r="BC8" s="158" t="e">
        <f t="shared" ca="1" si="2"/>
        <v>#REF!</v>
      </c>
      <c r="BD8" s="158" t="e">
        <f t="shared" ca="1" si="2"/>
        <v>#REF!</v>
      </c>
      <c r="BE8" s="158" t="e">
        <f t="shared" ca="1" si="2"/>
        <v>#REF!</v>
      </c>
      <c r="BF8" s="158" t="e">
        <f t="shared" ca="1" si="2"/>
        <v>#REF!</v>
      </c>
      <c r="BG8" s="158" t="e">
        <f t="shared" ca="1" si="2"/>
        <v>#REF!</v>
      </c>
      <c r="BH8" s="158" t="e">
        <f t="shared" ca="1" si="2"/>
        <v>#REF!</v>
      </c>
      <c r="BI8" s="158" t="e">
        <f t="shared" ca="1" si="2"/>
        <v>#REF!</v>
      </c>
      <c r="BJ8" s="158" t="e">
        <f t="shared" ca="1" si="2"/>
        <v>#REF!</v>
      </c>
      <c r="BK8" s="158" t="e">
        <f t="shared" ca="1" si="2"/>
        <v>#REF!</v>
      </c>
      <c r="BL8" s="158" t="e">
        <f t="shared" ca="1" si="2"/>
        <v>#REF!</v>
      </c>
      <c r="BM8" s="158" t="e">
        <f t="shared" ca="1" si="2"/>
        <v>#REF!</v>
      </c>
      <c r="BN8" s="158" t="e">
        <f t="shared" ca="1" si="2"/>
        <v>#REF!</v>
      </c>
    </row>
    <row r="9" spans="2:67">
      <c r="B9" s="161" t="s">
        <v>333</v>
      </c>
      <c r="E9" s="526" t="e">
        <f ca="1">SUMPRODUCT(E6:E7,$D$6:$D$7)</f>
        <v>#REF!</v>
      </c>
      <c r="F9" s="153"/>
      <c r="G9" s="153"/>
      <c r="H9" s="517">
        <f ca="1">SUMPRODUCT(H6:H7,$D$6:$D$7)</f>
        <v>0</v>
      </c>
      <c r="I9" s="517" t="e">
        <f t="shared" ref="I9:BN9" ca="1" si="3">SUMPRODUCT(I6:I7,$D$6:$D$7)</f>
        <v>#REF!</v>
      </c>
      <c r="J9" s="517" t="e">
        <f t="shared" ca="1" si="3"/>
        <v>#REF!</v>
      </c>
      <c r="K9" s="517" t="e">
        <f t="shared" ca="1" si="3"/>
        <v>#REF!</v>
      </c>
      <c r="L9" s="517" t="e">
        <f t="shared" ca="1" si="3"/>
        <v>#REF!</v>
      </c>
      <c r="M9" s="517" t="e">
        <f t="shared" ca="1" si="3"/>
        <v>#REF!</v>
      </c>
      <c r="N9" s="517" t="e">
        <f t="shared" ca="1" si="3"/>
        <v>#REF!</v>
      </c>
      <c r="O9" s="517" t="e">
        <f t="shared" ca="1" si="3"/>
        <v>#REF!</v>
      </c>
      <c r="P9" s="517" t="e">
        <f t="shared" ca="1" si="3"/>
        <v>#REF!</v>
      </c>
      <c r="Q9" s="517" t="e">
        <f t="shared" ca="1" si="3"/>
        <v>#REF!</v>
      </c>
      <c r="R9" s="517" t="e">
        <f t="shared" ca="1" si="3"/>
        <v>#REF!</v>
      </c>
      <c r="S9" s="517" t="e">
        <f t="shared" ca="1" si="3"/>
        <v>#REF!</v>
      </c>
      <c r="T9" s="517" t="e">
        <f t="shared" ca="1" si="3"/>
        <v>#REF!</v>
      </c>
      <c r="U9" s="517" t="e">
        <f t="shared" ca="1" si="3"/>
        <v>#REF!</v>
      </c>
      <c r="V9" s="517" t="e">
        <f t="shared" ca="1" si="3"/>
        <v>#REF!</v>
      </c>
      <c r="W9" s="517" t="e">
        <f t="shared" ca="1" si="3"/>
        <v>#REF!</v>
      </c>
      <c r="X9" s="517" t="e">
        <f t="shared" ca="1" si="3"/>
        <v>#REF!</v>
      </c>
      <c r="Y9" s="517" t="e">
        <f t="shared" ca="1" si="3"/>
        <v>#REF!</v>
      </c>
      <c r="Z9" s="517" t="e">
        <f t="shared" ca="1" si="3"/>
        <v>#REF!</v>
      </c>
      <c r="AA9" s="517" t="e">
        <f t="shared" ca="1" si="3"/>
        <v>#REF!</v>
      </c>
      <c r="AB9" s="517" t="e">
        <f t="shared" ca="1" si="3"/>
        <v>#REF!</v>
      </c>
      <c r="AC9" s="517" t="e">
        <f t="shared" ca="1" si="3"/>
        <v>#REF!</v>
      </c>
      <c r="AD9" s="517" t="e">
        <f t="shared" ca="1" si="3"/>
        <v>#REF!</v>
      </c>
      <c r="AE9" s="517" t="e">
        <f t="shared" ca="1" si="3"/>
        <v>#REF!</v>
      </c>
      <c r="AF9" s="517" t="e">
        <f t="shared" ca="1" si="3"/>
        <v>#REF!</v>
      </c>
      <c r="AG9" s="517" t="e">
        <f t="shared" ca="1" si="3"/>
        <v>#REF!</v>
      </c>
      <c r="AH9" s="517" t="e">
        <f t="shared" ca="1" si="3"/>
        <v>#REF!</v>
      </c>
      <c r="AI9" s="517" t="e">
        <f t="shared" ca="1" si="3"/>
        <v>#REF!</v>
      </c>
      <c r="AJ9" s="517" t="e">
        <f t="shared" ca="1" si="3"/>
        <v>#REF!</v>
      </c>
      <c r="AK9" s="517" t="e">
        <f t="shared" ca="1" si="3"/>
        <v>#REF!</v>
      </c>
      <c r="AL9" s="517" t="e">
        <f t="shared" ca="1" si="3"/>
        <v>#REF!</v>
      </c>
      <c r="AM9" s="517" t="e">
        <f t="shared" ca="1" si="3"/>
        <v>#REF!</v>
      </c>
      <c r="AN9" s="517" t="e">
        <f t="shared" ca="1" si="3"/>
        <v>#REF!</v>
      </c>
      <c r="AO9" s="517" t="e">
        <f t="shared" ca="1" si="3"/>
        <v>#REF!</v>
      </c>
      <c r="AP9" s="517" t="e">
        <f t="shared" ca="1" si="3"/>
        <v>#REF!</v>
      </c>
      <c r="AQ9" s="517" t="e">
        <f t="shared" ca="1" si="3"/>
        <v>#REF!</v>
      </c>
      <c r="AR9" s="517" t="e">
        <f t="shared" ca="1" si="3"/>
        <v>#REF!</v>
      </c>
      <c r="AS9" s="517" t="e">
        <f t="shared" ca="1" si="3"/>
        <v>#REF!</v>
      </c>
      <c r="AT9" s="517" t="e">
        <f t="shared" ca="1" si="3"/>
        <v>#REF!</v>
      </c>
      <c r="AU9" s="517" t="e">
        <f t="shared" ca="1" si="3"/>
        <v>#REF!</v>
      </c>
      <c r="AV9" s="517" t="e">
        <f t="shared" ca="1" si="3"/>
        <v>#REF!</v>
      </c>
      <c r="AW9" s="517" t="e">
        <f t="shared" ca="1" si="3"/>
        <v>#REF!</v>
      </c>
      <c r="AX9" s="517" t="e">
        <f t="shared" ca="1" si="3"/>
        <v>#REF!</v>
      </c>
      <c r="AY9" s="517" t="e">
        <f t="shared" ca="1" si="3"/>
        <v>#REF!</v>
      </c>
      <c r="AZ9" s="517" t="e">
        <f t="shared" ca="1" si="3"/>
        <v>#REF!</v>
      </c>
      <c r="BA9" s="517" t="e">
        <f t="shared" ca="1" si="3"/>
        <v>#REF!</v>
      </c>
      <c r="BB9" s="517" t="e">
        <f t="shared" ca="1" si="3"/>
        <v>#REF!</v>
      </c>
      <c r="BC9" s="517" t="e">
        <f t="shared" ca="1" si="3"/>
        <v>#REF!</v>
      </c>
      <c r="BD9" s="517" t="e">
        <f t="shared" ca="1" si="3"/>
        <v>#REF!</v>
      </c>
      <c r="BE9" s="517" t="e">
        <f t="shared" ca="1" si="3"/>
        <v>#REF!</v>
      </c>
      <c r="BF9" s="517" t="e">
        <f t="shared" ca="1" si="3"/>
        <v>#REF!</v>
      </c>
      <c r="BG9" s="517" t="e">
        <f t="shared" ca="1" si="3"/>
        <v>#REF!</v>
      </c>
      <c r="BH9" s="517" t="e">
        <f t="shared" ca="1" si="3"/>
        <v>#REF!</v>
      </c>
      <c r="BI9" s="517" t="e">
        <f t="shared" ca="1" si="3"/>
        <v>#REF!</v>
      </c>
      <c r="BJ9" s="517" t="e">
        <f t="shared" ca="1" si="3"/>
        <v>#REF!</v>
      </c>
      <c r="BK9" s="517" t="e">
        <f t="shared" ca="1" si="3"/>
        <v>#REF!</v>
      </c>
      <c r="BL9" s="517" t="e">
        <f t="shared" ca="1" si="3"/>
        <v>#REF!</v>
      </c>
      <c r="BM9" s="517" t="e">
        <f t="shared" ca="1" si="3"/>
        <v>#REF!</v>
      </c>
      <c r="BN9" s="517" t="e">
        <f t="shared" ca="1" si="3"/>
        <v>#REF!</v>
      </c>
    </row>
    <row r="10" spans="2:67">
      <c r="B10" s="144"/>
      <c r="E10" s="153"/>
      <c r="F10" s="153"/>
      <c r="G10" s="153"/>
      <c r="H10" s="154"/>
    </row>
    <row r="11" spans="2:67">
      <c r="B11" s="161" t="s">
        <v>334</v>
      </c>
      <c r="E11" s="153"/>
      <c r="F11" s="153"/>
      <c r="G11" s="153"/>
      <c r="H11" s="154"/>
    </row>
    <row r="12" spans="2:67">
      <c r="B12" s="146" t="s">
        <v>37</v>
      </c>
      <c r="C12" s="147" t="s">
        <v>337</v>
      </c>
      <c r="D12" s="147" t="s">
        <v>338</v>
      </c>
      <c r="E12" s="147" t="s">
        <v>0</v>
      </c>
      <c r="F12" s="147" t="s">
        <v>331</v>
      </c>
      <c r="G12" s="153"/>
      <c r="H12" s="148">
        <f>closingdate</f>
        <v>0</v>
      </c>
      <c r="I12" s="148">
        <f>EOMONTH(H12,3)</f>
        <v>121</v>
      </c>
      <c r="J12" s="148">
        <f t="shared" ref="J12:AB12" si="4">EOMONTH(I12,3)</f>
        <v>213</v>
      </c>
      <c r="K12" s="148">
        <f t="shared" si="4"/>
        <v>305</v>
      </c>
      <c r="L12" s="148">
        <f t="shared" si="4"/>
        <v>397</v>
      </c>
      <c r="M12" s="148">
        <f t="shared" si="4"/>
        <v>486</v>
      </c>
      <c r="N12" s="148">
        <f t="shared" si="4"/>
        <v>578</v>
      </c>
      <c r="O12" s="148">
        <f t="shared" si="4"/>
        <v>670</v>
      </c>
      <c r="P12" s="148">
        <f t="shared" si="4"/>
        <v>762</v>
      </c>
      <c r="Q12" s="148">
        <f t="shared" si="4"/>
        <v>851</v>
      </c>
      <c r="R12" s="148">
        <f t="shared" si="4"/>
        <v>943</v>
      </c>
      <c r="S12" s="148">
        <f t="shared" si="4"/>
        <v>1035</v>
      </c>
      <c r="T12" s="148">
        <f t="shared" si="4"/>
        <v>1127</v>
      </c>
      <c r="U12" s="148">
        <f t="shared" si="4"/>
        <v>1216</v>
      </c>
      <c r="V12" s="148">
        <f t="shared" si="4"/>
        <v>1308</v>
      </c>
      <c r="W12" s="148">
        <f t="shared" si="4"/>
        <v>1400</v>
      </c>
      <c r="X12" s="148">
        <f t="shared" si="4"/>
        <v>1492</v>
      </c>
      <c r="Y12" s="148">
        <f t="shared" si="4"/>
        <v>1582</v>
      </c>
      <c r="Z12" s="148">
        <f t="shared" si="4"/>
        <v>1674</v>
      </c>
      <c r="AA12" s="148">
        <f t="shared" si="4"/>
        <v>1766</v>
      </c>
      <c r="AB12" s="148">
        <f t="shared" si="4"/>
        <v>1858</v>
      </c>
      <c r="AC12" s="148">
        <f t="shared" ref="AC12" si="5">EOMONTH(AB12,3)</f>
        <v>1947</v>
      </c>
      <c r="AD12" s="148">
        <f t="shared" ref="AD12" si="6">EOMONTH(AC12,3)</f>
        <v>2039</v>
      </c>
      <c r="AE12" s="148">
        <f t="shared" ref="AE12" si="7">EOMONTH(AD12,3)</f>
        <v>2131</v>
      </c>
      <c r="AF12" s="148">
        <f t="shared" ref="AF12" si="8">EOMONTH(AE12,3)</f>
        <v>2223</v>
      </c>
      <c r="AG12" s="148">
        <f t="shared" ref="AG12" si="9">EOMONTH(AF12,3)</f>
        <v>2312</v>
      </c>
      <c r="AH12" s="148">
        <f t="shared" ref="AH12" si="10">EOMONTH(AG12,3)</f>
        <v>2404</v>
      </c>
      <c r="AI12" s="148">
        <f t="shared" ref="AI12" si="11">EOMONTH(AH12,3)</f>
        <v>2496</v>
      </c>
      <c r="AJ12" s="148">
        <f t="shared" ref="AJ12" si="12">EOMONTH(AI12,3)</f>
        <v>2588</v>
      </c>
      <c r="AK12" s="148">
        <f t="shared" ref="AK12" si="13">EOMONTH(AJ12,3)</f>
        <v>2677</v>
      </c>
      <c r="AL12" s="148">
        <f t="shared" ref="AL12" si="14">EOMONTH(AK12,3)</f>
        <v>2769</v>
      </c>
      <c r="AM12" s="148">
        <f t="shared" ref="AM12" si="15">EOMONTH(AL12,3)</f>
        <v>2861</v>
      </c>
      <c r="AN12" s="148">
        <f t="shared" ref="AN12" si="16">EOMONTH(AM12,3)</f>
        <v>2953</v>
      </c>
      <c r="AO12" s="148">
        <f t="shared" ref="AO12" si="17">EOMONTH(AN12,3)</f>
        <v>3043</v>
      </c>
      <c r="AP12" s="148">
        <f t="shared" ref="AP12" si="18">EOMONTH(AO12,3)</f>
        <v>3135</v>
      </c>
      <c r="AQ12" s="148">
        <f t="shared" ref="AQ12" si="19">EOMONTH(AP12,3)</f>
        <v>3227</v>
      </c>
      <c r="AR12" s="148">
        <f t="shared" ref="AR12" si="20">EOMONTH(AQ12,3)</f>
        <v>3319</v>
      </c>
      <c r="AS12" s="148">
        <f t="shared" ref="AS12" si="21">EOMONTH(AR12,3)</f>
        <v>3408</v>
      </c>
      <c r="AT12" s="148">
        <f t="shared" ref="AT12" si="22">EOMONTH(AS12,3)</f>
        <v>3500</v>
      </c>
      <c r="AU12" s="148">
        <f t="shared" ref="AU12" si="23">EOMONTH(AT12,3)</f>
        <v>3592</v>
      </c>
      <c r="AV12" s="148">
        <f t="shared" ref="AV12" si="24">EOMONTH(AU12,3)</f>
        <v>3684</v>
      </c>
      <c r="AW12" s="148">
        <f t="shared" ref="AW12" si="25">EOMONTH(AV12,3)</f>
        <v>3773</v>
      </c>
      <c r="AX12" s="148">
        <f t="shared" ref="AX12" si="26">EOMONTH(AW12,3)</f>
        <v>3865</v>
      </c>
      <c r="AY12" s="148">
        <f t="shared" ref="AY12" si="27">EOMONTH(AX12,3)</f>
        <v>3957</v>
      </c>
      <c r="AZ12" s="148">
        <f t="shared" ref="AZ12" si="28">EOMONTH(AY12,3)</f>
        <v>4049</v>
      </c>
      <c r="BA12" s="148">
        <f t="shared" ref="BA12" si="29">EOMONTH(AZ12,3)</f>
        <v>4138</v>
      </c>
      <c r="BB12" s="148">
        <f t="shared" ref="BB12" si="30">EOMONTH(BA12,3)</f>
        <v>4230</v>
      </c>
      <c r="BC12" s="148">
        <f t="shared" ref="BC12" si="31">EOMONTH(BB12,3)</f>
        <v>4322</v>
      </c>
      <c r="BD12" s="148">
        <f t="shared" ref="BD12" si="32">EOMONTH(BC12,3)</f>
        <v>4414</v>
      </c>
      <c r="BE12" s="148">
        <f t="shared" ref="BE12" si="33">EOMONTH(BD12,3)</f>
        <v>4504</v>
      </c>
      <c r="BF12" s="148">
        <f t="shared" ref="BF12" si="34">EOMONTH(BE12,3)</f>
        <v>4596</v>
      </c>
      <c r="BG12" s="148">
        <f t="shared" ref="BG12" si="35">EOMONTH(BF12,3)</f>
        <v>4688</v>
      </c>
      <c r="BH12" s="148">
        <f t="shared" ref="BH12" si="36">EOMONTH(BG12,3)</f>
        <v>4780</v>
      </c>
      <c r="BI12" s="148">
        <f t="shared" ref="BI12" si="37">EOMONTH(BH12,3)</f>
        <v>4869</v>
      </c>
      <c r="BJ12" s="148">
        <f t="shared" ref="BJ12" si="38">EOMONTH(BI12,3)</f>
        <v>4961</v>
      </c>
      <c r="BK12" s="148">
        <f t="shared" ref="BK12" si="39">EOMONTH(BJ12,3)</f>
        <v>5053</v>
      </c>
      <c r="BL12" s="148">
        <f t="shared" ref="BL12" si="40">EOMONTH(BK12,3)</f>
        <v>5145</v>
      </c>
      <c r="BM12" s="148">
        <f t="shared" ref="BM12" si="41">EOMONTH(BL12,3)</f>
        <v>5234</v>
      </c>
      <c r="BN12" s="148">
        <f t="shared" ref="BN12" si="42">EOMONTH(BM12,3)</f>
        <v>5326</v>
      </c>
    </row>
    <row r="13" spans="2:67">
      <c r="B13" s="144">
        <f>Portfolio!C16</f>
        <v>0</v>
      </c>
      <c r="C13" s="155" t="e">
        <f>INDEX(Portfolio!$H:$H,MATCH('Blended IRR_Calc Adjusted'!$B13,Portfolio!$C:$C,0))</f>
        <v>#N/A</v>
      </c>
      <c r="D13" s="155" t="s">
        <v>339</v>
      </c>
      <c r="E13" s="150" t="e">
        <f ca="1">SUM(I13:BN13)</f>
        <v>#REF!</v>
      </c>
      <c r="F13" s="518" t="e" cm="1">
        <f t="array" aca="1" ref="F13" ca="1">-INDIRECT("'"&amp;$B13&amp;"'!$D37")-E13</f>
        <v>#REF!</v>
      </c>
      <c r="G13" s="153"/>
      <c r="H13" s="154">
        <f ca="1">-H6</f>
        <v>0</v>
      </c>
      <c r="I13" s="524" t="e" cm="1">
        <f t="array" aca="1" ref="I13" ca="1">-SUMIFS(INDIRECT("'"&amp;$B13&amp;"'!$AS:$AS"),INDIRECT("'"&amp;$B13&amp;"'!$AL:$AL"),'Blended IRR_Calc Adjusted'!I$5)*INDIRECT("'"&amp;$B13&amp;"'!$C8")</f>
        <v>#REF!</v>
      </c>
      <c r="J13" s="524" t="e" cm="1">
        <f t="array" aca="1" ref="J13" ca="1">-SUMIFS(INDIRECT("'"&amp;$B13&amp;"'!$AS:$AS"),INDIRECT("'"&amp;$B13&amp;"'!$AL:$AL"),'Blended IRR_Calc Adjusted'!J$5)*INDIRECT("'"&amp;$B13&amp;"'!$C8")</f>
        <v>#REF!</v>
      </c>
      <c r="K13" s="524" t="e" cm="1">
        <f t="array" aca="1" ref="K13" ca="1">-SUMIFS(INDIRECT("'"&amp;$B13&amp;"'!$AS:$AS"),INDIRECT("'"&amp;$B13&amp;"'!$AL:$AL"),'Blended IRR_Calc Adjusted'!K$5)*INDIRECT("'"&amp;$B13&amp;"'!$C8")</f>
        <v>#REF!</v>
      </c>
      <c r="L13" s="524" t="e" cm="1">
        <f t="array" aca="1" ref="L13" ca="1">-SUMIFS(INDIRECT("'"&amp;$B13&amp;"'!$AS:$AS"),INDIRECT("'"&amp;$B13&amp;"'!$AL:$AL"),'Blended IRR_Calc Adjusted'!L$5)*INDIRECT("'"&amp;$B13&amp;"'!$C8")</f>
        <v>#REF!</v>
      </c>
      <c r="M13" s="524" t="e" cm="1">
        <f t="array" aca="1" ref="M13" ca="1">-SUMIFS(INDIRECT("'"&amp;$B13&amp;"'!$AS:$AS"),INDIRECT("'"&amp;$B13&amp;"'!$AL:$AL"),'Blended IRR_Calc Adjusted'!M$5)*INDIRECT("'"&amp;$B13&amp;"'!$C8")</f>
        <v>#REF!</v>
      </c>
      <c r="N13" s="524" t="e" cm="1">
        <f t="array" aca="1" ref="N13" ca="1">-SUMIFS(INDIRECT("'"&amp;$B13&amp;"'!$AS:$AS"),INDIRECT("'"&amp;$B13&amp;"'!$AL:$AL"),'Blended IRR_Calc Adjusted'!N$5)*INDIRECT("'"&amp;$B13&amp;"'!$C8")</f>
        <v>#REF!</v>
      </c>
      <c r="O13" s="524" t="e" cm="1">
        <f t="array" aca="1" ref="O13" ca="1">-SUMIFS(INDIRECT("'"&amp;$B13&amp;"'!$AS:$AS"),INDIRECT("'"&amp;$B13&amp;"'!$AL:$AL"),'Blended IRR_Calc Adjusted'!O$5)*INDIRECT("'"&amp;$B13&amp;"'!$C8")</f>
        <v>#REF!</v>
      </c>
      <c r="P13" s="524" t="e" cm="1">
        <f t="array" aca="1" ref="P13" ca="1">-SUMIFS(INDIRECT("'"&amp;$B13&amp;"'!$AS:$AS"),INDIRECT("'"&amp;$B13&amp;"'!$AL:$AL"),'Blended IRR_Calc Adjusted'!P$5)*INDIRECT("'"&amp;$B13&amp;"'!$C8")</f>
        <v>#REF!</v>
      </c>
      <c r="Q13" s="524" t="e" cm="1">
        <f t="array" aca="1" ref="Q13" ca="1">-SUMIFS(INDIRECT("'"&amp;$B13&amp;"'!$AS:$AS"),INDIRECT("'"&amp;$B13&amp;"'!$AL:$AL"),'Blended IRR_Calc Adjusted'!Q$5)*INDIRECT("'"&amp;$B13&amp;"'!$C8")</f>
        <v>#REF!</v>
      </c>
      <c r="R13" s="524" t="e" cm="1">
        <f t="array" aca="1" ref="R13" ca="1">-SUMIFS(INDIRECT("'"&amp;$B13&amp;"'!$AS:$AS"),INDIRECT("'"&amp;$B13&amp;"'!$AL:$AL"),'Blended IRR_Calc Adjusted'!R$5)*INDIRECT("'"&amp;$B13&amp;"'!$C8")</f>
        <v>#REF!</v>
      </c>
      <c r="S13" s="524" t="e" cm="1">
        <f t="array" aca="1" ref="S13" ca="1">-SUMIFS(INDIRECT("'"&amp;$B13&amp;"'!$AS:$AS"),INDIRECT("'"&amp;$B13&amp;"'!$AL:$AL"),'Blended IRR_Calc Adjusted'!S$5)*INDIRECT("'"&amp;$B13&amp;"'!$C8")</f>
        <v>#REF!</v>
      </c>
      <c r="T13" s="524" t="e" cm="1">
        <f t="array" aca="1" ref="T13" ca="1">-SUMIFS(INDIRECT("'"&amp;$B13&amp;"'!$AS:$AS"),INDIRECT("'"&amp;$B13&amp;"'!$AL:$AL"),'Blended IRR_Calc Adjusted'!T$5)*INDIRECT("'"&amp;$B13&amp;"'!$C8")</f>
        <v>#REF!</v>
      </c>
      <c r="U13" s="524" t="e" cm="1">
        <f t="array" aca="1" ref="U13" ca="1">-SUMIFS(INDIRECT("'"&amp;$B13&amp;"'!$AS:$AS"),INDIRECT("'"&amp;$B13&amp;"'!$AL:$AL"),'Blended IRR_Calc Adjusted'!U$5)*INDIRECT("'"&amp;$B13&amp;"'!$C8")</f>
        <v>#REF!</v>
      </c>
      <c r="V13" s="524" t="e" cm="1">
        <f t="array" aca="1" ref="V13" ca="1">-SUMIFS(INDIRECT("'"&amp;$B13&amp;"'!$AS:$AS"),INDIRECT("'"&amp;$B13&amp;"'!$AL:$AL"),'Blended IRR_Calc Adjusted'!V$5)*INDIRECT("'"&amp;$B13&amp;"'!$C8")</f>
        <v>#REF!</v>
      </c>
      <c r="W13" s="524" t="e" cm="1">
        <f t="array" aca="1" ref="W13" ca="1">-SUMIFS(INDIRECT("'"&amp;$B13&amp;"'!$AS:$AS"),INDIRECT("'"&amp;$B13&amp;"'!$AL:$AL"),'Blended IRR_Calc Adjusted'!W$5)*INDIRECT("'"&amp;$B13&amp;"'!$C8")</f>
        <v>#REF!</v>
      </c>
      <c r="X13" s="524" t="e" cm="1">
        <f t="array" aca="1" ref="X13" ca="1">-SUMIFS(INDIRECT("'"&amp;$B13&amp;"'!$AS:$AS"),INDIRECT("'"&amp;$B13&amp;"'!$AL:$AL"),'Blended IRR_Calc Adjusted'!X$5)*INDIRECT("'"&amp;$B13&amp;"'!$C8")</f>
        <v>#REF!</v>
      </c>
      <c r="Y13" s="524" t="e" cm="1">
        <f t="array" aca="1" ref="Y13" ca="1">-SUMIFS(INDIRECT("'"&amp;$B13&amp;"'!$AS:$AS"),INDIRECT("'"&amp;$B13&amp;"'!$AL:$AL"),'Blended IRR_Calc Adjusted'!Y$5)*INDIRECT("'"&amp;$B13&amp;"'!$C8")</f>
        <v>#REF!</v>
      </c>
      <c r="Z13" s="524" t="e" cm="1">
        <f t="array" aca="1" ref="Z13" ca="1">-SUMIFS(INDIRECT("'"&amp;$B13&amp;"'!$AS:$AS"),INDIRECT("'"&amp;$B13&amp;"'!$AL:$AL"),'Blended IRR_Calc Adjusted'!Z$5)*INDIRECT("'"&amp;$B13&amp;"'!$C8")</f>
        <v>#REF!</v>
      </c>
      <c r="AA13" s="524" t="e" cm="1">
        <f t="array" aca="1" ref="AA13" ca="1">-SUMIFS(INDIRECT("'"&amp;$B13&amp;"'!$AS:$AS"),INDIRECT("'"&amp;$B13&amp;"'!$AL:$AL"),'Blended IRR_Calc Adjusted'!AA$5)*INDIRECT("'"&amp;$B13&amp;"'!$C8")</f>
        <v>#REF!</v>
      </c>
      <c r="AB13" s="524" t="e" cm="1">
        <f t="array" aca="1" ref="AB13" ca="1">-SUMIFS(INDIRECT("'"&amp;$B13&amp;"'!$AS:$AS"),INDIRECT("'"&amp;$B13&amp;"'!$AL:$AL"),'Blended IRR_Calc Adjusted'!AB$5)*INDIRECT("'"&amp;$B13&amp;"'!$C8")</f>
        <v>#REF!</v>
      </c>
      <c r="AC13" s="524" t="e" cm="1">
        <f t="array" aca="1" ref="AC13" ca="1">-SUMIFS(INDIRECT("'"&amp;$B13&amp;"'!$AS:$AS"),INDIRECT("'"&amp;$B13&amp;"'!$AL:$AL"),'Blended IRR_Calc Adjusted'!AC$5)*INDIRECT("'"&amp;$B13&amp;"'!$C8")</f>
        <v>#REF!</v>
      </c>
      <c r="AD13" s="524" t="e" cm="1">
        <f t="array" aca="1" ref="AD13" ca="1">-SUMIFS(INDIRECT("'"&amp;$B13&amp;"'!$AS:$AS"),INDIRECT("'"&amp;$B13&amp;"'!$AL:$AL"),'Blended IRR_Calc Adjusted'!AD$5)*INDIRECT("'"&amp;$B13&amp;"'!$C8")</f>
        <v>#REF!</v>
      </c>
      <c r="AE13" s="524" t="e" cm="1">
        <f t="array" aca="1" ref="AE13" ca="1">-SUMIFS(INDIRECT("'"&amp;$B13&amp;"'!$AS:$AS"),INDIRECT("'"&amp;$B13&amp;"'!$AL:$AL"),'Blended IRR_Calc Adjusted'!AE$5)*INDIRECT("'"&amp;$B13&amp;"'!$C8")</f>
        <v>#REF!</v>
      </c>
      <c r="AF13" s="524" t="e" cm="1">
        <f t="array" aca="1" ref="AF13" ca="1">-SUMIFS(INDIRECT("'"&amp;$B13&amp;"'!$AS:$AS"),INDIRECT("'"&amp;$B13&amp;"'!$AL:$AL"),'Blended IRR_Calc Adjusted'!AF$5)*INDIRECT("'"&amp;$B13&amp;"'!$C8")</f>
        <v>#REF!</v>
      </c>
      <c r="AG13" s="524" t="e" cm="1">
        <f t="array" aca="1" ref="AG13" ca="1">-SUMIFS(INDIRECT("'"&amp;$B13&amp;"'!$AS:$AS"),INDIRECT("'"&amp;$B13&amp;"'!$AL:$AL"),'Blended IRR_Calc Adjusted'!AG$5)*INDIRECT("'"&amp;$B13&amp;"'!$C8")</f>
        <v>#REF!</v>
      </c>
      <c r="AH13" s="524" t="e" cm="1">
        <f t="array" aca="1" ref="AH13" ca="1">-SUMIFS(INDIRECT("'"&amp;$B13&amp;"'!$AS:$AS"),INDIRECT("'"&amp;$B13&amp;"'!$AL:$AL"),'Blended IRR_Calc Adjusted'!AH$5)*INDIRECT("'"&amp;$B13&amp;"'!$C8")</f>
        <v>#REF!</v>
      </c>
      <c r="AI13" s="524" t="e" cm="1">
        <f t="array" aca="1" ref="AI13" ca="1">-SUMIFS(INDIRECT("'"&amp;$B13&amp;"'!$AS:$AS"),INDIRECT("'"&amp;$B13&amp;"'!$AL:$AL"),'Blended IRR_Calc Adjusted'!AI$5)*INDIRECT("'"&amp;$B13&amp;"'!$C8")</f>
        <v>#REF!</v>
      </c>
      <c r="AJ13" s="524" t="e" cm="1">
        <f t="array" aca="1" ref="AJ13" ca="1">-SUMIFS(INDIRECT("'"&amp;$B13&amp;"'!$AS:$AS"),INDIRECT("'"&amp;$B13&amp;"'!$AL:$AL"),'Blended IRR_Calc Adjusted'!AJ$5)*INDIRECT("'"&amp;$B13&amp;"'!$C8")</f>
        <v>#REF!</v>
      </c>
      <c r="AK13" s="524" t="e" cm="1">
        <f t="array" aca="1" ref="AK13" ca="1">-SUMIFS(INDIRECT("'"&amp;$B13&amp;"'!$AS:$AS"),INDIRECT("'"&amp;$B13&amp;"'!$AL:$AL"),'Blended IRR_Calc Adjusted'!AK$5)*INDIRECT("'"&amp;$B13&amp;"'!$C8")</f>
        <v>#REF!</v>
      </c>
      <c r="AL13" s="524" t="e" cm="1">
        <f t="array" aca="1" ref="AL13" ca="1">-SUMIFS(INDIRECT("'"&amp;$B13&amp;"'!$AS:$AS"),INDIRECT("'"&amp;$B13&amp;"'!$AL:$AL"),'Blended IRR_Calc Adjusted'!AL$5)*INDIRECT("'"&amp;$B13&amp;"'!$C8")</f>
        <v>#REF!</v>
      </c>
      <c r="AM13" s="524" t="e" cm="1">
        <f t="array" aca="1" ref="AM13" ca="1">-SUMIFS(INDIRECT("'"&amp;$B13&amp;"'!$AS:$AS"),INDIRECT("'"&amp;$B13&amp;"'!$AL:$AL"),'Blended IRR_Calc Adjusted'!AM$5)*INDIRECT("'"&amp;$B13&amp;"'!$C8")</f>
        <v>#REF!</v>
      </c>
      <c r="AN13" s="524" t="e" cm="1">
        <f t="array" aca="1" ref="AN13" ca="1">-SUMIFS(INDIRECT("'"&amp;$B13&amp;"'!$AS:$AS"),INDIRECT("'"&amp;$B13&amp;"'!$AL:$AL"),'Blended IRR_Calc Adjusted'!AN$5)*INDIRECT("'"&amp;$B13&amp;"'!$C8")</f>
        <v>#REF!</v>
      </c>
      <c r="AO13" s="524" t="e" cm="1">
        <f t="array" aca="1" ref="AO13" ca="1">-SUMIFS(INDIRECT("'"&amp;$B13&amp;"'!$AS:$AS"),INDIRECT("'"&amp;$B13&amp;"'!$AL:$AL"),'Blended IRR_Calc Adjusted'!AO$5)*INDIRECT("'"&amp;$B13&amp;"'!$C8")</f>
        <v>#REF!</v>
      </c>
      <c r="AP13" s="524" t="e" cm="1">
        <f t="array" aca="1" ref="AP13" ca="1">-SUMIFS(INDIRECT("'"&amp;$B13&amp;"'!$AS:$AS"),INDIRECT("'"&amp;$B13&amp;"'!$AL:$AL"),'Blended IRR_Calc Adjusted'!AP$5)*INDIRECT("'"&amp;$B13&amp;"'!$C8")</f>
        <v>#REF!</v>
      </c>
      <c r="AQ13" s="524" t="e" cm="1">
        <f t="array" aca="1" ref="AQ13" ca="1">-SUMIFS(INDIRECT("'"&amp;$B13&amp;"'!$AS:$AS"),INDIRECT("'"&amp;$B13&amp;"'!$AL:$AL"),'Blended IRR_Calc Adjusted'!AQ$5)*INDIRECT("'"&amp;$B13&amp;"'!$C8")</f>
        <v>#REF!</v>
      </c>
      <c r="AR13" s="524" t="e" cm="1">
        <f t="array" aca="1" ref="AR13" ca="1">-SUMIFS(INDIRECT("'"&amp;$B13&amp;"'!$AS:$AS"),INDIRECT("'"&amp;$B13&amp;"'!$AL:$AL"),'Blended IRR_Calc Adjusted'!AR$5)*INDIRECT("'"&amp;$B13&amp;"'!$C8")</f>
        <v>#REF!</v>
      </c>
      <c r="AS13" s="524" t="e" cm="1">
        <f t="array" aca="1" ref="AS13" ca="1">-SUMIFS(INDIRECT("'"&amp;$B13&amp;"'!$AS:$AS"),INDIRECT("'"&amp;$B13&amp;"'!$AL:$AL"),'Blended IRR_Calc Adjusted'!AS$5)*INDIRECT("'"&amp;$B13&amp;"'!$C8")</f>
        <v>#REF!</v>
      </c>
      <c r="AT13" s="524" t="e" cm="1">
        <f t="array" aca="1" ref="AT13" ca="1">-SUMIFS(INDIRECT("'"&amp;$B13&amp;"'!$AS:$AS"),INDIRECT("'"&amp;$B13&amp;"'!$AL:$AL"),'Blended IRR_Calc Adjusted'!AT$5)*INDIRECT("'"&amp;$B13&amp;"'!$C8")</f>
        <v>#REF!</v>
      </c>
      <c r="AU13" s="524" t="e" cm="1">
        <f t="array" aca="1" ref="AU13" ca="1">-SUMIFS(INDIRECT("'"&amp;$B13&amp;"'!$AS:$AS"),INDIRECT("'"&amp;$B13&amp;"'!$AL:$AL"),'Blended IRR_Calc Adjusted'!AU$5)*INDIRECT("'"&amp;$B13&amp;"'!$C8")</f>
        <v>#REF!</v>
      </c>
      <c r="AV13" s="524" t="e" cm="1">
        <f t="array" aca="1" ref="AV13" ca="1">-SUMIFS(INDIRECT("'"&amp;$B13&amp;"'!$AS:$AS"),INDIRECT("'"&amp;$B13&amp;"'!$AL:$AL"),'Blended IRR_Calc Adjusted'!AV$5)*INDIRECT("'"&amp;$B13&amp;"'!$C8")</f>
        <v>#REF!</v>
      </c>
      <c r="AW13" s="524" t="e" cm="1">
        <f t="array" aca="1" ref="AW13" ca="1">-SUMIFS(INDIRECT("'"&amp;$B13&amp;"'!$AS:$AS"),INDIRECT("'"&amp;$B13&amp;"'!$AL:$AL"),'Blended IRR_Calc Adjusted'!AW$5)*INDIRECT("'"&amp;$B13&amp;"'!$C8")</f>
        <v>#REF!</v>
      </c>
      <c r="AX13" s="524" t="e" cm="1">
        <f t="array" aca="1" ref="AX13" ca="1">-SUMIFS(INDIRECT("'"&amp;$B13&amp;"'!$AS:$AS"),INDIRECT("'"&amp;$B13&amp;"'!$AL:$AL"),'Blended IRR_Calc Adjusted'!AX$5)*INDIRECT("'"&amp;$B13&amp;"'!$C8")</f>
        <v>#REF!</v>
      </c>
      <c r="AY13" s="524" t="e" cm="1">
        <f t="array" aca="1" ref="AY13" ca="1">-SUMIFS(INDIRECT("'"&amp;$B13&amp;"'!$AS:$AS"),INDIRECT("'"&amp;$B13&amp;"'!$AL:$AL"),'Blended IRR_Calc Adjusted'!AY$5)*INDIRECT("'"&amp;$B13&amp;"'!$C8")</f>
        <v>#REF!</v>
      </c>
      <c r="AZ13" s="524" t="e" cm="1">
        <f t="array" aca="1" ref="AZ13" ca="1">-SUMIFS(INDIRECT("'"&amp;$B13&amp;"'!$AS:$AS"),INDIRECT("'"&amp;$B13&amp;"'!$AL:$AL"),'Blended IRR_Calc Adjusted'!AZ$5)*INDIRECT("'"&amp;$B13&amp;"'!$C8")</f>
        <v>#REF!</v>
      </c>
      <c r="BA13" s="524" t="e" cm="1">
        <f t="array" aca="1" ref="BA13" ca="1">-SUMIFS(INDIRECT("'"&amp;$B13&amp;"'!$AS:$AS"),INDIRECT("'"&amp;$B13&amp;"'!$AL:$AL"),'Blended IRR_Calc Adjusted'!BA$5)*INDIRECT("'"&amp;$B13&amp;"'!$C8")</f>
        <v>#REF!</v>
      </c>
      <c r="BB13" s="524" t="e" cm="1">
        <f t="array" aca="1" ref="BB13" ca="1">-SUMIFS(INDIRECT("'"&amp;$B13&amp;"'!$AS:$AS"),INDIRECT("'"&amp;$B13&amp;"'!$AL:$AL"),'Blended IRR_Calc Adjusted'!BB$5)*INDIRECT("'"&amp;$B13&amp;"'!$C8")</f>
        <v>#REF!</v>
      </c>
      <c r="BC13" s="524" t="e" cm="1">
        <f t="array" aca="1" ref="BC13" ca="1">-SUMIFS(INDIRECT("'"&amp;$B13&amp;"'!$AS:$AS"),INDIRECT("'"&amp;$B13&amp;"'!$AL:$AL"),'Blended IRR_Calc Adjusted'!BC$5)*INDIRECT("'"&amp;$B13&amp;"'!$C8")</f>
        <v>#REF!</v>
      </c>
      <c r="BD13" s="524" t="e" cm="1">
        <f t="array" aca="1" ref="BD13" ca="1">-SUMIFS(INDIRECT("'"&amp;$B13&amp;"'!$AS:$AS"),INDIRECT("'"&amp;$B13&amp;"'!$AL:$AL"),'Blended IRR_Calc Adjusted'!BD$5)*INDIRECT("'"&amp;$B13&amp;"'!$C8")</f>
        <v>#REF!</v>
      </c>
      <c r="BE13" s="524" t="e" cm="1">
        <f t="array" aca="1" ref="BE13" ca="1">-SUMIFS(INDIRECT("'"&amp;$B13&amp;"'!$AS:$AS"),INDIRECT("'"&amp;$B13&amp;"'!$AL:$AL"),'Blended IRR_Calc Adjusted'!BE$5)*INDIRECT("'"&amp;$B13&amp;"'!$C8")</f>
        <v>#REF!</v>
      </c>
      <c r="BF13" s="524" t="e" cm="1">
        <f t="array" aca="1" ref="BF13" ca="1">-SUMIFS(INDIRECT("'"&amp;$B13&amp;"'!$AS:$AS"),INDIRECT("'"&amp;$B13&amp;"'!$AL:$AL"),'Blended IRR_Calc Adjusted'!BF$5)*INDIRECT("'"&amp;$B13&amp;"'!$C8")</f>
        <v>#REF!</v>
      </c>
      <c r="BG13" s="524" t="e" cm="1">
        <f t="array" aca="1" ref="BG13" ca="1">-SUMIFS(INDIRECT("'"&amp;$B13&amp;"'!$AS:$AS"),INDIRECT("'"&amp;$B13&amp;"'!$AL:$AL"),'Blended IRR_Calc Adjusted'!BG$5)*INDIRECT("'"&amp;$B13&amp;"'!$C8")</f>
        <v>#REF!</v>
      </c>
      <c r="BH13" s="524" t="e" cm="1">
        <f t="array" aca="1" ref="BH13" ca="1">-SUMIFS(INDIRECT("'"&amp;$B13&amp;"'!$AS:$AS"),INDIRECT("'"&amp;$B13&amp;"'!$AL:$AL"),'Blended IRR_Calc Adjusted'!BH$5)*INDIRECT("'"&amp;$B13&amp;"'!$C8")</f>
        <v>#REF!</v>
      </c>
      <c r="BI13" s="524" t="e" cm="1">
        <f t="array" aca="1" ref="BI13" ca="1">-SUMIFS(INDIRECT("'"&amp;$B13&amp;"'!$AS:$AS"),INDIRECT("'"&amp;$B13&amp;"'!$AL:$AL"),'Blended IRR_Calc Adjusted'!BI$5)*INDIRECT("'"&amp;$B13&amp;"'!$C8")</f>
        <v>#REF!</v>
      </c>
      <c r="BJ13" s="524" t="e" cm="1">
        <f t="array" aca="1" ref="BJ13" ca="1">-SUMIFS(INDIRECT("'"&amp;$B13&amp;"'!$AS:$AS"),INDIRECT("'"&amp;$B13&amp;"'!$AL:$AL"),'Blended IRR_Calc Adjusted'!BJ$5)*INDIRECT("'"&amp;$B13&amp;"'!$C8")</f>
        <v>#REF!</v>
      </c>
      <c r="BK13" s="524" t="e" cm="1">
        <f t="array" aca="1" ref="BK13" ca="1">-SUMIFS(INDIRECT("'"&amp;$B13&amp;"'!$AS:$AS"),INDIRECT("'"&amp;$B13&amp;"'!$AL:$AL"),'Blended IRR_Calc Adjusted'!BK$5)*INDIRECT("'"&amp;$B13&amp;"'!$C8")</f>
        <v>#REF!</v>
      </c>
      <c r="BL13" s="524" t="e" cm="1">
        <f t="array" aca="1" ref="BL13" ca="1">-SUMIFS(INDIRECT("'"&amp;$B13&amp;"'!$AS:$AS"),INDIRECT("'"&amp;$B13&amp;"'!$AL:$AL"),'Blended IRR_Calc Adjusted'!BL$5)*INDIRECT("'"&amp;$B13&amp;"'!$C8")</f>
        <v>#REF!</v>
      </c>
      <c r="BM13" s="524" t="e" cm="1">
        <f t="array" aca="1" ref="BM13" ca="1">-SUMIFS(INDIRECT("'"&amp;$B13&amp;"'!$AS:$AS"),INDIRECT("'"&amp;$B13&amp;"'!$AL:$AL"),'Blended IRR_Calc Adjusted'!BM$5)*INDIRECT("'"&amp;$B13&amp;"'!$C8")</f>
        <v>#REF!</v>
      </c>
      <c r="BN13" s="524" t="e" cm="1">
        <f t="array" aca="1" ref="BN13" ca="1">-SUMIFS(INDIRECT("'"&amp;$B13&amp;"'!$AS:$AS"),INDIRECT("'"&amp;$B13&amp;"'!$AL:$AL"),'Blended IRR_Calc Adjusted'!BN$5)*INDIRECT("'"&amp;$B13&amp;"'!$C8")</f>
        <v>#REF!</v>
      </c>
    </row>
    <row r="14" spans="2:67" ht="16" thickBot="1">
      <c r="B14" s="144">
        <f>Portfolio!C17</f>
        <v>0</v>
      </c>
      <c r="C14" s="155" t="e">
        <f>INDEX(Portfolio!$H:$H,MATCH('Blended IRR_Calc Adjusted'!$B14,Portfolio!$C:$C,0))</f>
        <v>#N/A</v>
      </c>
      <c r="D14" s="155" t="s">
        <v>339</v>
      </c>
      <c r="E14" s="150" t="e">
        <f ca="1">SUM(I14:BN14)</f>
        <v>#REF!</v>
      </c>
      <c r="F14" s="518" t="e" cm="1">
        <f t="array" aca="1" ref="F14" ca="1">-INDIRECT("'"&amp;$B14&amp;"'!$D37")-E14</f>
        <v>#REF!</v>
      </c>
      <c r="G14" s="519"/>
      <c r="H14" s="520">
        <f ca="1">-H7</f>
        <v>0</v>
      </c>
      <c r="I14" s="525" t="e" cm="1">
        <f t="array" aca="1" ref="I14" ca="1">-SUMIFS(INDIRECT("'"&amp;$B14&amp;"'!$AS:$AS"),INDIRECT("'"&amp;$B14&amp;"'!$AL:$AL"),'Blended IRR_Calc Adjusted'!I$5)*INDIRECT("'"&amp;$B14&amp;"'!$C8")</f>
        <v>#REF!</v>
      </c>
      <c r="J14" s="525" t="e" cm="1">
        <f t="array" aca="1" ref="J14" ca="1">-SUMIFS(INDIRECT("'"&amp;$B14&amp;"'!$AS:$AS"),INDIRECT("'"&amp;$B14&amp;"'!$AL:$AL"),'Blended IRR_Calc Adjusted'!J$5)*INDIRECT("'"&amp;$B14&amp;"'!$C8")</f>
        <v>#REF!</v>
      </c>
      <c r="K14" s="525" t="e" cm="1">
        <f t="array" aca="1" ref="K14" ca="1">-SUMIFS(INDIRECT("'"&amp;$B14&amp;"'!$AS:$AS"),INDIRECT("'"&amp;$B14&amp;"'!$AL:$AL"),'Blended IRR_Calc Adjusted'!K$5)*INDIRECT("'"&amp;$B14&amp;"'!$C8")</f>
        <v>#REF!</v>
      </c>
      <c r="L14" s="525" t="e" cm="1">
        <f t="array" aca="1" ref="L14" ca="1">-SUMIFS(INDIRECT("'"&amp;$B14&amp;"'!$AS:$AS"),INDIRECT("'"&amp;$B14&amp;"'!$AL:$AL"),'Blended IRR_Calc Adjusted'!L$5)*INDIRECT("'"&amp;$B14&amp;"'!$C8")</f>
        <v>#REF!</v>
      </c>
      <c r="M14" s="525" t="e" cm="1">
        <f t="array" aca="1" ref="M14" ca="1">-SUMIFS(INDIRECT("'"&amp;$B14&amp;"'!$AS:$AS"),INDIRECT("'"&amp;$B14&amp;"'!$AL:$AL"),'Blended IRR_Calc Adjusted'!M$5)*INDIRECT("'"&amp;$B14&amp;"'!$C8")</f>
        <v>#REF!</v>
      </c>
      <c r="N14" s="525" t="e" cm="1">
        <f t="array" aca="1" ref="N14" ca="1">-SUMIFS(INDIRECT("'"&amp;$B14&amp;"'!$AS:$AS"),INDIRECT("'"&amp;$B14&amp;"'!$AL:$AL"),'Blended IRR_Calc Adjusted'!N$5)*INDIRECT("'"&amp;$B14&amp;"'!$C8")</f>
        <v>#REF!</v>
      </c>
      <c r="O14" s="525" t="e" cm="1">
        <f t="array" aca="1" ref="O14" ca="1">-SUMIFS(INDIRECT("'"&amp;$B14&amp;"'!$AS:$AS"),INDIRECT("'"&amp;$B14&amp;"'!$AL:$AL"),'Blended IRR_Calc Adjusted'!O$5)*INDIRECT("'"&amp;$B14&amp;"'!$C8")</f>
        <v>#REF!</v>
      </c>
      <c r="P14" s="525" t="e" cm="1">
        <f t="array" aca="1" ref="P14" ca="1">-SUMIFS(INDIRECT("'"&amp;$B14&amp;"'!$AS:$AS"),INDIRECT("'"&amp;$B14&amp;"'!$AL:$AL"),'Blended IRR_Calc Adjusted'!P$5)*INDIRECT("'"&amp;$B14&amp;"'!$C8")</f>
        <v>#REF!</v>
      </c>
      <c r="Q14" s="525" t="e" cm="1">
        <f t="array" aca="1" ref="Q14" ca="1">-SUMIFS(INDIRECT("'"&amp;$B14&amp;"'!$AS:$AS"),INDIRECT("'"&amp;$B14&amp;"'!$AL:$AL"),'Blended IRR_Calc Adjusted'!Q$5)*INDIRECT("'"&amp;$B14&amp;"'!$C8")</f>
        <v>#REF!</v>
      </c>
      <c r="R14" s="525" t="e" cm="1">
        <f t="array" aca="1" ref="R14" ca="1">-SUMIFS(INDIRECT("'"&amp;$B14&amp;"'!$AS:$AS"),INDIRECT("'"&amp;$B14&amp;"'!$AL:$AL"),'Blended IRR_Calc Adjusted'!R$5)*INDIRECT("'"&amp;$B14&amp;"'!$C8")</f>
        <v>#REF!</v>
      </c>
      <c r="S14" s="525" t="e" cm="1">
        <f t="array" aca="1" ref="S14" ca="1">-SUMIFS(INDIRECT("'"&amp;$B14&amp;"'!$AS:$AS"),INDIRECT("'"&amp;$B14&amp;"'!$AL:$AL"),'Blended IRR_Calc Adjusted'!S$5)*INDIRECT("'"&amp;$B14&amp;"'!$C8")</f>
        <v>#REF!</v>
      </c>
      <c r="T14" s="525" t="e" cm="1">
        <f t="array" aca="1" ref="T14" ca="1">-SUMIFS(INDIRECT("'"&amp;$B14&amp;"'!$AS:$AS"),INDIRECT("'"&amp;$B14&amp;"'!$AL:$AL"),'Blended IRR_Calc Adjusted'!T$5)*INDIRECT("'"&amp;$B14&amp;"'!$C8")</f>
        <v>#REF!</v>
      </c>
      <c r="U14" s="525" t="e" cm="1">
        <f t="array" aca="1" ref="U14" ca="1">-SUMIFS(INDIRECT("'"&amp;$B14&amp;"'!$AS:$AS"),INDIRECT("'"&amp;$B14&amp;"'!$AL:$AL"),'Blended IRR_Calc Adjusted'!U$5)*INDIRECT("'"&amp;$B14&amp;"'!$C8")</f>
        <v>#REF!</v>
      </c>
      <c r="V14" s="525" t="e" cm="1">
        <f t="array" aca="1" ref="V14" ca="1">-SUMIFS(INDIRECT("'"&amp;$B14&amp;"'!$AS:$AS"),INDIRECT("'"&amp;$B14&amp;"'!$AL:$AL"),'Blended IRR_Calc Adjusted'!V$5)*INDIRECT("'"&amp;$B14&amp;"'!$C8")</f>
        <v>#REF!</v>
      </c>
      <c r="W14" s="525" t="e" cm="1">
        <f t="array" aca="1" ref="W14" ca="1">-SUMIFS(INDIRECT("'"&amp;$B14&amp;"'!$AS:$AS"),INDIRECT("'"&amp;$B14&amp;"'!$AL:$AL"),'Blended IRR_Calc Adjusted'!W$5)*INDIRECT("'"&amp;$B14&amp;"'!$C8")</f>
        <v>#REF!</v>
      </c>
      <c r="X14" s="525" t="e" cm="1">
        <f t="array" aca="1" ref="X14" ca="1">-SUMIFS(INDIRECT("'"&amp;$B14&amp;"'!$AS:$AS"),INDIRECT("'"&amp;$B14&amp;"'!$AL:$AL"),'Blended IRR_Calc Adjusted'!X$5)*INDIRECT("'"&amp;$B14&amp;"'!$C8")</f>
        <v>#REF!</v>
      </c>
      <c r="Y14" s="525" t="e" cm="1">
        <f t="array" aca="1" ref="Y14" ca="1">-SUMIFS(INDIRECT("'"&amp;$B14&amp;"'!$AS:$AS"),INDIRECT("'"&amp;$B14&amp;"'!$AL:$AL"),'Blended IRR_Calc Adjusted'!Y$5)*INDIRECT("'"&amp;$B14&amp;"'!$C8")</f>
        <v>#REF!</v>
      </c>
      <c r="Z14" s="525" t="e" cm="1">
        <f t="array" aca="1" ref="Z14" ca="1">-SUMIFS(INDIRECT("'"&amp;$B14&amp;"'!$AS:$AS"),INDIRECT("'"&amp;$B14&amp;"'!$AL:$AL"),'Blended IRR_Calc Adjusted'!Z$5)*INDIRECT("'"&amp;$B14&amp;"'!$C8")</f>
        <v>#REF!</v>
      </c>
      <c r="AA14" s="525" t="e" cm="1">
        <f t="array" aca="1" ref="AA14" ca="1">-SUMIFS(INDIRECT("'"&amp;$B14&amp;"'!$AS:$AS"),INDIRECT("'"&amp;$B14&amp;"'!$AL:$AL"),'Blended IRR_Calc Adjusted'!AA$5)*INDIRECT("'"&amp;$B14&amp;"'!$C8")</f>
        <v>#REF!</v>
      </c>
      <c r="AB14" s="525" t="e" cm="1">
        <f t="array" aca="1" ref="AB14" ca="1">-SUMIFS(INDIRECT("'"&amp;$B14&amp;"'!$AS:$AS"),INDIRECT("'"&amp;$B14&amp;"'!$AL:$AL"),'Blended IRR_Calc Adjusted'!AB$5)*INDIRECT("'"&amp;$B14&amp;"'!$C8")</f>
        <v>#REF!</v>
      </c>
      <c r="AC14" s="525" t="e" cm="1">
        <f t="array" aca="1" ref="AC14" ca="1">-SUMIFS(INDIRECT("'"&amp;$B14&amp;"'!$AS:$AS"),INDIRECT("'"&amp;$B14&amp;"'!$AL:$AL"),'Blended IRR_Calc Adjusted'!AC$5)*INDIRECT("'"&amp;$B14&amp;"'!$C8")</f>
        <v>#REF!</v>
      </c>
      <c r="AD14" s="525" t="e" cm="1">
        <f t="array" aca="1" ref="AD14" ca="1">-SUMIFS(INDIRECT("'"&amp;$B14&amp;"'!$AS:$AS"),INDIRECT("'"&amp;$B14&amp;"'!$AL:$AL"),'Blended IRR_Calc Adjusted'!AD$5)*INDIRECT("'"&amp;$B14&amp;"'!$C8")</f>
        <v>#REF!</v>
      </c>
      <c r="AE14" s="525" t="e" cm="1">
        <f t="array" aca="1" ref="AE14" ca="1">-SUMIFS(INDIRECT("'"&amp;$B14&amp;"'!$AS:$AS"),INDIRECT("'"&amp;$B14&amp;"'!$AL:$AL"),'Blended IRR_Calc Adjusted'!AE$5)*INDIRECT("'"&amp;$B14&amp;"'!$C8")</f>
        <v>#REF!</v>
      </c>
      <c r="AF14" s="525" t="e" cm="1">
        <f t="array" aca="1" ref="AF14" ca="1">-SUMIFS(INDIRECT("'"&amp;$B14&amp;"'!$AS:$AS"),INDIRECT("'"&amp;$B14&amp;"'!$AL:$AL"),'Blended IRR_Calc Adjusted'!AF$5)*INDIRECT("'"&amp;$B14&amp;"'!$C8")</f>
        <v>#REF!</v>
      </c>
      <c r="AG14" s="525" t="e" cm="1">
        <f t="array" aca="1" ref="AG14" ca="1">-SUMIFS(INDIRECT("'"&amp;$B14&amp;"'!$AS:$AS"),INDIRECT("'"&amp;$B14&amp;"'!$AL:$AL"),'Blended IRR_Calc Adjusted'!AG$5)*INDIRECT("'"&amp;$B14&amp;"'!$C8")</f>
        <v>#REF!</v>
      </c>
      <c r="AH14" s="525" t="e" cm="1">
        <f t="array" aca="1" ref="AH14" ca="1">-SUMIFS(INDIRECT("'"&amp;$B14&amp;"'!$AS:$AS"),INDIRECT("'"&amp;$B14&amp;"'!$AL:$AL"),'Blended IRR_Calc Adjusted'!AH$5)*INDIRECT("'"&amp;$B14&amp;"'!$C8")</f>
        <v>#REF!</v>
      </c>
      <c r="AI14" s="525" t="e" cm="1">
        <f t="array" aca="1" ref="AI14" ca="1">-SUMIFS(INDIRECT("'"&amp;$B14&amp;"'!$AS:$AS"),INDIRECT("'"&amp;$B14&amp;"'!$AL:$AL"),'Blended IRR_Calc Adjusted'!AI$5)*INDIRECT("'"&amp;$B14&amp;"'!$C8")</f>
        <v>#REF!</v>
      </c>
      <c r="AJ14" s="525" t="e" cm="1">
        <f t="array" aca="1" ref="AJ14" ca="1">-SUMIFS(INDIRECT("'"&amp;$B14&amp;"'!$AS:$AS"),INDIRECT("'"&amp;$B14&amp;"'!$AL:$AL"),'Blended IRR_Calc Adjusted'!AJ$5)*INDIRECT("'"&amp;$B14&amp;"'!$C8")</f>
        <v>#REF!</v>
      </c>
      <c r="AK14" s="525" t="e" cm="1">
        <f t="array" aca="1" ref="AK14" ca="1">-SUMIFS(INDIRECT("'"&amp;$B14&amp;"'!$AS:$AS"),INDIRECT("'"&amp;$B14&amp;"'!$AL:$AL"),'Blended IRR_Calc Adjusted'!AK$5)*INDIRECT("'"&amp;$B14&amp;"'!$C8")</f>
        <v>#REF!</v>
      </c>
      <c r="AL14" s="525" t="e" cm="1">
        <f t="array" aca="1" ref="AL14" ca="1">-SUMIFS(INDIRECT("'"&amp;$B14&amp;"'!$AS:$AS"),INDIRECT("'"&amp;$B14&amp;"'!$AL:$AL"),'Blended IRR_Calc Adjusted'!AL$5)*INDIRECT("'"&amp;$B14&amp;"'!$C8")</f>
        <v>#REF!</v>
      </c>
      <c r="AM14" s="525" t="e" cm="1">
        <f t="array" aca="1" ref="AM14" ca="1">-SUMIFS(INDIRECT("'"&amp;$B14&amp;"'!$AS:$AS"),INDIRECT("'"&amp;$B14&amp;"'!$AL:$AL"),'Blended IRR_Calc Adjusted'!AM$5)*INDIRECT("'"&amp;$B14&amp;"'!$C8")</f>
        <v>#REF!</v>
      </c>
      <c r="AN14" s="525" t="e" cm="1">
        <f t="array" aca="1" ref="AN14" ca="1">-SUMIFS(INDIRECT("'"&amp;$B14&amp;"'!$AS:$AS"),INDIRECT("'"&amp;$B14&amp;"'!$AL:$AL"),'Blended IRR_Calc Adjusted'!AN$5)*INDIRECT("'"&amp;$B14&amp;"'!$C8")</f>
        <v>#REF!</v>
      </c>
      <c r="AO14" s="525" t="e" cm="1">
        <f t="array" aca="1" ref="AO14" ca="1">-SUMIFS(INDIRECT("'"&amp;$B14&amp;"'!$AS:$AS"),INDIRECT("'"&amp;$B14&amp;"'!$AL:$AL"),'Blended IRR_Calc Adjusted'!AO$5)*INDIRECT("'"&amp;$B14&amp;"'!$C8")</f>
        <v>#REF!</v>
      </c>
      <c r="AP14" s="525" t="e" cm="1">
        <f t="array" aca="1" ref="AP14" ca="1">-SUMIFS(INDIRECT("'"&amp;$B14&amp;"'!$AS:$AS"),INDIRECT("'"&amp;$B14&amp;"'!$AL:$AL"),'Blended IRR_Calc Adjusted'!AP$5)*INDIRECT("'"&amp;$B14&amp;"'!$C8")</f>
        <v>#REF!</v>
      </c>
      <c r="AQ14" s="525" t="e" cm="1">
        <f t="array" aca="1" ref="AQ14" ca="1">-SUMIFS(INDIRECT("'"&amp;$B14&amp;"'!$AS:$AS"),INDIRECT("'"&amp;$B14&amp;"'!$AL:$AL"),'Blended IRR_Calc Adjusted'!AQ$5)*INDIRECT("'"&amp;$B14&amp;"'!$C8")</f>
        <v>#REF!</v>
      </c>
      <c r="AR14" s="525" t="e" cm="1">
        <f t="array" aca="1" ref="AR14" ca="1">-SUMIFS(INDIRECT("'"&amp;$B14&amp;"'!$AS:$AS"),INDIRECT("'"&amp;$B14&amp;"'!$AL:$AL"),'Blended IRR_Calc Adjusted'!AR$5)*INDIRECT("'"&amp;$B14&amp;"'!$C8")</f>
        <v>#REF!</v>
      </c>
      <c r="AS14" s="525" t="e" cm="1">
        <f t="array" aca="1" ref="AS14" ca="1">-SUMIFS(INDIRECT("'"&amp;$B14&amp;"'!$AS:$AS"),INDIRECT("'"&amp;$B14&amp;"'!$AL:$AL"),'Blended IRR_Calc Adjusted'!AS$5)*INDIRECT("'"&amp;$B14&amp;"'!$C8")</f>
        <v>#REF!</v>
      </c>
      <c r="AT14" s="525" t="e" cm="1">
        <f t="array" aca="1" ref="AT14" ca="1">-SUMIFS(INDIRECT("'"&amp;$B14&amp;"'!$AS:$AS"),INDIRECT("'"&amp;$B14&amp;"'!$AL:$AL"),'Blended IRR_Calc Adjusted'!AT$5)*INDIRECT("'"&amp;$B14&amp;"'!$C8")</f>
        <v>#REF!</v>
      </c>
      <c r="AU14" s="525" t="e" cm="1">
        <f t="array" aca="1" ref="AU14" ca="1">-SUMIFS(INDIRECT("'"&amp;$B14&amp;"'!$AS:$AS"),INDIRECT("'"&amp;$B14&amp;"'!$AL:$AL"),'Blended IRR_Calc Adjusted'!AU$5)*INDIRECT("'"&amp;$B14&amp;"'!$C8")</f>
        <v>#REF!</v>
      </c>
      <c r="AV14" s="525" t="e" cm="1">
        <f t="array" aca="1" ref="AV14" ca="1">-SUMIFS(INDIRECT("'"&amp;$B14&amp;"'!$AS:$AS"),INDIRECT("'"&amp;$B14&amp;"'!$AL:$AL"),'Blended IRR_Calc Adjusted'!AV$5)*INDIRECT("'"&amp;$B14&amp;"'!$C8")</f>
        <v>#REF!</v>
      </c>
      <c r="AW14" s="525" t="e" cm="1">
        <f t="array" aca="1" ref="AW14" ca="1">-SUMIFS(INDIRECT("'"&amp;$B14&amp;"'!$AS:$AS"),INDIRECT("'"&amp;$B14&amp;"'!$AL:$AL"),'Blended IRR_Calc Adjusted'!AW$5)*INDIRECT("'"&amp;$B14&amp;"'!$C8")</f>
        <v>#REF!</v>
      </c>
      <c r="AX14" s="525" t="e" cm="1">
        <f t="array" aca="1" ref="AX14" ca="1">-SUMIFS(INDIRECT("'"&amp;$B14&amp;"'!$AS:$AS"),INDIRECT("'"&amp;$B14&amp;"'!$AL:$AL"),'Blended IRR_Calc Adjusted'!AX$5)*INDIRECT("'"&amp;$B14&amp;"'!$C8")</f>
        <v>#REF!</v>
      </c>
      <c r="AY14" s="525" t="e" cm="1">
        <f t="array" aca="1" ref="AY14" ca="1">-SUMIFS(INDIRECT("'"&amp;$B14&amp;"'!$AS:$AS"),INDIRECT("'"&amp;$B14&amp;"'!$AL:$AL"),'Blended IRR_Calc Adjusted'!AY$5)*INDIRECT("'"&amp;$B14&amp;"'!$C8")</f>
        <v>#REF!</v>
      </c>
      <c r="AZ14" s="525" t="e" cm="1">
        <f t="array" aca="1" ref="AZ14" ca="1">-SUMIFS(INDIRECT("'"&amp;$B14&amp;"'!$AS:$AS"),INDIRECT("'"&amp;$B14&amp;"'!$AL:$AL"),'Blended IRR_Calc Adjusted'!AZ$5)*INDIRECT("'"&amp;$B14&amp;"'!$C8")</f>
        <v>#REF!</v>
      </c>
      <c r="BA14" s="525" t="e" cm="1">
        <f t="array" aca="1" ref="BA14" ca="1">-SUMIFS(INDIRECT("'"&amp;$B14&amp;"'!$AS:$AS"),INDIRECT("'"&amp;$B14&amp;"'!$AL:$AL"),'Blended IRR_Calc Adjusted'!BA$5)*INDIRECT("'"&amp;$B14&amp;"'!$C8")</f>
        <v>#REF!</v>
      </c>
      <c r="BB14" s="525" t="e" cm="1">
        <f t="array" aca="1" ref="BB14" ca="1">-SUMIFS(INDIRECT("'"&amp;$B14&amp;"'!$AS:$AS"),INDIRECT("'"&amp;$B14&amp;"'!$AL:$AL"),'Blended IRR_Calc Adjusted'!BB$5)*INDIRECT("'"&amp;$B14&amp;"'!$C8")</f>
        <v>#REF!</v>
      </c>
      <c r="BC14" s="525" t="e" cm="1">
        <f t="array" aca="1" ref="BC14" ca="1">-SUMIFS(INDIRECT("'"&amp;$B14&amp;"'!$AS:$AS"),INDIRECT("'"&amp;$B14&amp;"'!$AL:$AL"),'Blended IRR_Calc Adjusted'!BC$5)*INDIRECT("'"&amp;$B14&amp;"'!$C8")</f>
        <v>#REF!</v>
      </c>
      <c r="BD14" s="525" t="e" cm="1">
        <f t="array" aca="1" ref="BD14" ca="1">-SUMIFS(INDIRECT("'"&amp;$B14&amp;"'!$AS:$AS"),INDIRECT("'"&amp;$B14&amp;"'!$AL:$AL"),'Blended IRR_Calc Adjusted'!BD$5)*INDIRECT("'"&amp;$B14&amp;"'!$C8")</f>
        <v>#REF!</v>
      </c>
      <c r="BE14" s="525" t="e" cm="1">
        <f t="array" aca="1" ref="BE14" ca="1">-SUMIFS(INDIRECT("'"&amp;$B14&amp;"'!$AS:$AS"),INDIRECT("'"&amp;$B14&amp;"'!$AL:$AL"),'Blended IRR_Calc Adjusted'!BE$5)*INDIRECT("'"&amp;$B14&amp;"'!$C8")</f>
        <v>#REF!</v>
      </c>
      <c r="BF14" s="525" t="e" cm="1">
        <f t="array" aca="1" ref="BF14" ca="1">-SUMIFS(INDIRECT("'"&amp;$B14&amp;"'!$AS:$AS"),INDIRECT("'"&amp;$B14&amp;"'!$AL:$AL"),'Blended IRR_Calc Adjusted'!BF$5)*INDIRECT("'"&amp;$B14&amp;"'!$C8")</f>
        <v>#REF!</v>
      </c>
      <c r="BG14" s="525" t="e" cm="1">
        <f t="array" aca="1" ref="BG14" ca="1">-SUMIFS(INDIRECT("'"&amp;$B14&amp;"'!$AS:$AS"),INDIRECT("'"&amp;$B14&amp;"'!$AL:$AL"),'Blended IRR_Calc Adjusted'!BG$5)*INDIRECT("'"&amp;$B14&amp;"'!$C8")</f>
        <v>#REF!</v>
      </c>
      <c r="BH14" s="525" t="e" cm="1">
        <f t="array" aca="1" ref="BH14" ca="1">-SUMIFS(INDIRECT("'"&amp;$B14&amp;"'!$AS:$AS"),INDIRECT("'"&amp;$B14&amp;"'!$AL:$AL"),'Blended IRR_Calc Adjusted'!BH$5)*INDIRECT("'"&amp;$B14&amp;"'!$C8")</f>
        <v>#REF!</v>
      </c>
      <c r="BI14" s="525" t="e" cm="1">
        <f t="array" aca="1" ref="BI14" ca="1">-SUMIFS(INDIRECT("'"&amp;$B14&amp;"'!$AS:$AS"),INDIRECT("'"&amp;$B14&amp;"'!$AL:$AL"),'Blended IRR_Calc Adjusted'!BI$5)*INDIRECT("'"&amp;$B14&amp;"'!$C8")</f>
        <v>#REF!</v>
      </c>
      <c r="BJ14" s="525" t="e" cm="1">
        <f t="array" aca="1" ref="BJ14" ca="1">-SUMIFS(INDIRECT("'"&amp;$B14&amp;"'!$AS:$AS"),INDIRECT("'"&amp;$B14&amp;"'!$AL:$AL"),'Blended IRR_Calc Adjusted'!BJ$5)*INDIRECT("'"&amp;$B14&amp;"'!$C8")</f>
        <v>#REF!</v>
      </c>
      <c r="BK14" s="525" t="e" cm="1">
        <f t="array" aca="1" ref="BK14" ca="1">-SUMIFS(INDIRECT("'"&amp;$B14&amp;"'!$AS:$AS"),INDIRECT("'"&amp;$B14&amp;"'!$AL:$AL"),'Blended IRR_Calc Adjusted'!BK$5)*INDIRECT("'"&amp;$B14&amp;"'!$C8")</f>
        <v>#REF!</v>
      </c>
      <c r="BL14" s="525" t="e" cm="1">
        <f t="array" aca="1" ref="BL14" ca="1">-SUMIFS(INDIRECT("'"&amp;$B14&amp;"'!$AS:$AS"),INDIRECT("'"&amp;$B14&amp;"'!$AL:$AL"),'Blended IRR_Calc Adjusted'!BL$5)*INDIRECT("'"&amp;$B14&amp;"'!$C8")</f>
        <v>#REF!</v>
      </c>
      <c r="BM14" s="525" t="e" cm="1">
        <f t="array" aca="1" ref="BM14" ca="1">-SUMIFS(INDIRECT("'"&amp;$B14&amp;"'!$AS:$AS"),INDIRECT("'"&amp;$B14&amp;"'!$AL:$AL"),'Blended IRR_Calc Adjusted'!BM$5)*INDIRECT("'"&amp;$B14&amp;"'!$C8")</f>
        <v>#REF!</v>
      </c>
      <c r="BN14" s="525" t="e" cm="1">
        <f t="array" aca="1" ref="BN14" ca="1">-SUMIFS(INDIRECT("'"&amp;$B14&amp;"'!$AS:$AS"),INDIRECT("'"&amp;$B14&amp;"'!$AL:$AL"),'Blended IRR_Calc Adjusted'!BN$5)*INDIRECT("'"&amp;$B14&amp;"'!$C8")</f>
        <v>#REF!</v>
      </c>
    </row>
    <row r="15" spans="2:67">
      <c r="B15" s="156" t="s">
        <v>332</v>
      </c>
      <c r="C15" s="157"/>
      <c r="D15" s="157"/>
      <c r="E15" s="158" t="e">
        <f ca="1">SUMPRODUCT(E13:E14,$C$13:$C$14)</f>
        <v>#REF!</v>
      </c>
      <c r="F15" s="158"/>
      <c r="G15" s="153"/>
      <c r="H15" s="158">
        <f ca="1">SUMPRODUCT(H13:H14,$D$13:$D$14)</f>
        <v>0</v>
      </c>
      <c r="I15" s="158" t="e">
        <f t="shared" ref="I15:BN15" ca="1" si="43">SUMPRODUCT(I13:I14,$C$13:$C$14)</f>
        <v>#REF!</v>
      </c>
      <c r="J15" s="158" t="e">
        <f t="shared" ca="1" si="43"/>
        <v>#REF!</v>
      </c>
      <c r="K15" s="158" t="e">
        <f t="shared" ca="1" si="43"/>
        <v>#REF!</v>
      </c>
      <c r="L15" s="158" t="e">
        <f t="shared" ca="1" si="43"/>
        <v>#REF!</v>
      </c>
      <c r="M15" s="158" t="e">
        <f t="shared" ca="1" si="43"/>
        <v>#REF!</v>
      </c>
      <c r="N15" s="158" t="e">
        <f t="shared" ca="1" si="43"/>
        <v>#REF!</v>
      </c>
      <c r="O15" s="158" t="e">
        <f t="shared" ca="1" si="43"/>
        <v>#REF!</v>
      </c>
      <c r="P15" s="158" t="e">
        <f t="shared" ca="1" si="43"/>
        <v>#REF!</v>
      </c>
      <c r="Q15" s="158" t="e">
        <f t="shared" ca="1" si="43"/>
        <v>#REF!</v>
      </c>
      <c r="R15" s="158" t="e">
        <f t="shared" ca="1" si="43"/>
        <v>#REF!</v>
      </c>
      <c r="S15" s="158" t="e">
        <f t="shared" ca="1" si="43"/>
        <v>#REF!</v>
      </c>
      <c r="T15" s="158" t="e">
        <f t="shared" ca="1" si="43"/>
        <v>#REF!</v>
      </c>
      <c r="U15" s="158" t="e">
        <f t="shared" ca="1" si="43"/>
        <v>#REF!</v>
      </c>
      <c r="V15" s="158" t="e">
        <f t="shared" ca="1" si="43"/>
        <v>#REF!</v>
      </c>
      <c r="W15" s="158" t="e">
        <f t="shared" ca="1" si="43"/>
        <v>#REF!</v>
      </c>
      <c r="X15" s="158" t="e">
        <f t="shared" ca="1" si="43"/>
        <v>#REF!</v>
      </c>
      <c r="Y15" s="158" t="e">
        <f t="shared" ca="1" si="43"/>
        <v>#REF!</v>
      </c>
      <c r="Z15" s="158" t="e">
        <f t="shared" ca="1" si="43"/>
        <v>#REF!</v>
      </c>
      <c r="AA15" s="158" t="e">
        <f t="shared" ca="1" si="43"/>
        <v>#REF!</v>
      </c>
      <c r="AB15" s="158" t="e">
        <f t="shared" ca="1" si="43"/>
        <v>#REF!</v>
      </c>
      <c r="AC15" s="158" t="e">
        <f t="shared" ca="1" si="43"/>
        <v>#REF!</v>
      </c>
      <c r="AD15" s="158" t="e">
        <f t="shared" ca="1" si="43"/>
        <v>#REF!</v>
      </c>
      <c r="AE15" s="158" t="e">
        <f t="shared" ca="1" si="43"/>
        <v>#REF!</v>
      </c>
      <c r="AF15" s="158" t="e">
        <f t="shared" ca="1" si="43"/>
        <v>#REF!</v>
      </c>
      <c r="AG15" s="158" t="e">
        <f t="shared" ca="1" si="43"/>
        <v>#REF!</v>
      </c>
      <c r="AH15" s="158" t="e">
        <f t="shared" ca="1" si="43"/>
        <v>#REF!</v>
      </c>
      <c r="AI15" s="158" t="e">
        <f t="shared" ca="1" si="43"/>
        <v>#REF!</v>
      </c>
      <c r="AJ15" s="158" t="e">
        <f t="shared" ca="1" si="43"/>
        <v>#REF!</v>
      </c>
      <c r="AK15" s="158" t="e">
        <f t="shared" ca="1" si="43"/>
        <v>#REF!</v>
      </c>
      <c r="AL15" s="158" t="e">
        <f t="shared" ca="1" si="43"/>
        <v>#REF!</v>
      </c>
      <c r="AM15" s="158" t="e">
        <f t="shared" ca="1" si="43"/>
        <v>#REF!</v>
      </c>
      <c r="AN15" s="158" t="e">
        <f t="shared" ca="1" si="43"/>
        <v>#REF!</v>
      </c>
      <c r="AO15" s="158" t="e">
        <f t="shared" ca="1" si="43"/>
        <v>#REF!</v>
      </c>
      <c r="AP15" s="158" t="e">
        <f t="shared" ca="1" si="43"/>
        <v>#REF!</v>
      </c>
      <c r="AQ15" s="158" t="e">
        <f t="shared" ca="1" si="43"/>
        <v>#REF!</v>
      </c>
      <c r="AR15" s="158" t="e">
        <f t="shared" ca="1" si="43"/>
        <v>#REF!</v>
      </c>
      <c r="AS15" s="158" t="e">
        <f t="shared" ca="1" si="43"/>
        <v>#REF!</v>
      </c>
      <c r="AT15" s="158" t="e">
        <f t="shared" ca="1" si="43"/>
        <v>#REF!</v>
      </c>
      <c r="AU15" s="158" t="e">
        <f t="shared" ca="1" si="43"/>
        <v>#REF!</v>
      </c>
      <c r="AV15" s="158" t="e">
        <f t="shared" ca="1" si="43"/>
        <v>#REF!</v>
      </c>
      <c r="AW15" s="158" t="e">
        <f t="shared" ca="1" si="43"/>
        <v>#REF!</v>
      </c>
      <c r="AX15" s="158" t="e">
        <f t="shared" ca="1" si="43"/>
        <v>#REF!</v>
      </c>
      <c r="AY15" s="158" t="e">
        <f t="shared" ca="1" si="43"/>
        <v>#REF!</v>
      </c>
      <c r="AZ15" s="158" t="e">
        <f t="shared" ca="1" si="43"/>
        <v>#REF!</v>
      </c>
      <c r="BA15" s="158" t="e">
        <f t="shared" ca="1" si="43"/>
        <v>#REF!</v>
      </c>
      <c r="BB15" s="158" t="e">
        <f t="shared" ca="1" si="43"/>
        <v>#REF!</v>
      </c>
      <c r="BC15" s="158" t="e">
        <f t="shared" ca="1" si="43"/>
        <v>#REF!</v>
      </c>
      <c r="BD15" s="158" t="e">
        <f t="shared" ca="1" si="43"/>
        <v>#REF!</v>
      </c>
      <c r="BE15" s="158" t="e">
        <f t="shared" ca="1" si="43"/>
        <v>#REF!</v>
      </c>
      <c r="BF15" s="158" t="e">
        <f t="shared" ca="1" si="43"/>
        <v>#REF!</v>
      </c>
      <c r="BG15" s="158" t="e">
        <f t="shared" ca="1" si="43"/>
        <v>#REF!</v>
      </c>
      <c r="BH15" s="158" t="e">
        <f t="shared" ca="1" si="43"/>
        <v>#REF!</v>
      </c>
      <c r="BI15" s="158" t="e">
        <f t="shared" ca="1" si="43"/>
        <v>#REF!</v>
      </c>
      <c r="BJ15" s="158" t="e">
        <f t="shared" ca="1" si="43"/>
        <v>#REF!</v>
      </c>
      <c r="BK15" s="158" t="e">
        <f t="shared" ca="1" si="43"/>
        <v>#REF!</v>
      </c>
      <c r="BL15" s="158" t="e">
        <f t="shared" ca="1" si="43"/>
        <v>#REF!</v>
      </c>
      <c r="BM15" s="158" t="e">
        <f t="shared" ca="1" si="43"/>
        <v>#REF!</v>
      </c>
      <c r="BN15" s="158" t="e">
        <f t="shared" ca="1" si="43"/>
        <v>#REF!</v>
      </c>
    </row>
    <row r="16" spans="2:67">
      <c r="B16" s="161" t="s">
        <v>333</v>
      </c>
      <c r="C16" s="162"/>
      <c r="D16" s="162"/>
      <c r="E16" s="517" t="e">
        <f ca="1">SUMPRODUCT(E13:E14,$D$13:$D$14)</f>
        <v>#REF!</v>
      </c>
      <c r="F16" s="517"/>
      <c r="G16" s="153"/>
      <c r="H16" s="517">
        <f ca="1">SUMPRODUCT(H13:H14,$D$13:$D$14)</f>
        <v>0</v>
      </c>
      <c r="I16" s="517" t="e">
        <f t="shared" ref="I16:BN16" ca="1" si="44">SUMPRODUCT(I13:I14,$D$13:$D$14)</f>
        <v>#REF!</v>
      </c>
      <c r="J16" s="517" t="e">
        <f t="shared" ca="1" si="44"/>
        <v>#REF!</v>
      </c>
      <c r="K16" s="517" t="e">
        <f t="shared" ca="1" si="44"/>
        <v>#REF!</v>
      </c>
      <c r="L16" s="517" t="e">
        <f t="shared" ca="1" si="44"/>
        <v>#REF!</v>
      </c>
      <c r="M16" s="517" t="e">
        <f t="shared" ca="1" si="44"/>
        <v>#REF!</v>
      </c>
      <c r="N16" s="517" t="e">
        <f t="shared" ca="1" si="44"/>
        <v>#REF!</v>
      </c>
      <c r="O16" s="517" t="e">
        <f t="shared" ca="1" si="44"/>
        <v>#REF!</v>
      </c>
      <c r="P16" s="517" t="e">
        <f t="shared" ca="1" si="44"/>
        <v>#REF!</v>
      </c>
      <c r="Q16" s="517" t="e">
        <f t="shared" ca="1" si="44"/>
        <v>#REF!</v>
      </c>
      <c r="R16" s="517" t="e">
        <f t="shared" ca="1" si="44"/>
        <v>#REF!</v>
      </c>
      <c r="S16" s="517" t="e">
        <f t="shared" ca="1" si="44"/>
        <v>#REF!</v>
      </c>
      <c r="T16" s="517" t="e">
        <f t="shared" ca="1" si="44"/>
        <v>#REF!</v>
      </c>
      <c r="U16" s="517" t="e">
        <f t="shared" ca="1" si="44"/>
        <v>#REF!</v>
      </c>
      <c r="V16" s="517" t="e">
        <f t="shared" ca="1" si="44"/>
        <v>#REF!</v>
      </c>
      <c r="W16" s="517" t="e">
        <f t="shared" ca="1" si="44"/>
        <v>#REF!</v>
      </c>
      <c r="X16" s="517" t="e">
        <f t="shared" ca="1" si="44"/>
        <v>#REF!</v>
      </c>
      <c r="Y16" s="517" t="e">
        <f t="shared" ca="1" si="44"/>
        <v>#REF!</v>
      </c>
      <c r="Z16" s="517" t="e">
        <f t="shared" ca="1" si="44"/>
        <v>#REF!</v>
      </c>
      <c r="AA16" s="517" t="e">
        <f t="shared" ca="1" si="44"/>
        <v>#REF!</v>
      </c>
      <c r="AB16" s="517" t="e">
        <f t="shared" ca="1" si="44"/>
        <v>#REF!</v>
      </c>
      <c r="AC16" s="517" t="e">
        <f t="shared" ca="1" si="44"/>
        <v>#REF!</v>
      </c>
      <c r="AD16" s="517" t="e">
        <f t="shared" ca="1" si="44"/>
        <v>#REF!</v>
      </c>
      <c r="AE16" s="517" t="e">
        <f t="shared" ca="1" si="44"/>
        <v>#REF!</v>
      </c>
      <c r="AF16" s="517" t="e">
        <f t="shared" ca="1" si="44"/>
        <v>#REF!</v>
      </c>
      <c r="AG16" s="517" t="e">
        <f t="shared" ca="1" si="44"/>
        <v>#REF!</v>
      </c>
      <c r="AH16" s="517" t="e">
        <f t="shared" ca="1" si="44"/>
        <v>#REF!</v>
      </c>
      <c r="AI16" s="517" t="e">
        <f t="shared" ca="1" si="44"/>
        <v>#REF!</v>
      </c>
      <c r="AJ16" s="517" t="e">
        <f t="shared" ca="1" si="44"/>
        <v>#REF!</v>
      </c>
      <c r="AK16" s="517" t="e">
        <f t="shared" ca="1" si="44"/>
        <v>#REF!</v>
      </c>
      <c r="AL16" s="517" t="e">
        <f t="shared" ca="1" si="44"/>
        <v>#REF!</v>
      </c>
      <c r="AM16" s="517" t="e">
        <f t="shared" ca="1" si="44"/>
        <v>#REF!</v>
      </c>
      <c r="AN16" s="517" t="e">
        <f t="shared" ca="1" si="44"/>
        <v>#REF!</v>
      </c>
      <c r="AO16" s="517" t="e">
        <f t="shared" ca="1" si="44"/>
        <v>#REF!</v>
      </c>
      <c r="AP16" s="517" t="e">
        <f t="shared" ca="1" si="44"/>
        <v>#REF!</v>
      </c>
      <c r="AQ16" s="517" t="e">
        <f t="shared" ca="1" si="44"/>
        <v>#REF!</v>
      </c>
      <c r="AR16" s="517" t="e">
        <f t="shared" ca="1" si="44"/>
        <v>#REF!</v>
      </c>
      <c r="AS16" s="517" t="e">
        <f t="shared" ca="1" si="44"/>
        <v>#REF!</v>
      </c>
      <c r="AT16" s="517" t="e">
        <f t="shared" ca="1" si="44"/>
        <v>#REF!</v>
      </c>
      <c r="AU16" s="517" t="e">
        <f t="shared" ca="1" si="44"/>
        <v>#REF!</v>
      </c>
      <c r="AV16" s="517" t="e">
        <f t="shared" ca="1" si="44"/>
        <v>#REF!</v>
      </c>
      <c r="AW16" s="517" t="e">
        <f t="shared" ca="1" si="44"/>
        <v>#REF!</v>
      </c>
      <c r="AX16" s="517" t="e">
        <f t="shared" ca="1" si="44"/>
        <v>#REF!</v>
      </c>
      <c r="AY16" s="517" t="e">
        <f t="shared" ca="1" si="44"/>
        <v>#REF!</v>
      </c>
      <c r="AZ16" s="517" t="e">
        <f t="shared" ca="1" si="44"/>
        <v>#REF!</v>
      </c>
      <c r="BA16" s="517" t="e">
        <f t="shared" ca="1" si="44"/>
        <v>#REF!</v>
      </c>
      <c r="BB16" s="517" t="e">
        <f t="shared" ca="1" si="44"/>
        <v>#REF!</v>
      </c>
      <c r="BC16" s="517" t="e">
        <f t="shared" ca="1" si="44"/>
        <v>#REF!</v>
      </c>
      <c r="BD16" s="517" t="e">
        <f t="shared" ca="1" si="44"/>
        <v>#REF!</v>
      </c>
      <c r="BE16" s="517" t="e">
        <f t="shared" ca="1" si="44"/>
        <v>#REF!</v>
      </c>
      <c r="BF16" s="517" t="e">
        <f t="shared" ca="1" si="44"/>
        <v>#REF!</v>
      </c>
      <c r="BG16" s="517" t="e">
        <f t="shared" ca="1" si="44"/>
        <v>#REF!</v>
      </c>
      <c r="BH16" s="517" t="e">
        <f t="shared" ca="1" si="44"/>
        <v>#REF!</v>
      </c>
      <c r="BI16" s="517" t="e">
        <f t="shared" ca="1" si="44"/>
        <v>#REF!</v>
      </c>
      <c r="BJ16" s="517" t="e">
        <f t="shared" ca="1" si="44"/>
        <v>#REF!</v>
      </c>
      <c r="BK16" s="517" t="e">
        <f t="shared" ca="1" si="44"/>
        <v>#REF!</v>
      </c>
      <c r="BL16" s="517" t="e">
        <f t="shared" ca="1" si="44"/>
        <v>#REF!</v>
      </c>
      <c r="BM16" s="517" t="e">
        <f t="shared" ca="1" si="44"/>
        <v>#REF!</v>
      </c>
      <c r="BN16" s="517" t="e">
        <f t="shared" ca="1" si="44"/>
        <v>#REF!</v>
      </c>
    </row>
    <row r="17" spans="2:66">
      <c r="B17" s="144"/>
      <c r="E17" s="153" t="e">
        <f ca="1">E15+H16</f>
        <v>#REF!</v>
      </c>
      <c r="F17" s="153" t="e">
        <f ca="1">E17-'Pricing Table Adjusted'!H30</f>
        <v>#REF!</v>
      </c>
      <c r="G17" s="153"/>
      <c r="H17" s="154"/>
    </row>
    <row r="18" spans="2:66">
      <c r="B18" s="159" t="s">
        <v>335</v>
      </c>
      <c r="E18" s="153"/>
      <c r="F18" s="153"/>
      <c r="G18" s="153"/>
      <c r="H18" s="154"/>
    </row>
    <row r="19" spans="2:66">
      <c r="B19" s="146" t="s">
        <v>37</v>
      </c>
      <c r="C19" s="147" t="s">
        <v>337</v>
      </c>
      <c r="D19" s="147" t="s">
        <v>338</v>
      </c>
      <c r="E19" s="147" t="s">
        <v>0</v>
      </c>
      <c r="F19" s="147" t="s">
        <v>331</v>
      </c>
      <c r="G19" s="153"/>
      <c r="H19" s="148">
        <f>closingdate</f>
        <v>0</v>
      </c>
      <c r="I19" s="148">
        <f>EOMONTH(H19,3)</f>
        <v>121</v>
      </c>
      <c r="J19" s="148">
        <f t="shared" ref="J19" si="45">EOMONTH(I19,3)</f>
        <v>213</v>
      </c>
      <c r="K19" s="148">
        <f t="shared" ref="K19" si="46">EOMONTH(J19,3)</f>
        <v>305</v>
      </c>
      <c r="L19" s="148">
        <f t="shared" ref="L19" si="47">EOMONTH(K19,3)</f>
        <v>397</v>
      </c>
      <c r="M19" s="148">
        <f t="shared" ref="M19" si="48">EOMONTH(L19,3)</f>
        <v>486</v>
      </c>
      <c r="N19" s="148">
        <f t="shared" ref="N19" si="49">EOMONTH(M19,3)</f>
        <v>578</v>
      </c>
      <c r="O19" s="148">
        <f t="shared" ref="O19" si="50">EOMONTH(N19,3)</f>
        <v>670</v>
      </c>
      <c r="P19" s="148">
        <f t="shared" ref="P19" si="51">EOMONTH(O19,3)</f>
        <v>762</v>
      </c>
      <c r="Q19" s="148">
        <f t="shared" ref="Q19" si="52">EOMONTH(P19,3)</f>
        <v>851</v>
      </c>
      <c r="R19" s="148">
        <f t="shared" ref="R19" si="53">EOMONTH(Q19,3)</f>
        <v>943</v>
      </c>
      <c r="S19" s="148">
        <f t="shared" ref="S19" si="54">EOMONTH(R19,3)</f>
        <v>1035</v>
      </c>
      <c r="T19" s="148">
        <f t="shared" ref="T19" si="55">EOMONTH(S19,3)</f>
        <v>1127</v>
      </c>
      <c r="U19" s="148">
        <f t="shared" ref="U19" si="56">EOMONTH(T19,3)</f>
        <v>1216</v>
      </c>
      <c r="V19" s="148">
        <f t="shared" ref="V19" si="57">EOMONTH(U19,3)</f>
        <v>1308</v>
      </c>
      <c r="W19" s="148">
        <f t="shared" ref="W19" si="58">EOMONTH(V19,3)</f>
        <v>1400</v>
      </c>
      <c r="X19" s="148">
        <f t="shared" ref="X19" si="59">EOMONTH(W19,3)</f>
        <v>1492</v>
      </c>
      <c r="Y19" s="148">
        <f t="shared" ref="Y19" si="60">EOMONTH(X19,3)</f>
        <v>1582</v>
      </c>
      <c r="Z19" s="148">
        <f t="shared" ref="Z19" si="61">EOMONTH(Y19,3)</f>
        <v>1674</v>
      </c>
      <c r="AA19" s="148">
        <f t="shared" ref="AA19" si="62">EOMONTH(Z19,3)</f>
        <v>1766</v>
      </c>
      <c r="AB19" s="148">
        <f t="shared" ref="AB19" si="63">EOMONTH(AA19,3)</f>
        <v>1858</v>
      </c>
      <c r="AC19" s="148">
        <f t="shared" ref="AC19" si="64">EOMONTH(AB19,3)</f>
        <v>1947</v>
      </c>
      <c r="AD19" s="148">
        <f t="shared" ref="AD19" si="65">EOMONTH(AC19,3)</f>
        <v>2039</v>
      </c>
      <c r="AE19" s="148">
        <f t="shared" ref="AE19" si="66">EOMONTH(AD19,3)</f>
        <v>2131</v>
      </c>
      <c r="AF19" s="148">
        <f t="shared" ref="AF19" si="67">EOMONTH(AE19,3)</f>
        <v>2223</v>
      </c>
      <c r="AG19" s="148">
        <f t="shared" ref="AG19" si="68">EOMONTH(AF19,3)</f>
        <v>2312</v>
      </c>
      <c r="AH19" s="148">
        <f t="shared" ref="AH19" si="69">EOMONTH(AG19,3)</f>
        <v>2404</v>
      </c>
      <c r="AI19" s="148">
        <f t="shared" ref="AI19" si="70">EOMONTH(AH19,3)</f>
        <v>2496</v>
      </c>
      <c r="AJ19" s="148">
        <f t="shared" ref="AJ19" si="71">EOMONTH(AI19,3)</f>
        <v>2588</v>
      </c>
      <c r="AK19" s="148">
        <f t="shared" ref="AK19" si="72">EOMONTH(AJ19,3)</f>
        <v>2677</v>
      </c>
      <c r="AL19" s="148">
        <f t="shared" ref="AL19" si="73">EOMONTH(AK19,3)</f>
        <v>2769</v>
      </c>
      <c r="AM19" s="148">
        <f t="shared" ref="AM19" si="74">EOMONTH(AL19,3)</f>
        <v>2861</v>
      </c>
      <c r="AN19" s="148">
        <f t="shared" ref="AN19" si="75">EOMONTH(AM19,3)</f>
        <v>2953</v>
      </c>
      <c r="AO19" s="148">
        <f t="shared" ref="AO19" si="76">EOMONTH(AN19,3)</f>
        <v>3043</v>
      </c>
      <c r="AP19" s="148">
        <f t="shared" ref="AP19" si="77">EOMONTH(AO19,3)</f>
        <v>3135</v>
      </c>
      <c r="AQ19" s="148">
        <f t="shared" ref="AQ19" si="78">EOMONTH(AP19,3)</f>
        <v>3227</v>
      </c>
      <c r="AR19" s="148">
        <f t="shared" ref="AR19" si="79">EOMONTH(AQ19,3)</f>
        <v>3319</v>
      </c>
      <c r="AS19" s="148">
        <f t="shared" ref="AS19" si="80">EOMONTH(AR19,3)</f>
        <v>3408</v>
      </c>
      <c r="AT19" s="148">
        <f t="shared" ref="AT19" si="81">EOMONTH(AS19,3)</f>
        <v>3500</v>
      </c>
      <c r="AU19" s="148">
        <f t="shared" ref="AU19" si="82">EOMONTH(AT19,3)</f>
        <v>3592</v>
      </c>
      <c r="AV19" s="148">
        <f t="shared" ref="AV19" si="83">EOMONTH(AU19,3)</f>
        <v>3684</v>
      </c>
      <c r="AW19" s="148">
        <f t="shared" ref="AW19" si="84">EOMONTH(AV19,3)</f>
        <v>3773</v>
      </c>
      <c r="AX19" s="148">
        <f t="shared" ref="AX19" si="85">EOMONTH(AW19,3)</f>
        <v>3865</v>
      </c>
      <c r="AY19" s="148">
        <f t="shared" ref="AY19" si="86">EOMONTH(AX19,3)</f>
        <v>3957</v>
      </c>
      <c r="AZ19" s="148">
        <f t="shared" ref="AZ19" si="87">EOMONTH(AY19,3)</f>
        <v>4049</v>
      </c>
      <c r="BA19" s="148">
        <f t="shared" ref="BA19" si="88">EOMONTH(AZ19,3)</f>
        <v>4138</v>
      </c>
      <c r="BB19" s="148">
        <f t="shared" ref="BB19" si="89">EOMONTH(BA19,3)</f>
        <v>4230</v>
      </c>
      <c r="BC19" s="148">
        <f t="shared" ref="BC19" si="90">EOMONTH(BB19,3)</f>
        <v>4322</v>
      </c>
      <c r="BD19" s="148">
        <f t="shared" ref="BD19" si="91">EOMONTH(BC19,3)</f>
        <v>4414</v>
      </c>
      <c r="BE19" s="148">
        <f t="shared" ref="BE19" si="92">EOMONTH(BD19,3)</f>
        <v>4504</v>
      </c>
      <c r="BF19" s="148">
        <f t="shared" ref="BF19" si="93">EOMONTH(BE19,3)</f>
        <v>4596</v>
      </c>
      <c r="BG19" s="148">
        <f t="shared" ref="BG19" si="94">EOMONTH(BF19,3)</f>
        <v>4688</v>
      </c>
      <c r="BH19" s="148">
        <f t="shared" ref="BH19" si="95">EOMONTH(BG19,3)</f>
        <v>4780</v>
      </c>
      <c r="BI19" s="148">
        <f t="shared" ref="BI19" si="96">EOMONTH(BH19,3)</f>
        <v>4869</v>
      </c>
      <c r="BJ19" s="148">
        <f t="shared" ref="BJ19" si="97">EOMONTH(BI19,3)</f>
        <v>4961</v>
      </c>
      <c r="BK19" s="148">
        <f t="shared" ref="BK19" si="98">EOMONTH(BJ19,3)</f>
        <v>5053</v>
      </c>
      <c r="BL19" s="148">
        <f t="shared" ref="BL19" si="99">EOMONTH(BK19,3)</f>
        <v>5145</v>
      </c>
      <c r="BM19" s="148">
        <f t="shared" ref="BM19" si="100">EOMONTH(BL19,3)</f>
        <v>5234</v>
      </c>
      <c r="BN19" s="148">
        <f t="shared" ref="BN19" si="101">EOMONTH(BM19,3)</f>
        <v>5326</v>
      </c>
    </row>
    <row r="20" spans="2:66">
      <c r="B20" s="144">
        <f>Portfolio!C16</f>
        <v>0</v>
      </c>
      <c r="C20" s="155" t="e">
        <f>INDEX(Portfolio!$H:$H,MATCH('Blended IRR_Calc Adjusted'!$B20,Portfolio!$C:$C,0))</f>
        <v>#N/A</v>
      </c>
      <c r="D20" s="155" t="s">
        <v>339</v>
      </c>
      <c r="E20" s="150" t="e">
        <f ca="1">SUM(H20:BN20)</f>
        <v>#REF!</v>
      </c>
      <c r="F20" s="518" t="e" cm="1">
        <f t="array" aca="1" ref="F20" ca="1">-INDIRECT("'"&amp;$B20&amp;"'!$D37")-E20</f>
        <v>#REF!</v>
      </c>
      <c r="G20" s="153"/>
      <c r="H20" s="154">
        <f ca="1">H6+H13</f>
        <v>0</v>
      </c>
      <c r="I20" s="524" t="e">
        <f t="shared" ref="I20:BN20" ca="1" si="102">I6+I13</f>
        <v>#REF!</v>
      </c>
      <c r="J20" s="524" t="e">
        <f t="shared" ca="1" si="102"/>
        <v>#REF!</v>
      </c>
      <c r="K20" s="524" t="e">
        <f t="shared" ca="1" si="102"/>
        <v>#REF!</v>
      </c>
      <c r="L20" s="524" t="e">
        <f t="shared" ca="1" si="102"/>
        <v>#REF!</v>
      </c>
      <c r="M20" s="524" t="e">
        <f t="shared" ca="1" si="102"/>
        <v>#REF!</v>
      </c>
      <c r="N20" s="524" t="e">
        <f t="shared" ca="1" si="102"/>
        <v>#REF!</v>
      </c>
      <c r="O20" s="524" t="e">
        <f t="shared" ca="1" si="102"/>
        <v>#REF!</v>
      </c>
      <c r="P20" s="524" t="e">
        <f t="shared" ca="1" si="102"/>
        <v>#REF!</v>
      </c>
      <c r="Q20" s="524" t="e">
        <f t="shared" ca="1" si="102"/>
        <v>#REF!</v>
      </c>
      <c r="R20" s="524" t="e">
        <f t="shared" ca="1" si="102"/>
        <v>#REF!</v>
      </c>
      <c r="S20" s="524" t="e">
        <f t="shared" ca="1" si="102"/>
        <v>#REF!</v>
      </c>
      <c r="T20" s="524" t="e">
        <f t="shared" ca="1" si="102"/>
        <v>#REF!</v>
      </c>
      <c r="U20" s="524" t="e">
        <f t="shared" ca="1" si="102"/>
        <v>#REF!</v>
      </c>
      <c r="V20" s="524" t="e">
        <f t="shared" ca="1" si="102"/>
        <v>#REF!</v>
      </c>
      <c r="W20" s="524" t="e">
        <f t="shared" ca="1" si="102"/>
        <v>#REF!</v>
      </c>
      <c r="X20" s="524" t="e">
        <f t="shared" ca="1" si="102"/>
        <v>#REF!</v>
      </c>
      <c r="Y20" s="524" t="e">
        <f t="shared" ca="1" si="102"/>
        <v>#REF!</v>
      </c>
      <c r="Z20" s="524" t="e">
        <f t="shared" ca="1" si="102"/>
        <v>#REF!</v>
      </c>
      <c r="AA20" s="524" t="e">
        <f t="shared" ca="1" si="102"/>
        <v>#REF!</v>
      </c>
      <c r="AB20" s="524" t="e">
        <f t="shared" ca="1" si="102"/>
        <v>#REF!</v>
      </c>
      <c r="AC20" s="524" t="e">
        <f t="shared" ca="1" si="102"/>
        <v>#REF!</v>
      </c>
      <c r="AD20" s="524" t="e">
        <f t="shared" ca="1" si="102"/>
        <v>#REF!</v>
      </c>
      <c r="AE20" s="524" t="e">
        <f t="shared" ca="1" si="102"/>
        <v>#REF!</v>
      </c>
      <c r="AF20" s="524" t="e">
        <f t="shared" ca="1" si="102"/>
        <v>#REF!</v>
      </c>
      <c r="AG20" s="524" t="e">
        <f t="shared" ca="1" si="102"/>
        <v>#REF!</v>
      </c>
      <c r="AH20" s="524" t="e">
        <f t="shared" ca="1" si="102"/>
        <v>#REF!</v>
      </c>
      <c r="AI20" s="524" t="e">
        <f t="shared" ca="1" si="102"/>
        <v>#REF!</v>
      </c>
      <c r="AJ20" s="524" t="e">
        <f t="shared" ca="1" si="102"/>
        <v>#REF!</v>
      </c>
      <c r="AK20" s="524" t="e">
        <f t="shared" ca="1" si="102"/>
        <v>#REF!</v>
      </c>
      <c r="AL20" s="524" t="e">
        <f t="shared" ca="1" si="102"/>
        <v>#REF!</v>
      </c>
      <c r="AM20" s="524" t="e">
        <f t="shared" ca="1" si="102"/>
        <v>#REF!</v>
      </c>
      <c r="AN20" s="524" t="e">
        <f t="shared" ca="1" si="102"/>
        <v>#REF!</v>
      </c>
      <c r="AO20" s="524" t="e">
        <f t="shared" ca="1" si="102"/>
        <v>#REF!</v>
      </c>
      <c r="AP20" s="524" t="e">
        <f t="shared" ca="1" si="102"/>
        <v>#REF!</v>
      </c>
      <c r="AQ20" s="524" t="e">
        <f t="shared" ca="1" si="102"/>
        <v>#REF!</v>
      </c>
      <c r="AR20" s="524" t="e">
        <f t="shared" ca="1" si="102"/>
        <v>#REF!</v>
      </c>
      <c r="AS20" s="524" t="e">
        <f t="shared" ca="1" si="102"/>
        <v>#REF!</v>
      </c>
      <c r="AT20" s="524" t="e">
        <f t="shared" ca="1" si="102"/>
        <v>#REF!</v>
      </c>
      <c r="AU20" s="524" t="e">
        <f t="shared" ca="1" si="102"/>
        <v>#REF!</v>
      </c>
      <c r="AV20" s="524" t="e">
        <f t="shared" ca="1" si="102"/>
        <v>#REF!</v>
      </c>
      <c r="AW20" s="524" t="e">
        <f t="shared" ca="1" si="102"/>
        <v>#REF!</v>
      </c>
      <c r="AX20" s="524" t="e">
        <f t="shared" ca="1" si="102"/>
        <v>#REF!</v>
      </c>
      <c r="AY20" s="524" t="e">
        <f t="shared" ca="1" si="102"/>
        <v>#REF!</v>
      </c>
      <c r="AZ20" s="524" t="e">
        <f t="shared" ca="1" si="102"/>
        <v>#REF!</v>
      </c>
      <c r="BA20" s="524" t="e">
        <f t="shared" ca="1" si="102"/>
        <v>#REF!</v>
      </c>
      <c r="BB20" s="524" t="e">
        <f t="shared" ca="1" si="102"/>
        <v>#REF!</v>
      </c>
      <c r="BC20" s="524" t="e">
        <f t="shared" ca="1" si="102"/>
        <v>#REF!</v>
      </c>
      <c r="BD20" s="524" t="e">
        <f t="shared" ca="1" si="102"/>
        <v>#REF!</v>
      </c>
      <c r="BE20" s="524" t="e">
        <f t="shared" ca="1" si="102"/>
        <v>#REF!</v>
      </c>
      <c r="BF20" s="524" t="e">
        <f t="shared" ca="1" si="102"/>
        <v>#REF!</v>
      </c>
      <c r="BG20" s="524" t="e">
        <f t="shared" ca="1" si="102"/>
        <v>#REF!</v>
      </c>
      <c r="BH20" s="524" t="e">
        <f t="shared" ca="1" si="102"/>
        <v>#REF!</v>
      </c>
      <c r="BI20" s="524" t="e">
        <f t="shared" ca="1" si="102"/>
        <v>#REF!</v>
      </c>
      <c r="BJ20" s="524" t="e">
        <f t="shared" ca="1" si="102"/>
        <v>#REF!</v>
      </c>
      <c r="BK20" s="524" t="e">
        <f t="shared" ca="1" si="102"/>
        <v>#REF!</v>
      </c>
      <c r="BL20" s="524" t="e">
        <f t="shared" ca="1" si="102"/>
        <v>#REF!</v>
      </c>
      <c r="BM20" s="524" t="e">
        <f t="shared" ca="1" si="102"/>
        <v>#REF!</v>
      </c>
      <c r="BN20" s="524" t="e">
        <f t="shared" ca="1" si="102"/>
        <v>#REF!</v>
      </c>
    </row>
    <row r="21" spans="2:66" ht="16" thickBot="1">
      <c r="B21" s="516">
        <f>Portfolio!C17</f>
        <v>0</v>
      </c>
      <c r="C21" s="521" t="e">
        <f>INDEX(Portfolio!$H:$H,MATCH('Blended IRR_Calc Adjusted'!$B21,Portfolio!$C:$C,0))</f>
        <v>#N/A</v>
      </c>
      <c r="D21" s="521" t="s">
        <v>339</v>
      </c>
      <c r="E21" s="522" t="e">
        <f ca="1">SUM(H21:BN21)</f>
        <v>#REF!</v>
      </c>
      <c r="F21" s="523" t="e" cm="1">
        <f t="array" aca="1" ref="F21" ca="1">-INDIRECT("'"&amp;$B21&amp;"'!$D37")-E21</f>
        <v>#REF!</v>
      </c>
      <c r="G21" s="519"/>
      <c r="H21" s="520">
        <f ca="1">H7+H14</f>
        <v>0</v>
      </c>
      <c r="I21" s="525" t="e">
        <f t="shared" ref="I21:BN21" ca="1" si="103">I7+I14</f>
        <v>#REF!</v>
      </c>
      <c r="J21" s="525" t="e">
        <f t="shared" ca="1" si="103"/>
        <v>#REF!</v>
      </c>
      <c r="K21" s="525" t="e">
        <f t="shared" ca="1" si="103"/>
        <v>#REF!</v>
      </c>
      <c r="L21" s="525" t="e">
        <f t="shared" ca="1" si="103"/>
        <v>#REF!</v>
      </c>
      <c r="M21" s="525" t="e">
        <f t="shared" ca="1" si="103"/>
        <v>#REF!</v>
      </c>
      <c r="N21" s="525" t="e">
        <f t="shared" ca="1" si="103"/>
        <v>#REF!</v>
      </c>
      <c r="O21" s="525" t="e">
        <f t="shared" ca="1" si="103"/>
        <v>#REF!</v>
      </c>
      <c r="P21" s="525" t="e">
        <f t="shared" ca="1" si="103"/>
        <v>#REF!</v>
      </c>
      <c r="Q21" s="525" t="e">
        <f t="shared" ca="1" si="103"/>
        <v>#REF!</v>
      </c>
      <c r="R21" s="525" t="e">
        <f t="shared" ca="1" si="103"/>
        <v>#REF!</v>
      </c>
      <c r="S21" s="525" t="e">
        <f t="shared" ca="1" si="103"/>
        <v>#REF!</v>
      </c>
      <c r="T21" s="525" t="e">
        <f t="shared" ca="1" si="103"/>
        <v>#REF!</v>
      </c>
      <c r="U21" s="525" t="e">
        <f t="shared" ca="1" si="103"/>
        <v>#REF!</v>
      </c>
      <c r="V21" s="525" t="e">
        <f t="shared" ca="1" si="103"/>
        <v>#REF!</v>
      </c>
      <c r="W21" s="525" t="e">
        <f t="shared" ca="1" si="103"/>
        <v>#REF!</v>
      </c>
      <c r="X21" s="525" t="e">
        <f t="shared" ca="1" si="103"/>
        <v>#REF!</v>
      </c>
      <c r="Y21" s="525" t="e">
        <f t="shared" ca="1" si="103"/>
        <v>#REF!</v>
      </c>
      <c r="Z21" s="525" t="e">
        <f t="shared" ca="1" si="103"/>
        <v>#REF!</v>
      </c>
      <c r="AA21" s="525" t="e">
        <f t="shared" ca="1" si="103"/>
        <v>#REF!</v>
      </c>
      <c r="AB21" s="525" t="e">
        <f t="shared" ca="1" si="103"/>
        <v>#REF!</v>
      </c>
      <c r="AC21" s="525" t="e">
        <f t="shared" ca="1" si="103"/>
        <v>#REF!</v>
      </c>
      <c r="AD21" s="525" t="e">
        <f t="shared" ca="1" si="103"/>
        <v>#REF!</v>
      </c>
      <c r="AE21" s="525" t="e">
        <f t="shared" ca="1" si="103"/>
        <v>#REF!</v>
      </c>
      <c r="AF21" s="525" t="e">
        <f t="shared" ca="1" si="103"/>
        <v>#REF!</v>
      </c>
      <c r="AG21" s="525" t="e">
        <f t="shared" ca="1" si="103"/>
        <v>#REF!</v>
      </c>
      <c r="AH21" s="525" t="e">
        <f t="shared" ca="1" si="103"/>
        <v>#REF!</v>
      </c>
      <c r="AI21" s="525" t="e">
        <f t="shared" ca="1" si="103"/>
        <v>#REF!</v>
      </c>
      <c r="AJ21" s="525" t="e">
        <f t="shared" ca="1" si="103"/>
        <v>#REF!</v>
      </c>
      <c r="AK21" s="525" t="e">
        <f t="shared" ca="1" si="103"/>
        <v>#REF!</v>
      </c>
      <c r="AL21" s="525" t="e">
        <f t="shared" ca="1" si="103"/>
        <v>#REF!</v>
      </c>
      <c r="AM21" s="525" t="e">
        <f t="shared" ca="1" si="103"/>
        <v>#REF!</v>
      </c>
      <c r="AN21" s="525" t="e">
        <f t="shared" ca="1" si="103"/>
        <v>#REF!</v>
      </c>
      <c r="AO21" s="525" t="e">
        <f t="shared" ca="1" si="103"/>
        <v>#REF!</v>
      </c>
      <c r="AP21" s="525" t="e">
        <f t="shared" ca="1" si="103"/>
        <v>#REF!</v>
      </c>
      <c r="AQ21" s="525" t="e">
        <f t="shared" ca="1" si="103"/>
        <v>#REF!</v>
      </c>
      <c r="AR21" s="525" t="e">
        <f t="shared" ca="1" si="103"/>
        <v>#REF!</v>
      </c>
      <c r="AS21" s="525" t="e">
        <f t="shared" ca="1" si="103"/>
        <v>#REF!</v>
      </c>
      <c r="AT21" s="525" t="e">
        <f t="shared" ca="1" si="103"/>
        <v>#REF!</v>
      </c>
      <c r="AU21" s="525" t="e">
        <f t="shared" ca="1" si="103"/>
        <v>#REF!</v>
      </c>
      <c r="AV21" s="525" t="e">
        <f t="shared" ca="1" si="103"/>
        <v>#REF!</v>
      </c>
      <c r="AW21" s="525" t="e">
        <f t="shared" ca="1" si="103"/>
        <v>#REF!</v>
      </c>
      <c r="AX21" s="525" t="e">
        <f t="shared" ca="1" si="103"/>
        <v>#REF!</v>
      </c>
      <c r="AY21" s="525" t="e">
        <f t="shared" ca="1" si="103"/>
        <v>#REF!</v>
      </c>
      <c r="AZ21" s="525" t="e">
        <f t="shared" ca="1" si="103"/>
        <v>#REF!</v>
      </c>
      <c r="BA21" s="525" t="e">
        <f t="shared" ca="1" si="103"/>
        <v>#REF!</v>
      </c>
      <c r="BB21" s="525" t="e">
        <f t="shared" ca="1" si="103"/>
        <v>#REF!</v>
      </c>
      <c r="BC21" s="525" t="e">
        <f t="shared" ca="1" si="103"/>
        <v>#REF!</v>
      </c>
      <c r="BD21" s="525" t="e">
        <f t="shared" ca="1" si="103"/>
        <v>#REF!</v>
      </c>
      <c r="BE21" s="525" t="e">
        <f t="shared" ca="1" si="103"/>
        <v>#REF!</v>
      </c>
      <c r="BF21" s="525" t="e">
        <f t="shared" ca="1" si="103"/>
        <v>#REF!</v>
      </c>
      <c r="BG21" s="525" t="e">
        <f t="shared" ca="1" si="103"/>
        <v>#REF!</v>
      </c>
      <c r="BH21" s="525" t="e">
        <f t="shared" ca="1" si="103"/>
        <v>#REF!</v>
      </c>
      <c r="BI21" s="525" t="e">
        <f t="shared" ca="1" si="103"/>
        <v>#REF!</v>
      </c>
      <c r="BJ21" s="525" t="e">
        <f t="shared" ca="1" si="103"/>
        <v>#REF!</v>
      </c>
      <c r="BK21" s="525" t="e">
        <f t="shared" ca="1" si="103"/>
        <v>#REF!</v>
      </c>
      <c r="BL21" s="525" t="e">
        <f t="shared" ca="1" si="103"/>
        <v>#REF!</v>
      </c>
      <c r="BM21" s="525" t="e">
        <f t="shared" ca="1" si="103"/>
        <v>#REF!</v>
      </c>
      <c r="BN21" s="525" t="e">
        <f t="shared" ca="1" si="103"/>
        <v>#REF!</v>
      </c>
    </row>
    <row r="22" spans="2:66">
      <c r="B22" s="161" t="s">
        <v>332</v>
      </c>
      <c r="E22" s="158" t="e">
        <f ca="1">SUMPRODUCT(E20:E21,$C$20:$C$21)</f>
        <v>#REF!</v>
      </c>
      <c r="F22" s="153"/>
      <c r="G22" s="153"/>
      <c r="H22" s="158" t="e">
        <f ca="1">SUMPRODUCT(H20:H21,$C$20:$C$21)</f>
        <v>#N/A</v>
      </c>
      <c r="I22" s="158" t="e">
        <f t="shared" ref="I22:BN22" ca="1" si="104">SUMPRODUCT(I20:I21,$C$20:$C$21)</f>
        <v>#REF!</v>
      </c>
      <c r="J22" s="158" t="e">
        <f t="shared" ca="1" si="104"/>
        <v>#REF!</v>
      </c>
      <c r="K22" s="158" t="e">
        <f t="shared" ca="1" si="104"/>
        <v>#REF!</v>
      </c>
      <c r="L22" s="158" t="e">
        <f t="shared" ca="1" si="104"/>
        <v>#REF!</v>
      </c>
      <c r="M22" s="158" t="e">
        <f t="shared" ca="1" si="104"/>
        <v>#REF!</v>
      </c>
      <c r="N22" s="158" t="e">
        <f t="shared" ca="1" si="104"/>
        <v>#REF!</v>
      </c>
      <c r="O22" s="158" t="e">
        <f t="shared" ca="1" si="104"/>
        <v>#REF!</v>
      </c>
      <c r="P22" s="158" t="e">
        <f t="shared" ca="1" si="104"/>
        <v>#REF!</v>
      </c>
      <c r="Q22" s="158" t="e">
        <f t="shared" ca="1" si="104"/>
        <v>#REF!</v>
      </c>
      <c r="R22" s="158" t="e">
        <f t="shared" ca="1" si="104"/>
        <v>#REF!</v>
      </c>
      <c r="S22" s="158" t="e">
        <f t="shared" ca="1" si="104"/>
        <v>#REF!</v>
      </c>
      <c r="T22" s="158" t="e">
        <f t="shared" ca="1" si="104"/>
        <v>#REF!</v>
      </c>
      <c r="U22" s="158" t="e">
        <f t="shared" ca="1" si="104"/>
        <v>#REF!</v>
      </c>
      <c r="V22" s="158" t="e">
        <f t="shared" ca="1" si="104"/>
        <v>#REF!</v>
      </c>
      <c r="W22" s="158" t="e">
        <f t="shared" ca="1" si="104"/>
        <v>#REF!</v>
      </c>
      <c r="X22" s="158" t="e">
        <f t="shared" ca="1" si="104"/>
        <v>#REF!</v>
      </c>
      <c r="Y22" s="158" t="e">
        <f t="shared" ca="1" si="104"/>
        <v>#REF!</v>
      </c>
      <c r="Z22" s="158" t="e">
        <f t="shared" ca="1" si="104"/>
        <v>#REF!</v>
      </c>
      <c r="AA22" s="158" t="e">
        <f t="shared" ca="1" si="104"/>
        <v>#REF!</v>
      </c>
      <c r="AB22" s="158" t="e">
        <f t="shared" ca="1" si="104"/>
        <v>#REF!</v>
      </c>
      <c r="AC22" s="158" t="e">
        <f t="shared" ca="1" si="104"/>
        <v>#REF!</v>
      </c>
      <c r="AD22" s="158" t="e">
        <f t="shared" ca="1" si="104"/>
        <v>#REF!</v>
      </c>
      <c r="AE22" s="158" t="e">
        <f t="shared" ca="1" si="104"/>
        <v>#REF!</v>
      </c>
      <c r="AF22" s="158" t="e">
        <f t="shared" ca="1" si="104"/>
        <v>#REF!</v>
      </c>
      <c r="AG22" s="158" t="e">
        <f t="shared" ca="1" si="104"/>
        <v>#REF!</v>
      </c>
      <c r="AH22" s="158" t="e">
        <f t="shared" ca="1" si="104"/>
        <v>#REF!</v>
      </c>
      <c r="AI22" s="158" t="e">
        <f t="shared" ca="1" si="104"/>
        <v>#REF!</v>
      </c>
      <c r="AJ22" s="158" t="e">
        <f t="shared" ca="1" si="104"/>
        <v>#REF!</v>
      </c>
      <c r="AK22" s="158" t="e">
        <f t="shared" ca="1" si="104"/>
        <v>#REF!</v>
      </c>
      <c r="AL22" s="158" t="e">
        <f t="shared" ca="1" si="104"/>
        <v>#REF!</v>
      </c>
      <c r="AM22" s="158" t="e">
        <f t="shared" ca="1" si="104"/>
        <v>#REF!</v>
      </c>
      <c r="AN22" s="158" t="e">
        <f t="shared" ca="1" si="104"/>
        <v>#REF!</v>
      </c>
      <c r="AO22" s="158" t="e">
        <f t="shared" ca="1" si="104"/>
        <v>#REF!</v>
      </c>
      <c r="AP22" s="158" t="e">
        <f t="shared" ca="1" si="104"/>
        <v>#REF!</v>
      </c>
      <c r="AQ22" s="158" t="e">
        <f t="shared" ca="1" si="104"/>
        <v>#REF!</v>
      </c>
      <c r="AR22" s="158" t="e">
        <f t="shared" ca="1" si="104"/>
        <v>#REF!</v>
      </c>
      <c r="AS22" s="158" t="e">
        <f t="shared" ca="1" si="104"/>
        <v>#REF!</v>
      </c>
      <c r="AT22" s="158" t="e">
        <f t="shared" ca="1" si="104"/>
        <v>#REF!</v>
      </c>
      <c r="AU22" s="158" t="e">
        <f t="shared" ca="1" si="104"/>
        <v>#REF!</v>
      </c>
      <c r="AV22" s="158" t="e">
        <f t="shared" ca="1" si="104"/>
        <v>#REF!</v>
      </c>
      <c r="AW22" s="158" t="e">
        <f t="shared" ca="1" si="104"/>
        <v>#REF!</v>
      </c>
      <c r="AX22" s="158" t="e">
        <f t="shared" ca="1" si="104"/>
        <v>#REF!</v>
      </c>
      <c r="AY22" s="158" t="e">
        <f t="shared" ca="1" si="104"/>
        <v>#REF!</v>
      </c>
      <c r="AZ22" s="158" t="e">
        <f t="shared" ca="1" si="104"/>
        <v>#REF!</v>
      </c>
      <c r="BA22" s="158" t="e">
        <f t="shared" ca="1" si="104"/>
        <v>#REF!</v>
      </c>
      <c r="BB22" s="158" t="e">
        <f t="shared" ca="1" si="104"/>
        <v>#REF!</v>
      </c>
      <c r="BC22" s="158" t="e">
        <f t="shared" ca="1" si="104"/>
        <v>#REF!</v>
      </c>
      <c r="BD22" s="158" t="e">
        <f t="shared" ca="1" si="104"/>
        <v>#REF!</v>
      </c>
      <c r="BE22" s="158" t="e">
        <f t="shared" ca="1" si="104"/>
        <v>#REF!</v>
      </c>
      <c r="BF22" s="158" t="e">
        <f t="shared" ca="1" si="104"/>
        <v>#REF!</v>
      </c>
      <c r="BG22" s="158" t="e">
        <f t="shared" ca="1" si="104"/>
        <v>#REF!</v>
      </c>
      <c r="BH22" s="158" t="e">
        <f t="shared" ca="1" si="104"/>
        <v>#REF!</v>
      </c>
      <c r="BI22" s="158" t="e">
        <f t="shared" ca="1" si="104"/>
        <v>#REF!</v>
      </c>
      <c r="BJ22" s="158" t="e">
        <f t="shared" ca="1" si="104"/>
        <v>#REF!</v>
      </c>
      <c r="BK22" s="158" t="e">
        <f t="shared" ca="1" si="104"/>
        <v>#REF!</v>
      </c>
      <c r="BL22" s="158" t="e">
        <f t="shared" ca="1" si="104"/>
        <v>#REF!</v>
      </c>
      <c r="BM22" s="158" t="e">
        <f t="shared" ca="1" si="104"/>
        <v>#REF!</v>
      </c>
      <c r="BN22" s="158" t="e">
        <f t="shared" ca="1" si="104"/>
        <v>#REF!</v>
      </c>
    </row>
    <row r="23" spans="2:66">
      <c r="B23" s="161" t="s">
        <v>333</v>
      </c>
      <c r="E23" s="526" t="e">
        <f ca="1">SUMPRODUCT(E20:E21,$D$20:$D$21)</f>
        <v>#REF!</v>
      </c>
      <c r="F23" s="153"/>
      <c r="G23" s="153"/>
      <c r="H23" s="517">
        <f ca="1">SUMPRODUCT(H20:H21,$D$20:$D$21)</f>
        <v>0</v>
      </c>
      <c r="I23" s="159" t="e">
        <f t="shared" ref="I23:BN23" ca="1" si="105">SUMPRODUCT(I20:I21,$D$20:$D$21)</f>
        <v>#REF!</v>
      </c>
      <c r="J23" s="159" t="e">
        <f t="shared" ca="1" si="105"/>
        <v>#REF!</v>
      </c>
      <c r="K23" s="159" t="e">
        <f t="shared" ca="1" si="105"/>
        <v>#REF!</v>
      </c>
      <c r="L23" s="159" t="e">
        <f t="shared" ca="1" si="105"/>
        <v>#REF!</v>
      </c>
      <c r="M23" s="159" t="e">
        <f t="shared" ca="1" si="105"/>
        <v>#REF!</v>
      </c>
      <c r="N23" s="159" t="e">
        <f t="shared" ca="1" si="105"/>
        <v>#REF!</v>
      </c>
      <c r="O23" s="159" t="e">
        <f t="shared" ca="1" si="105"/>
        <v>#REF!</v>
      </c>
      <c r="P23" s="159" t="e">
        <f t="shared" ca="1" si="105"/>
        <v>#REF!</v>
      </c>
      <c r="Q23" s="159" t="e">
        <f t="shared" ca="1" si="105"/>
        <v>#REF!</v>
      </c>
      <c r="R23" s="159" t="e">
        <f t="shared" ca="1" si="105"/>
        <v>#REF!</v>
      </c>
      <c r="S23" s="159" t="e">
        <f t="shared" ca="1" si="105"/>
        <v>#REF!</v>
      </c>
      <c r="T23" s="159" t="e">
        <f t="shared" ca="1" si="105"/>
        <v>#REF!</v>
      </c>
      <c r="U23" s="159" t="e">
        <f t="shared" ca="1" si="105"/>
        <v>#REF!</v>
      </c>
      <c r="V23" s="159" t="e">
        <f t="shared" ca="1" si="105"/>
        <v>#REF!</v>
      </c>
      <c r="W23" s="159" t="e">
        <f t="shared" ca="1" si="105"/>
        <v>#REF!</v>
      </c>
      <c r="X23" s="159" t="e">
        <f t="shared" ca="1" si="105"/>
        <v>#REF!</v>
      </c>
      <c r="Y23" s="159" t="e">
        <f t="shared" ca="1" si="105"/>
        <v>#REF!</v>
      </c>
      <c r="Z23" s="159" t="e">
        <f t="shared" ca="1" si="105"/>
        <v>#REF!</v>
      </c>
      <c r="AA23" s="159" t="e">
        <f t="shared" ca="1" si="105"/>
        <v>#REF!</v>
      </c>
      <c r="AB23" s="159" t="e">
        <f t="shared" ca="1" si="105"/>
        <v>#REF!</v>
      </c>
      <c r="AC23" s="159" t="e">
        <f t="shared" ca="1" si="105"/>
        <v>#REF!</v>
      </c>
      <c r="AD23" s="159" t="e">
        <f t="shared" ca="1" si="105"/>
        <v>#REF!</v>
      </c>
      <c r="AE23" s="159" t="e">
        <f t="shared" ca="1" si="105"/>
        <v>#REF!</v>
      </c>
      <c r="AF23" s="159" t="e">
        <f t="shared" ca="1" si="105"/>
        <v>#REF!</v>
      </c>
      <c r="AG23" s="159" t="e">
        <f t="shared" ca="1" si="105"/>
        <v>#REF!</v>
      </c>
      <c r="AH23" s="159" t="e">
        <f t="shared" ca="1" si="105"/>
        <v>#REF!</v>
      </c>
      <c r="AI23" s="159" t="e">
        <f t="shared" ca="1" si="105"/>
        <v>#REF!</v>
      </c>
      <c r="AJ23" s="159" t="e">
        <f t="shared" ca="1" si="105"/>
        <v>#REF!</v>
      </c>
      <c r="AK23" s="159" t="e">
        <f t="shared" ca="1" si="105"/>
        <v>#REF!</v>
      </c>
      <c r="AL23" s="159" t="e">
        <f t="shared" ca="1" si="105"/>
        <v>#REF!</v>
      </c>
      <c r="AM23" s="159" t="e">
        <f t="shared" ca="1" si="105"/>
        <v>#REF!</v>
      </c>
      <c r="AN23" s="159" t="e">
        <f t="shared" ca="1" si="105"/>
        <v>#REF!</v>
      </c>
      <c r="AO23" s="159" t="e">
        <f t="shared" ca="1" si="105"/>
        <v>#REF!</v>
      </c>
      <c r="AP23" s="159" t="e">
        <f t="shared" ca="1" si="105"/>
        <v>#REF!</v>
      </c>
      <c r="AQ23" s="159" t="e">
        <f t="shared" ca="1" si="105"/>
        <v>#REF!</v>
      </c>
      <c r="AR23" s="159" t="e">
        <f t="shared" ca="1" si="105"/>
        <v>#REF!</v>
      </c>
      <c r="AS23" s="159" t="e">
        <f t="shared" ca="1" si="105"/>
        <v>#REF!</v>
      </c>
      <c r="AT23" s="159" t="e">
        <f t="shared" ca="1" si="105"/>
        <v>#REF!</v>
      </c>
      <c r="AU23" s="159" t="e">
        <f t="shared" ca="1" si="105"/>
        <v>#REF!</v>
      </c>
      <c r="AV23" s="159" t="e">
        <f t="shared" ca="1" si="105"/>
        <v>#REF!</v>
      </c>
      <c r="AW23" s="159" t="e">
        <f t="shared" ca="1" si="105"/>
        <v>#REF!</v>
      </c>
      <c r="AX23" s="159" t="e">
        <f t="shared" ca="1" si="105"/>
        <v>#REF!</v>
      </c>
      <c r="AY23" s="159" t="e">
        <f t="shared" ca="1" si="105"/>
        <v>#REF!</v>
      </c>
      <c r="AZ23" s="159" t="e">
        <f t="shared" ca="1" si="105"/>
        <v>#REF!</v>
      </c>
      <c r="BA23" s="159" t="e">
        <f t="shared" ca="1" si="105"/>
        <v>#REF!</v>
      </c>
      <c r="BB23" s="159" t="e">
        <f t="shared" ca="1" si="105"/>
        <v>#REF!</v>
      </c>
      <c r="BC23" s="159" t="e">
        <f t="shared" ca="1" si="105"/>
        <v>#REF!</v>
      </c>
      <c r="BD23" s="159" t="e">
        <f t="shared" ca="1" si="105"/>
        <v>#REF!</v>
      </c>
      <c r="BE23" s="159" t="e">
        <f t="shared" ca="1" si="105"/>
        <v>#REF!</v>
      </c>
      <c r="BF23" s="159" t="e">
        <f t="shared" ca="1" si="105"/>
        <v>#REF!</v>
      </c>
      <c r="BG23" s="159" t="e">
        <f t="shared" ca="1" si="105"/>
        <v>#REF!</v>
      </c>
      <c r="BH23" s="159" t="e">
        <f t="shared" ca="1" si="105"/>
        <v>#REF!</v>
      </c>
      <c r="BI23" s="159" t="e">
        <f t="shared" ca="1" si="105"/>
        <v>#REF!</v>
      </c>
      <c r="BJ23" s="159" t="e">
        <f t="shared" ca="1" si="105"/>
        <v>#REF!</v>
      </c>
      <c r="BK23" s="159" t="e">
        <f t="shared" ca="1" si="105"/>
        <v>#REF!</v>
      </c>
      <c r="BL23" s="159" t="e">
        <f t="shared" ca="1" si="105"/>
        <v>#REF!</v>
      </c>
      <c r="BM23" s="159" t="e">
        <f t="shared" ca="1" si="105"/>
        <v>#REF!</v>
      </c>
      <c r="BN23" s="159" t="e">
        <f t="shared" ca="1" si="105"/>
        <v>#REF!</v>
      </c>
    </row>
    <row r="24" spans="2:66">
      <c r="B24" s="144"/>
      <c r="E24" s="153"/>
      <c r="F24" s="153"/>
      <c r="G24" s="153"/>
      <c r="H24" s="517"/>
    </row>
    <row r="25" spans="2:66">
      <c r="B25" s="144"/>
      <c r="E25" s="153"/>
      <c r="F25" s="153"/>
      <c r="G25" s="153"/>
      <c r="H25" s="148">
        <f>H19</f>
        <v>0</v>
      </c>
      <c r="I25" s="148">
        <f t="shared" ref="I25:BN25" si="106">I19</f>
        <v>121</v>
      </c>
      <c r="J25" s="148">
        <f t="shared" si="106"/>
        <v>213</v>
      </c>
      <c r="K25" s="148">
        <f t="shared" si="106"/>
        <v>305</v>
      </c>
      <c r="L25" s="148">
        <f t="shared" si="106"/>
        <v>397</v>
      </c>
      <c r="M25" s="148">
        <f t="shared" si="106"/>
        <v>486</v>
      </c>
      <c r="N25" s="148">
        <f t="shared" si="106"/>
        <v>578</v>
      </c>
      <c r="O25" s="148">
        <f t="shared" si="106"/>
        <v>670</v>
      </c>
      <c r="P25" s="148">
        <f t="shared" si="106"/>
        <v>762</v>
      </c>
      <c r="Q25" s="148">
        <f t="shared" si="106"/>
        <v>851</v>
      </c>
      <c r="R25" s="148">
        <f t="shared" si="106"/>
        <v>943</v>
      </c>
      <c r="S25" s="148">
        <f t="shared" si="106"/>
        <v>1035</v>
      </c>
      <c r="T25" s="148">
        <f t="shared" si="106"/>
        <v>1127</v>
      </c>
      <c r="U25" s="148">
        <f t="shared" si="106"/>
        <v>1216</v>
      </c>
      <c r="V25" s="148">
        <f t="shared" si="106"/>
        <v>1308</v>
      </c>
      <c r="W25" s="148">
        <f t="shared" si="106"/>
        <v>1400</v>
      </c>
      <c r="X25" s="148">
        <f t="shared" si="106"/>
        <v>1492</v>
      </c>
      <c r="Y25" s="148">
        <f t="shared" si="106"/>
        <v>1582</v>
      </c>
      <c r="Z25" s="148">
        <f t="shared" si="106"/>
        <v>1674</v>
      </c>
      <c r="AA25" s="148">
        <f t="shared" si="106"/>
        <v>1766</v>
      </c>
      <c r="AB25" s="148">
        <f t="shared" si="106"/>
        <v>1858</v>
      </c>
      <c r="AC25" s="148">
        <f t="shared" si="106"/>
        <v>1947</v>
      </c>
      <c r="AD25" s="148">
        <f t="shared" si="106"/>
        <v>2039</v>
      </c>
      <c r="AE25" s="148">
        <f t="shared" si="106"/>
        <v>2131</v>
      </c>
      <c r="AF25" s="148">
        <f t="shared" si="106"/>
        <v>2223</v>
      </c>
      <c r="AG25" s="148">
        <f t="shared" si="106"/>
        <v>2312</v>
      </c>
      <c r="AH25" s="148">
        <f t="shared" si="106"/>
        <v>2404</v>
      </c>
      <c r="AI25" s="148">
        <f t="shared" si="106"/>
        <v>2496</v>
      </c>
      <c r="AJ25" s="148">
        <f t="shared" si="106"/>
        <v>2588</v>
      </c>
      <c r="AK25" s="148">
        <f t="shared" si="106"/>
        <v>2677</v>
      </c>
      <c r="AL25" s="148">
        <f t="shared" si="106"/>
        <v>2769</v>
      </c>
      <c r="AM25" s="148">
        <f t="shared" si="106"/>
        <v>2861</v>
      </c>
      <c r="AN25" s="148">
        <f t="shared" si="106"/>
        <v>2953</v>
      </c>
      <c r="AO25" s="148">
        <f t="shared" si="106"/>
        <v>3043</v>
      </c>
      <c r="AP25" s="148">
        <f t="shared" si="106"/>
        <v>3135</v>
      </c>
      <c r="AQ25" s="148">
        <f t="shared" si="106"/>
        <v>3227</v>
      </c>
      <c r="AR25" s="148">
        <f t="shared" si="106"/>
        <v>3319</v>
      </c>
      <c r="AS25" s="148">
        <f t="shared" si="106"/>
        <v>3408</v>
      </c>
      <c r="AT25" s="148">
        <f t="shared" si="106"/>
        <v>3500</v>
      </c>
      <c r="AU25" s="148">
        <f t="shared" si="106"/>
        <v>3592</v>
      </c>
      <c r="AV25" s="148">
        <f t="shared" si="106"/>
        <v>3684</v>
      </c>
      <c r="AW25" s="148">
        <f t="shared" si="106"/>
        <v>3773</v>
      </c>
      <c r="AX25" s="148">
        <f t="shared" si="106"/>
        <v>3865</v>
      </c>
      <c r="AY25" s="148">
        <f t="shared" si="106"/>
        <v>3957</v>
      </c>
      <c r="AZ25" s="148">
        <f t="shared" si="106"/>
        <v>4049</v>
      </c>
      <c r="BA25" s="148">
        <f t="shared" si="106"/>
        <v>4138</v>
      </c>
      <c r="BB25" s="148">
        <f t="shared" si="106"/>
        <v>4230</v>
      </c>
      <c r="BC25" s="148">
        <f t="shared" si="106"/>
        <v>4322</v>
      </c>
      <c r="BD25" s="148">
        <f t="shared" si="106"/>
        <v>4414</v>
      </c>
      <c r="BE25" s="148">
        <f t="shared" si="106"/>
        <v>4504</v>
      </c>
      <c r="BF25" s="148">
        <f t="shared" si="106"/>
        <v>4596</v>
      </c>
      <c r="BG25" s="148">
        <f t="shared" si="106"/>
        <v>4688</v>
      </c>
      <c r="BH25" s="148">
        <f t="shared" si="106"/>
        <v>4780</v>
      </c>
      <c r="BI25" s="148">
        <f t="shared" si="106"/>
        <v>4869</v>
      </c>
      <c r="BJ25" s="148">
        <f t="shared" si="106"/>
        <v>4961</v>
      </c>
      <c r="BK25" s="148">
        <f t="shared" si="106"/>
        <v>5053</v>
      </c>
      <c r="BL25" s="148">
        <f t="shared" si="106"/>
        <v>5145</v>
      </c>
      <c r="BM25" s="148">
        <f t="shared" si="106"/>
        <v>5234</v>
      </c>
      <c r="BN25" s="148">
        <f t="shared" si="106"/>
        <v>5326</v>
      </c>
    </row>
    <row r="26" spans="2:66">
      <c r="B26" s="161" t="s">
        <v>58</v>
      </c>
      <c r="C26" s="163" t="e">
        <f ca="1">XIRR($H$29:$BN$29,$H$5:$BN$5)</f>
        <v>#REF!</v>
      </c>
      <c r="F26" s="159" t="s">
        <v>45</v>
      </c>
      <c r="G26" s="153"/>
      <c r="H26" t="e">
        <f ca="1">SUM($H$23:H23)/SUM($H$16:H16)</f>
        <v>#DIV/0!</v>
      </c>
      <c r="I26" t="e">
        <f ca="1">SUM($H$22:I22)/SUM($H$15:I15)</f>
        <v>#N/A</v>
      </c>
      <c r="J26" t="e">
        <f ca="1">SUM($H$22:J22)/SUM($H$15:J15)</f>
        <v>#N/A</v>
      </c>
      <c r="K26" t="e">
        <f ca="1">SUM($H$22:K22)/SUM($H$15:K15)</f>
        <v>#N/A</v>
      </c>
      <c r="L26" t="e">
        <f ca="1">SUM($H$22:L22)/SUM($H$15:L15)</f>
        <v>#N/A</v>
      </c>
      <c r="M26" t="e">
        <f ca="1">SUM($H$22:M22)/SUM($H$15:M15)</f>
        <v>#N/A</v>
      </c>
      <c r="N26" t="e">
        <f ca="1">SUM($H$22:N22)/SUM($H$15:N15)</f>
        <v>#N/A</v>
      </c>
      <c r="O26" t="e">
        <f ca="1">SUM($H$22:O22)/SUM($H$15:O15)</f>
        <v>#N/A</v>
      </c>
      <c r="P26" t="e">
        <f ca="1">SUM($H$22:P22)/SUM($H$15:P15)</f>
        <v>#N/A</v>
      </c>
      <c r="Q26" t="e">
        <f ca="1">SUM($H$22:Q22)/SUM($H$15:Q15)</f>
        <v>#N/A</v>
      </c>
      <c r="R26" t="e">
        <f ca="1">SUM($H$22:R22)/SUM($H$15:R15)</f>
        <v>#N/A</v>
      </c>
      <c r="S26" t="e">
        <f ca="1">SUM($H$22:S22)/SUM($H$15:S15)</f>
        <v>#N/A</v>
      </c>
      <c r="T26" t="e">
        <f ca="1">SUM($H$22:T22)/SUM($H$15:T15)</f>
        <v>#N/A</v>
      </c>
      <c r="U26" t="e">
        <f ca="1">SUM($H$22:U22)/SUM($H$15:U15)</f>
        <v>#N/A</v>
      </c>
      <c r="V26" t="e">
        <f ca="1">SUM($H$22:V22)/SUM($H$15:V15)</f>
        <v>#N/A</v>
      </c>
      <c r="W26" t="e">
        <f ca="1">SUM($H$22:W22)/SUM($H$15:W15)</f>
        <v>#N/A</v>
      </c>
      <c r="X26" t="e">
        <f ca="1">SUM($H$22:X22)/SUM($H$15:X15)</f>
        <v>#N/A</v>
      </c>
      <c r="Y26" t="e">
        <f ca="1">SUM($H$22:Y22)/SUM($H$15:Y15)</f>
        <v>#N/A</v>
      </c>
      <c r="Z26" t="e">
        <f ca="1">SUM($H$22:Z22)/SUM($H$15:Z15)</f>
        <v>#N/A</v>
      </c>
      <c r="AA26" t="e">
        <f ca="1">SUM($H$22:AA22)/SUM($H$15:AA15)</f>
        <v>#N/A</v>
      </c>
      <c r="AB26" t="e">
        <f ca="1">SUM($H$22:AB22)/SUM($H$15:AB15)</f>
        <v>#N/A</v>
      </c>
      <c r="AC26" t="e">
        <f ca="1">SUM($H$22:AC22)/SUM($H$15:AC15)</f>
        <v>#N/A</v>
      </c>
      <c r="AD26" t="e">
        <f ca="1">SUM($H$22:AD22)/SUM($H$15:AD15)</f>
        <v>#N/A</v>
      </c>
      <c r="AE26" t="e">
        <f ca="1">SUM($H$22:AE22)/SUM($H$15:AE15)</f>
        <v>#N/A</v>
      </c>
      <c r="AF26" t="e">
        <f ca="1">SUM($H$22:AF22)/SUM($H$15:AF15)</f>
        <v>#N/A</v>
      </c>
      <c r="AG26" t="e">
        <f ca="1">SUM($H$22:AG22)/SUM($H$15:AG15)</f>
        <v>#N/A</v>
      </c>
      <c r="AH26" t="e">
        <f ca="1">SUM($H$22:AH22)/SUM($H$15:AH15)</f>
        <v>#N/A</v>
      </c>
      <c r="AI26" t="e">
        <f ca="1">SUM($H$22:AI22)/SUM($H$15:AI15)</f>
        <v>#N/A</v>
      </c>
      <c r="AJ26" t="e">
        <f ca="1">SUM($H$22:AJ22)/SUM($H$15:AJ15)</f>
        <v>#N/A</v>
      </c>
      <c r="AK26" t="e">
        <f ca="1">SUM($H$22:AK22)/SUM($H$15:AK15)</f>
        <v>#N/A</v>
      </c>
      <c r="AL26" t="e">
        <f ca="1">SUM($H$22:AL22)/SUM($H$15:AL15)</f>
        <v>#N/A</v>
      </c>
      <c r="AM26" t="e">
        <f ca="1">SUM($H$22:AM22)/SUM($H$15:AM15)</f>
        <v>#N/A</v>
      </c>
      <c r="AN26" t="e">
        <f ca="1">SUM($H$22:AN22)/SUM($H$15:AN15)</f>
        <v>#N/A</v>
      </c>
      <c r="AO26" t="e">
        <f ca="1">SUM($H$22:AO22)/SUM($H$15:AO15)</f>
        <v>#N/A</v>
      </c>
      <c r="AP26" t="e">
        <f ca="1">SUM($H$22:AP22)/SUM($H$15:AP15)</f>
        <v>#N/A</v>
      </c>
      <c r="AQ26" t="e">
        <f ca="1">SUM($H$22:AQ22)/SUM($H$15:AQ15)</f>
        <v>#N/A</v>
      </c>
      <c r="AR26" t="e">
        <f ca="1">SUM($H$22:AR22)/SUM($H$15:AR15)</f>
        <v>#N/A</v>
      </c>
      <c r="AS26" t="e">
        <f ca="1">SUM($H$22:AS22)/SUM($H$15:AS15)</f>
        <v>#N/A</v>
      </c>
      <c r="AT26" t="e">
        <f ca="1">SUM($H$22:AT22)/SUM($H$15:AT15)</f>
        <v>#N/A</v>
      </c>
      <c r="AU26" t="e">
        <f ca="1">SUM($H$22:AU22)/SUM($H$15:AU15)</f>
        <v>#N/A</v>
      </c>
      <c r="AV26" t="e">
        <f ca="1">SUM($H$22:AV22)/SUM($H$15:AV15)</f>
        <v>#N/A</v>
      </c>
      <c r="AW26" t="e">
        <f ca="1">SUM($H$22:AW22)/SUM($H$15:AW15)</f>
        <v>#N/A</v>
      </c>
      <c r="AX26" t="e">
        <f ca="1">SUM($H$22:AX22)/SUM($H$15:AX15)</f>
        <v>#N/A</v>
      </c>
      <c r="AY26" t="e">
        <f ca="1">SUM($H$22:AY22)/SUM($H$15:AY15)</f>
        <v>#N/A</v>
      </c>
      <c r="AZ26" t="e">
        <f ca="1">SUM($H$22:AZ22)/SUM($H$15:AZ15)</f>
        <v>#N/A</v>
      </c>
      <c r="BA26" t="e">
        <f ca="1">SUM($H$22:BA22)/SUM($H$15:BA15)</f>
        <v>#N/A</v>
      </c>
      <c r="BB26" t="e">
        <f ca="1">SUM($H$22:BB22)/SUM($H$15:BB15)</f>
        <v>#N/A</v>
      </c>
      <c r="BC26" t="e">
        <f ca="1">SUM($H$22:BC22)/SUM($H$15:BC15)</f>
        <v>#N/A</v>
      </c>
      <c r="BD26" t="e">
        <f ca="1">SUM($H$22:BD22)/SUM($H$15:BD15)</f>
        <v>#N/A</v>
      </c>
      <c r="BE26" t="e">
        <f ca="1">SUM($H$22:BE22)/SUM($H$15:BE15)</f>
        <v>#N/A</v>
      </c>
      <c r="BF26" t="e">
        <f ca="1">SUM($H$22:BF22)/SUM($H$15:BF15)</f>
        <v>#N/A</v>
      </c>
      <c r="BG26" t="e">
        <f ca="1">SUM($H$22:BG22)/SUM($H$15:BG15)</f>
        <v>#N/A</v>
      </c>
      <c r="BH26" t="e">
        <f ca="1">SUM($H$22:BH22)/SUM($H$15:BH15)</f>
        <v>#N/A</v>
      </c>
      <c r="BI26" t="e">
        <f ca="1">SUM($H$22:BI22)/SUM($H$15:BI15)</f>
        <v>#N/A</v>
      </c>
      <c r="BJ26" t="e">
        <f ca="1">SUM($H$22:BJ22)/SUM($H$15:BJ15)</f>
        <v>#N/A</v>
      </c>
      <c r="BK26" t="e">
        <f ca="1">SUM($H$22:BK22)/SUM($H$15:BK15)</f>
        <v>#N/A</v>
      </c>
      <c r="BL26" t="e">
        <f ca="1">SUM($H$22:BL22)/SUM($H$15:BL15)</f>
        <v>#N/A</v>
      </c>
      <c r="BM26" t="e">
        <f ca="1">SUM($H$22:BM22)/SUM($H$15:BM15)</f>
        <v>#N/A</v>
      </c>
      <c r="BN26" t="e">
        <f ca="1">SUM($H$22:BN22)/SUM($H$15:BN15)</f>
        <v>#N/A</v>
      </c>
    </row>
    <row r="27" spans="2:66">
      <c r="B27" s="161" t="s">
        <v>336</v>
      </c>
      <c r="C27" s="323" t="e">
        <f ca="1">SUM($H$22:AB22)/SUM($H$15:AB15)</f>
        <v>#N/A</v>
      </c>
      <c r="F27" s="527" t="s">
        <v>335</v>
      </c>
      <c r="G27" s="153"/>
      <c r="H27" s="529">
        <f ca="1">H23</f>
        <v>0</v>
      </c>
      <c r="I27" s="529" t="e">
        <f ca="1">I22</f>
        <v>#REF!</v>
      </c>
      <c r="J27" s="529" t="e">
        <f t="shared" ref="J27:BN27" ca="1" si="107">J22</f>
        <v>#REF!</v>
      </c>
      <c r="K27" s="529" t="e">
        <f t="shared" ca="1" si="107"/>
        <v>#REF!</v>
      </c>
      <c r="L27" s="529" t="e">
        <f t="shared" ca="1" si="107"/>
        <v>#REF!</v>
      </c>
      <c r="M27" s="529" t="e">
        <f t="shared" ca="1" si="107"/>
        <v>#REF!</v>
      </c>
      <c r="N27" s="529" t="e">
        <f t="shared" ca="1" si="107"/>
        <v>#REF!</v>
      </c>
      <c r="O27" s="529" t="e">
        <f t="shared" ca="1" si="107"/>
        <v>#REF!</v>
      </c>
      <c r="P27" s="529" t="e">
        <f t="shared" ca="1" si="107"/>
        <v>#REF!</v>
      </c>
      <c r="Q27" s="529" t="e">
        <f t="shared" ca="1" si="107"/>
        <v>#REF!</v>
      </c>
      <c r="R27" s="529" t="e">
        <f t="shared" ca="1" si="107"/>
        <v>#REF!</v>
      </c>
      <c r="S27" s="529" t="e">
        <f t="shared" ca="1" si="107"/>
        <v>#REF!</v>
      </c>
      <c r="T27" s="529" t="e">
        <f t="shared" ca="1" si="107"/>
        <v>#REF!</v>
      </c>
      <c r="U27" s="529" t="e">
        <f t="shared" ca="1" si="107"/>
        <v>#REF!</v>
      </c>
      <c r="V27" s="529" t="e">
        <f t="shared" ca="1" si="107"/>
        <v>#REF!</v>
      </c>
      <c r="W27" s="529" t="e">
        <f t="shared" ca="1" si="107"/>
        <v>#REF!</v>
      </c>
      <c r="X27" s="529" t="e">
        <f t="shared" ca="1" si="107"/>
        <v>#REF!</v>
      </c>
      <c r="Y27" s="529" t="e">
        <f t="shared" ca="1" si="107"/>
        <v>#REF!</v>
      </c>
      <c r="Z27" s="529" t="e">
        <f t="shared" ca="1" si="107"/>
        <v>#REF!</v>
      </c>
      <c r="AA27" s="529" t="e">
        <f t="shared" ca="1" si="107"/>
        <v>#REF!</v>
      </c>
      <c r="AB27" s="529" t="e">
        <f t="shared" ca="1" si="107"/>
        <v>#REF!</v>
      </c>
      <c r="AC27" s="529" t="e">
        <f t="shared" ca="1" si="107"/>
        <v>#REF!</v>
      </c>
      <c r="AD27" s="529" t="e">
        <f t="shared" ca="1" si="107"/>
        <v>#REF!</v>
      </c>
      <c r="AE27" s="529" t="e">
        <f t="shared" ca="1" si="107"/>
        <v>#REF!</v>
      </c>
      <c r="AF27" s="529" t="e">
        <f t="shared" ca="1" si="107"/>
        <v>#REF!</v>
      </c>
      <c r="AG27" s="529" t="e">
        <f t="shared" ca="1" si="107"/>
        <v>#REF!</v>
      </c>
      <c r="AH27" s="529" t="e">
        <f t="shared" ca="1" si="107"/>
        <v>#REF!</v>
      </c>
      <c r="AI27" s="529" t="e">
        <f t="shared" ca="1" si="107"/>
        <v>#REF!</v>
      </c>
      <c r="AJ27" s="529" t="e">
        <f t="shared" ca="1" si="107"/>
        <v>#REF!</v>
      </c>
      <c r="AK27" s="529" t="e">
        <f t="shared" ca="1" si="107"/>
        <v>#REF!</v>
      </c>
      <c r="AL27" s="529" t="e">
        <f t="shared" ca="1" si="107"/>
        <v>#REF!</v>
      </c>
      <c r="AM27" s="529" t="e">
        <f t="shared" ca="1" si="107"/>
        <v>#REF!</v>
      </c>
      <c r="AN27" s="529" t="e">
        <f t="shared" ca="1" si="107"/>
        <v>#REF!</v>
      </c>
      <c r="AO27" s="529" t="e">
        <f t="shared" ca="1" si="107"/>
        <v>#REF!</v>
      </c>
      <c r="AP27" s="529" t="e">
        <f t="shared" ca="1" si="107"/>
        <v>#REF!</v>
      </c>
      <c r="AQ27" s="529" t="e">
        <f t="shared" ca="1" si="107"/>
        <v>#REF!</v>
      </c>
      <c r="AR27" s="529" t="e">
        <f t="shared" ca="1" si="107"/>
        <v>#REF!</v>
      </c>
      <c r="AS27" s="529" t="e">
        <f t="shared" ca="1" si="107"/>
        <v>#REF!</v>
      </c>
      <c r="AT27" s="529" t="e">
        <f t="shared" ca="1" si="107"/>
        <v>#REF!</v>
      </c>
      <c r="AU27" s="529" t="e">
        <f t="shared" ca="1" si="107"/>
        <v>#REF!</v>
      </c>
      <c r="AV27" s="529" t="e">
        <f t="shared" ca="1" si="107"/>
        <v>#REF!</v>
      </c>
      <c r="AW27" s="529" t="e">
        <f t="shared" ca="1" si="107"/>
        <v>#REF!</v>
      </c>
      <c r="AX27" s="529" t="e">
        <f t="shared" ca="1" si="107"/>
        <v>#REF!</v>
      </c>
      <c r="AY27" s="529" t="e">
        <f t="shared" ca="1" si="107"/>
        <v>#REF!</v>
      </c>
      <c r="AZ27" s="529" t="e">
        <f t="shared" ca="1" si="107"/>
        <v>#REF!</v>
      </c>
      <c r="BA27" s="529" t="e">
        <f t="shared" ca="1" si="107"/>
        <v>#REF!</v>
      </c>
      <c r="BB27" s="529" t="e">
        <f t="shared" ca="1" si="107"/>
        <v>#REF!</v>
      </c>
      <c r="BC27" s="529" t="e">
        <f t="shared" ca="1" si="107"/>
        <v>#REF!</v>
      </c>
      <c r="BD27" s="529" t="e">
        <f t="shared" ca="1" si="107"/>
        <v>#REF!</v>
      </c>
      <c r="BE27" s="529" t="e">
        <f t="shared" ca="1" si="107"/>
        <v>#REF!</v>
      </c>
      <c r="BF27" s="529" t="e">
        <f t="shared" ca="1" si="107"/>
        <v>#REF!</v>
      </c>
      <c r="BG27" s="529" t="e">
        <f t="shared" ca="1" si="107"/>
        <v>#REF!</v>
      </c>
      <c r="BH27" s="529" t="e">
        <f t="shared" ca="1" si="107"/>
        <v>#REF!</v>
      </c>
      <c r="BI27" s="529" t="e">
        <f t="shared" ca="1" si="107"/>
        <v>#REF!</v>
      </c>
      <c r="BJ27" s="529" t="e">
        <f t="shared" ca="1" si="107"/>
        <v>#REF!</v>
      </c>
      <c r="BK27" s="529" t="e">
        <f t="shared" ca="1" si="107"/>
        <v>#REF!</v>
      </c>
      <c r="BL27" s="529" t="e">
        <f t="shared" ca="1" si="107"/>
        <v>#REF!</v>
      </c>
      <c r="BM27" s="529" t="e">
        <f t="shared" ca="1" si="107"/>
        <v>#REF!</v>
      </c>
      <c r="BN27" s="529" t="e">
        <f t="shared" ca="1" si="107"/>
        <v>#REF!</v>
      </c>
    </row>
    <row r="28" spans="2:66">
      <c r="B28" s="161" t="s">
        <v>60</v>
      </c>
      <c r="C28" s="357" t="e" cm="1">
        <f t="array" aca="1" ref="C28" ca="1">SUMPRODUCT(--($H$29:$BN$29&gt;0),$H$29:$BN$29,$H$4:$BN$4)/SUMIFS($H$29:$BN$29,$H$29:$BN$29,"&gt;0")</f>
        <v>#REF!</v>
      </c>
      <c r="G28" s="153"/>
    </row>
    <row r="29" spans="2:66">
      <c r="B29" s="144"/>
      <c r="E29" s="153"/>
      <c r="F29" s="528" t="s">
        <v>340</v>
      </c>
      <c r="G29" s="153"/>
      <c r="H29" s="154">
        <f ca="1">H9</f>
        <v>0</v>
      </c>
      <c r="I29" s="336" t="e">
        <f ca="1">I8</f>
        <v>#REF!</v>
      </c>
      <c r="J29" t="e">
        <f t="shared" ref="J29:BN29" ca="1" si="108">J8</f>
        <v>#REF!</v>
      </c>
      <c r="K29" t="e">
        <f t="shared" ca="1" si="108"/>
        <v>#REF!</v>
      </c>
      <c r="L29" t="e">
        <f t="shared" ca="1" si="108"/>
        <v>#REF!</v>
      </c>
      <c r="M29" t="e">
        <f t="shared" ca="1" si="108"/>
        <v>#REF!</v>
      </c>
      <c r="N29" t="e">
        <f t="shared" ca="1" si="108"/>
        <v>#REF!</v>
      </c>
      <c r="O29" t="e">
        <f t="shared" ca="1" si="108"/>
        <v>#REF!</v>
      </c>
      <c r="P29" t="e">
        <f t="shared" ca="1" si="108"/>
        <v>#REF!</v>
      </c>
      <c r="Q29" t="e">
        <f t="shared" ca="1" si="108"/>
        <v>#REF!</v>
      </c>
      <c r="R29" t="e">
        <f t="shared" ca="1" si="108"/>
        <v>#REF!</v>
      </c>
      <c r="S29" t="e">
        <f t="shared" ca="1" si="108"/>
        <v>#REF!</v>
      </c>
      <c r="T29" t="e">
        <f t="shared" ca="1" si="108"/>
        <v>#REF!</v>
      </c>
      <c r="U29" t="e">
        <f t="shared" ca="1" si="108"/>
        <v>#REF!</v>
      </c>
      <c r="V29" t="e">
        <f t="shared" ca="1" si="108"/>
        <v>#REF!</v>
      </c>
      <c r="W29" t="e">
        <f t="shared" ca="1" si="108"/>
        <v>#REF!</v>
      </c>
      <c r="X29" t="e">
        <f t="shared" ca="1" si="108"/>
        <v>#REF!</v>
      </c>
      <c r="Y29" t="e">
        <f t="shared" ca="1" si="108"/>
        <v>#REF!</v>
      </c>
      <c r="Z29" t="e">
        <f t="shared" ca="1" si="108"/>
        <v>#REF!</v>
      </c>
      <c r="AA29" t="e">
        <f t="shared" ca="1" si="108"/>
        <v>#REF!</v>
      </c>
      <c r="AB29" t="e">
        <f t="shared" ca="1" si="108"/>
        <v>#REF!</v>
      </c>
      <c r="AC29" t="e">
        <f t="shared" ca="1" si="108"/>
        <v>#REF!</v>
      </c>
      <c r="AD29" t="e">
        <f t="shared" ca="1" si="108"/>
        <v>#REF!</v>
      </c>
      <c r="AE29" t="e">
        <f t="shared" ca="1" si="108"/>
        <v>#REF!</v>
      </c>
      <c r="AF29" t="e">
        <f t="shared" ca="1" si="108"/>
        <v>#REF!</v>
      </c>
      <c r="AG29" t="e">
        <f t="shared" ca="1" si="108"/>
        <v>#REF!</v>
      </c>
      <c r="AH29" t="e">
        <f t="shared" ca="1" si="108"/>
        <v>#REF!</v>
      </c>
      <c r="AI29" t="e">
        <f t="shared" ca="1" si="108"/>
        <v>#REF!</v>
      </c>
      <c r="AJ29" t="e">
        <f t="shared" ca="1" si="108"/>
        <v>#REF!</v>
      </c>
      <c r="AK29" t="e">
        <f t="shared" ca="1" si="108"/>
        <v>#REF!</v>
      </c>
      <c r="AL29" t="e">
        <f t="shared" ca="1" si="108"/>
        <v>#REF!</v>
      </c>
      <c r="AM29" t="e">
        <f t="shared" ca="1" si="108"/>
        <v>#REF!</v>
      </c>
      <c r="AN29" t="e">
        <f t="shared" ca="1" si="108"/>
        <v>#REF!</v>
      </c>
      <c r="AO29" t="e">
        <f t="shared" ca="1" si="108"/>
        <v>#REF!</v>
      </c>
      <c r="AP29" t="e">
        <f t="shared" ca="1" si="108"/>
        <v>#REF!</v>
      </c>
      <c r="AQ29" t="e">
        <f t="shared" ca="1" si="108"/>
        <v>#REF!</v>
      </c>
      <c r="AR29" t="e">
        <f t="shared" ca="1" si="108"/>
        <v>#REF!</v>
      </c>
      <c r="AS29" t="e">
        <f t="shared" ca="1" si="108"/>
        <v>#REF!</v>
      </c>
      <c r="AT29" t="e">
        <f t="shared" ca="1" si="108"/>
        <v>#REF!</v>
      </c>
      <c r="AU29" t="e">
        <f t="shared" ca="1" si="108"/>
        <v>#REF!</v>
      </c>
      <c r="AV29" t="e">
        <f t="shared" ca="1" si="108"/>
        <v>#REF!</v>
      </c>
      <c r="AW29" t="e">
        <f t="shared" ca="1" si="108"/>
        <v>#REF!</v>
      </c>
      <c r="AX29" t="e">
        <f t="shared" ca="1" si="108"/>
        <v>#REF!</v>
      </c>
      <c r="AY29" t="e">
        <f t="shared" ca="1" si="108"/>
        <v>#REF!</v>
      </c>
      <c r="AZ29" t="e">
        <f t="shared" ca="1" si="108"/>
        <v>#REF!</v>
      </c>
      <c r="BA29" t="e">
        <f t="shared" ca="1" si="108"/>
        <v>#REF!</v>
      </c>
      <c r="BB29" t="e">
        <f t="shared" ca="1" si="108"/>
        <v>#REF!</v>
      </c>
      <c r="BC29" t="e">
        <f t="shared" ca="1" si="108"/>
        <v>#REF!</v>
      </c>
      <c r="BD29" t="e">
        <f t="shared" ca="1" si="108"/>
        <v>#REF!</v>
      </c>
      <c r="BE29" t="e">
        <f t="shared" ca="1" si="108"/>
        <v>#REF!</v>
      </c>
      <c r="BF29" t="e">
        <f t="shared" ca="1" si="108"/>
        <v>#REF!</v>
      </c>
      <c r="BG29" t="e">
        <f t="shared" ca="1" si="108"/>
        <v>#REF!</v>
      </c>
      <c r="BH29" t="e">
        <f t="shared" ca="1" si="108"/>
        <v>#REF!</v>
      </c>
      <c r="BI29" t="e">
        <f t="shared" ca="1" si="108"/>
        <v>#REF!</v>
      </c>
      <c r="BJ29" t="e">
        <f t="shared" ca="1" si="108"/>
        <v>#REF!</v>
      </c>
      <c r="BK29" t="e">
        <f t="shared" ca="1" si="108"/>
        <v>#REF!</v>
      </c>
      <c r="BL29" t="e">
        <f t="shared" ca="1" si="108"/>
        <v>#REF!</v>
      </c>
      <c r="BM29" t="e">
        <f t="shared" ca="1" si="108"/>
        <v>#REF!</v>
      </c>
      <c r="BN29" t="e">
        <f t="shared" ca="1" si="108"/>
        <v>#REF!</v>
      </c>
    </row>
    <row r="30" spans="2:66"/>
    <row r="31" spans="2:66"/>
    <row r="32" spans="2:66"/>
    <row r="33"/>
    <row r="34"/>
    <row r="35"/>
    <row r="36"/>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sheetData>
  <pageMargins left="0.7" right="0.7" top="0.75" bottom="0.75" header="0.3" footer="0.3"/>
  <pageSetup paperSize="9" orientation="portrait" r:id="rId1"/>
  <ignoredErrors>
    <ignoredError sqref="E6:BN7 C6:C11 C17:C18 C20:C22 C13:C15 F13:BN13 F14:BN14 G17:BN17 F22:BN22 F8:BN8 I23:O23 P23:BN23 I15:AU15 F9:G9 E10:BN12 AV15:BN15 F15:G15 E18:BN21 E8 E22 BO18:BO21 E16:G16 E15 BO15 E13 BO10:BO12 E9 H9:BO9 E23:H23 BO23 BO8 BO22 E17:F17 BO17 E14 BO14 BO13 I16:BO16 I27:BN27 I26:BN26" evalError="1"/>
  </ignoredErrors>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BF70-2C30-4EF6-AFCB-B981B0E631F1}">
  <sheetPr>
    <tabColor rgb="FF00B050"/>
  </sheetPr>
  <dimension ref="B1:BQ135"/>
  <sheetViews>
    <sheetView tabSelected="1" topLeftCell="A2" zoomScale="122" zoomScaleNormal="122" workbookViewId="0">
      <selection activeCell="G32" sqref="G32"/>
    </sheetView>
  </sheetViews>
  <sheetFormatPr baseColWidth="10" defaultColWidth="9.1640625" defaultRowHeight="14" outlineLevelCol="1"/>
  <cols>
    <col min="1" max="1" width="2.6640625" style="1" customWidth="1"/>
    <col min="2" max="2" width="33.6640625" style="1" customWidth="1"/>
    <col min="3" max="4" width="22.5" style="1" customWidth="1"/>
    <col min="5" max="5" width="2.6640625" style="1" customWidth="1"/>
    <col min="6" max="6" width="23" style="1" customWidth="1"/>
    <col min="7" max="7" width="28.6640625" style="1" customWidth="1"/>
    <col min="8" max="8" width="17.1640625" style="1" customWidth="1"/>
    <col min="9" max="9" width="21.83203125" style="1" customWidth="1"/>
    <col min="10" max="10" width="18.5" style="1" customWidth="1"/>
    <col min="11" max="11" width="17.5" style="4" customWidth="1"/>
    <col min="12" max="12" width="28.1640625" style="4" bestFit="1" customWidth="1"/>
    <col min="13" max="13" width="18.6640625" style="106" customWidth="1"/>
    <col min="14" max="17" width="13.6640625" style="1" customWidth="1"/>
    <col min="18" max="18" width="16.6640625" style="1" bestFit="1" customWidth="1"/>
    <col min="19" max="19" width="20.5" style="106" bestFit="1" customWidth="1"/>
    <col min="20" max="20" width="16.6640625" style="1" bestFit="1" customWidth="1"/>
    <col min="21" max="21" width="14.33203125" style="1" customWidth="1"/>
    <col min="22" max="24" width="11.5" style="1" customWidth="1"/>
    <col min="25" max="26" width="14.1640625" style="1" customWidth="1"/>
    <col min="27" max="27" width="14.1640625" style="1" customWidth="1" outlineLevel="1"/>
    <col min="28" max="28" width="2.6640625" style="1" customWidth="1"/>
    <col min="29" max="30" width="13" style="1" customWidth="1"/>
    <col min="31" max="31" width="13" style="1" customWidth="1" outlineLevel="1"/>
    <col min="32" max="32" width="2.6640625" style="1" customWidth="1"/>
    <col min="33" max="33" width="16" style="1" bestFit="1" customWidth="1"/>
    <col min="34" max="34" width="18.1640625" style="1" bestFit="1" customWidth="1"/>
    <col min="35" max="35" width="25" style="1" customWidth="1"/>
    <col min="36" max="36" width="2.6640625" style="1" customWidth="1"/>
    <col min="37" max="37" width="18.1640625" style="1" bestFit="1" customWidth="1"/>
    <col min="38" max="38" width="9.1640625" style="1"/>
    <col min="39" max="39" width="5.83203125" style="1" bestFit="1" customWidth="1"/>
    <col min="40" max="40" width="8.6640625" style="1" bestFit="1" customWidth="1"/>
    <col min="41" max="42" width="8.6640625" style="4" customWidth="1"/>
    <col min="43" max="44" width="14.33203125" style="1" bestFit="1" customWidth="1"/>
    <col min="45" max="45" width="18.5" style="1" bestFit="1" customWidth="1"/>
    <col min="46" max="46" width="14.33203125" style="1" customWidth="1"/>
    <col min="47" max="47" width="19.33203125" style="1" bestFit="1" customWidth="1"/>
    <col min="48" max="48" width="18" style="1" bestFit="1" customWidth="1"/>
    <col min="49" max="49" width="14.33203125" style="1" bestFit="1" customWidth="1"/>
    <col min="50" max="50" width="2.6640625" style="1" customWidth="1"/>
    <col min="51" max="51" width="13.83203125" style="1" bestFit="1" customWidth="1"/>
    <col min="52" max="52" width="16.1640625" style="1" customWidth="1"/>
    <col min="53" max="53" width="13.83203125" style="1" customWidth="1"/>
    <col min="54" max="54" width="15" style="1" bestFit="1" customWidth="1"/>
    <col min="55" max="56" width="13.83203125" style="1" customWidth="1"/>
    <col min="57" max="57" width="16" style="1" bestFit="1" customWidth="1"/>
    <col min="58" max="58" width="13.83203125" style="1" customWidth="1"/>
    <col min="59" max="59" width="15.1640625" style="1" bestFit="1" customWidth="1"/>
    <col min="60" max="60" width="2.6640625" style="1" customWidth="1"/>
    <col min="61" max="61" width="15.1640625" style="1" bestFit="1" customWidth="1"/>
    <col min="62" max="62" width="2.6640625" style="1" customWidth="1"/>
    <col min="63" max="63" width="15.1640625" style="1" bestFit="1" customWidth="1"/>
    <col min="64" max="65" width="2.6640625" style="1" customWidth="1"/>
    <col min="66" max="66" width="9.5" style="15" bestFit="1" customWidth="1"/>
    <col min="67" max="67" width="15.1640625" style="1" bestFit="1" customWidth="1"/>
    <col min="68" max="68" width="17.1640625" style="1" bestFit="1" customWidth="1"/>
    <col min="69" max="69" width="12.83203125" style="1" bestFit="1" customWidth="1"/>
    <col min="70" max="16384" width="9.1640625" style="1"/>
  </cols>
  <sheetData>
    <row r="1" spans="2:67">
      <c r="AQ1" s="1" t="b">
        <f>ROUND(SUMIFS($AQ$10:$AQ$676,$AN$10:$AN$676,"&gt;"&amp;INDEX(Portfolio!$J:$J,MATCH(Fund!$C$4,Portfolio!$C:$C,0)))+SUM(AT:AT)-$AI$14,0)=0</f>
        <v>1</v>
      </c>
      <c r="AS1" s="1" t="b">
        <f>SUM(AS10:AS676)=($C$17+$C$18)</f>
        <v>1</v>
      </c>
      <c r="AT1" s="12"/>
      <c r="AU1" s="127" t="s">
        <v>61</v>
      </c>
      <c r="AV1" s="127" t="s">
        <v>61</v>
      </c>
      <c r="AW1" s="12"/>
      <c r="AX1" s="12"/>
      <c r="AY1" s="1" t="b">
        <f>SUM($AY$11:$AY$676)=-SUMIFS($AW$11:$AW$676,$AW$11:$AW$676,"&lt;0")</f>
        <v>1</v>
      </c>
      <c r="BA1" s="12"/>
      <c r="BC1" s="1" t="e">
        <f>ABS($BK$1-$C$26)&lt;0.0001</f>
        <v>#NUM!</v>
      </c>
      <c r="BD1" s="5"/>
      <c r="BE1" s="12" t="b">
        <f>SUM($BE$10:$BE$75)=-BE9</f>
        <v>1</v>
      </c>
      <c r="BH1" s="12"/>
      <c r="BI1" s="128" t="e">
        <f>XIRR($BI$11:$BI$75,$AN$11:$AN$75)</f>
        <v>#N/A</v>
      </c>
      <c r="BJ1" s="12"/>
      <c r="BK1" s="128" t="e">
        <f>XIRR($BK$11:$BK$75,$AN$11:$AN$75)</f>
        <v>#NUM!</v>
      </c>
      <c r="BO1" s="113" t="e">
        <f>(1+IRR(BO11:BO75))^4-1</f>
        <v>#VALUE!</v>
      </c>
    </row>
    <row r="2" spans="2:67">
      <c r="B2" s="2" t="str">
        <f>"Project "&amp;Portfolio!$D$4&amp;" - "&amp;$C$4</f>
        <v xml:space="preserve">Project  - </v>
      </c>
      <c r="C2" s="2"/>
      <c r="D2" s="2"/>
      <c r="E2" s="2"/>
      <c r="F2" s="2"/>
      <c r="G2" s="2"/>
      <c r="H2" s="2"/>
      <c r="I2" s="2"/>
      <c r="J2" s="2"/>
      <c r="K2" s="2"/>
      <c r="L2" s="2"/>
      <c r="M2" s="107"/>
      <c r="N2" s="2"/>
      <c r="O2" s="2"/>
      <c r="P2" s="2"/>
      <c r="Q2" s="2"/>
      <c r="R2" s="2"/>
      <c r="S2" s="107"/>
      <c r="T2" s="2"/>
      <c r="U2" s="2"/>
      <c r="V2" s="2"/>
      <c r="W2" s="2"/>
      <c r="X2" s="2"/>
      <c r="Y2" s="2"/>
      <c r="Z2" s="2"/>
      <c r="AA2" s="2"/>
      <c r="AB2" s="2"/>
      <c r="AC2" s="2"/>
      <c r="AD2" s="2"/>
      <c r="AE2" s="2"/>
      <c r="AF2" s="2"/>
      <c r="AG2" s="2"/>
      <c r="AH2" s="2"/>
      <c r="AI2" s="2"/>
      <c r="AJ2" s="2"/>
      <c r="AK2" s="2"/>
      <c r="AL2" s="2"/>
      <c r="AM2" s="2"/>
      <c r="AN2" s="2"/>
      <c r="AO2" s="10"/>
      <c r="AP2" s="10"/>
      <c r="AQ2" s="2"/>
      <c r="AR2" s="2"/>
      <c r="AS2" s="2"/>
      <c r="AT2" s="2"/>
      <c r="AU2" s="2"/>
      <c r="AV2" s="2"/>
      <c r="AW2" s="2"/>
      <c r="AX2" s="2"/>
      <c r="AY2" s="2"/>
      <c r="AZ2" s="2"/>
      <c r="BA2" s="2"/>
      <c r="BB2" s="2"/>
      <c r="BC2" s="2"/>
      <c r="BD2" s="2"/>
      <c r="BE2" s="2"/>
      <c r="BF2" s="2"/>
      <c r="BG2" s="2"/>
      <c r="BH2" s="2"/>
      <c r="BI2" s="2"/>
      <c r="BJ2" s="2"/>
      <c r="BK2" s="2"/>
      <c r="BL2" s="2"/>
      <c r="BM2" s="2"/>
      <c r="BN2" s="141"/>
      <c r="BO2" s="2"/>
    </row>
    <row r="3" spans="2:67">
      <c r="F3" s="13"/>
      <c r="G3" s="13"/>
      <c r="H3" s="13"/>
      <c r="I3" s="13"/>
      <c r="J3" s="13"/>
      <c r="K3" s="364"/>
      <c r="L3" s="364"/>
      <c r="M3" s="365"/>
      <c r="N3" s="13"/>
      <c r="O3" s="13"/>
      <c r="P3" s="13"/>
      <c r="Q3" s="13"/>
      <c r="R3" s="139"/>
      <c r="S3" s="139"/>
      <c r="T3" s="139"/>
      <c r="U3" s="366"/>
      <c r="V3" s="37"/>
      <c r="W3" s="37"/>
      <c r="X3" s="367"/>
      <c r="Y3" s="13"/>
      <c r="Z3" s="13"/>
      <c r="AA3" s="13"/>
      <c r="AB3" s="13"/>
      <c r="AC3" s="37"/>
      <c r="AD3" s="37"/>
      <c r="AE3" s="37"/>
      <c r="AF3" s="13"/>
      <c r="AG3" s="139"/>
      <c r="AH3" s="139"/>
      <c r="AI3" s="139"/>
      <c r="AJ3" s="13"/>
      <c r="AK3" s="13"/>
      <c r="AO3" s="126"/>
      <c r="AW3" s="12"/>
      <c r="AX3" s="12"/>
      <c r="AY3" s="12"/>
      <c r="AZ3" s="12"/>
      <c r="BA3" s="12"/>
      <c r="BB3" s="5"/>
      <c r="BC3" s="5"/>
      <c r="BD3" s="5"/>
      <c r="BE3" s="12"/>
      <c r="BH3" s="12"/>
      <c r="BJ3" s="12"/>
    </row>
    <row r="4" spans="2:67">
      <c r="B4" s="17" t="s">
        <v>62</v>
      </c>
      <c r="C4" s="643"/>
      <c r="K4" s="364"/>
      <c r="L4" s="364"/>
      <c r="M4" s="365"/>
      <c r="N4" s="13"/>
      <c r="O4" s="13"/>
      <c r="P4" s="13"/>
      <c r="Q4" s="13"/>
      <c r="R4" s="139"/>
      <c r="S4" s="139"/>
      <c r="T4" s="139"/>
      <c r="U4" s="366"/>
      <c r="V4" s="37"/>
      <c r="W4" s="37"/>
      <c r="X4" s="367"/>
      <c r="Y4" s="13"/>
      <c r="Z4" s="13"/>
      <c r="AA4" s="13"/>
      <c r="AB4" s="13"/>
      <c r="AC4" s="37"/>
      <c r="AD4" s="37"/>
      <c r="AE4" s="37"/>
      <c r="AF4" s="13"/>
      <c r="AG4" s="139"/>
      <c r="AH4" s="139"/>
      <c r="AI4" s="139"/>
      <c r="AJ4" s="13"/>
      <c r="AK4" s="13"/>
      <c r="AO4" s="126"/>
      <c r="AW4" s="12"/>
      <c r="AX4" s="12"/>
      <c r="AY4" s="12"/>
      <c r="AZ4" s="12"/>
      <c r="BA4" s="12"/>
      <c r="BB4" s="5"/>
      <c r="BC4" s="5"/>
      <c r="BD4" s="5"/>
      <c r="BE4" s="12"/>
      <c r="BH4" s="12"/>
      <c r="BJ4" s="12"/>
    </row>
    <row r="5" spans="2:67">
      <c r="B5" s="18" t="s">
        <v>2</v>
      </c>
      <c r="C5" s="644" t="e">
        <f>INDEX(Portfolio!$G:$G,MATCH(Fund!$C$4,Portfolio!$C:$C,0))</f>
        <v>#N/A</v>
      </c>
      <c r="K5" s="364"/>
      <c r="L5" s="364"/>
      <c r="M5" s="365"/>
      <c r="N5" s="13"/>
      <c r="O5" s="13"/>
      <c r="P5" s="13"/>
      <c r="Q5" s="13"/>
      <c r="R5" s="139"/>
      <c r="S5" s="139"/>
      <c r="T5" s="139"/>
      <c r="U5" s="366"/>
      <c r="V5" s="37"/>
      <c r="W5" s="37"/>
      <c r="X5" s="367"/>
      <c r="Y5" s="13"/>
      <c r="Z5" s="13"/>
      <c r="AA5" s="13"/>
      <c r="AB5" s="13"/>
      <c r="AC5" s="37"/>
      <c r="AD5" s="37"/>
      <c r="AE5" s="37"/>
      <c r="AF5" s="13"/>
      <c r="AG5" s="139"/>
      <c r="AH5" s="139"/>
      <c r="AI5" s="139"/>
      <c r="AJ5" s="13"/>
      <c r="AK5" s="13"/>
      <c r="AO5" s="126"/>
      <c r="AW5" s="12"/>
      <c r="AX5" s="12"/>
      <c r="AY5" s="12"/>
      <c r="AZ5" s="12"/>
      <c r="BA5" s="12"/>
      <c r="BB5" s="5"/>
      <c r="BC5" s="5"/>
      <c r="BD5" s="5"/>
      <c r="BE5" s="12"/>
      <c r="BH5" s="12"/>
      <c r="BJ5" s="12"/>
    </row>
    <row r="6" spans="2:67">
      <c r="B6" s="18" t="s">
        <v>3</v>
      </c>
      <c r="C6" s="644" t="e">
        <f>INDEX(Portfolio!$D:$D,MATCH(Fund!$C$4,Portfolio!$C:$C,0))</f>
        <v>#N/A</v>
      </c>
      <c r="K6" s="364"/>
      <c r="L6" s="364"/>
      <c r="M6" s="365"/>
      <c r="N6" s="13"/>
      <c r="O6" s="13"/>
      <c r="P6" s="13"/>
      <c r="Q6" s="13"/>
      <c r="R6" s="139"/>
      <c r="S6" s="139"/>
      <c r="T6" s="139"/>
      <c r="U6" s="366"/>
      <c r="V6" s="37"/>
      <c r="W6" s="37"/>
      <c r="X6" s="367"/>
      <c r="Y6" s="13"/>
      <c r="Z6" s="13"/>
      <c r="AA6" s="631"/>
      <c r="AB6" s="631"/>
      <c r="AC6" s="633"/>
      <c r="AD6" s="632" t="s">
        <v>363</v>
      </c>
      <c r="AE6" s="629">
        <f>SUMIF(H17:H39,"&lt;&gt;",U17:U39)</f>
        <v>0</v>
      </c>
      <c r="AF6" s="13"/>
      <c r="AG6" s="139"/>
      <c r="AH6" s="139"/>
      <c r="AI6" s="139"/>
      <c r="AJ6" s="13"/>
      <c r="AK6" s="13"/>
      <c r="AO6" s="126"/>
      <c r="AW6" s="12"/>
      <c r="AX6" s="12"/>
      <c r="AY6" s="12"/>
      <c r="AZ6" s="12"/>
      <c r="BA6" s="12"/>
      <c r="BB6" s="5"/>
      <c r="BC6" s="5"/>
      <c r="BD6" s="5"/>
      <c r="BE6" s="12"/>
      <c r="BH6" s="12"/>
      <c r="BJ6" s="12"/>
    </row>
    <row r="7" spans="2:67">
      <c r="B7" s="18" t="s">
        <v>1</v>
      </c>
      <c r="C7" s="645" t="e">
        <f>INDEX(Portfolio!$J:$J,MATCH(Fund!$C$4,Portfolio!$C:$C,0))</f>
        <v>#N/A</v>
      </c>
      <c r="K7" s="364"/>
      <c r="L7" s="364"/>
      <c r="M7" s="365"/>
      <c r="N7" s="13"/>
      <c r="O7" s="13"/>
      <c r="P7" s="13"/>
      <c r="Q7" s="13"/>
      <c r="R7" s="139"/>
      <c r="S7" s="139"/>
      <c r="T7" s="139"/>
      <c r="U7" s="366"/>
      <c r="V7" s="37"/>
      <c r="W7" s="37"/>
      <c r="X7" s="367"/>
      <c r="Y7" s="13"/>
      <c r="Z7" s="13"/>
      <c r="AA7" s="631"/>
      <c r="AB7" s="631"/>
      <c r="AC7" s="633"/>
      <c r="AD7" s="632" t="s">
        <v>362</v>
      </c>
      <c r="AE7" s="634">
        <v>45281</v>
      </c>
      <c r="AF7" s="13"/>
      <c r="AG7" s="139"/>
      <c r="AH7" s="139"/>
      <c r="AI7" s="139"/>
      <c r="AJ7" s="13"/>
      <c r="AK7" s="13"/>
      <c r="AO7" s="126"/>
      <c r="AW7" s="12"/>
      <c r="AX7" s="12"/>
      <c r="AY7" s="12"/>
      <c r="AZ7" s="12"/>
      <c r="BA7" s="12"/>
      <c r="BB7" s="5"/>
      <c r="BC7" s="5"/>
      <c r="BD7" s="5"/>
      <c r="BE7" s="12"/>
      <c r="BH7" s="12"/>
      <c r="BJ7" s="12"/>
    </row>
    <row r="8" spans="2:67">
      <c r="B8" s="19" t="s">
        <v>63</v>
      </c>
      <c r="C8" s="646" t="e">
        <f>D11/C11</f>
        <v>#N/A</v>
      </c>
      <c r="K8" s="364"/>
      <c r="L8" s="364"/>
      <c r="M8" s="365"/>
      <c r="N8" s="13"/>
      <c r="O8" s="13"/>
      <c r="P8" s="13"/>
      <c r="Q8" s="13"/>
      <c r="R8" s="139"/>
      <c r="S8" s="139"/>
      <c r="T8" s="139"/>
      <c r="U8" s="366"/>
      <c r="V8" s="37"/>
      <c r="W8" s="37"/>
      <c r="X8" s="367"/>
      <c r="Y8" s="13"/>
      <c r="Z8" s="13"/>
      <c r="AA8" s="631"/>
      <c r="AB8" s="631"/>
      <c r="AC8" s="633"/>
      <c r="AD8" s="632" t="s">
        <v>364</v>
      </c>
      <c r="AE8" s="630" t="e" cm="1">
        <f t="array" ref="AE8">SUMPRODUCT((I17:I39)*(U17:U39)*(I17:I39&lt;&gt;0))</f>
        <v>#VALUE!</v>
      </c>
      <c r="AF8" s="13"/>
      <c r="AG8" s="139"/>
      <c r="AH8" s="139"/>
      <c r="AI8" s="139"/>
      <c r="AJ8" s="13"/>
      <c r="AK8" s="13"/>
      <c r="AO8" s="126"/>
      <c r="AW8" s="12"/>
      <c r="AX8" s="12"/>
      <c r="AY8" s="12"/>
      <c r="AZ8" s="12"/>
      <c r="BA8" s="12"/>
      <c r="BB8" s="5"/>
      <c r="BC8" s="5"/>
      <c r="BD8" s="5"/>
      <c r="BE8" s="12"/>
      <c r="BH8" s="12"/>
      <c r="BJ8" s="12"/>
    </row>
    <row r="9" spans="2:67">
      <c r="C9" s="647"/>
      <c r="K9" s="364"/>
      <c r="L9" s="364"/>
      <c r="M9" s="365"/>
      <c r="N9" s="13"/>
      <c r="O9" s="13"/>
      <c r="P9" s="13"/>
      <c r="Q9" s="13"/>
      <c r="R9" s="139"/>
      <c r="S9" s="139"/>
      <c r="T9" s="139"/>
      <c r="U9" s="366"/>
      <c r="V9" s="37"/>
      <c r="W9" s="37"/>
      <c r="X9" s="367"/>
      <c r="Y9" s="13"/>
      <c r="Z9" s="13"/>
      <c r="AA9" s="13"/>
      <c r="AB9" s="13"/>
      <c r="AC9" s="37"/>
      <c r="AD9" s="37"/>
      <c r="AE9" s="37"/>
      <c r="AF9" s="13"/>
      <c r="AG9" s="139"/>
      <c r="AH9" s="139"/>
      <c r="AI9" s="139"/>
      <c r="AJ9" s="13"/>
      <c r="AK9" s="13"/>
      <c r="AO9" s="126"/>
      <c r="AS9" s="72"/>
      <c r="AW9" s="12"/>
      <c r="AX9" s="12"/>
      <c r="AY9" s="12">
        <f>SUMIF($AW$11:AW75,"&lt;0",$AW$11:AW75)</f>
        <v>0</v>
      </c>
      <c r="AZ9" s="12"/>
      <c r="BA9" s="12"/>
      <c r="BB9" s="5"/>
      <c r="BC9" s="5"/>
      <c r="BD9" s="5"/>
      <c r="BE9" s="508">
        <f>IF(C26=0,0,(SUM(BC11:BC75)/(100%-$C$27))*$C$27)</f>
        <v>0</v>
      </c>
      <c r="BH9" s="12"/>
      <c r="BJ9" s="12"/>
    </row>
    <row r="10" spans="2:67">
      <c r="B10" s="20" t="s">
        <v>64</v>
      </c>
      <c r="C10" s="668" t="s">
        <v>65</v>
      </c>
      <c r="D10" s="669" t="s">
        <v>66</v>
      </c>
      <c r="F10" s="2" t="s">
        <v>67</v>
      </c>
      <c r="G10" s="2"/>
      <c r="H10" s="2"/>
      <c r="I10" s="2"/>
      <c r="J10" s="2"/>
      <c r="K10" s="10"/>
      <c r="L10" s="10"/>
      <c r="M10" s="107"/>
      <c r="N10" s="2"/>
      <c r="O10" s="2"/>
      <c r="P10" s="2"/>
      <c r="Q10" s="2"/>
      <c r="R10" s="2"/>
      <c r="S10" s="107"/>
      <c r="T10" s="2"/>
      <c r="U10" s="2"/>
      <c r="V10" s="2"/>
      <c r="W10" s="2"/>
      <c r="X10" s="2"/>
      <c r="Y10" s="2"/>
      <c r="Z10" s="2"/>
      <c r="AA10" s="2"/>
      <c r="AB10" s="2"/>
      <c r="AC10" s="2"/>
      <c r="AD10" s="2"/>
      <c r="AE10" s="2"/>
      <c r="AF10" s="2"/>
      <c r="AG10" s="2"/>
      <c r="AH10" s="2"/>
      <c r="AI10" s="2"/>
      <c r="AJ10" s="2"/>
      <c r="AK10" s="2"/>
      <c r="AM10" s="2"/>
      <c r="AN10" s="2" t="s">
        <v>55</v>
      </c>
      <c r="AO10" s="10" t="s">
        <v>68</v>
      </c>
      <c r="AP10" s="10" t="s">
        <v>30</v>
      </c>
      <c r="AQ10" s="10" t="s">
        <v>69</v>
      </c>
      <c r="AR10" s="10" t="s">
        <v>70</v>
      </c>
      <c r="AS10" s="10" t="s">
        <v>71</v>
      </c>
      <c r="AT10" s="10" t="s">
        <v>72</v>
      </c>
      <c r="AU10" s="10" t="s">
        <v>10</v>
      </c>
      <c r="AV10" s="10" t="s">
        <v>73</v>
      </c>
      <c r="AW10" s="10" t="s">
        <v>74</v>
      </c>
      <c r="AX10" s="85"/>
      <c r="AY10" s="10" t="s">
        <v>75</v>
      </c>
      <c r="AZ10" s="10" t="s">
        <v>325</v>
      </c>
      <c r="BA10" s="10" t="s">
        <v>76</v>
      </c>
      <c r="BB10" s="10" t="s">
        <v>77</v>
      </c>
      <c r="BC10" s="10" t="s">
        <v>78</v>
      </c>
      <c r="BD10" s="10" t="s">
        <v>76</v>
      </c>
      <c r="BE10" s="10" t="s">
        <v>79</v>
      </c>
      <c r="BF10" s="10" t="s">
        <v>76</v>
      </c>
      <c r="BG10" s="10" t="s">
        <v>80</v>
      </c>
      <c r="BH10" s="85"/>
      <c r="BI10" s="10" t="s">
        <v>81</v>
      </c>
      <c r="BJ10" s="85"/>
      <c r="BK10" s="10" t="s">
        <v>82</v>
      </c>
      <c r="BL10" s="10"/>
      <c r="BM10" s="10"/>
      <c r="BN10" s="142" t="s">
        <v>83</v>
      </c>
      <c r="BO10" s="10" t="s">
        <v>84</v>
      </c>
    </row>
    <row r="11" spans="2:67">
      <c r="B11" s="635" t="s">
        <v>41</v>
      </c>
      <c r="C11" s="648"/>
      <c r="D11" s="652" t="e">
        <f>INDEX(Portfolio!$K:$K,MATCH(Fund!$C$4,Portfolio!$C:$C,0))</f>
        <v>#N/A</v>
      </c>
      <c r="F11" s="15" t="s">
        <v>85</v>
      </c>
      <c r="U11" s="15" t="e">
        <f>"Data as of "&amp;TEXT($C$7,"mm/yy")</f>
        <v>#N/A</v>
      </c>
      <c r="Y11" s="15" t="s">
        <v>86</v>
      </c>
      <c r="AM11" s="129">
        <v>0</v>
      </c>
      <c r="AN11" s="130">
        <v>43465</v>
      </c>
      <c r="AO11" s="131"/>
      <c r="AP11" s="131"/>
      <c r="AQ11" s="132">
        <f>IF(AN11&lt;=closingdate,SUMIFS($C$41:$C$135,$B$41:$B$135,"&gt;"&amp;EOMONTH(AN11,-3),$B$41:$B$135,"&lt;="&amp;AN11),IF(AND(AO11="",AP11=""),SUMIFS($AI$16:$AI$500,$AA$16:$AA$500,$AN11),INDEX($AO11:$AP11,MATCH(Portfolio!$D$9,Fund!$AO$10:$AP$10,0))*Fund!$AI$14))</f>
        <v>0</v>
      </c>
      <c r="AR11" s="134"/>
      <c r="AS11" s="136"/>
      <c r="AT11" s="136">
        <f>IFERROR(SUMIFS('Interim CFs'!$H:$H,'Interim CFs'!$B:$B,$C$4,'Interim CFs'!$E:$E,"&gt;"&amp;$AN10,'Interim CFs'!$E:$E,"&lt;="&amp;$AN11)/$C$8,0)</f>
        <v>0</v>
      </c>
      <c r="AU11" s="133"/>
      <c r="AV11" s="133"/>
      <c r="AW11" s="132">
        <f>SUM(AQ11:AV11)</f>
        <v>0</v>
      </c>
      <c r="AX11" s="132"/>
      <c r="AY11" s="132">
        <f>IF(AW11&lt;=0,0,IF(SUM($AW$11:AW11)&lt;0,AW11,-MIN(SUM($AW$10:AW10),0)))</f>
        <v>0</v>
      </c>
      <c r="AZ11" s="132">
        <f>SUMIF($AY$11:AY11,"&gt;0",$AY$11:AY11)</f>
        <v>0</v>
      </c>
      <c r="BA11" s="132">
        <f t="shared" ref="BA11:BA26" si="0">AW11-AY11</f>
        <v>0</v>
      </c>
      <c r="BB11" s="132">
        <f>AW11*(1+((1+$C$26)^((AN12-AN11)/365)-1))</f>
        <v>0</v>
      </c>
      <c r="BC11" s="132">
        <f t="shared" ref="BC11:BC42" si="1">IF(AW11&lt;=0,0,IF(AND(BB10&gt;0,BB11&gt;0),0,MIN(BA11,-(BB10+AY11))))</f>
        <v>0</v>
      </c>
      <c r="BD11" s="132">
        <f>BA11-BC11</f>
        <v>0</v>
      </c>
      <c r="BE11" s="132">
        <f>-IF(BD11&lt;=0,0,MIN(BD11,$BE$9+SUM($BE$10:BE10)))</f>
        <v>0</v>
      </c>
      <c r="BF11" s="132">
        <f>BD11+BE11</f>
        <v>0</v>
      </c>
      <c r="BG11" s="132">
        <f t="shared" ref="BG11:BG42" si="2">IF(AZ11&lt;$AY$9,0,IF($C$26=0,IF(BA11&lt;=0,0,-$C$27*BA11),IF(BF11&lt;=0,0,-$C$27*BF11)))</f>
        <v>0</v>
      </c>
      <c r="BH11" s="132"/>
      <c r="BI11" s="132" t="e">
        <f t="shared" ref="BI11:BI42" si="3">(AW11+BE11+BG11)*$C$8</f>
        <v>#N/A</v>
      </c>
      <c r="BJ11" s="132"/>
      <c r="BK11" s="132">
        <f>SUMIFS(AW11,AW11,"&lt;0")+AY11+BC11</f>
        <v>0</v>
      </c>
      <c r="BL11" s="132"/>
      <c r="BM11" s="132"/>
      <c r="BN11" s="143">
        <f>IF(AN11&lt;closingdate,0,FLOOR(((YEAR(AN11)*12+MONTH(AN11))-(YEAR(closingdate)*12+MONTH(closingdate)))/3,1))/4</f>
        <v>118.75</v>
      </c>
      <c r="BO11" s="132" t="e">
        <f>IF(AN11&lt;closingdate,0,IF(AN11=closingdate,-INDEX('Pricing Table'!$C$24:$D$24,MATCH(Fund!$C$4,'Pricing Table'!$C$5:$D$5,0)),Fund!BI11))</f>
        <v>#N/A</v>
      </c>
    </row>
    <row r="12" spans="2:67" ht="15">
      <c r="B12" s="23" t="s">
        <v>42</v>
      </c>
      <c r="C12" s="649"/>
      <c r="D12" s="653" t="e">
        <f>INDEX(Portfolio!$L:$L,MATCH(Fund!$C$4,Portfolio!$C:$C,0))</f>
        <v>#N/A</v>
      </c>
      <c r="F12" s="15"/>
      <c r="K12" s="1"/>
      <c r="L12" s="1"/>
      <c r="Y12" s="7" t="s">
        <v>87</v>
      </c>
      <c r="Z12" s="7"/>
      <c r="AA12" s="56">
        <f>Sensitivities!$C$3</f>
        <v>0</v>
      </c>
      <c r="AC12" s="7" t="s">
        <v>8</v>
      </c>
      <c r="AD12" s="7"/>
      <c r="AE12" s="326">
        <f>Sensitivities!$C$4</f>
        <v>0</v>
      </c>
      <c r="AG12" s="7" t="s">
        <v>7</v>
      </c>
      <c r="AH12" s="7"/>
      <c r="AI12" s="7"/>
      <c r="AJ12"/>
      <c r="AK12"/>
      <c r="AM12" s="58">
        <f>+AM11+1</f>
        <v>1</v>
      </c>
      <c r="AN12" s="135">
        <f>EOMONTH(AN11,3)</f>
        <v>43555</v>
      </c>
      <c r="AO12" s="124"/>
      <c r="AP12" s="124"/>
      <c r="AQ12" s="132">
        <f>IF(AN12&lt;=closingdate,SUMIFS($C$41:$C$135,$B$41:$B$135,"&gt;"&amp;EOMONTH(AN12,-3),$B$41:$B$135,"&lt;="&amp;AN12),IF(AND(AO12="",AP12=""),SUMIFS($AI$16:$AI$500,$AA$16:$AA$500,$AN12),INDEX($AO12:$AP12,MATCH(Portfolio!$D$9,Fund!$AO$10:$AP$10,0))*Fund!$AI$14))</f>
        <v>0</v>
      </c>
      <c r="AR12" s="138"/>
      <c r="AS12" s="136" cm="1">
        <f t="array" ref="AS12">IF(AQ12&gt;0,SUM(IF(ROW($AR11:AR$11)&gt;=MAX(IF($AQ11:AQ$11&gt;0,ROW($AQ11:AQ$11),0)),$AR11:AR$11,0)),0)+IF(AN12=MAX($AA$17,$AA$18,$AA$19,$AA$20,$AA$21,$AA$22,$AA$23,$AA$24),SUM($C$17:$C$18),0)</f>
        <v>0</v>
      </c>
      <c r="AT12" s="136">
        <f>IFERROR(SUMIFS('Interim CFs'!$H:$H,'Interim CFs'!$B:$B,$C$4,'Interim CFs'!$E:$E,"&gt;"&amp;$AN11,'Interim CFs'!$E:$E,"&lt;="&amp;$AN12)/$C$8,0)</f>
        <v>0</v>
      </c>
      <c r="AU12" s="137"/>
      <c r="AV12" s="137"/>
      <c r="AW12" s="136">
        <f t="shared" ref="AW12:AW42" si="4">SUM(AQ12:AV12)</f>
        <v>0</v>
      </c>
      <c r="AX12" s="136"/>
      <c r="AY12" s="136">
        <f>IF(AW12&lt;=0,0,IF(SUM($AW$11:AW12)&lt;0,AW12,-MIN(SUM($AW$10:AW11),0)))</f>
        <v>0</v>
      </c>
      <c r="AZ12" s="136">
        <f>SUMIF($AY$11:AY12,"&gt;0",$AY$11:AY12)</f>
        <v>0</v>
      </c>
      <c r="BA12" s="136">
        <f t="shared" si="0"/>
        <v>0</v>
      </c>
      <c r="BB12" s="132">
        <f t="shared" ref="BB12:BB43" si="5">AW12*(1+((1+$C$26)^0.25-1))+BB11*(1+((1+$C$26)^0.25-1))</f>
        <v>0</v>
      </c>
      <c r="BC12" s="132">
        <f t="shared" si="1"/>
        <v>0</v>
      </c>
      <c r="BD12" s="132">
        <f t="shared" ref="BD12:BD74" si="6">BA12-BC12</f>
        <v>0</v>
      </c>
      <c r="BE12" s="132">
        <f>-IF(BD12&lt;=0,0,MIN(BD12,$BE$9+SUM($BE$10:BE11)))</f>
        <v>0</v>
      </c>
      <c r="BF12" s="136">
        <f t="shared" ref="BF12:BF26" si="7">BD12+BE12</f>
        <v>0</v>
      </c>
      <c r="BG12" s="136">
        <f t="shared" si="2"/>
        <v>0</v>
      </c>
      <c r="BH12" s="136"/>
      <c r="BI12" s="136" t="e">
        <f t="shared" si="3"/>
        <v>#N/A</v>
      </c>
      <c r="BJ12" s="136"/>
      <c r="BK12" s="132">
        <f t="shared" ref="BK12:BK75" si="8">SUMIFS(AW12,AW12,"&lt;0")+AY12+BC12</f>
        <v>0</v>
      </c>
      <c r="BL12" s="136"/>
      <c r="BM12" s="132"/>
      <c r="BN12" s="143">
        <f t="shared" ref="BN12:BN42" si="9">IF(AN12&lt;closingdate,0,FLOOR(((YEAR(AN12)*12+MONTH(AN12))-(YEAR(closingdate)*12+MONTH(closingdate)))/3,1))/4</f>
        <v>119</v>
      </c>
      <c r="BO12" s="132" t="e">
        <f>IF(AN12&lt;closingdate,0,IF(AN12=closingdate,-INDEX('Pricing Table'!$C$24:$D$24,MATCH(Fund!$C$4,'Pricing Table'!$C$5:$D$5,0)),Fund!BI12))</f>
        <v>#N/A</v>
      </c>
    </row>
    <row r="13" spans="2:67" ht="15" thickBot="1">
      <c r="B13" s="23" t="s">
        <v>43</v>
      </c>
      <c r="C13" s="649">
        <v>0</v>
      </c>
      <c r="D13" s="653" t="e">
        <f>INDEX(Portfolio!$M:$M,MATCH(Fund!$C$4,Portfolio!$C:$C,0))</f>
        <v>#N/A</v>
      </c>
      <c r="K13" s="364"/>
      <c r="L13" s="364"/>
      <c r="M13" s="365"/>
      <c r="N13" s="13"/>
      <c r="O13" s="13"/>
      <c r="P13" s="13"/>
      <c r="Q13" s="13"/>
      <c r="R13" s="139"/>
      <c r="S13" s="139"/>
      <c r="T13" s="139"/>
      <c r="U13" s="366"/>
      <c r="V13" s="37"/>
      <c r="W13" s="37"/>
      <c r="X13" s="367"/>
      <c r="Y13" s="13"/>
      <c r="Z13" s="13"/>
      <c r="AA13" s="13"/>
      <c r="AB13" s="13"/>
      <c r="AC13" s="37"/>
      <c r="AD13" s="37"/>
      <c r="AE13" s="37"/>
      <c r="AF13" s="13"/>
      <c r="AG13" s="139"/>
      <c r="AH13" s="139"/>
      <c r="AI13" s="139"/>
      <c r="AJ13" s="13"/>
      <c r="AK13" s="13"/>
      <c r="AM13" s="58">
        <f t="shared" ref="AM13:AM33" si="10">+AM12+1</f>
        <v>2</v>
      </c>
      <c r="AN13" s="135">
        <f t="shared" ref="AN13:AN26" si="11">EOMONTH(AN12,3)</f>
        <v>43646</v>
      </c>
      <c r="AO13" s="124"/>
      <c r="AP13" s="124"/>
      <c r="AQ13" s="132">
        <f>IF(AN13&lt;=closingdate,SUMIFS($C$41:$C$135,$B$41:$B$135,"&gt;"&amp;EOMONTH(AN13,-3),$B$41:$B$135,"&lt;="&amp;AN13),IF(AND(AO13="",AP13=""),SUMIFS($AI$16:$AI$500,$AA$16:$AA$500,$AN13),INDEX($AO13:$AP13,MATCH(Portfolio!$D$9,Fund!$AO$10:$AP$10,0))*Fund!$AI$14))</f>
        <v>0</v>
      </c>
      <c r="AR13" s="138"/>
      <c r="AS13" s="136" cm="1">
        <f t="array" ref="AS13">IF(AQ13&gt;0,SUM(IF(ROW($AR$11:AR12)&gt;=MAX(IF($AQ$11:AQ12&gt;0,ROW($AQ$11:AQ12),0)),$AR$11:AR12,0)),0)+IF(AN13=MAX($AA$17,$AA$18,$AA$19,$AA$20,$AA$21,$AA$22,$AA$23,$AA$24),SUM($C$17:$C$18),0)</f>
        <v>0</v>
      </c>
      <c r="AT13" s="136">
        <f>IFERROR(SUMIFS('Interim CFs'!$H:$H,'Interim CFs'!$B:$B,$C$4,'Interim CFs'!$E:$E,"&gt;"&amp;$AN12,'Interim CFs'!$E:$E,"&lt;="&amp;$AN13)/$C$8,0)</f>
        <v>0</v>
      </c>
      <c r="AU13" s="137"/>
      <c r="AV13" s="137"/>
      <c r="AW13" s="136">
        <f t="shared" si="4"/>
        <v>0</v>
      </c>
      <c r="AX13" s="136"/>
      <c r="AY13" s="136">
        <f>IF(AW13&lt;=0,0,IF(SUM($AW$11:AW13)&lt;0,AW13,-MIN(SUM($AW$10:AW12),0)))</f>
        <v>0</v>
      </c>
      <c r="AZ13" s="136">
        <f>SUMIF($AY$11:AY13,"&gt;0",$AY$11:AY13)</f>
        <v>0</v>
      </c>
      <c r="BA13" s="136">
        <f t="shared" si="0"/>
        <v>0</v>
      </c>
      <c r="BB13" s="132">
        <f t="shared" si="5"/>
        <v>0</v>
      </c>
      <c r="BC13" s="132">
        <f t="shared" si="1"/>
        <v>0</v>
      </c>
      <c r="BD13" s="132">
        <f t="shared" si="6"/>
        <v>0</v>
      </c>
      <c r="BE13" s="132">
        <f>-IF(BD13&lt;=0,0,MIN(BD13,$BE$9+SUM($BE$10:BE12)))</f>
        <v>0</v>
      </c>
      <c r="BF13" s="136">
        <f t="shared" si="7"/>
        <v>0</v>
      </c>
      <c r="BG13" s="136">
        <f t="shared" si="2"/>
        <v>0</v>
      </c>
      <c r="BH13" s="136"/>
      <c r="BI13" s="136" t="e">
        <f t="shared" si="3"/>
        <v>#N/A</v>
      </c>
      <c r="BJ13" s="136"/>
      <c r="BK13" s="132">
        <f t="shared" si="8"/>
        <v>0</v>
      </c>
      <c r="BL13" s="136"/>
      <c r="BM13" s="132"/>
      <c r="BN13" s="143">
        <f t="shared" si="9"/>
        <v>119.25</v>
      </c>
      <c r="BO13" s="132" t="e">
        <f>IF(AN13&lt;closingdate,0,IF(AN13=closingdate,-INDEX('Pricing Table'!$C$24:$D$24,MATCH(Fund!$C$4,'Pricing Table'!$C$5:$D$5,0)),Fund!BI13))</f>
        <v>#N/A</v>
      </c>
    </row>
    <row r="14" spans="2:67" ht="15" thickBot="1">
      <c r="B14" s="23" t="s">
        <v>44</v>
      </c>
      <c r="C14" s="649">
        <v>0</v>
      </c>
      <c r="D14" s="653" t="e">
        <f>INDEX(Portfolio!$N:$N,MATCH(Fund!$C$4,Portfolio!$C:$C,0))</f>
        <v>#N/A</v>
      </c>
      <c r="F14" s="29" t="s">
        <v>0</v>
      </c>
      <c r="G14" s="30"/>
      <c r="H14" s="30"/>
      <c r="I14" s="30"/>
      <c r="J14" s="30"/>
      <c r="K14" s="30"/>
      <c r="L14" s="30"/>
      <c r="M14" s="30"/>
      <c r="N14" s="30"/>
      <c r="O14" s="30"/>
      <c r="P14" s="30"/>
      <c r="Q14" s="369">
        <f>SUM(Q17:Q1048576)</f>
        <v>0</v>
      </c>
      <c r="R14" s="369">
        <f>SUM(R17:R1048576)</f>
        <v>0</v>
      </c>
      <c r="S14" s="369">
        <f>SUM(S17:S1048576)</f>
        <v>0</v>
      </c>
      <c r="T14" s="369">
        <f>SUM(T17:T1048576)</f>
        <v>0</v>
      </c>
      <c r="U14" s="68">
        <f>SUM(U17:U1048576)</f>
        <v>0</v>
      </c>
      <c r="V14" s="31" t="str">
        <f t="shared" ref="V14" si="12">IFERROR(S14/R14,"n/a")</f>
        <v>n/a</v>
      </c>
      <c r="W14" s="31" t="str">
        <f t="shared" ref="W14" si="13">IFERROR((T14+S14)/R14,"n/a")</f>
        <v>n/a</v>
      </c>
      <c r="X14" s="30"/>
      <c r="Y14" s="30"/>
      <c r="Z14" s="30"/>
      <c r="AA14" s="30"/>
      <c r="AB14" s="30"/>
      <c r="AC14" s="31" t="e">
        <f>AG14/T14</f>
        <v>#DIV/0!</v>
      </c>
      <c r="AD14" s="31" t="e">
        <f>AH14/T14</f>
        <v>#DIV/0!</v>
      </c>
      <c r="AE14" s="31" t="e">
        <f>AI14/R14</f>
        <v>#DIV/0!</v>
      </c>
      <c r="AF14" s="30"/>
      <c r="AG14" s="369">
        <f>SUM(AG17:AG1048576)</f>
        <v>0</v>
      </c>
      <c r="AH14" s="369">
        <f>SUM(AH17:AH1048576)</f>
        <v>0</v>
      </c>
      <c r="AI14" s="369">
        <f>SUM(AI17:AI1048576)</f>
        <v>0</v>
      </c>
      <c r="AJ14" s="30"/>
      <c r="AK14" s="30"/>
      <c r="AM14" s="58">
        <f t="shared" si="10"/>
        <v>3</v>
      </c>
      <c r="AN14" s="135">
        <f t="shared" si="11"/>
        <v>43738</v>
      </c>
      <c r="AO14" s="124"/>
      <c r="AP14" s="124"/>
      <c r="AQ14" s="132">
        <f>IF(AN14&lt;=closingdate,SUMIFS($C$41:$C$135,$B$41:$B$135,"&gt;"&amp;EOMONTH(AN14,-3),$B$41:$B$135,"&lt;="&amp;AN14),IF(AND(AO14="",AP14=""),SUMIFS($AI$16:$AI$500,$AA$16:$AA$500,$AN14),INDEX($AO14:$AP14,MATCH(Portfolio!$D$9,Fund!$AO$10:$AP$10,0))*Fund!$AI$14))</f>
        <v>0</v>
      </c>
      <c r="AR14" s="138"/>
      <c r="AS14" s="136" cm="1">
        <f t="array" ref="AS14">IF(AQ14&gt;0,SUM(IF(ROW($AR$11:AR13)&gt;=MAX(IF($AQ$11:AQ13&gt;0,ROW($AQ$11:AQ13),0)),$AR$11:AR13,0)),0)+IF(AN14=MAX($AA$17,$AA$18,$AA$19,$AA$20,$AA$21,$AA$22,$AA$23,$AA$24),SUM($C$17:$C$18),0)</f>
        <v>0</v>
      </c>
      <c r="AT14" s="136">
        <f>IFERROR(SUMIFS('Interim CFs'!$H:$H,'Interim CFs'!$B:$B,$C$4,'Interim CFs'!$E:$E,"&gt;"&amp;$AN13,'Interim CFs'!$E:$E,"&lt;="&amp;$AN14)/$C$8,0)</f>
        <v>0</v>
      </c>
      <c r="AU14" s="137"/>
      <c r="AV14" s="137"/>
      <c r="AW14" s="136">
        <f t="shared" si="4"/>
        <v>0</v>
      </c>
      <c r="AX14" s="136"/>
      <c r="AY14" s="136">
        <f>IF(AW14&lt;=0,0,IF(SUM($AW$11:AW14)&lt;0,AW14,-MIN(SUM($AW$10:AW13),0)))</f>
        <v>0</v>
      </c>
      <c r="AZ14" s="136">
        <f>SUMIF($AY$11:AY14,"&gt;0",$AY$11:AY14)</f>
        <v>0</v>
      </c>
      <c r="BA14" s="136">
        <f t="shared" si="0"/>
        <v>0</v>
      </c>
      <c r="BB14" s="132">
        <f t="shared" si="5"/>
        <v>0</v>
      </c>
      <c r="BC14" s="132">
        <f t="shared" si="1"/>
        <v>0</v>
      </c>
      <c r="BD14" s="132">
        <f t="shared" si="6"/>
        <v>0</v>
      </c>
      <c r="BE14" s="132">
        <f>-IF(BD14&lt;=0,0,MIN(BD14,$BE$9+SUM($BE$10:BE13)))</f>
        <v>0</v>
      </c>
      <c r="BF14" s="136">
        <f t="shared" si="7"/>
        <v>0</v>
      </c>
      <c r="BG14" s="136">
        <f t="shared" si="2"/>
        <v>0</v>
      </c>
      <c r="BH14" s="136"/>
      <c r="BI14" s="136" t="e">
        <f t="shared" si="3"/>
        <v>#N/A</v>
      </c>
      <c r="BJ14" s="136"/>
      <c r="BK14" s="132">
        <f t="shared" si="8"/>
        <v>0</v>
      </c>
      <c r="BL14" s="136"/>
      <c r="BM14" s="132"/>
      <c r="BN14" s="143">
        <f t="shared" si="9"/>
        <v>119.5</v>
      </c>
      <c r="BO14" s="132" t="e">
        <f>IF(AN14&lt;closingdate,0,IF(AN14=closingdate,-INDEX('Pricing Table'!$C$24:$D$24,MATCH(Fund!$C$4,'Pricing Table'!$C$5:$D$5,0)),Fund!BI14))</f>
        <v>#N/A</v>
      </c>
    </row>
    <row r="15" spans="2:67" ht="15" thickBot="1">
      <c r="B15" s="23" t="s">
        <v>5</v>
      </c>
      <c r="C15" s="650">
        <f>SUM(C16:C18)</f>
        <v>0</v>
      </c>
      <c r="D15" s="653" t="e">
        <f>INDEX(Portfolio!$O:$O,MATCH(Fund!$C$4,Portfolio!$C:$C,0))</f>
        <v>#N/A</v>
      </c>
      <c r="AM15" s="58">
        <f t="shared" si="10"/>
        <v>4</v>
      </c>
      <c r="AN15" s="135">
        <f t="shared" si="11"/>
        <v>43830</v>
      </c>
      <c r="AO15" s="124"/>
      <c r="AP15" s="124"/>
      <c r="AQ15" s="132">
        <f>IF(AN15&lt;=closingdate,SUMIFS($C$41:$C$135,$B$41:$B$135,"&gt;"&amp;EOMONTH(AN15,-3),$B$41:$B$135,"&lt;="&amp;AN15),IF(AND(AO15="",AP15=""),SUMIFS($AI$16:$AI$500,$AA$16:$AA$500,$AN15),INDEX($AO15:$AP15,MATCH(Portfolio!$D$9,Fund!$AO$10:$AP$10,0))*Fund!$AI$14))</f>
        <v>0</v>
      </c>
      <c r="AR15" s="138"/>
      <c r="AS15" s="136" cm="1">
        <f t="array" ref="AS15">IF(AQ15&gt;0,SUM(IF(ROW($AR$11:AR14)&gt;=MAX(IF($AQ$11:AQ14&gt;0,ROW($AQ$11:AQ14),0)),$AR$11:AR14,0)),0)+IF(AN15=MAX($AA$17,$AA$18,$AA$19,$AA$20,$AA$21,$AA$22,$AA$23,$AA$24),SUM($C$17:$C$18),0)</f>
        <v>0</v>
      </c>
      <c r="AT15" s="136">
        <f>IFERROR(SUMIFS('Interim CFs'!$H:$H,'Interim CFs'!$B:$B,$C$4,'Interim CFs'!$E:$E,"&gt;"&amp;$AN14,'Interim CFs'!$E:$E,"&lt;="&amp;$AN15)/$C$8,0)</f>
        <v>0</v>
      </c>
      <c r="AU15" s="137"/>
      <c r="AV15" s="137"/>
      <c r="AW15" s="136">
        <f t="shared" si="4"/>
        <v>0</v>
      </c>
      <c r="AX15" s="136"/>
      <c r="AY15" s="136">
        <f>IF(AW15&lt;=0,0,IF(SUM($AW$11:AW15)&lt;0,AW15,-MIN(SUM($AW$10:AW14),0)))</f>
        <v>0</v>
      </c>
      <c r="AZ15" s="136">
        <f>SUMIF($AY$11:AY15,"&gt;0",$AY$11:AY15)</f>
        <v>0</v>
      </c>
      <c r="BA15" s="136">
        <f t="shared" si="0"/>
        <v>0</v>
      </c>
      <c r="BB15" s="132">
        <f t="shared" si="5"/>
        <v>0</v>
      </c>
      <c r="BC15" s="132">
        <f t="shared" si="1"/>
        <v>0</v>
      </c>
      <c r="BD15" s="132">
        <f t="shared" si="6"/>
        <v>0</v>
      </c>
      <c r="BE15" s="132">
        <f>-IF(BD15&lt;=0,0,MIN(BD15,$BE$9+SUM($BE$10:BE14)))</f>
        <v>0</v>
      </c>
      <c r="BF15" s="136">
        <f t="shared" si="7"/>
        <v>0</v>
      </c>
      <c r="BG15" s="136">
        <f t="shared" si="2"/>
        <v>0</v>
      </c>
      <c r="BH15" s="136"/>
      <c r="BI15" s="136" t="e">
        <f t="shared" si="3"/>
        <v>#N/A</v>
      </c>
      <c r="BJ15" s="136"/>
      <c r="BK15" s="132">
        <f t="shared" si="8"/>
        <v>0</v>
      </c>
      <c r="BL15" s="136"/>
      <c r="BM15" s="132"/>
      <c r="BN15" s="143">
        <f t="shared" si="9"/>
        <v>119.75</v>
      </c>
      <c r="BO15" s="132" t="e">
        <f>IF(AN15&lt;closingdate,0,IF(AN15=closingdate,-INDEX('Pricing Table'!$C$24:$D$24,MATCH(Fund!$C$4,'Pricing Table'!$C$5:$D$5,0)),Fund!BI15))</f>
        <v>#N/A</v>
      </c>
    </row>
    <row r="16" spans="2:67" ht="15" thickBot="1">
      <c r="B16" s="23" t="s">
        <v>88</v>
      </c>
      <c r="C16" s="649"/>
      <c r="D16" s="654" t="e">
        <f>C16*$C$8</f>
        <v>#N/A</v>
      </c>
      <c r="F16" s="656" t="s">
        <v>89</v>
      </c>
      <c r="G16" s="657" t="s">
        <v>365</v>
      </c>
      <c r="H16" s="657" t="s">
        <v>366</v>
      </c>
      <c r="I16" s="657" t="s">
        <v>367</v>
      </c>
      <c r="J16" s="657" t="s">
        <v>90</v>
      </c>
      <c r="K16" s="657" t="s">
        <v>91</v>
      </c>
      <c r="L16" s="657" t="s">
        <v>92</v>
      </c>
      <c r="M16" s="657" t="s">
        <v>93</v>
      </c>
      <c r="N16" s="30" t="s">
        <v>2</v>
      </c>
      <c r="O16" s="30" t="s">
        <v>94</v>
      </c>
      <c r="P16" s="30" t="s">
        <v>95</v>
      </c>
      <c r="Q16" s="30" t="s">
        <v>96</v>
      </c>
      <c r="R16" s="30" t="s">
        <v>42</v>
      </c>
      <c r="S16" s="105" t="s">
        <v>44</v>
      </c>
      <c r="T16" s="30" t="s">
        <v>88</v>
      </c>
      <c r="U16" s="30" t="s">
        <v>324</v>
      </c>
      <c r="V16" s="30" t="s">
        <v>45</v>
      </c>
      <c r="W16" s="30" t="s">
        <v>47</v>
      </c>
      <c r="X16" s="30" t="s">
        <v>97</v>
      </c>
      <c r="Y16" s="30" t="s">
        <v>68</v>
      </c>
      <c r="Z16" s="30" t="s">
        <v>30</v>
      </c>
      <c r="AA16" s="30" t="s">
        <v>98</v>
      </c>
      <c r="AB16" s="30"/>
      <c r="AC16" s="30" t="s">
        <v>68</v>
      </c>
      <c r="AD16" s="30" t="s">
        <v>30</v>
      </c>
      <c r="AE16" s="30" t="s">
        <v>98</v>
      </c>
      <c r="AF16" s="30"/>
      <c r="AG16" s="30" t="s">
        <v>68</v>
      </c>
      <c r="AH16" s="30" t="s">
        <v>30</v>
      </c>
      <c r="AI16" s="30" t="s">
        <v>99</v>
      </c>
      <c r="AJ16" s="30"/>
      <c r="AK16" s="30" t="s">
        <v>100</v>
      </c>
      <c r="AM16" s="58">
        <f t="shared" si="10"/>
        <v>5</v>
      </c>
      <c r="AN16" s="135">
        <f t="shared" si="11"/>
        <v>43921</v>
      </c>
      <c r="AO16" s="124"/>
      <c r="AP16" s="124"/>
      <c r="AQ16" s="132">
        <f>IF(AN16&lt;=closingdate,SUMIFS($C$41:$C$135,$B$41:$B$135,"&gt;"&amp;EOMONTH(AN16,-3),$B$41:$B$135,"&lt;="&amp;AN16),IF(AND(AO16="",AP16=""),SUMIFS($AI$16:$AI$500,$AA$16:$AA$500,$AN16),INDEX($AO16:$AP16,MATCH(Portfolio!$D$9,Fund!$AO$10:$AP$10,0))*Fund!$AI$14))</f>
        <v>0</v>
      </c>
      <c r="AR16" s="138"/>
      <c r="AS16" s="136" cm="1">
        <f t="array" ref="AS16">IF(AQ16&gt;0,SUM(IF(ROW($AR$11:AR15)&gt;=MAX(IF($AQ$11:AQ15&gt;0,ROW($AQ$11:AQ15),0)),$AR$11:AR15,0)),0)+IF(AN16=MAX($AA$17,$AA$18,$AA$19,$AA$20,$AA$21,$AA$22,$AA$23,$AA$24),SUM($C$17:$C$18),0)</f>
        <v>0</v>
      </c>
      <c r="AT16" s="136">
        <f>IFERROR(SUMIFS('Interim CFs'!$H:$H,'Interim CFs'!$B:$B,$C$4,'Interim CFs'!$E:$E,"&gt;"&amp;$AN15,'Interim CFs'!$E:$E,"&lt;="&amp;$AN16)/$C$8,0)</f>
        <v>0</v>
      </c>
      <c r="AU16" s="137"/>
      <c r="AV16" s="137"/>
      <c r="AW16" s="136">
        <f t="shared" si="4"/>
        <v>0</v>
      </c>
      <c r="AX16" s="136"/>
      <c r="AY16" s="136">
        <f>IF(AW16&lt;=0,0,IF(SUM($AW$11:AW16)&lt;0,AW16,-MIN(SUM($AW$10:AW15),0)))</f>
        <v>0</v>
      </c>
      <c r="AZ16" s="136">
        <f>SUMIF($AY$11:AY16,"&gt;0",$AY$11:AY16)</f>
        <v>0</v>
      </c>
      <c r="BA16" s="136">
        <f t="shared" si="0"/>
        <v>0</v>
      </c>
      <c r="BB16" s="132">
        <f t="shared" si="5"/>
        <v>0</v>
      </c>
      <c r="BC16" s="132">
        <f t="shared" si="1"/>
        <v>0</v>
      </c>
      <c r="BD16" s="132">
        <f t="shared" si="6"/>
        <v>0</v>
      </c>
      <c r="BE16" s="132">
        <f>-IF(BD16&lt;=0,0,MIN(BD16,$BE$9+SUM($BE$10:BE15)))</f>
        <v>0</v>
      </c>
      <c r="BF16" s="136">
        <f t="shared" si="7"/>
        <v>0</v>
      </c>
      <c r="BG16" s="136">
        <f t="shared" si="2"/>
        <v>0</v>
      </c>
      <c r="BH16" s="136"/>
      <c r="BI16" s="136" t="e">
        <f t="shared" si="3"/>
        <v>#N/A</v>
      </c>
      <c r="BJ16" s="136"/>
      <c r="BK16" s="132">
        <f t="shared" si="8"/>
        <v>0</v>
      </c>
      <c r="BL16" s="136"/>
      <c r="BM16" s="132"/>
      <c r="BN16" s="143">
        <f t="shared" si="9"/>
        <v>120</v>
      </c>
      <c r="BO16" s="132" t="e">
        <f>IF(AN16&lt;closingdate,0,IF(AN16=closingdate,-INDEX('Pricing Table'!$C$24:$D$24,MATCH(Fund!$C$4,'Pricing Table'!$C$5:$D$5,0)),Fund!BI16))</f>
        <v>#N/A</v>
      </c>
    </row>
    <row r="17" spans="2:69">
      <c r="B17" s="23" t="s">
        <v>342</v>
      </c>
      <c r="C17" s="649"/>
      <c r="D17" s="654" t="e">
        <f>C17*$C$8</f>
        <v>#N/A</v>
      </c>
      <c r="F17" s="658"/>
      <c r="G17" s="659"/>
      <c r="H17" s="659"/>
      <c r="I17" s="660" t="str">
        <f>IF(ISBLANK(H17),"not listed",_xll.SNL.Clients.Office.Excel.Functions.SPG(H17,"SP_PRICE_CLOSE",$AE$7,"Options: Curr=USD, ConvMethod=H")/_xll.SNL.Clients.Office.Excel.Functions.SPG(H17,"SP_PRICE_CLOSE",$C$7,"Options: Curr=USD, ConvMethod=H"))</f>
        <v>not listed</v>
      </c>
      <c r="J17" s="661"/>
      <c r="K17" s="662"/>
      <c r="L17" s="663"/>
      <c r="M17" s="663"/>
      <c r="N17" s="62"/>
      <c r="O17" s="171">
        <f>IFERROR(INDEX('Fx Table'!$Q$6:$U$10,MATCH($C$5,'Fx Table'!$Q$5:$U$5,0),MATCH($N17,'Fx Table'!$P$6:$P$10,0)),1)</f>
        <v>1</v>
      </c>
      <c r="P17" s="175"/>
      <c r="Q17" s="175"/>
      <c r="R17" s="176"/>
      <c r="S17" s="176"/>
      <c r="T17" s="176"/>
      <c r="U17" s="116" t="str">
        <f t="shared" ref="U17:U24" si="14">IFERROR(T17/$C$16,"n/a")</f>
        <v>n/a</v>
      </c>
      <c r="V17" s="166" t="str">
        <f t="shared" ref="V17:V24" si="15">IFERROR(S17/R17,"n/a")</f>
        <v>n/a</v>
      </c>
      <c r="W17" s="166" t="str">
        <f t="shared" ref="W17:W24" si="16">IFERROR((T17+S17)/R17,"n/a")</f>
        <v>n/a</v>
      </c>
      <c r="X17" s="175"/>
      <c r="Y17" s="52"/>
      <c r="Z17" s="320"/>
      <c r="AA17" s="57">
        <f>IFERROR(EOMONTH(IF(Portfolio!$D$9="Seine",Fund!Z17,Fund!Y17),$AA$12),"n/a")</f>
        <v>31</v>
      </c>
      <c r="AB17" s="50"/>
      <c r="AC17" s="119"/>
      <c r="AD17" s="327"/>
      <c r="AE17" s="121">
        <f>MAX(IF(Portfolio!$D$9="Seine",Fund!AD17,Fund!AC17)+$AE$12,0)</f>
        <v>0</v>
      </c>
      <c r="AF17" s="33"/>
      <c r="AG17" s="32">
        <f>IFERROR(AC17*$O17*$T17,"n/a")</f>
        <v>0</v>
      </c>
      <c r="AH17" s="32">
        <f t="shared" ref="AH17:AH24" si="17">IFERROR(AD17*$O17*$T17,"n/a")</f>
        <v>0</v>
      </c>
      <c r="AI17" s="32">
        <f t="shared" ref="AI17:AI24" si="18">IFERROR(AE17*$T17,"n/a")</f>
        <v>0</v>
      </c>
      <c r="AJ17" s="32"/>
      <c r="AK17" s="324"/>
      <c r="AM17" s="58">
        <f t="shared" si="10"/>
        <v>6</v>
      </c>
      <c r="AN17" s="135">
        <f t="shared" si="11"/>
        <v>44012</v>
      </c>
      <c r="AO17" s="124"/>
      <c r="AP17" s="124"/>
      <c r="AQ17" s="132">
        <f>IF(AN17&lt;=closingdate,SUMIFS($C$41:$C$135,$B$41:$B$135,"&gt;"&amp;EOMONTH(AN17,-3),$B$41:$B$135,"&lt;="&amp;AN17),IF(AND(AO17="",AP17=""),SUMIFS($AI$16:$AI$500,$AA$16:$AA$500,$AN17),INDEX($AO17:$AP17,MATCH(Portfolio!$D$9,Fund!$AO$10:$AP$10,0))*Fund!$AI$14))</f>
        <v>0</v>
      </c>
      <c r="AR17" s="138"/>
      <c r="AS17" s="136" cm="1">
        <f t="array" ref="AS17">IF(AQ17&gt;0,SUM(IF(ROW($AR$11:AR16)&gt;=MAX(IF($AQ$11:AQ16&gt;0,ROW($AQ$11:AQ16),0)),$AR$11:AR16,0)),0)+IF(AN17=MAX($AA$17,$AA$18,$AA$19,$AA$20,$AA$21,$AA$22,$AA$23,$AA$24),SUM($C$17:$C$18),0)</f>
        <v>0</v>
      </c>
      <c r="AT17" s="136">
        <f>IFERROR(SUMIFS('Interim CFs'!$H:$H,'Interim CFs'!$B:$B,$C$4,'Interim CFs'!$E:$E,"&gt;"&amp;$AN16,'Interim CFs'!$E:$E,"&lt;="&amp;$AN17)/$C$8,0)</f>
        <v>0</v>
      </c>
      <c r="AU17" s="137"/>
      <c r="AV17" s="137"/>
      <c r="AW17" s="136">
        <f t="shared" si="4"/>
        <v>0</v>
      </c>
      <c r="AX17" s="136"/>
      <c r="AY17" s="136">
        <f>IF(AW17&lt;=0,0,IF(SUM($AW$11:AW17)&lt;0,AW17,-MIN(SUM($AW$10:AW16),0)))</f>
        <v>0</v>
      </c>
      <c r="AZ17" s="136">
        <f>SUMIF($AY$11:AY17,"&gt;0",$AY$11:AY17)</f>
        <v>0</v>
      </c>
      <c r="BA17" s="136">
        <f t="shared" si="0"/>
        <v>0</v>
      </c>
      <c r="BB17" s="132">
        <f t="shared" si="5"/>
        <v>0</v>
      </c>
      <c r="BC17" s="132">
        <f t="shared" si="1"/>
        <v>0</v>
      </c>
      <c r="BD17" s="132">
        <f t="shared" si="6"/>
        <v>0</v>
      </c>
      <c r="BE17" s="132">
        <f>-IF(BD17&lt;=0,0,MIN(BD17,$BE$9+SUM($BE$10:BE16)))</f>
        <v>0</v>
      </c>
      <c r="BF17" s="136">
        <f t="shared" si="7"/>
        <v>0</v>
      </c>
      <c r="BG17" s="136">
        <f t="shared" si="2"/>
        <v>0</v>
      </c>
      <c r="BH17" s="136"/>
      <c r="BI17" s="136" t="e">
        <f t="shared" si="3"/>
        <v>#N/A</v>
      </c>
      <c r="BJ17" s="136"/>
      <c r="BK17" s="132">
        <f t="shared" si="8"/>
        <v>0</v>
      </c>
      <c r="BL17" s="136"/>
      <c r="BM17" s="132"/>
      <c r="BN17" s="143">
        <f t="shared" si="9"/>
        <v>120.25</v>
      </c>
      <c r="BO17" s="132" t="e">
        <f>IF(AN17&lt;closingdate,0,IF(AN17=closingdate,-INDEX('Pricing Table'!$C$24:$D$24,MATCH(Fund!$C$4,'Pricing Table'!$C$5:$D$5,0)),Fund!BI17))</f>
        <v>#N/A</v>
      </c>
    </row>
    <row r="18" spans="2:69">
      <c r="B18" s="23" t="s">
        <v>343</v>
      </c>
      <c r="C18" s="649"/>
      <c r="D18" s="654" t="e">
        <f>C18*$C$8</f>
        <v>#N/A</v>
      </c>
      <c r="F18" s="661"/>
      <c r="G18" s="659"/>
      <c r="H18" s="659"/>
      <c r="I18" s="660" t="str">
        <f>IF(ISBLANK(H18),"not listed",_xll.SNL.Clients.Office.Excel.Functions.SPG(H18,"SP_PRICE_CLOSE",$AE$7,"Options: Curr=USD, ConvMethod=H")/_xll.SNL.Clients.Office.Excel.Functions.SPG(H18,"SP_PRICE_CLOSE",$C$7,"Options: Curr=USD, ConvMethod=H"))</f>
        <v>not listed</v>
      </c>
      <c r="J18" s="661"/>
      <c r="K18" s="663"/>
      <c r="L18" s="663"/>
      <c r="M18" s="663"/>
      <c r="N18" s="117"/>
      <c r="O18" s="172">
        <f>IFERROR(INDEX('Fx Table'!$Q$6:$U$10,MATCH($C$5,'Fx Table'!$Q$5:$U$5,0),MATCH($N18,'Fx Table'!$P$6:$P$10,0)),1)</f>
        <v>1</v>
      </c>
      <c r="P18" s="55"/>
      <c r="Q18" s="55"/>
      <c r="R18" s="108"/>
      <c r="S18" s="177"/>
      <c r="T18" s="108"/>
      <c r="U18" s="118" t="str">
        <f t="shared" si="14"/>
        <v>n/a</v>
      </c>
      <c r="V18" s="168" t="str">
        <f t="shared" si="15"/>
        <v>n/a</v>
      </c>
      <c r="W18" s="167" t="str">
        <f t="shared" si="16"/>
        <v>n/a</v>
      </c>
      <c r="X18" s="55"/>
      <c r="Y18" s="54"/>
      <c r="Z18" s="57"/>
      <c r="AA18" s="57">
        <f>IFERROR(EOMONTH(IF(Portfolio!$D$9="Seine",Fund!Z18,Fund!Y18),$AA$12),"n/a")</f>
        <v>31</v>
      </c>
      <c r="AB18" s="51"/>
      <c r="AC18" s="120"/>
      <c r="AD18" s="321"/>
      <c r="AE18" s="122">
        <f>MAX(IF(Portfolio!$D$9="Seine",Fund!AD18,Fund!AC18)+$AE$12,0)</f>
        <v>0</v>
      </c>
      <c r="AF18" s="33"/>
      <c r="AG18" s="34">
        <f t="shared" ref="AG18:AG24" si="19">IFERROR(AC18*$O18*$T18,"n/a")</f>
        <v>0</v>
      </c>
      <c r="AH18" s="34">
        <f t="shared" si="17"/>
        <v>0</v>
      </c>
      <c r="AI18" s="34">
        <f t="shared" si="18"/>
        <v>0</v>
      </c>
      <c r="AJ18" s="34"/>
      <c r="AK18" s="34"/>
      <c r="AM18" s="58">
        <f t="shared" si="10"/>
        <v>7</v>
      </c>
      <c r="AN18" s="135">
        <f t="shared" si="11"/>
        <v>44104</v>
      </c>
      <c r="AO18" s="124"/>
      <c r="AP18" s="124"/>
      <c r="AQ18" s="132">
        <f>IF(AN18&lt;=closingdate,SUMIFS($C$41:$C$135,$B$41:$B$135,"&gt;"&amp;EOMONTH(AN18,-3),$B$41:$B$135,"&lt;="&amp;AN18),IF(AND(AO18="",AP18=""),SUMIFS($AI$16:$AI$500,$AA$16:$AA$500,$AN18),INDEX($AO18:$AP18,MATCH(Portfolio!$D$9,Fund!$AO$10:$AP$10,0))*Fund!$AI$14))</f>
        <v>0</v>
      </c>
      <c r="AR18" s="138"/>
      <c r="AS18" s="136" cm="1">
        <f t="array" ref="AS18">IF(AQ18&gt;0,SUM(IF(ROW($AR$11:AR17)&gt;=MAX(IF($AQ$11:AQ17&gt;0,ROW($AQ$11:AQ17),0)),$AR$11:AR17,0)),0)+IF(AN18=MAX($AA$17,$AA$18,$AA$19,$AA$20,$AA$21,$AA$22,$AA$23,$AA$24),SUM($C$17:$C$18),0)</f>
        <v>0</v>
      </c>
      <c r="AT18" s="136">
        <f>IFERROR(SUMIFS('Interim CFs'!$H:$H,'Interim CFs'!$B:$B,$C$4,'Interim CFs'!$E:$E,"&gt;"&amp;$AN17,'Interim CFs'!$E:$E,"&lt;="&amp;$AN18)/$C$8,0)</f>
        <v>0</v>
      </c>
      <c r="AU18" s="137"/>
      <c r="AV18" s="137"/>
      <c r="AW18" s="136">
        <f t="shared" si="4"/>
        <v>0</v>
      </c>
      <c r="AX18" s="136"/>
      <c r="AY18" s="136">
        <f>IF(AW18&lt;=0,0,IF(SUM($AW$11:AW18)&lt;0,AW18,-MIN(SUM($AW$10:AW17),0)))</f>
        <v>0</v>
      </c>
      <c r="AZ18" s="136">
        <f>SUMIF($AY$11:AY18,"&gt;0",$AY$11:AY18)</f>
        <v>0</v>
      </c>
      <c r="BA18" s="136">
        <f t="shared" si="0"/>
        <v>0</v>
      </c>
      <c r="BB18" s="132">
        <f t="shared" si="5"/>
        <v>0</v>
      </c>
      <c r="BC18" s="132">
        <f t="shared" si="1"/>
        <v>0</v>
      </c>
      <c r="BD18" s="132">
        <f t="shared" si="6"/>
        <v>0</v>
      </c>
      <c r="BE18" s="132">
        <f>-IF(BD18&lt;=0,0,MIN(BD18,$BE$9+SUM($BE$10:BE17)))</f>
        <v>0</v>
      </c>
      <c r="BF18" s="136">
        <f t="shared" si="7"/>
        <v>0</v>
      </c>
      <c r="BG18" s="136">
        <f t="shared" si="2"/>
        <v>0</v>
      </c>
      <c r="BH18" s="136"/>
      <c r="BI18" s="136" t="e">
        <f t="shared" si="3"/>
        <v>#N/A</v>
      </c>
      <c r="BJ18" s="136"/>
      <c r="BK18" s="132">
        <f t="shared" si="8"/>
        <v>0</v>
      </c>
      <c r="BL18" s="136"/>
      <c r="BM18" s="132"/>
      <c r="BN18" s="143">
        <f t="shared" si="9"/>
        <v>120.5</v>
      </c>
      <c r="BO18" s="132" t="e">
        <f>IF(AN18&lt;closingdate,0,IF(AN18=closingdate,-INDEX('Pricing Table'!$C$24:$D$24,MATCH(Fund!$C$4,'Pricing Table'!$C$5:$D$5,0)),Fund!BI18))</f>
        <v>#N/A</v>
      </c>
      <c r="BP18" s="9"/>
    </row>
    <row r="19" spans="2:69" ht="14.25" customHeight="1">
      <c r="B19" s="25" t="s">
        <v>101</v>
      </c>
      <c r="C19" s="651" t="e">
        <f>C12/C11</f>
        <v>#DIV/0!</v>
      </c>
      <c r="D19" s="655" t="e">
        <f>D12/D11</f>
        <v>#N/A</v>
      </c>
      <c r="F19" s="661"/>
      <c r="G19" s="659"/>
      <c r="H19" s="659"/>
      <c r="I19" s="660" t="str">
        <f>IF(ISBLANK(H19),"not listed",_xll.SNL.Clients.Office.Excel.Functions.SPG(H19,"SP_PRICE_CLOSE",$AE$7,"Options: Curr=USD, ConvMethod=H")/_xll.SNL.Clients.Office.Excel.Functions.SPG(H19,"SP_PRICE_CLOSE",$C$7,"Options: Curr=USD, ConvMethod=H"))</f>
        <v>not listed</v>
      </c>
      <c r="J19" s="661"/>
      <c r="K19" s="663"/>
      <c r="L19" s="663"/>
      <c r="M19" s="663"/>
      <c r="N19" s="117"/>
      <c r="O19" s="172">
        <f>IFERROR(INDEX('Fx Table'!$Q$6:$U$10,MATCH($C$5,'Fx Table'!$Q$5:$U$5,0),MATCH($N19,'Fx Table'!$P$6:$P$10,0)),1)</f>
        <v>1</v>
      </c>
      <c r="P19" s="55"/>
      <c r="Q19" s="55"/>
      <c r="R19" s="177"/>
      <c r="S19" s="177"/>
      <c r="T19" s="108"/>
      <c r="U19" s="118" t="str">
        <f t="shared" si="14"/>
        <v>n/a</v>
      </c>
      <c r="V19" s="168" t="str">
        <f t="shared" si="15"/>
        <v>n/a</v>
      </c>
      <c r="W19" s="167" t="str">
        <f t="shared" si="16"/>
        <v>n/a</v>
      </c>
      <c r="X19" s="55"/>
      <c r="Y19" s="54"/>
      <c r="Z19" s="57"/>
      <c r="AA19" s="57">
        <f>IFERROR(EOMONTH(IF(Portfolio!$D$9="Seine",Fund!Z19,Fund!Y19),$AA$12),"n/a")</f>
        <v>31</v>
      </c>
      <c r="AB19" s="51"/>
      <c r="AC19" s="120"/>
      <c r="AD19" s="321"/>
      <c r="AE19" s="122">
        <f>MAX(IF(Portfolio!$D$9="Seine",Fund!AD19,Fund!AC19)+$AE$12,0)</f>
        <v>0</v>
      </c>
      <c r="AF19" s="33"/>
      <c r="AG19" s="34">
        <f t="shared" si="19"/>
        <v>0</v>
      </c>
      <c r="AH19" s="34">
        <f t="shared" si="17"/>
        <v>0</v>
      </c>
      <c r="AI19" s="34">
        <f t="shared" si="18"/>
        <v>0</v>
      </c>
      <c r="AJ19" s="34"/>
      <c r="AK19" s="34"/>
      <c r="AM19" s="58">
        <f t="shared" si="10"/>
        <v>8</v>
      </c>
      <c r="AN19" s="135">
        <f t="shared" si="11"/>
        <v>44196</v>
      </c>
      <c r="AO19" s="124"/>
      <c r="AP19" s="124"/>
      <c r="AQ19" s="132">
        <f>IF(AN19&lt;=closingdate,SUMIFS($C$41:$C$135,$B$41:$B$135,"&gt;"&amp;EOMONTH(AN19,-3),$B$41:$B$135,"&lt;="&amp;AN19),IF(AND(AO19="",AP19=""),SUMIFS($AI$16:$AI$500,$AA$16:$AA$500,$AN19),INDEX($AO19:$AP19,MATCH(Portfolio!$D$9,Fund!$AO$10:$AP$10,0))*Fund!$AI$14))</f>
        <v>0</v>
      </c>
      <c r="AR19" s="138"/>
      <c r="AS19" s="136" cm="1">
        <f t="array" ref="AS19">IF(AQ19&gt;0,SUM(IF(ROW($AR$11:AR18)&gt;=MAX(IF($AQ$11:AQ18&gt;0,ROW($AQ$11:AQ18),0)),$AR$11:AR18,0)),0)+IF(AN19=MAX($AA$17,$AA$18,$AA$19,$AA$20,$AA$21,$AA$22,$AA$23,$AA$24),SUM($C$17:$C$18),0)</f>
        <v>0</v>
      </c>
      <c r="AT19" s="136">
        <f>IFERROR(SUMIFS('Interim CFs'!$H:$H,'Interim CFs'!$B:$B,$C$4,'Interim CFs'!$E:$E,"&gt;"&amp;$AN18,'Interim CFs'!$E:$E,"&lt;="&amp;$AN19)/$C$8,0)</f>
        <v>0</v>
      </c>
      <c r="AU19" s="137"/>
      <c r="AV19" s="137"/>
      <c r="AW19" s="136">
        <f t="shared" si="4"/>
        <v>0</v>
      </c>
      <c r="AX19" s="136"/>
      <c r="AY19" s="136">
        <f>IF(AW19&lt;=0,0,IF(SUM($AW$11:AW19)&lt;0,AW19,-MIN(SUM($AW$10:AW18),0)))</f>
        <v>0</v>
      </c>
      <c r="AZ19" s="136">
        <f>SUMIF($AY$11:AY19,"&gt;0",$AY$11:AY19)</f>
        <v>0</v>
      </c>
      <c r="BA19" s="136">
        <f t="shared" si="0"/>
        <v>0</v>
      </c>
      <c r="BB19" s="132">
        <f t="shared" si="5"/>
        <v>0</v>
      </c>
      <c r="BC19" s="132">
        <f t="shared" si="1"/>
        <v>0</v>
      </c>
      <c r="BD19" s="132">
        <f t="shared" si="6"/>
        <v>0</v>
      </c>
      <c r="BE19" s="132">
        <f>-IF(BD19&lt;=0,0,MIN(BD19,$BE$9+SUM($BE$10:BE18)))</f>
        <v>0</v>
      </c>
      <c r="BF19" s="136">
        <f t="shared" si="7"/>
        <v>0</v>
      </c>
      <c r="BG19" s="136">
        <f t="shared" si="2"/>
        <v>0</v>
      </c>
      <c r="BH19" s="136"/>
      <c r="BI19" s="136" t="e">
        <f t="shared" si="3"/>
        <v>#N/A</v>
      </c>
      <c r="BJ19" s="136"/>
      <c r="BK19" s="132">
        <f t="shared" si="8"/>
        <v>0</v>
      </c>
      <c r="BL19" s="136"/>
      <c r="BM19" s="132"/>
      <c r="BN19" s="143">
        <f t="shared" si="9"/>
        <v>120.75</v>
      </c>
      <c r="BO19" s="132" t="e">
        <f>IF(AN19&lt;closingdate,0,IF(AN19=closingdate,-INDEX('Pricing Table'!$C$24:$D$24,MATCH(Fund!$C$4,'Pricing Table'!$C$5:$D$5,0)),Fund!BI19))</f>
        <v>#N/A</v>
      </c>
      <c r="BP19" s="11"/>
    </row>
    <row r="20" spans="2:69">
      <c r="E20" s="8"/>
      <c r="F20" s="661"/>
      <c r="G20" s="659"/>
      <c r="H20" s="659"/>
      <c r="I20" s="660" t="str">
        <f>IF(ISBLANK(H20),"not listed",_xll.SNL.Clients.Office.Excel.Functions.SPG(H20,"SP_PRICE_CLOSE",$AE$7,"Options: Curr=USD, ConvMethod=H")/_xll.SNL.Clients.Office.Excel.Functions.SPG(H20,"SP_PRICE_CLOSE",$C$7,"Options: Curr=USD, ConvMethod=H"))</f>
        <v>not listed</v>
      </c>
      <c r="J20" s="661"/>
      <c r="K20" s="663"/>
      <c r="L20" s="663"/>
      <c r="M20" s="663"/>
      <c r="N20" s="117"/>
      <c r="O20" s="172">
        <f>IFERROR(INDEX('Fx Table'!$Q$6:$U$10,MATCH($C$5,'Fx Table'!$Q$5:$U$5,0),MATCH($N20,'Fx Table'!$P$6:$P$10,0)),1)</f>
        <v>1</v>
      </c>
      <c r="P20" s="55"/>
      <c r="Q20" s="55"/>
      <c r="R20" s="177"/>
      <c r="S20" s="177"/>
      <c r="T20" s="108"/>
      <c r="U20" s="118" t="str">
        <f t="shared" si="14"/>
        <v>n/a</v>
      </c>
      <c r="V20" s="168" t="str">
        <f t="shared" si="15"/>
        <v>n/a</v>
      </c>
      <c r="W20" s="167" t="str">
        <f t="shared" si="16"/>
        <v>n/a</v>
      </c>
      <c r="X20" s="55"/>
      <c r="Y20" s="54"/>
      <c r="Z20" s="57"/>
      <c r="AA20" s="57">
        <f>IFERROR(EOMONTH(IF(Portfolio!$D$9="Seine",Fund!Z20,Fund!Y20),$AA$12),"n/a")</f>
        <v>31</v>
      </c>
      <c r="AB20" s="51"/>
      <c r="AC20" s="120"/>
      <c r="AD20" s="322"/>
      <c r="AE20" s="122">
        <f>MAX(IF(Portfolio!$D$9="Seine",Fund!AD20,Fund!AC20)+$AE$12,0)</f>
        <v>0</v>
      </c>
      <c r="AF20" s="33"/>
      <c r="AG20" s="34">
        <f t="shared" si="19"/>
        <v>0</v>
      </c>
      <c r="AH20" s="34">
        <f t="shared" si="17"/>
        <v>0</v>
      </c>
      <c r="AI20" s="34">
        <f t="shared" si="18"/>
        <v>0</v>
      </c>
      <c r="AJ20" s="34"/>
      <c r="AK20" s="325"/>
      <c r="AM20" s="58">
        <f t="shared" si="10"/>
        <v>9</v>
      </c>
      <c r="AN20" s="135">
        <f t="shared" si="11"/>
        <v>44286</v>
      </c>
      <c r="AO20" s="124"/>
      <c r="AP20" s="124"/>
      <c r="AQ20" s="132">
        <f>IF(AN20&lt;=closingdate,SUMIFS($C$41:$C$135,$B$41:$B$135,"&gt;"&amp;EOMONTH(AN20,-3),$B$41:$B$135,"&lt;="&amp;AN20),IF(AND(AO20="",AP20=""),SUMIFS($AI$16:$AI$500,$AA$16:$AA$500,$AN20),INDEX($AO20:$AP20,MATCH(Portfolio!$D$9,Fund!$AO$10:$AP$10,0))*Fund!$AI$14))</f>
        <v>0</v>
      </c>
      <c r="AR20" s="138"/>
      <c r="AS20" s="136" cm="1">
        <f t="array" ref="AS20">IF(AQ20&gt;0,SUM(IF(ROW($AR$11:AR19)&gt;=MAX(IF($AQ$11:AQ19&gt;0,ROW($AQ$11:AQ19),0)),$AR$11:AR19,0)),0)+IF(AN20=MAX($AA$17,$AA$18,$AA$19,$AA$20,$AA$21,$AA$22,$AA$23,$AA$24),SUM($C$17:$C$18),0)</f>
        <v>0</v>
      </c>
      <c r="AT20" s="136">
        <f>IFERROR(SUMIFS('Interim CFs'!$H:$H,'Interim CFs'!$B:$B,$C$4,'Interim CFs'!$E:$E,"&gt;"&amp;$AN19,'Interim CFs'!$E:$E,"&lt;="&amp;$AN20)/$C$8,0)</f>
        <v>0</v>
      </c>
      <c r="AU20" s="137"/>
      <c r="AV20" s="137"/>
      <c r="AW20" s="136">
        <f t="shared" si="4"/>
        <v>0</v>
      </c>
      <c r="AX20" s="136"/>
      <c r="AY20" s="136">
        <f>IF(AW20&lt;=0,0,IF(SUM($AW$11:AW20)&lt;0,AW20,-MIN(SUM($AW$10:AW19),0)))</f>
        <v>0</v>
      </c>
      <c r="AZ20" s="136">
        <f>SUMIF($AY$11:AY20,"&gt;0",$AY$11:AY20)</f>
        <v>0</v>
      </c>
      <c r="BA20" s="136">
        <f t="shared" si="0"/>
        <v>0</v>
      </c>
      <c r="BB20" s="132">
        <f t="shared" si="5"/>
        <v>0</v>
      </c>
      <c r="BC20" s="132">
        <f t="shared" si="1"/>
        <v>0</v>
      </c>
      <c r="BD20" s="132">
        <f t="shared" si="6"/>
        <v>0</v>
      </c>
      <c r="BE20" s="132">
        <f>-IF(BD20&lt;=0,0,MIN(BD20,$BE$9+SUM($BE$10:BE19)))</f>
        <v>0</v>
      </c>
      <c r="BF20" s="136">
        <f t="shared" si="7"/>
        <v>0</v>
      </c>
      <c r="BG20" s="136">
        <f t="shared" si="2"/>
        <v>0</v>
      </c>
      <c r="BH20" s="136"/>
      <c r="BI20" s="136" t="e">
        <f t="shared" si="3"/>
        <v>#N/A</v>
      </c>
      <c r="BJ20" s="136"/>
      <c r="BK20" s="132">
        <f t="shared" si="8"/>
        <v>0</v>
      </c>
      <c r="BL20" s="136"/>
      <c r="BM20" s="132"/>
      <c r="BN20" s="143">
        <f t="shared" si="9"/>
        <v>121</v>
      </c>
      <c r="BO20" s="132" t="e">
        <f>IF(AN20&lt;closingdate,0,IF(AN20=closingdate,-INDEX('Pricing Table'!$C$24:$D$24,MATCH(Fund!$C$4,'Pricing Table'!$C$5:$D$5,0)),Fund!BI20))</f>
        <v>#N/A</v>
      </c>
      <c r="BP20" s="11"/>
    </row>
    <row r="21" spans="2:69" ht="15" customHeight="1">
      <c r="B21" s="27" t="s">
        <v>102</v>
      </c>
      <c r="C21" s="28"/>
      <c r="F21" s="661"/>
      <c r="G21" s="659"/>
      <c r="H21" s="659"/>
      <c r="I21" s="660" t="str">
        <f>IF(ISBLANK(H21),"not listed",_xll.SNL.Clients.Office.Excel.Functions.SPG(H21,"SP_PRICE_CLOSE",$AE$7,"Options: Curr=USD, ConvMethod=H")/_xll.SNL.Clients.Office.Excel.Functions.SPG(H21,"SP_PRICE_CLOSE",$C$7,"Options: Curr=USD, ConvMethod=H"))</f>
        <v>not listed</v>
      </c>
      <c r="J21" s="661"/>
      <c r="K21" s="663"/>
      <c r="L21" s="663"/>
      <c r="M21" s="663"/>
      <c r="N21" s="117"/>
      <c r="O21" s="172">
        <f>IFERROR(INDEX('Fx Table'!$Q$6:$U$10,MATCH($C$5,'Fx Table'!$Q$5:$U$5,0),MATCH($N21,'Fx Table'!$P$6:$P$10,0)),1)</f>
        <v>1</v>
      </c>
      <c r="P21" s="55"/>
      <c r="Q21" s="55"/>
      <c r="R21" s="177"/>
      <c r="S21" s="177"/>
      <c r="T21" s="108"/>
      <c r="U21" s="118" t="str">
        <f t="shared" si="14"/>
        <v>n/a</v>
      </c>
      <c r="V21" s="168" t="str">
        <f t="shared" si="15"/>
        <v>n/a</v>
      </c>
      <c r="W21" s="167" t="str">
        <f t="shared" si="16"/>
        <v>n/a</v>
      </c>
      <c r="X21" s="55"/>
      <c r="Y21" s="54"/>
      <c r="Z21" s="57"/>
      <c r="AA21" s="57">
        <f>IFERROR(EOMONTH(IF(Portfolio!$D$9="Seine",Fund!Z21,Fund!Y21),$AA$12),"n/a")</f>
        <v>31</v>
      </c>
      <c r="AB21" s="51"/>
      <c r="AC21" s="120"/>
      <c r="AD21" s="321"/>
      <c r="AE21" s="122">
        <f>MAX(IF(Portfolio!$D$9="Seine",Fund!AD21,Fund!AC21)+$AE$12,0)</f>
        <v>0</v>
      </c>
      <c r="AF21" s="33"/>
      <c r="AG21" s="34">
        <f t="shared" si="19"/>
        <v>0</v>
      </c>
      <c r="AH21" s="34">
        <f t="shared" si="17"/>
        <v>0</v>
      </c>
      <c r="AI21" s="34">
        <f t="shared" si="18"/>
        <v>0</v>
      </c>
      <c r="AJ21" s="34"/>
      <c r="AK21" s="34"/>
      <c r="AM21" s="58">
        <f t="shared" si="10"/>
        <v>10</v>
      </c>
      <c r="AN21" s="135">
        <f t="shared" si="11"/>
        <v>44377</v>
      </c>
      <c r="AO21" s="124"/>
      <c r="AP21" s="124"/>
      <c r="AQ21" s="132">
        <f>IF(AN21&lt;=closingdate,SUMIFS($C$41:$C$135,$B$41:$B$135,"&gt;"&amp;EOMONTH(AN21,-3),$B$41:$B$135,"&lt;="&amp;AN21),IF(AND(AO21="",AP21=""),SUMIFS($AI$16:$AI$500,$AA$16:$AA$500,$AN21),INDEX($AO21:$AP21,MATCH(Portfolio!$D$9,Fund!$AO$10:$AP$10,0))*Fund!$AI$14))</f>
        <v>0</v>
      </c>
      <c r="AR21" s="138"/>
      <c r="AS21" s="136" cm="1">
        <f t="array" ref="AS21">IF(AQ21&gt;0,SUM(IF(ROW($AR$11:AR20)&gt;=MAX(IF($AQ$11:AQ20&gt;0,ROW($AQ$11:AQ20),0)),$AR$11:AR20,0)),0)+IF(AN21=MAX($AA$17,$AA$18,$AA$19,$AA$20,$AA$21,$AA$22,$AA$23,$AA$24),SUM($C$17:$C$18),0)</f>
        <v>0</v>
      </c>
      <c r="AT21" s="136">
        <f>IFERROR(SUMIFS('Interim CFs'!$H:$H,'Interim CFs'!$B:$B,$C$4,'Interim CFs'!$E:$E,"&gt;"&amp;$AN20,'Interim CFs'!$E:$E,"&lt;="&amp;$AN21)/$C$8,0)</f>
        <v>0</v>
      </c>
      <c r="AU21" s="137"/>
      <c r="AV21" s="137"/>
      <c r="AW21" s="136">
        <f t="shared" si="4"/>
        <v>0</v>
      </c>
      <c r="AX21" s="136"/>
      <c r="AY21" s="136">
        <f>IF(AW21&lt;=0,0,IF(SUM($AW$11:AW21)&lt;0,AW21,-MIN(SUM($AW$10:AW20),0)))</f>
        <v>0</v>
      </c>
      <c r="AZ21" s="136">
        <f>SUMIF($AY$11:AY21,"&gt;0",$AY$11:AY21)</f>
        <v>0</v>
      </c>
      <c r="BA21" s="136">
        <f t="shared" si="0"/>
        <v>0</v>
      </c>
      <c r="BB21" s="132">
        <f t="shared" si="5"/>
        <v>0</v>
      </c>
      <c r="BC21" s="132">
        <f t="shared" si="1"/>
        <v>0</v>
      </c>
      <c r="BD21" s="132">
        <f t="shared" si="6"/>
        <v>0</v>
      </c>
      <c r="BE21" s="132">
        <f>-IF(BD21&lt;=0,0,MIN(BD21,$BE$9+SUM($BE$10:BE20)))</f>
        <v>0</v>
      </c>
      <c r="BF21" s="136">
        <f t="shared" si="7"/>
        <v>0</v>
      </c>
      <c r="BG21" s="136">
        <f t="shared" si="2"/>
        <v>0</v>
      </c>
      <c r="BH21" s="136"/>
      <c r="BI21" s="136" t="e">
        <f t="shared" si="3"/>
        <v>#N/A</v>
      </c>
      <c r="BJ21" s="136"/>
      <c r="BK21" s="132">
        <f t="shared" si="8"/>
        <v>0</v>
      </c>
      <c r="BL21" s="136"/>
      <c r="BM21" s="132"/>
      <c r="BN21" s="143">
        <f t="shared" si="9"/>
        <v>121.25</v>
      </c>
      <c r="BO21" s="132" t="e">
        <f>IF(AN21&lt;closingdate,0,IF(AN21=closingdate,-INDEX('Pricing Table'!$C$24:$D$24,MATCH(Fund!$C$4,'Pricing Table'!$C$5:$D$5,0)),Fund!BI21))</f>
        <v>#N/A</v>
      </c>
      <c r="BP21" s="11"/>
    </row>
    <row r="22" spans="2:69" ht="15" customHeight="1">
      <c r="B22" s="23" t="s">
        <v>103</v>
      </c>
      <c r="C22" s="664"/>
      <c r="F22" s="661"/>
      <c r="G22" s="659"/>
      <c r="H22" s="659"/>
      <c r="I22" s="660" t="str">
        <f>IF(ISBLANK(H22),"not listed",_xll.SNL.Clients.Office.Excel.Functions.SPG(H22,"SP_PRICE_CLOSE",$AE$7,"Options: Curr=USD, ConvMethod=H")/_xll.SNL.Clients.Office.Excel.Functions.SPG(H22,"SP_PRICE_CLOSE",$C$7,"Options: Curr=USD, ConvMethod=H"))</f>
        <v>not listed</v>
      </c>
      <c r="J22" s="661"/>
      <c r="K22" s="663"/>
      <c r="L22" s="663"/>
      <c r="M22" s="663"/>
      <c r="N22" s="117"/>
      <c r="O22" s="172">
        <f>IFERROR(INDEX('Fx Table'!$Q$6:$U$10,MATCH($C$5,'Fx Table'!$Q$5:$U$5,0),MATCH($N22,'Fx Table'!$P$6:$P$10,0)),1)</f>
        <v>1</v>
      </c>
      <c r="P22" s="55"/>
      <c r="Q22" s="55"/>
      <c r="R22" s="177"/>
      <c r="S22" s="177"/>
      <c r="T22" s="108"/>
      <c r="U22" s="118" t="str">
        <f t="shared" si="14"/>
        <v>n/a</v>
      </c>
      <c r="V22" s="168" t="str">
        <f t="shared" si="15"/>
        <v>n/a</v>
      </c>
      <c r="W22" s="167" t="str">
        <f t="shared" si="16"/>
        <v>n/a</v>
      </c>
      <c r="X22" s="55"/>
      <c r="Y22" s="54"/>
      <c r="Z22" s="57"/>
      <c r="AA22" s="57">
        <f>IFERROR(EOMONTH(IF(Portfolio!$D$9="Seine",Fund!Z22,Fund!Y22),$AA$12),"n/a")</f>
        <v>31</v>
      </c>
      <c r="AB22" s="51"/>
      <c r="AC22" s="120"/>
      <c r="AD22" s="321"/>
      <c r="AE22" s="122">
        <f>MAX(IF(Portfolio!$D$9="Seine",Fund!AD22,Fund!AC22)+$AE$12,0)</f>
        <v>0</v>
      </c>
      <c r="AF22" s="33"/>
      <c r="AG22" s="34">
        <f t="shared" si="19"/>
        <v>0</v>
      </c>
      <c r="AH22" s="34">
        <f t="shared" si="17"/>
        <v>0</v>
      </c>
      <c r="AI22" s="34">
        <f t="shared" si="18"/>
        <v>0</v>
      </c>
      <c r="AJ22" s="34"/>
      <c r="AK22" s="34"/>
      <c r="AM22" s="58">
        <f t="shared" si="10"/>
        <v>11</v>
      </c>
      <c r="AN22" s="135">
        <f t="shared" si="11"/>
        <v>44469</v>
      </c>
      <c r="AO22" s="124"/>
      <c r="AP22" s="124"/>
      <c r="AQ22" s="132">
        <f>IF(AN22&lt;=closingdate,SUMIFS($C$41:$C$135,$B$41:$B$135,"&gt;"&amp;EOMONTH(AN22,-3),$B$41:$B$135,"&lt;="&amp;AN22),IF(AND(AO22="",AP22=""),SUMIFS($AI$16:$AI$500,$AA$16:$AA$500,$AN22),INDEX($AO22:$AP22,MATCH(Portfolio!$D$9,Fund!$AO$10:$AP$10,0))*Fund!$AI$14))</f>
        <v>0</v>
      </c>
      <c r="AR22" s="138"/>
      <c r="AS22" s="136" cm="1">
        <f t="array" ref="AS22">IF(AQ22&gt;0,SUM(IF(ROW($AR$11:AR21)&gt;=MAX(IF($AQ$11:AQ21&gt;0,ROW($AQ$11:AQ21),0)),$AR$11:AR21,0)),0)+IF(AN22=MAX($AA$17,$AA$18,$AA$19,$AA$20,$AA$21,$AA$22,$AA$23,$AA$24),SUM($C$17:$C$18),0)</f>
        <v>0</v>
      </c>
      <c r="AT22" s="136">
        <f>IFERROR(SUMIFS('Interim CFs'!$H:$H,'Interim CFs'!$B:$B,$C$4,'Interim CFs'!$E:$E,"&gt;"&amp;$AN21,'Interim CFs'!$E:$E,"&lt;="&amp;$AN22)/$C$8,0)</f>
        <v>0</v>
      </c>
      <c r="AU22" s="137"/>
      <c r="AV22" s="137"/>
      <c r="AW22" s="136">
        <f t="shared" si="4"/>
        <v>0</v>
      </c>
      <c r="AX22" s="136"/>
      <c r="AY22" s="136">
        <f>IF(AW22&lt;=0,0,IF(SUM($AW$11:AW22)&lt;0,AW22,-MIN(SUM($AW$10:AW21),0)))</f>
        <v>0</v>
      </c>
      <c r="AZ22" s="136">
        <f>SUMIF($AY$11:AY22,"&gt;0",$AY$11:AY22)</f>
        <v>0</v>
      </c>
      <c r="BA22" s="136">
        <f t="shared" si="0"/>
        <v>0</v>
      </c>
      <c r="BB22" s="132">
        <f t="shared" si="5"/>
        <v>0</v>
      </c>
      <c r="BC22" s="132">
        <f t="shared" si="1"/>
        <v>0</v>
      </c>
      <c r="BD22" s="132">
        <f t="shared" si="6"/>
        <v>0</v>
      </c>
      <c r="BE22" s="132">
        <f>-IF(BD22&lt;=0,0,MIN(BD22,$BE$9+SUM($BE$10:BE21)))</f>
        <v>0</v>
      </c>
      <c r="BF22" s="136">
        <f t="shared" si="7"/>
        <v>0</v>
      </c>
      <c r="BG22" s="136">
        <f t="shared" si="2"/>
        <v>0</v>
      </c>
      <c r="BH22" s="136"/>
      <c r="BI22" s="136" t="e">
        <f t="shared" si="3"/>
        <v>#N/A</v>
      </c>
      <c r="BJ22" s="136"/>
      <c r="BK22" s="132">
        <f t="shared" si="8"/>
        <v>0</v>
      </c>
      <c r="BL22" s="136"/>
      <c r="BM22" s="132"/>
      <c r="BN22" s="143">
        <f t="shared" si="9"/>
        <v>121.5</v>
      </c>
      <c r="BO22" s="132" t="e">
        <f>IF(AN22&lt;closingdate,0,IF(AN22=closingdate,-INDEX('Pricing Table'!$C$24:$D$24,MATCH(Fund!$C$4,'Pricing Table'!$C$5:$D$5,0)),Fund!BI22))</f>
        <v>#N/A</v>
      </c>
      <c r="BP22" s="11"/>
    </row>
    <row r="23" spans="2:69">
      <c r="B23" s="23" t="s">
        <v>104</v>
      </c>
      <c r="C23" s="664"/>
      <c r="F23" s="661"/>
      <c r="G23" s="659"/>
      <c r="H23" s="659"/>
      <c r="I23" s="660" t="str">
        <f>IF(ISBLANK(H23),"not listed",_xll.SNL.Clients.Office.Excel.Functions.SPG(H23,"SP_PRICE_CLOSE",$AE$7,"Options: Curr=USD, ConvMethod=H")/_xll.SNL.Clients.Office.Excel.Functions.SPG(H23,"SP_PRICE_CLOSE",$C$7,"Options: Curr=USD, ConvMethod=H"))</f>
        <v>not listed</v>
      </c>
      <c r="J23" s="661"/>
      <c r="K23" s="663"/>
      <c r="L23" s="663"/>
      <c r="M23" s="663"/>
      <c r="N23" s="117"/>
      <c r="O23" s="172">
        <f>IFERROR(INDEX('Fx Table'!$Q$6:$U$10,MATCH($C$5,'Fx Table'!$Q$5:$U$5,0),MATCH($N23,'Fx Table'!$P$6:$P$10,0)),1)</f>
        <v>1</v>
      </c>
      <c r="P23" s="55"/>
      <c r="Q23" s="55"/>
      <c r="R23" s="177"/>
      <c r="S23" s="177"/>
      <c r="T23" s="108"/>
      <c r="U23" s="118" t="str">
        <f t="shared" si="14"/>
        <v>n/a</v>
      </c>
      <c r="V23" s="168" t="str">
        <f t="shared" si="15"/>
        <v>n/a</v>
      </c>
      <c r="W23" s="167" t="str">
        <f t="shared" si="16"/>
        <v>n/a</v>
      </c>
      <c r="X23" s="55"/>
      <c r="Y23" s="54"/>
      <c r="Z23" s="57"/>
      <c r="AA23" s="57">
        <f>IFERROR(EOMONTH(IF(Portfolio!$D$9="Seine",Fund!Z23,Fund!Y23),$AA$12),"n/a")</f>
        <v>31</v>
      </c>
      <c r="AB23" s="51"/>
      <c r="AC23" s="120"/>
      <c r="AD23" s="321"/>
      <c r="AE23" s="122">
        <f>MAX(IF(Portfolio!$D$9="Seine",Fund!AD23,Fund!AC23)+$AE$12,0)</f>
        <v>0</v>
      </c>
      <c r="AF23" s="33"/>
      <c r="AG23" s="34">
        <f t="shared" si="19"/>
        <v>0</v>
      </c>
      <c r="AH23" s="34">
        <f t="shared" si="17"/>
        <v>0</v>
      </c>
      <c r="AI23" s="34">
        <f t="shared" si="18"/>
        <v>0</v>
      </c>
      <c r="AJ23" s="34"/>
      <c r="AK23" s="34"/>
      <c r="AM23" s="58">
        <f t="shared" si="10"/>
        <v>12</v>
      </c>
      <c r="AN23" s="135">
        <f t="shared" si="11"/>
        <v>44561</v>
      </c>
      <c r="AO23" s="124"/>
      <c r="AP23" s="124"/>
      <c r="AQ23" s="132">
        <f>IF(AN23&lt;=closingdate,SUMIFS($C$41:$C$135,$B$41:$B$135,"&gt;"&amp;EOMONTH(AN23,-3),$B$41:$B$135,"&lt;="&amp;AN23),IF(AND(AO23="",AP23=""),SUMIFS($AI$16:$AI$500,$AA$16:$AA$500,$AN23),INDEX($AO23:$AP23,MATCH(Portfolio!$D$9,Fund!$AO$10:$AP$10,0))*Fund!$AI$14))</f>
        <v>0</v>
      </c>
      <c r="AR23" s="138"/>
      <c r="AS23" s="136" cm="1">
        <f t="array" ref="AS23">IF(AQ23&gt;0,SUM(IF(ROW($AR$11:AR22)&gt;=MAX(IF($AQ$11:AQ22&gt;0,ROW($AQ$11:AQ22),0)),$AR$11:AR22,0)),0)+IF(AN23=MAX($AA$17,$AA$18,$AA$19,$AA$20,$AA$21,$AA$22,$AA$23,$AA$24),SUM($C$17:$C$18),0)</f>
        <v>0</v>
      </c>
      <c r="AT23" s="136">
        <f>IFERROR(SUMIFS('Interim CFs'!$H:$H,'Interim CFs'!$B:$B,$C$4,'Interim CFs'!$E:$E,"&gt;"&amp;$AN22,'Interim CFs'!$E:$E,"&lt;="&amp;$AN23)/$C$8,0)</f>
        <v>0</v>
      </c>
      <c r="AU23" s="137"/>
      <c r="AV23" s="137"/>
      <c r="AW23" s="136">
        <f t="shared" si="4"/>
        <v>0</v>
      </c>
      <c r="AX23" s="136"/>
      <c r="AY23" s="136">
        <f>IF(AW23&lt;=0,0,IF(SUM($AW$11:AW23)&lt;0,AW23,-MIN(SUM($AW$10:AW22),0)))</f>
        <v>0</v>
      </c>
      <c r="AZ23" s="136">
        <f>SUMIF($AY$11:AY23,"&gt;0",$AY$11:AY23)</f>
        <v>0</v>
      </c>
      <c r="BA23" s="136">
        <f t="shared" si="0"/>
        <v>0</v>
      </c>
      <c r="BB23" s="132">
        <f t="shared" si="5"/>
        <v>0</v>
      </c>
      <c r="BC23" s="132">
        <f t="shared" si="1"/>
        <v>0</v>
      </c>
      <c r="BD23" s="132">
        <f t="shared" si="6"/>
        <v>0</v>
      </c>
      <c r="BE23" s="132">
        <f>-IF(BD23&lt;=0,0,MIN(BD23,$BE$9+SUM($BE$10:BE22)))</f>
        <v>0</v>
      </c>
      <c r="BF23" s="136">
        <f t="shared" si="7"/>
        <v>0</v>
      </c>
      <c r="BG23" s="136">
        <f t="shared" si="2"/>
        <v>0</v>
      </c>
      <c r="BH23" s="136"/>
      <c r="BI23" s="136" t="e">
        <f t="shared" si="3"/>
        <v>#N/A</v>
      </c>
      <c r="BJ23" s="136"/>
      <c r="BK23" s="132">
        <f t="shared" si="8"/>
        <v>0</v>
      </c>
      <c r="BL23" s="136"/>
      <c r="BM23" s="132"/>
      <c r="BN23" s="143">
        <f t="shared" si="9"/>
        <v>121.75</v>
      </c>
      <c r="BO23" s="132" t="e">
        <f>IF(AN23&lt;closingdate,0,IF(AN23=closingdate,-INDEX('Pricing Table'!$C$24:$D$24,MATCH(Fund!$C$4,'Pricing Table'!$C$5:$D$5,0)),Fund!BI23))</f>
        <v>#N/A</v>
      </c>
      <c r="BP23" s="11"/>
    </row>
    <row r="24" spans="2:69">
      <c r="B24" s="23" t="s">
        <v>105</v>
      </c>
      <c r="C24" s="665"/>
      <c r="F24" s="661"/>
      <c r="G24" s="659"/>
      <c r="H24" s="659"/>
      <c r="I24" s="660" t="str">
        <f>IF(ISBLANK(H24),"not listed",_xll.SNL.Clients.Office.Excel.Functions.SPG(H24,"SP_PRICE_CLOSE",$AE$7,"Options: Curr=USD, ConvMethod=H")/_xll.SNL.Clients.Office.Excel.Functions.SPG(H24,"SP_PRICE_CLOSE",$C$7,"Options: Curr=USD, ConvMethod=H"))</f>
        <v>not listed</v>
      </c>
      <c r="J24" s="661"/>
      <c r="K24" s="663"/>
      <c r="L24" s="663"/>
      <c r="M24" s="663"/>
      <c r="N24" s="117"/>
      <c r="O24" s="172">
        <f>IFERROR(INDEX('Fx Table'!$Q$6:$U$10,MATCH($C$5,'Fx Table'!$Q$5:$U$5,0),MATCH($N24,'Fx Table'!$P$6:$P$10,0)),1)</f>
        <v>1</v>
      </c>
      <c r="P24" s="55"/>
      <c r="Q24" s="55"/>
      <c r="R24" s="177"/>
      <c r="S24" s="177"/>
      <c r="T24" s="108"/>
      <c r="U24" s="118" t="str">
        <f t="shared" si="14"/>
        <v>n/a</v>
      </c>
      <c r="V24" s="168" t="str">
        <f t="shared" si="15"/>
        <v>n/a</v>
      </c>
      <c r="W24" s="167" t="str">
        <f t="shared" si="16"/>
        <v>n/a</v>
      </c>
      <c r="X24" s="55"/>
      <c r="Y24" s="54"/>
      <c r="Z24" s="57"/>
      <c r="AA24" s="57">
        <f>IFERROR(EOMONTH(IF(Portfolio!$D$9="Seine",Fund!Z24,Fund!Y24),$AA$12),"n/a")</f>
        <v>31</v>
      </c>
      <c r="AB24" s="51"/>
      <c r="AC24" s="120"/>
      <c r="AD24" s="322"/>
      <c r="AE24" s="122">
        <f>MAX(IF(Portfolio!$D$9="Seine",Fund!AD24,Fund!AC24)+$AE$12,0)</f>
        <v>0</v>
      </c>
      <c r="AF24" s="33"/>
      <c r="AG24" s="34">
        <f t="shared" si="19"/>
        <v>0</v>
      </c>
      <c r="AH24" s="34">
        <f t="shared" si="17"/>
        <v>0</v>
      </c>
      <c r="AI24" s="34">
        <f t="shared" si="18"/>
        <v>0</v>
      </c>
      <c r="AJ24" s="34"/>
      <c r="AK24" s="325"/>
      <c r="AM24" s="58">
        <f t="shared" si="10"/>
        <v>13</v>
      </c>
      <c r="AN24" s="135">
        <f t="shared" si="11"/>
        <v>44651</v>
      </c>
      <c r="AO24" s="124"/>
      <c r="AP24" s="124"/>
      <c r="AQ24" s="132">
        <f>IF(AN24&lt;=closingdate,SUMIFS($C$41:$C$135,$B$41:$B$135,"&gt;"&amp;EOMONTH(AN24,-3),$B$41:$B$135,"&lt;="&amp;AN24),IF(AND(AO24="",AP24=""),SUMIFS($AI$16:$AI$500,$AA$16:$AA$500,$AN24),INDEX($AO24:$AP24,MATCH(Portfolio!$D$9,Fund!$AO$10:$AP$10,0))*Fund!$AI$14))</f>
        <v>0</v>
      </c>
      <c r="AR24" s="138"/>
      <c r="AS24" s="136" cm="1">
        <f t="array" ref="AS24">IF(AQ24&gt;0,SUM(IF(ROW($AR$11:AR23)&gt;=MAX(IF($AQ$11:AQ23&gt;0,ROW($AQ$11:AQ23),0)),$AR$11:AR23,0)),0)+IF(AN24=MAX($AA$17,$AA$18,$AA$19,$AA$20,$AA$21,$AA$22,$AA$23,$AA$24),SUM($C$17:$C$18),0)</f>
        <v>0</v>
      </c>
      <c r="AT24" s="136">
        <f>IFERROR(SUMIFS('Interim CFs'!$H:$H,'Interim CFs'!$B:$B,$C$4,'Interim CFs'!$E:$E,"&gt;"&amp;$AN23,'Interim CFs'!$E:$E,"&lt;="&amp;$AN24)/$C$8,0)</f>
        <v>0</v>
      </c>
      <c r="AU24" s="137"/>
      <c r="AV24" s="137"/>
      <c r="AW24" s="136">
        <f t="shared" si="4"/>
        <v>0</v>
      </c>
      <c r="AX24" s="136"/>
      <c r="AY24" s="136">
        <f>IF(AW24&lt;=0,0,IF(SUM($AW$11:AW24)&lt;0,AW24,-MIN(SUM($AW$10:AW23),0)))</f>
        <v>0</v>
      </c>
      <c r="AZ24" s="136">
        <f>SUMIF($AY$11:AY24,"&gt;0",$AY$11:AY24)</f>
        <v>0</v>
      </c>
      <c r="BA24" s="136">
        <f t="shared" si="0"/>
        <v>0</v>
      </c>
      <c r="BB24" s="132">
        <f t="shared" si="5"/>
        <v>0</v>
      </c>
      <c r="BC24" s="132">
        <f t="shared" si="1"/>
        <v>0</v>
      </c>
      <c r="BD24" s="132">
        <f t="shared" si="6"/>
        <v>0</v>
      </c>
      <c r="BE24" s="132">
        <f>-IF(BD24&lt;=0,0,MIN(BD24,$BE$9+SUM($BE$10:BE23)))</f>
        <v>0</v>
      </c>
      <c r="BF24" s="136">
        <f t="shared" si="7"/>
        <v>0</v>
      </c>
      <c r="BG24" s="136">
        <f t="shared" si="2"/>
        <v>0</v>
      </c>
      <c r="BH24" s="136"/>
      <c r="BI24" s="136" t="e">
        <f t="shared" si="3"/>
        <v>#N/A</v>
      </c>
      <c r="BJ24" s="136"/>
      <c r="BK24" s="132">
        <f t="shared" si="8"/>
        <v>0</v>
      </c>
      <c r="BL24" s="136"/>
      <c r="BM24" s="132"/>
      <c r="BN24" s="143">
        <f t="shared" si="9"/>
        <v>122</v>
      </c>
      <c r="BO24" s="132" t="e">
        <f>IF(AN24&lt;closingdate,0,IF(AN24=closingdate,-INDEX('Pricing Table'!$C$24:$D$24,MATCH(Fund!$C$4,'Pricing Table'!$C$5:$D$5,0)),Fund!BI24))</f>
        <v>#N/A</v>
      </c>
      <c r="BP24" s="11"/>
    </row>
    <row r="25" spans="2:69">
      <c r="B25" s="23" t="s">
        <v>255</v>
      </c>
      <c r="C25" s="664"/>
      <c r="F25" s="51"/>
      <c r="G25" s="115"/>
      <c r="H25" s="115"/>
      <c r="I25" s="115"/>
      <c r="J25" s="115"/>
      <c r="K25" s="53"/>
      <c r="L25" s="53"/>
      <c r="M25" s="115"/>
      <c r="N25" s="117"/>
      <c r="O25" s="172"/>
      <c r="P25" s="172"/>
      <c r="Q25" s="172"/>
      <c r="R25" s="114"/>
      <c r="S25" s="114"/>
      <c r="T25" s="114"/>
      <c r="U25" s="118"/>
      <c r="V25" s="168"/>
      <c r="W25" s="167"/>
      <c r="X25" s="104"/>
      <c r="Y25" s="54"/>
      <c r="Z25" s="54"/>
      <c r="AA25" s="57"/>
      <c r="AB25" s="51"/>
      <c r="AC25" s="122"/>
      <c r="AD25" s="35"/>
      <c r="AE25" s="122"/>
      <c r="AF25" s="33"/>
      <c r="AG25" s="34"/>
      <c r="AH25" s="34"/>
      <c r="AI25" s="34"/>
      <c r="AJ25" s="34"/>
      <c r="AK25" s="34"/>
      <c r="AM25" s="58">
        <f t="shared" si="10"/>
        <v>14</v>
      </c>
      <c r="AN25" s="135">
        <f t="shared" si="11"/>
        <v>44742</v>
      </c>
      <c r="AO25" s="124"/>
      <c r="AP25" s="124"/>
      <c r="AQ25" s="132">
        <f>IF(AN25&lt;=closingdate,SUMIFS($C$41:$C$135,$B$41:$B$135,"&gt;"&amp;EOMONTH(AN25,-3),$B$41:$B$135,"&lt;="&amp;AN25),IF(AND(AO25="",AP25=""),SUMIFS($AI$16:$AI$500,$AA$16:$AA$500,$AN25),INDEX($AO25:$AP25,MATCH(Portfolio!$D$9,Fund!$AO$10:$AP$10,0))*Fund!$AI$14))</f>
        <v>0</v>
      </c>
      <c r="AR25" s="138"/>
      <c r="AS25" s="136" cm="1">
        <f t="array" ref="AS25">IF(AQ25&gt;0,SUM(IF(ROW($AR$11:AR24)&gt;=MAX(IF($AQ$11:AQ24&gt;0,ROW($AQ$11:AQ24),0)),$AR$11:AR24,0)),0)+IF(AN25=MAX($AA$17,$AA$18,$AA$19,$AA$20,$AA$21,$AA$22,$AA$23,$AA$24),SUM($C$17:$C$18),0)</f>
        <v>0</v>
      </c>
      <c r="AT25" s="136">
        <f>IFERROR(SUMIFS('Interim CFs'!$H:$H,'Interim CFs'!$B:$B,$C$4,'Interim CFs'!$E:$E,"&gt;"&amp;$AN24,'Interim CFs'!$E:$E,"&lt;="&amp;$AN25)/$C$8,0)</f>
        <v>0</v>
      </c>
      <c r="AU25" s="137"/>
      <c r="AV25" s="137"/>
      <c r="AW25" s="136">
        <f t="shared" si="4"/>
        <v>0</v>
      </c>
      <c r="AX25" s="136"/>
      <c r="AY25" s="136">
        <f>IF(AW25&lt;=0,0,IF(SUM($AW$11:AW25)&lt;0,AW25,-MIN(SUM($AW$10:AW24),0)))</f>
        <v>0</v>
      </c>
      <c r="AZ25" s="136">
        <f>SUMIF($AY$11:AY25,"&gt;0",$AY$11:AY25)</f>
        <v>0</v>
      </c>
      <c r="BA25" s="136">
        <f t="shared" si="0"/>
        <v>0</v>
      </c>
      <c r="BB25" s="132">
        <f t="shared" si="5"/>
        <v>0</v>
      </c>
      <c r="BC25" s="132">
        <f t="shared" si="1"/>
        <v>0</v>
      </c>
      <c r="BD25" s="132">
        <f t="shared" si="6"/>
        <v>0</v>
      </c>
      <c r="BE25" s="132">
        <f>-IF(BD25&lt;=0,0,MIN(BD25,$BE$9+SUM($BE$10:BE24)))</f>
        <v>0</v>
      </c>
      <c r="BF25" s="136">
        <f t="shared" si="7"/>
        <v>0</v>
      </c>
      <c r="BG25" s="136">
        <f t="shared" si="2"/>
        <v>0</v>
      </c>
      <c r="BH25" s="136"/>
      <c r="BI25" s="136" t="e">
        <f t="shared" si="3"/>
        <v>#N/A</v>
      </c>
      <c r="BJ25" s="136"/>
      <c r="BK25" s="132">
        <f t="shared" si="8"/>
        <v>0</v>
      </c>
      <c r="BL25" s="136"/>
      <c r="BM25" s="132"/>
      <c r="BN25" s="143">
        <f t="shared" si="9"/>
        <v>122.25</v>
      </c>
      <c r="BO25" s="132" t="e">
        <f>IF(AN25&lt;closingdate,0,IF(AN25=closingdate,-INDEX('Pricing Table'!$C$24:$D$24,MATCH(Fund!$C$4,'Pricing Table'!$C$5:$D$5,0)),Fund!BI25))</f>
        <v>#N/A</v>
      </c>
      <c r="BP25" s="11"/>
    </row>
    <row r="26" spans="2:69">
      <c r="B26" s="23" t="s">
        <v>106</v>
      </c>
      <c r="C26" s="666"/>
      <c r="F26" s="51"/>
      <c r="G26" s="115"/>
      <c r="H26" s="115"/>
      <c r="I26" s="115"/>
      <c r="J26" s="115"/>
      <c r="K26" s="53"/>
      <c r="L26" s="53"/>
      <c r="M26" s="115"/>
      <c r="N26" s="117"/>
      <c r="O26" s="172"/>
      <c r="P26" s="172"/>
      <c r="Q26" s="172"/>
      <c r="R26" s="114"/>
      <c r="S26" s="114"/>
      <c r="T26" s="114"/>
      <c r="U26" s="118"/>
      <c r="V26" s="168"/>
      <c r="W26" s="167"/>
      <c r="X26" s="104"/>
      <c r="Y26" s="54"/>
      <c r="Z26" s="54"/>
      <c r="AA26" s="57"/>
      <c r="AB26" s="51"/>
      <c r="AC26" s="122"/>
      <c r="AD26" s="35"/>
      <c r="AE26" s="122"/>
      <c r="AF26" s="33"/>
      <c r="AG26" s="34"/>
      <c r="AH26" s="34"/>
      <c r="AI26" s="34"/>
      <c r="AJ26" s="34"/>
      <c r="AK26" s="34"/>
      <c r="AM26" s="58">
        <f t="shared" si="10"/>
        <v>15</v>
      </c>
      <c r="AN26" s="135">
        <f t="shared" si="11"/>
        <v>44834</v>
      </c>
      <c r="AO26" s="124"/>
      <c r="AP26" s="124"/>
      <c r="AQ26" s="132">
        <f>IF(AN26&lt;=closingdate,SUMIFS($C$41:$C$135,$B$41:$B$135,"&gt;"&amp;EOMONTH(AN26,-3),$B$41:$B$135,"&lt;="&amp;AN26),IF(AND(AO26="",AP26=""),SUMIFS($AI$16:$AI$500,$AA$16:$AA$500,$AN26),INDEX($AO26:$AP26,MATCH(Portfolio!$D$9,Fund!$AO$10:$AP$10,0))*Fund!$AI$14))</f>
        <v>0</v>
      </c>
      <c r="AR26" s="138"/>
      <c r="AS26" s="136" cm="1">
        <f t="array" ref="AS26">IF(AQ26&gt;0,SUM(IF(ROW($AR$11:AR25)&gt;=MAX(IF($AQ$11:AQ25&gt;0,ROW($AQ$11:AQ25),0)),$AR$11:AR25,0)),0)+IF(AN26=MAX($AA$17,$AA$18,$AA$19,$AA$20,$AA$21,$AA$22,$AA$23,$AA$24),SUM($C$17:$C$18),0)</f>
        <v>0</v>
      </c>
      <c r="AT26" s="136">
        <f>IFERROR(SUMIFS('Interim CFs'!$H:$H,'Interim CFs'!$B:$B,$C$4,'Interim CFs'!$E:$E,"&gt;"&amp;$AN25,'Interim CFs'!$E:$E,"&lt;="&amp;$AN26)/$C$8,0)</f>
        <v>0</v>
      </c>
      <c r="AU26" s="137"/>
      <c r="AV26" s="137"/>
      <c r="AW26" s="136">
        <f t="shared" si="4"/>
        <v>0</v>
      </c>
      <c r="AX26" s="136"/>
      <c r="AY26" s="136">
        <f>IF(AW26&lt;=0,0,IF(SUM($AW$11:AW26)&lt;0,AW26,-MIN(SUM($AW$10:AW25),0)))</f>
        <v>0</v>
      </c>
      <c r="AZ26" s="136">
        <f>SUMIF($AY$11:AY26,"&gt;0",$AY$11:AY26)</f>
        <v>0</v>
      </c>
      <c r="BA26" s="136">
        <f t="shared" si="0"/>
        <v>0</v>
      </c>
      <c r="BB26" s="132">
        <f t="shared" si="5"/>
        <v>0</v>
      </c>
      <c r="BC26" s="132">
        <f t="shared" si="1"/>
        <v>0</v>
      </c>
      <c r="BD26" s="132">
        <f t="shared" si="6"/>
        <v>0</v>
      </c>
      <c r="BE26" s="132">
        <f>-IF(BD26&lt;=0,0,MIN(BD26,$BE$9+SUM($BE$10:BE25)))</f>
        <v>0</v>
      </c>
      <c r="BF26" s="136">
        <f t="shared" si="7"/>
        <v>0</v>
      </c>
      <c r="BG26" s="136">
        <f t="shared" si="2"/>
        <v>0</v>
      </c>
      <c r="BH26" s="136"/>
      <c r="BI26" s="136" t="e">
        <f t="shared" si="3"/>
        <v>#N/A</v>
      </c>
      <c r="BJ26" s="136"/>
      <c r="BK26" s="132">
        <f t="shared" si="8"/>
        <v>0</v>
      </c>
      <c r="BL26" s="136"/>
      <c r="BM26" s="132"/>
      <c r="BN26" s="143">
        <f t="shared" si="9"/>
        <v>122.5</v>
      </c>
      <c r="BO26" s="132" t="e">
        <f>IF(AN26&lt;closingdate,0,IF(AN26=closingdate,-INDEX('Pricing Table'!$C$24:$D$24,MATCH(Fund!$C$4,'Pricing Table'!$C$5:$D$5,0)),Fund!BI26))</f>
        <v>#N/A</v>
      </c>
      <c r="BP26" s="11"/>
    </row>
    <row r="27" spans="2:69">
      <c r="B27" s="23" t="s">
        <v>80</v>
      </c>
      <c r="C27" s="666"/>
      <c r="F27" s="51"/>
      <c r="G27" s="115"/>
      <c r="H27" s="115"/>
      <c r="I27" s="115"/>
      <c r="J27" s="115"/>
      <c r="K27" s="53"/>
      <c r="L27" s="53"/>
      <c r="M27" s="115"/>
      <c r="N27" s="117"/>
      <c r="O27" s="172"/>
      <c r="P27" s="172"/>
      <c r="Q27" s="172"/>
      <c r="R27" s="114"/>
      <c r="S27" s="114"/>
      <c r="T27" s="114"/>
      <c r="U27" s="118"/>
      <c r="V27" s="168"/>
      <c r="W27" s="167"/>
      <c r="X27" s="104"/>
      <c r="Y27" s="54"/>
      <c r="Z27" s="54"/>
      <c r="AA27" s="57"/>
      <c r="AB27" s="51"/>
      <c r="AC27" s="122"/>
      <c r="AD27" s="35"/>
      <c r="AE27" s="122"/>
      <c r="AF27" s="33"/>
      <c r="AG27" s="34"/>
      <c r="AH27" s="34"/>
      <c r="AI27" s="34"/>
      <c r="AJ27" s="34"/>
      <c r="AK27" s="34"/>
      <c r="AM27" s="58">
        <f t="shared" si="10"/>
        <v>16</v>
      </c>
      <c r="AN27" s="135">
        <f t="shared" ref="AN27:AN32" si="20">EOMONTH(AN26,3)</f>
        <v>44926</v>
      </c>
      <c r="AO27" s="124"/>
      <c r="AP27" s="124"/>
      <c r="AQ27" s="132">
        <f>IF(AN27&lt;=closingdate,SUMIFS($C$41:$C$135,$B$41:$B$135,"&gt;"&amp;EOMONTH(AN27,-3),$B$41:$B$135,"&lt;="&amp;AN27),IF(AND(AO27="",AP27=""),SUMIFS($AI$16:$AI$500,$AA$16:$AA$500,$AN27),INDEX($AO27:$AP27,MATCH(Portfolio!$D$9,Fund!$AO$10:$AP$10,0))*Fund!$AI$14))</f>
        <v>0</v>
      </c>
      <c r="AR27" s="138"/>
      <c r="AS27" s="136" cm="1">
        <f t="array" ref="AS27">IF(AQ27&gt;0,SUM(IF(ROW($AR$11:AR26)&gt;=MAX(IF($AQ$11:AQ26&gt;0,ROW($AQ$11:AQ26),0)),$AR$11:AR26,0)),0)+IF(AN27=MAX($AA$17,$AA$18,$AA$19,$AA$20,$AA$21,$AA$22,$AA$23,$AA$24),SUM($C$17:$C$18),0)</f>
        <v>0</v>
      </c>
      <c r="AT27" s="136">
        <f>IFERROR(SUMIFS('Interim CFs'!$H:$H,'Interim CFs'!$B:$B,$C$4,'Interim CFs'!$E:$E,"&gt;"&amp;$AN26,'Interim CFs'!$E:$E,"&lt;="&amp;$AN27)/$C$8,0)</f>
        <v>0</v>
      </c>
      <c r="AU27" s="137"/>
      <c r="AV27" s="137"/>
      <c r="AW27" s="136">
        <f t="shared" si="4"/>
        <v>0</v>
      </c>
      <c r="AX27" s="136"/>
      <c r="AY27" s="136">
        <f>IF(AW27&lt;=0,0,IF(SUM($AW$11:AW27)&lt;0,AW27,-MIN(SUM($AW$10:AW26),0)))</f>
        <v>0</v>
      </c>
      <c r="AZ27" s="136">
        <f>SUMIF($AY$11:AY27,"&gt;0",$AY$11:AY27)</f>
        <v>0</v>
      </c>
      <c r="BA27" s="136">
        <f t="shared" ref="BA27:BA32" si="21">AW27-AY27</f>
        <v>0</v>
      </c>
      <c r="BB27" s="132">
        <f t="shared" si="5"/>
        <v>0</v>
      </c>
      <c r="BC27" s="132">
        <f t="shared" si="1"/>
        <v>0</v>
      </c>
      <c r="BD27" s="132">
        <f t="shared" si="6"/>
        <v>0</v>
      </c>
      <c r="BE27" s="132">
        <f>-IF(BD27&lt;=0,0,MIN(BD27,$BE$9+SUM($BE$10:BE26)))</f>
        <v>0</v>
      </c>
      <c r="BF27" s="136">
        <f t="shared" ref="BF27:BF32" si="22">BD27+BE27</f>
        <v>0</v>
      </c>
      <c r="BG27" s="136">
        <f t="shared" si="2"/>
        <v>0</v>
      </c>
      <c r="BH27" s="136"/>
      <c r="BI27" s="136" t="e">
        <f t="shared" si="3"/>
        <v>#N/A</v>
      </c>
      <c r="BJ27" s="136"/>
      <c r="BK27" s="132">
        <f t="shared" si="8"/>
        <v>0</v>
      </c>
      <c r="BL27" s="136"/>
      <c r="BM27" s="132"/>
      <c r="BN27" s="143">
        <f t="shared" si="9"/>
        <v>122.75</v>
      </c>
      <c r="BO27" s="132" t="e">
        <f>IF(AN27&lt;closingdate,0,IF(AN27=closingdate,-INDEX('Pricing Table'!$C$24:$D$24,MATCH(Fund!$C$4,'Pricing Table'!$C$5:$D$5,0)),Fund!BI27))</f>
        <v>#N/A</v>
      </c>
    </row>
    <row r="28" spans="2:69">
      <c r="B28" s="103" t="s">
        <v>79</v>
      </c>
      <c r="C28" s="667"/>
      <c r="F28" s="51"/>
      <c r="G28" s="115"/>
      <c r="H28" s="115"/>
      <c r="I28" s="115"/>
      <c r="J28" s="115"/>
      <c r="K28" s="53"/>
      <c r="L28" s="53"/>
      <c r="M28" s="115"/>
      <c r="N28" s="117"/>
      <c r="O28" s="172"/>
      <c r="P28" s="172"/>
      <c r="Q28" s="172"/>
      <c r="R28" s="114"/>
      <c r="S28" s="114"/>
      <c r="T28" s="114"/>
      <c r="U28" s="118"/>
      <c r="V28" s="168"/>
      <c r="W28" s="167"/>
      <c r="X28" s="104"/>
      <c r="Y28" s="54"/>
      <c r="Z28" s="54"/>
      <c r="AA28" s="57"/>
      <c r="AB28" s="51"/>
      <c r="AC28" s="122"/>
      <c r="AD28" s="35"/>
      <c r="AE28" s="122"/>
      <c r="AF28" s="33"/>
      <c r="AG28" s="34"/>
      <c r="AH28" s="34"/>
      <c r="AI28" s="34"/>
      <c r="AJ28" s="34"/>
      <c r="AK28" s="34"/>
      <c r="AM28" s="58">
        <f t="shared" si="10"/>
        <v>17</v>
      </c>
      <c r="AN28" s="135">
        <f t="shared" si="20"/>
        <v>45016</v>
      </c>
      <c r="AO28" s="124"/>
      <c r="AP28" s="124"/>
      <c r="AQ28" s="132">
        <f>IF(AN28&lt;=closingdate,SUMIFS($C$41:$C$135,$B$41:$B$135,"&gt;"&amp;EOMONTH(AN28,-3),$B$41:$B$135,"&lt;="&amp;AN28),IF(AND(AO28="",AP28=""),SUMIFS($AI$16:$AI$500,$AA$16:$AA$500,$AN28),INDEX($AO28:$AP28,MATCH(Portfolio!$D$9,Fund!$AO$10:$AP$10,0))*Fund!$AI$14))</f>
        <v>0</v>
      </c>
      <c r="AR28" s="138"/>
      <c r="AS28" s="136" cm="1">
        <f t="array" ref="AS28">IF(AQ28&gt;0,SUM(IF(ROW($AR$11:AR27)&gt;=MAX(IF($AQ$11:AQ27&gt;0,ROW($AQ$11:AQ27),0)),$AR$11:AR27,0)),0)+IF(AN28=MAX($AA$17,$AA$18,$AA$19,$AA$20,$AA$21,$AA$22,$AA$23,$AA$24),SUM($C$17:$C$18),0)</f>
        <v>0</v>
      </c>
      <c r="AT28" s="136">
        <f>IFERROR(SUMIFS('Interim CFs'!$H:$H,'Interim CFs'!$B:$B,$C$4,'Interim CFs'!$E:$E,"&gt;"&amp;$AN27,'Interim CFs'!$E:$E,"&lt;="&amp;$AN28)/$C$8,0)</f>
        <v>0</v>
      </c>
      <c r="AU28" s="137"/>
      <c r="AV28" s="137"/>
      <c r="AW28" s="136">
        <f t="shared" si="4"/>
        <v>0</v>
      </c>
      <c r="AX28" s="136"/>
      <c r="AY28" s="136">
        <f>IF(AW28&lt;=0,0,IF(SUM($AW$11:AW28)&lt;0,AW28,-MIN(SUM($AW$10:AW27),0)))</f>
        <v>0</v>
      </c>
      <c r="AZ28" s="136">
        <f>SUMIF($AY$11:AY28,"&gt;0",$AY$11:AY28)</f>
        <v>0</v>
      </c>
      <c r="BA28" s="136">
        <f t="shared" si="21"/>
        <v>0</v>
      </c>
      <c r="BB28" s="132">
        <f t="shared" si="5"/>
        <v>0</v>
      </c>
      <c r="BC28" s="132">
        <f t="shared" si="1"/>
        <v>0</v>
      </c>
      <c r="BD28" s="132">
        <f t="shared" si="6"/>
        <v>0</v>
      </c>
      <c r="BE28" s="132">
        <f>-IF(BD28&lt;=0,0,MIN(BD28,$BE$9+SUM($BE$10:BE27)))</f>
        <v>0</v>
      </c>
      <c r="BF28" s="136">
        <f t="shared" si="22"/>
        <v>0</v>
      </c>
      <c r="BG28" s="136">
        <f t="shared" si="2"/>
        <v>0</v>
      </c>
      <c r="BH28" s="136"/>
      <c r="BI28" s="136" t="e">
        <f t="shared" si="3"/>
        <v>#N/A</v>
      </c>
      <c r="BJ28" s="136"/>
      <c r="BK28" s="132">
        <f t="shared" si="8"/>
        <v>0</v>
      </c>
      <c r="BL28" s="136"/>
      <c r="BM28" s="132"/>
      <c r="BN28" s="143">
        <f t="shared" si="9"/>
        <v>123</v>
      </c>
      <c r="BO28" s="132" t="e">
        <f>IF(AN28&lt;closingdate,0,IF(AN28=closingdate,-INDEX('Pricing Table'!$C$24:$D$24,MATCH(Fund!$C$4,'Pricing Table'!$C$5:$D$5,0)),Fund!BI28))</f>
        <v>#N/A</v>
      </c>
    </row>
    <row r="29" spans="2:69">
      <c r="F29" s="51"/>
      <c r="G29" s="115"/>
      <c r="H29" s="115"/>
      <c r="I29" s="115"/>
      <c r="J29" s="115"/>
      <c r="K29" s="53"/>
      <c r="L29" s="53"/>
      <c r="M29" s="115"/>
      <c r="N29" s="117"/>
      <c r="O29" s="172"/>
      <c r="P29" s="172"/>
      <c r="Q29" s="172"/>
      <c r="R29" s="114"/>
      <c r="S29" s="114"/>
      <c r="T29" s="114"/>
      <c r="U29" s="118"/>
      <c r="V29" s="168"/>
      <c r="W29" s="167"/>
      <c r="X29" s="104"/>
      <c r="Y29" s="54"/>
      <c r="Z29" s="54"/>
      <c r="AA29" s="57"/>
      <c r="AB29" s="51"/>
      <c r="AC29" s="122"/>
      <c r="AD29" s="35"/>
      <c r="AE29" s="122"/>
      <c r="AF29" s="33"/>
      <c r="AG29" s="34"/>
      <c r="AH29" s="34"/>
      <c r="AI29" s="34"/>
      <c r="AJ29" s="34"/>
      <c r="AK29" s="34"/>
      <c r="AM29" s="58">
        <f t="shared" si="10"/>
        <v>18</v>
      </c>
      <c r="AN29" s="135">
        <f t="shared" si="20"/>
        <v>45107</v>
      </c>
      <c r="AO29" s="124"/>
      <c r="AP29" s="124"/>
      <c r="AQ29" s="132">
        <f>IF(AN29&lt;=closingdate,SUMIFS($C$41:$C$135,$B$41:$B$135,"&gt;"&amp;EOMONTH(AN29,-3),$B$41:$B$135,"&lt;="&amp;AN29),IF(AND(AO29="",AP29=""),SUMIFS($AI$16:$AI$500,$AA$16:$AA$500,$AN29),INDEX($AO29:$AP29,MATCH(Portfolio!$D$9,Fund!$AO$10:$AP$10,0))*Fund!$AI$14))</f>
        <v>0</v>
      </c>
      <c r="AR29" s="138"/>
      <c r="AS29" s="136" cm="1">
        <f t="array" ref="AS29">IF(AQ29&gt;0,SUM(IF(ROW($AR$11:AR28)&gt;=MAX(IF($AQ$11:AQ28&gt;0,ROW($AQ$11:AQ28),0)),$AR$11:AR28,0)),0)+IF(AN29=MAX($AA$17,$AA$18,$AA$19,$AA$20,$AA$21,$AA$22,$AA$23,$AA$24),SUM($C$17:$C$18),0)</f>
        <v>0</v>
      </c>
      <c r="AT29" s="136">
        <f>IFERROR(SUMIFS('Interim CFs'!$H:$H,'Interim CFs'!$B:$B,$C$4,'Interim CFs'!$E:$E,"&gt;"&amp;$AN28,'Interim CFs'!$E:$E,"&lt;="&amp;$AN29)/$C$8,0)</f>
        <v>0</v>
      </c>
      <c r="AU29" s="137"/>
      <c r="AV29" s="137"/>
      <c r="AW29" s="136">
        <f t="shared" si="4"/>
        <v>0</v>
      </c>
      <c r="AX29" s="136"/>
      <c r="AY29" s="136">
        <f>IF(AW29&lt;=0,0,IF(SUM($AW$11:AW29)&lt;0,AW29,-MIN(SUM($AW$10:AW28),0)))</f>
        <v>0</v>
      </c>
      <c r="AZ29" s="136">
        <f>SUMIF($AY$11:AY29,"&gt;0",$AY$11:AY29)</f>
        <v>0</v>
      </c>
      <c r="BA29" s="136">
        <f t="shared" si="21"/>
        <v>0</v>
      </c>
      <c r="BB29" s="132">
        <f t="shared" si="5"/>
        <v>0</v>
      </c>
      <c r="BC29" s="132">
        <f t="shared" si="1"/>
        <v>0</v>
      </c>
      <c r="BD29" s="132">
        <f t="shared" si="6"/>
        <v>0</v>
      </c>
      <c r="BE29" s="132">
        <f>-IF(BD29&lt;=0,0,MIN(BD29,$BE$9+SUM($BE$10:BE28)))</f>
        <v>0</v>
      </c>
      <c r="BF29" s="136">
        <f t="shared" si="22"/>
        <v>0</v>
      </c>
      <c r="BG29" s="136">
        <f t="shared" si="2"/>
        <v>0</v>
      </c>
      <c r="BH29" s="136"/>
      <c r="BI29" s="136" t="e">
        <f t="shared" si="3"/>
        <v>#N/A</v>
      </c>
      <c r="BJ29" s="136"/>
      <c r="BK29" s="132">
        <f t="shared" si="8"/>
        <v>0</v>
      </c>
      <c r="BL29" s="136"/>
      <c r="BM29" s="132"/>
      <c r="BN29" s="143">
        <f t="shared" si="9"/>
        <v>123.25</v>
      </c>
      <c r="BO29" s="132" t="e">
        <f>IF(AN29&lt;closingdate,0,IF(AN29=closingdate,-INDEX('Pricing Table'!$C$24:$D$24,MATCH(Fund!$C$4,'Pricing Table'!$C$5:$D$5,0)),Fund!BI29))</f>
        <v>#N/A</v>
      </c>
    </row>
    <row r="30" spans="2:69">
      <c r="B30" s="20" t="s">
        <v>107</v>
      </c>
      <c r="C30" s="21" t="s">
        <v>65</v>
      </c>
      <c r="D30" s="22" t="s">
        <v>66</v>
      </c>
      <c r="F30" s="51"/>
      <c r="G30" s="115"/>
      <c r="H30" s="115"/>
      <c r="I30" s="115"/>
      <c r="J30" s="115"/>
      <c r="K30" s="53"/>
      <c r="L30" s="53"/>
      <c r="M30" s="115"/>
      <c r="N30" s="117"/>
      <c r="O30" s="172"/>
      <c r="P30" s="172"/>
      <c r="Q30" s="172"/>
      <c r="R30" s="114"/>
      <c r="S30" s="114"/>
      <c r="T30" s="114"/>
      <c r="U30" s="118"/>
      <c r="V30" s="168"/>
      <c r="W30" s="167"/>
      <c r="X30" s="104"/>
      <c r="Y30" s="54"/>
      <c r="Z30" s="54"/>
      <c r="AA30" s="57"/>
      <c r="AB30" s="51"/>
      <c r="AC30" s="122"/>
      <c r="AD30" s="35"/>
      <c r="AE30" s="122"/>
      <c r="AF30" s="33"/>
      <c r="AG30" s="34"/>
      <c r="AH30" s="34"/>
      <c r="AI30" s="34"/>
      <c r="AJ30" s="34"/>
      <c r="AK30" s="34"/>
      <c r="AM30" s="58">
        <f t="shared" si="10"/>
        <v>19</v>
      </c>
      <c r="AN30" s="135">
        <f t="shared" si="20"/>
        <v>45199</v>
      </c>
      <c r="AO30" s="124"/>
      <c r="AP30" s="124"/>
      <c r="AQ30" s="132">
        <f>IF(AN30&lt;=closingdate,SUMIFS($C$41:$C$135,$B$41:$B$135,"&gt;"&amp;EOMONTH(AN30,-3),$B$41:$B$135,"&lt;="&amp;AN30),IF(AND(AO30="",AP30=""),SUMIFS($AI$16:$AI$500,$AA$16:$AA$500,$AN30),INDEX($AO30:$AP30,MATCH(Portfolio!$D$9,Fund!$AO$10:$AP$10,0))*Fund!$AI$14))</f>
        <v>0</v>
      </c>
      <c r="AR30" s="138"/>
      <c r="AS30" s="136" cm="1">
        <f t="array" ref="AS30">IF(AQ30&gt;0,SUM(IF(ROW($AR$11:AR29)&gt;=MAX(IF($AQ$11:AQ29&gt;0,ROW($AQ$11:AQ29),0)),$AR$11:AR29,0)),0)+IF(AN30=MAX($AA$17,$AA$18,$AA$19,$AA$20,$AA$21,$AA$22,$AA$23,$AA$24),SUM($C$17:$C$18),0)</f>
        <v>0</v>
      </c>
      <c r="AT30" s="136">
        <f>IFERROR(SUMIFS('Interim CFs'!$H:$H,'Interim CFs'!$B:$B,$C$4,'Interim CFs'!$E:$E,"&gt;"&amp;$AN29,'Interim CFs'!$E:$E,"&lt;="&amp;$AN30)/$C$8,0)</f>
        <v>0</v>
      </c>
      <c r="AU30" s="137"/>
      <c r="AV30" s="137"/>
      <c r="AW30" s="136">
        <f t="shared" si="4"/>
        <v>0</v>
      </c>
      <c r="AX30" s="136"/>
      <c r="AY30" s="136">
        <f>IF(AW30&lt;=0,0,IF(SUM($AW$11:AW30)&lt;0,AW30,-MIN(SUM($AW$10:AW29),0)))</f>
        <v>0</v>
      </c>
      <c r="AZ30" s="136">
        <f>SUMIF($AY$11:AY30,"&gt;0",$AY$11:AY30)</f>
        <v>0</v>
      </c>
      <c r="BA30" s="136">
        <f t="shared" si="21"/>
        <v>0</v>
      </c>
      <c r="BB30" s="132">
        <f t="shared" si="5"/>
        <v>0</v>
      </c>
      <c r="BC30" s="132">
        <f t="shared" si="1"/>
        <v>0</v>
      </c>
      <c r="BD30" s="132">
        <f t="shared" si="6"/>
        <v>0</v>
      </c>
      <c r="BE30" s="132">
        <f>-IF(BD30&lt;=0,0,MIN(BD30,$BE$9+SUM($BE$10:BE29)))</f>
        <v>0</v>
      </c>
      <c r="BF30" s="136">
        <f t="shared" si="22"/>
        <v>0</v>
      </c>
      <c r="BG30" s="136">
        <f t="shared" si="2"/>
        <v>0</v>
      </c>
      <c r="BH30" s="136"/>
      <c r="BI30" s="136" t="e">
        <f t="shared" si="3"/>
        <v>#N/A</v>
      </c>
      <c r="BJ30" s="136"/>
      <c r="BK30" s="132">
        <f t="shared" si="8"/>
        <v>0</v>
      </c>
      <c r="BL30" s="136"/>
      <c r="BM30" s="132"/>
      <c r="BN30" s="143">
        <f t="shared" si="9"/>
        <v>123.5</v>
      </c>
      <c r="BO30" s="132" t="e">
        <f>IF(AN30&lt;closingdate,0,IF(AN30=closingdate,-INDEX('Pricing Table'!$C$24:$D$24,MATCH(Fund!$C$4,'Pricing Table'!$C$5:$D$5,0)),Fund!BI30))</f>
        <v>#N/A</v>
      </c>
      <c r="BP30" s="12"/>
      <c r="BQ30" s="12"/>
    </row>
    <row r="31" spans="2:69">
      <c r="B31" s="23" t="s">
        <v>344</v>
      </c>
      <c r="C31" s="370">
        <f>AI14+C17+C18</f>
        <v>0</v>
      </c>
      <c r="D31" s="371" t="e">
        <f t="shared" ref="D31:D36" si="23">C31*$C$8</f>
        <v>#N/A</v>
      </c>
      <c r="F31" s="51"/>
      <c r="G31" s="115"/>
      <c r="H31" s="115"/>
      <c r="I31" s="115"/>
      <c r="J31" s="115"/>
      <c r="K31" s="53"/>
      <c r="L31" s="53"/>
      <c r="M31" s="115"/>
      <c r="N31" s="117"/>
      <c r="O31" s="172"/>
      <c r="P31" s="172"/>
      <c r="Q31" s="172"/>
      <c r="R31" s="114"/>
      <c r="S31" s="114"/>
      <c r="T31" s="114"/>
      <c r="U31" s="118"/>
      <c r="V31" s="168"/>
      <c r="W31" s="167"/>
      <c r="X31" s="104"/>
      <c r="Y31" s="54"/>
      <c r="Z31" s="54"/>
      <c r="AA31" s="57"/>
      <c r="AB31" s="51"/>
      <c r="AC31" s="122"/>
      <c r="AD31" s="35"/>
      <c r="AE31" s="122"/>
      <c r="AF31" s="33"/>
      <c r="AG31" s="34"/>
      <c r="AH31" s="34"/>
      <c r="AI31" s="34"/>
      <c r="AJ31" s="34"/>
      <c r="AK31" s="34"/>
      <c r="AM31" s="58">
        <f t="shared" si="10"/>
        <v>20</v>
      </c>
      <c r="AN31" s="135">
        <f t="shared" si="20"/>
        <v>45291</v>
      </c>
      <c r="AO31" s="124"/>
      <c r="AP31" s="124"/>
      <c r="AQ31" s="132">
        <f>IF(AN31&lt;=closingdate,SUMIFS($C$41:$C$135,$B$41:$B$135,"&gt;"&amp;EOMONTH(AN31,-3),$B$41:$B$135,"&lt;="&amp;AN31),IF(AND(AO31="",AP31=""),SUMIFS($AI$16:$AI$500,$AA$16:$AA$500,$AN31),INDEX($AO31:$AP31,MATCH(Portfolio!$D$9,Fund!$AO$10:$AP$10,0))*Fund!$AI$14))</f>
        <v>0</v>
      </c>
      <c r="AR31" s="138"/>
      <c r="AS31" s="136" cm="1">
        <f t="array" ref="AS31">IF(AQ31&gt;0,SUM(IF(ROW($AR$11:AR30)&gt;=MAX(IF($AQ$11:AQ30&gt;0,ROW($AQ$11:AQ30),0)),$AR$11:AR30,0)),0)+IF(AN31=MAX($AA$17,$AA$18,$AA$19,$AA$20,$AA$21,$AA$22,$AA$23,$AA$24),SUM($C$17:$C$18),0)</f>
        <v>0</v>
      </c>
      <c r="AT31" s="136">
        <f>IFERROR(SUMIFS('Interim CFs'!$H:$H,'Interim CFs'!$B:$B,$C$4,'Interim CFs'!$E:$E,"&gt;"&amp;$AN30,'Interim CFs'!$E:$E,"&lt;="&amp;$AN31)/$C$8,0)</f>
        <v>0</v>
      </c>
      <c r="AU31" s="137"/>
      <c r="AV31" s="137"/>
      <c r="AW31" s="136">
        <f t="shared" si="4"/>
        <v>0</v>
      </c>
      <c r="AX31" s="136"/>
      <c r="AY31" s="136">
        <f>IF(AW31&lt;=0,0,IF(SUM($AW$11:AW31)&lt;0,AW31,-MIN(SUM($AW$10:AW30),0)))</f>
        <v>0</v>
      </c>
      <c r="AZ31" s="136">
        <f>SUMIF($AY$11:AY31,"&gt;0",$AY$11:AY31)</f>
        <v>0</v>
      </c>
      <c r="BA31" s="136">
        <f t="shared" si="21"/>
        <v>0</v>
      </c>
      <c r="BB31" s="132">
        <f t="shared" si="5"/>
        <v>0</v>
      </c>
      <c r="BC31" s="132">
        <f t="shared" si="1"/>
        <v>0</v>
      </c>
      <c r="BD31" s="132">
        <f t="shared" si="6"/>
        <v>0</v>
      </c>
      <c r="BE31" s="132">
        <f>-IF(BD31&lt;=0,0,MIN(BD31,$BE$9+SUM($BE$10:BE30)))</f>
        <v>0</v>
      </c>
      <c r="BF31" s="136">
        <f t="shared" si="22"/>
        <v>0</v>
      </c>
      <c r="BG31" s="136">
        <f t="shared" si="2"/>
        <v>0</v>
      </c>
      <c r="BH31" s="136"/>
      <c r="BI31" s="136" t="e">
        <f t="shared" si="3"/>
        <v>#N/A</v>
      </c>
      <c r="BJ31" s="136"/>
      <c r="BK31" s="132">
        <f t="shared" si="8"/>
        <v>0</v>
      </c>
      <c r="BL31" s="136"/>
      <c r="BM31" s="132"/>
      <c r="BN31" s="143">
        <f t="shared" si="9"/>
        <v>123.75</v>
      </c>
      <c r="BO31" s="132" t="e">
        <f>IF(AN31&lt;closingdate,0,IF(AN31=closingdate,-INDEX('Pricing Table'!$C$24:$D$24,MATCH(Fund!$C$4,'Pricing Table'!$C$5:$D$5,0)),Fund!BI31))</f>
        <v>#N/A</v>
      </c>
      <c r="BP31" s="12"/>
      <c r="BQ31" s="12"/>
    </row>
    <row r="32" spans="2:69">
      <c r="B32" s="23" t="s">
        <v>108</v>
      </c>
      <c r="C32" s="12">
        <f>SUMIFS($AR:$AR,$AN:$AN,"&gt;"&amp;closingdate)</f>
        <v>0</v>
      </c>
      <c r="D32" s="24" t="e">
        <f t="shared" si="23"/>
        <v>#N/A</v>
      </c>
      <c r="F32" s="51"/>
      <c r="G32" s="115"/>
      <c r="H32" s="115"/>
      <c r="I32" s="115"/>
      <c r="J32" s="115"/>
      <c r="K32" s="53"/>
      <c r="L32" s="53"/>
      <c r="M32" s="115"/>
      <c r="N32" s="117"/>
      <c r="O32" s="172"/>
      <c r="P32" s="172"/>
      <c r="Q32" s="172"/>
      <c r="R32" s="114"/>
      <c r="S32" s="114"/>
      <c r="T32" s="114"/>
      <c r="U32" s="118"/>
      <c r="V32" s="168"/>
      <c r="W32" s="167"/>
      <c r="X32" s="104"/>
      <c r="Y32" s="54"/>
      <c r="Z32" s="54"/>
      <c r="AA32" s="57"/>
      <c r="AB32" s="51"/>
      <c r="AC32" s="122"/>
      <c r="AD32" s="35"/>
      <c r="AE32" s="122"/>
      <c r="AF32" s="33"/>
      <c r="AG32" s="34"/>
      <c r="AH32" s="34"/>
      <c r="AI32" s="34"/>
      <c r="AJ32" s="34"/>
      <c r="AK32" s="34"/>
      <c r="AM32" s="58">
        <f t="shared" si="10"/>
        <v>21</v>
      </c>
      <c r="AN32" s="135">
        <f t="shared" si="20"/>
        <v>45382</v>
      </c>
      <c r="AO32" s="124"/>
      <c r="AP32" s="124"/>
      <c r="AQ32" s="132">
        <f>IF(AN32&lt;=closingdate,SUMIFS($C$41:$C$135,$B$41:$B$135,"&gt;"&amp;EOMONTH(AN32,-3),$B$41:$B$135,"&lt;="&amp;AN32),IF(AND(AO32="",AP32=""),SUMIFS($AI$16:$AI$500,$AA$16:$AA$500,$AN32),INDEX($AO32:$AP32,MATCH(Portfolio!$D$9,Fund!$AO$10:$AP$10,0))*Fund!$AI$14))</f>
        <v>0</v>
      </c>
      <c r="AR32" s="138"/>
      <c r="AS32" s="136" cm="1">
        <f t="array" ref="AS32">IF(AQ32&gt;0,SUM(IF(ROW($AR$11:AR31)&gt;=MAX(IF($AQ$11:AQ31&gt;0,ROW($AQ$11:AQ31),0)),$AR$11:AR31,0)),0)+IF(AN32=MAX($AA$17,$AA$18,$AA$19,$AA$20,$AA$21,$AA$22,$AA$23,$AA$24),SUM($C$17:$C$18),0)</f>
        <v>0</v>
      </c>
      <c r="AT32" s="136">
        <f>IFERROR(SUMIFS('Interim CFs'!$H:$H,'Interim CFs'!$B:$B,$C$4,'Interim CFs'!$E:$E,"&gt;"&amp;$AN31,'Interim CFs'!$E:$E,"&lt;="&amp;$AN32)/$C$8,0)</f>
        <v>0</v>
      </c>
      <c r="AU32" s="137"/>
      <c r="AV32" s="137"/>
      <c r="AW32" s="136">
        <f t="shared" si="4"/>
        <v>0</v>
      </c>
      <c r="AX32" s="136"/>
      <c r="AY32" s="136">
        <f>IF(AW32&lt;=0,0,IF(SUM($AW$11:AW32)&lt;0,AW32,-MIN(SUM($AW$10:AW31),0)))</f>
        <v>0</v>
      </c>
      <c r="AZ32" s="136">
        <f>SUMIF($AY$11:AY32,"&gt;0",$AY$11:AY32)</f>
        <v>0</v>
      </c>
      <c r="BA32" s="136">
        <f t="shared" si="21"/>
        <v>0</v>
      </c>
      <c r="BB32" s="132">
        <f t="shared" si="5"/>
        <v>0</v>
      </c>
      <c r="BC32" s="132">
        <f t="shared" si="1"/>
        <v>0</v>
      </c>
      <c r="BD32" s="132">
        <f t="shared" si="6"/>
        <v>0</v>
      </c>
      <c r="BE32" s="132">
        <f>-IF(BD32&lt;=0,0,MIN(BD32,$BE$9+SUM($BE$10:BE31)))</f>
        <v>0</v>
      </c>
      <c r="BF32" s="136">
        <f t="shared" si="22"/>
        <v>0</v>
      </c>
      <c r="BG32" s="136">
        <f t="shared" si="2"/>
        <v>0</v>
      </c>
      <c r="BH32" s="136"/>
      <c r="BI32" s="136" t="e">
        <f t="shared" si="3"/>
        <v>#N/A</v>
      </c>
      <c r="BJ32" s="136"/>
      <c r="BK32" s="132">
        <f t="shared" si="8"/>
        <v>0</v>
      </c>
      <c r="BL32" s="136"/>
      <c r="BM32" s="132"/>
      <c r="BN32" s="143">
        <f t="shared" si="9"/>
        <v>124</v>
      </c>
      <c r="BO32" s="132" t="e">
        <f>IF(AN32&lt;closingdate,0,IF(AN32=closingdate,-INDEX('Pricing Table'!$C$24:$D$24,MATCH(Fund!$C$4,'Pricing Table'!$C$5:$D$5,0)),Fund!BI32))</f>
        <v>#N/A</v>
      </c>
      <c r="BP32" s="12"/>
      <c r="BQ32" s="12"/>
    </row>
    <row r="33" spans="2:69">
      <c r="B33" s="23" t="s">
        <v>10</v>
      </c>
      <c r="C33" s="12">
        <f>SUM($AU:$AU)</f>
        <v>0</v>
      </c>
      <c r="D33" s="24" t="e">
        <f t="shared" si="23"/>
        <v>#N/A</v>
      </c>
      <c r="F33" s="51"/>
      <c r="G33" s="115"/>
      <c r="H33" s="115"/>
      <c r="I33" s="115"/>
      <c r="J33" s="115"/>
      <c r="K33" s="53"/>
      <c r="L33" s="53"/>
      <c r="M33" s="115"/>
      <c r="N33" s="117"/>
      <c r="O33" s="172"/>
      <c r="P33" s="172"/>
      <c r="Q33" s="172"/>
      <c r="R33" s="114"/>
      <c r="S33" s="114"/>
      <c r="T33" s="114"/>
      <c r="U33" s="118"/>
      <c r="V33" s="168"/>
      <c r="W33" s="167"/>
      <c r="X33" s="104"/>
      <c r="Y33" s="54"/>
      <c r="Z33" s="54"/>
      <c r="AA33" s="57"/>
      <c r="AB33" s="51"/>
      <c r="AC33" s="122"/>
      <c r="AD33" s="35"/>
      <c r="AE33" s="122"/>
      <c r="AF33" s="33"/>
      <c r="AG33" s="34"/>
      <c r="AH33" s="34"/>
      <c r="AI33" s="34"/>
      <c r="AJ33" s="34"/>
      <c r="AK33" s="34"/>
      <c r="AM33" s="58">
        <f t="shared" si="10"/>
        <v>22</v>
      </c>
      <c r="AN33" s="135">
        <f t="shared" ref="AN33" si="24">EOMONTH(AN32,3)</f>
        <v>45473</v>
      </c>
      <c r="AO33" s="124"/>
      <c r="AP33" s="124"/>
      <c r="AQ33" s="132">
        <f>IF(AN33&lt;=closingdate,SUMIFS($C$41:$C$135,$B$41:$B$135,"&gt;"&amp;EOMONTH(AN33,-3),$B$41:$B$135,"&lt;="&amp;AN33),IF(AND(AO33="",AP33=""),SUMIFS($AI$16:$AI$500,$AA$16:$AA$500,$AN33),INDEX($AO33:$AP33,MATCH(Portfolio!$D$9,Fund!$AO$10:$AP$10,0))*Fund!$AI$14))</f>
        <v>0</v>
      </c>
      <c r="AR33" s="138"/>
      <c r="AS33" s="136" cm="1">
        <f t="array" ref="AS33">IF(AQ33&gt;0,SUM(IF(ROW($AR$11:AR32)&gt;=MAX(IF($AQ$11:AQ32&gt;0,ROW($AQ$11:AQ32),0)),$AR$11:AR32,0)),0)+IF(AN33=MAX($AA$17,$AA$18,$AA$19,$AA$20,$AA$21,$AA$22,$AA$23,$AA$24),SUM($C$17:$C$18),0)</f>
        <v>0</v>
      </c>
      <c r="AT33" s="136">
        <f>IFERROR(SUMIFS('Interim CFs'!$H:$H,'Interim CFs'!$B:$B,$C$4,'Interim CFs'!$E:$E,"&gt;"&amp;$AN32,'Interim CFs'!$E:$E,"&lt;="&amp;$AN33)/$C$8,0)</f>
        <v>0</v>
      </c>
      <c r="AU33" s="137"/>
      <c r="AV33" s="137"/>
      <c r="AW33" s="136">
        <f t="shared" si="4"/>
        <v>0</v>
      </c>
      <c r="AX33" s="136"/>
      <c r="AY33" s="136">
        <f>IF(AW33&lt;=0,0,IF(SUM($AW$11:AW33)&lt;0,AW33,-MIN(SUM($AW$10:AW32),0)))</f>
        <v>0</v>
      </c>
      <c r="AZ33" s="136">
        <f>SUMIF($AY$11:AY33,"&gt;0",$AY$11:AY33)</f>
        <v>0</v>
      </c>
      <c r="BA33" s="136">
        <f t="shared" ref="BA33" si="25">AW33-AY33</f>
        <v>0</v>
      </c>
      <c r="BB33" s="132">
        <f t="shared" si="5"/>
        <v>0</v>
      </c>
      <c r="BC33" s="132">
        <f t="shared" si="1"/>
        <v>0</v>
      </c>
      <c r="BD33" s="132">
        <f t="shared" si="6"/>
        <v>0</v>
      </c>
      <c r="BE33" s="132">
        <f>-IF(BD33&lt;=0,0,MIN(BD33,$BE$9+SUM($BE$10:BE32)))</f>
        <v>0</v>
      </c>
      <c r="BF33" s="136">
        <f t="shared" ref="BF33" si="26">BD33+BE33</f>
        <v>0</v>
      </c>
      <c r="BG33" s="136">
        <f t="shared" si="2"/>
        <v>0</v>
      </c>
      <c r="BH33" s="136"/>
      <c r="BI33" s="136" t="e">
        <f t="shared" si="3"/>
        <v>#N/A</v>
      </c>
      <c r="BJ33" s="136"/>
      <c r="BK33" s="132">
        <f t="shared" si="8"/>
        <v>0</v>
      </c>
      <c r="BL33" s="136"/>
      <c r="BM33" s="132"/>
      <c r="BN33" s="143">
        <f t="shared" si="9"/>
        <v>124.25</v>
      </c>
      <c r="BO33" s="132" t="e">
        <f>IF(AN33&lt;closingdate,0,IF(AN33=closingdate,-INDEX('Pricing Table'!$C$24:$D$24,MATCH(Fund!$C$4,'Pricing Table'!$C$5:$D$5,0)),Fund!BI33))</f>
        <v>#N/A</v>
      </c>
      <c r="BP33" s="12"/>
      <c r="BQ33" s="12"/>
    </row>
    <row r="34" spans="2:69">
      <c r="B34" s="23" t="s">
        <v>109</v>
      </c>
      <c r="C34" s="12">
        <f>SUM($AV:$AV)</f>
        <v>0</v>
      </c>
      <c r="D34" s="24" t="e">
        <f t="shared" si="23"/>
        <v>#N/A</v>
      </c>
      <c r="F34" s="51"/>
      <c r="G34" s="115"/>
      <c r="H34" s="115"/>
      <c r="I34" s="115"/>
      <c r="J34" s="115"/>
      <c r="K34" s="53"/>
      <c r="L34" s="53"/>
      <c r="M34" s="115"/>
      <c r="N34" s="117"/>
      <c r="O34" s="172"/>
      <c r="P34" s="172"/>
      <c r="Q34" s="172"/>
      <c r="R34" s="114"/>
      <c r="S34" s="114"/>
      <c r="T34" s="114"/>
      <c r="U34" s="118"/>
      <c r="V34" s="168"/>
      <c r="W34" s="167"/>
      <c r="X34" s="104"/>
      <c r="Y34" s="54"/>
      <c r="Z34" s="54"/>
      <c r="AA34" s="57"/>
      <c r="AB34" s="51"/>
      <c r="AC34" s="122"/>
      <c r="AD34" s="35"/>
      <c r="AE34" s="122"/>
      <c r="AF34" s="33"/>
      <c r="AG34" s="34"/>
      <c r="AH34" s="34"/>
      <c r="AI34" s="34"/>
      <c r="AJ34" s="34"/>
      <c r="AK34" s="34"/>
      <c r="AL34" s="12"/>
      <c r="AM34" s="58">
        <f t="shared" ref="AM34:AM75" si="27">+AM33+1</f>
        <v>23</v>
      </c>
      <c r="AN34" s="135">
        <f t="shared" ref="AN34:AN75" si="28">EOMONTH(AN33,3)</f>
        <v>45565</v>
      </c>
      <c r="AO34" s="124"/>
      <c r="AP34" s="124"/>
      <c r="AQ34" s="132">
        <f>IF(AN34&lt;=closingdate,SUMIFS($C$41:$C$135,$B$41:$B$135,"&gt;"&amp;EOMONTH(AN34,-3),$B$41:$B$135,"&lt;="&amp;AN34),IF(AND(AO34="",AP34=""),SUMIFS($AI$16:$AI$500,$AA$16:$AA$500,$AN34),INDEX($AO34:$AP34,MATCH(Portfolio!$D$9,Fund!$AO$10:$AP$10,0))*Fund!$AI$14))</f>
        <v>0</v>
      </c>
      <c r="AR34" s="138"/>
      <c r="AS34" s="136" cm="1">
        <f t="array" ref="AS34">IF(AQ34&gt;0,SUM(IF(ROW($AR$11:AR33)&gt;=MAX(IF($AQ$11:AQ33&gt;0,ROW($AQ$11:AQ33),0)),$AR$11:AR33,0)),0)+IF(AN34=MAX($AA$17,$AA$18,$AA$19,$AA$20,$AA$21,$AA$22,$AA$23,$AA$24),SUM($C$17:$C$18),0)</f>
        <v>0</v>
      </c>
      <c r="AT34" s="136">
        <f>IFERROR(SUMIFS('Interim CFs'!$H:$H,'Interim CFs'!$B:$B,$C$4,'Interim CFs'!$E:$E,"&gt;"&amp;$AN33,'Interim CFs'!$E:$E,"&lt;="&amp;$AN34)/$C$8,0)</f>
        <v>0</v>
      </c>
      <c r="AU34" s="137"/>
      <c r="AV34" s="137"/>
      <c r="AW34" s="136">
        <f t="shared" si="4"/>
        <v>0</v>
      </c>
      <c r="AX34" s="136"/>
      <c r="AY34" s="136">
        <f>IF(AW34&lt;=0,0,IF(SUM($AW$11:AW34)&lt;0,AW34,-MIN(SUM($AW$10:AW33),0)))</f>
        <v>0</v>
      </c>
      <c r="AZ34" s="136">
        <f>SUMIF($AY$11:AY34,"&gt;0",$AY$11:AY34)</f>
        <v>0</v>
      </c>
      <c r="BA34" s="136">
        <f t="shared" ref="BA34:BA48" si="29">AW34-AY34</f>
        <v>0</v>
      </c>
      <c r="BB34" s="132">
        <f t="shared" si="5"/>
        <v>0</v>
      </c>
      <c r="BC34" s="132">
        <f t="shared" si="1"/>
        <v>0</v>
      </c>
      <c r="BD34" s="132">
        <f t="shared" si="6"/>
        <v>0</v>
      </c>
      <c r="BE34" s="132">
        <f>-IF(BD34&lt;=0,0,MIN(BD34,$BE$9+SUM($BE$10:BE33)))</f>
        <v>0</v>
      </c>
      <c r="BF34" s="136">
        <f t="shared" ref="BF34:BF74" si="30">BD34+BE34</f>
        <v>0</v>
      </c>
      <c r="BG34" s="136">
        <f t="shared" si="2"/>
        <v>0</v>
      </c>
      <c r="BH34" s="136"/>
      <c r="BI34" s="136" t="e">
        <f t="shared" si="3"/>
        <v>#N/A</v>
      </c>
      <c r="BJ34" s="136"/>
      <c r="BK34" s="132">
        <f t="shared" si="8"/>
        <v>0</v>
      </c>
      <c r="BL34" s="136"/>
      <c r="BM34" s="132"/>
      <c r="BN34" s="143">
        <f t="shared" si="9"/>
        <v>124.5</v>
      </c>
      <c r="BO34" s="132" t="e">
        <f>IF(AN34&lt;closingdate,0,IF(AN34=closingdate,-INDEX('Pricing Table'!$C$24:$D$24,MATCH(Fund!$C$4,'Pricing Table'!$C$5:$D$5,0)),Fund!BI34))</f>
        <v>#N/A</v>
      </c>
      <c r="BP34" s="12"/>
      <c r="BQ34" s="12"/>
    </row>
    <row r="35" spans="2:69">
      <c r="B35" s="23" t="s">
        <v>110</v>
      </c>
      <c r="C35" s="12">
        <f>SUMIFS($BE$10:$BE$75,$AN$10:$AN$75,"&gt;"&amp;closingdate)+SUMIFS($BG$10:$BG$75,$AN$10:$AN$75,"&gt;"&amp;closingdate)</f>
        <v>0</v>
      </c>
      <c r="D35" s="24" t="e">
        <f t="shared" si="23"/>
        <v>#N/A</v>
      </c>
      <c r="F35" s="51"/>
      <c r="G35" s="115"/>
      <c r="H35" s="115"/>
      <c r="I35" s="115"/>
      <c r="J35" s="115"/>
      <c r="K35" s="53"/>
      <c r="L35" s="53"/>
      <c r="M35" s="115"/>
      <c r="N35" s="117"/>
      <c r="O35" s="172"/>
      <c r="P35" s="172"/>
      <c r="Q35" s="172"/>
      <c r="R35" s="114"/>
      <c r="S35" s="114"/>
      <c r="T35" s="114"/>
      <c r="U35" s="118"/>
      <c r="V35" s="168"/>
      <c r="W35" s="167"/>
      <c r="X35" s="104"/>
      <c r="Y35" s="54"/>
      <c r="Z35" s="54"/>
      <c r="AA35" s="57"/>
      <c r="AB35" s="51"/>
      <c r="AC35" s="122"/>
      <c r="AD35" s="35"/>
      <c r="AE35" s="122"/>
      <c r="AF35" s="33"/>
      <c r="AG35" s="34"/>
      <c r="AH35" s="34"/>
      <c r="AI35" s="34"/>
      <c r="AJ35" s="34"/>
      <c r="AK35" s="34"/>
      <c r="AL35" s="12"/>
      <c r="AM35" s="58">
        <f t="shared" si="27"/>
        <v>24</v>
      </c>
      <c r="AN35" s="135">
        <f t="shared" si="28"/>
        <v>45657</v>
      </c>
      <c r="AO35" s="165"/>
      <c r="AP35" s="165"/>
      <c r="AQ35" s="132">
        <f>IF(AN35&lt;=closingdate,SUMIFS($C$41:$C$135,$B$41:$B$135,"&gt;"&amp;EOMONTH(AN35,-3),$B$41:$B$135,"&lt;="&amp;AN35),IF(AND(AO35="",AP35=""),SUMIFS($AI$16:$AI$500,$AA$16:$AA$500,$AN35),INDEX($AO35:$AP35,MATCH(Portfolio!$D$9,Fund!$AO$10:$AP$10,0))*Fund!$AI$14))</f>
        <v>0</v>
      </c>
      <c r="AR35" s="138"/>
      <c r="AS35" s="136" cm="1">
        <f t="array" ref="AS35">IF(AQ35&gt;0,SUM(IF(ROW($AR$11:AR34)&gt;=MAX(IF($AQ$11:AQ34&gt;0,ROW($AQ$11:AQ34),0)),$AR$11:AR34,0)),0)+IF(AN35=MAX($AA$17,$AA$18,$AA$19,$AA$20,$AA$21,$AA$22,$AA$23,$AA$24),SUM($C$17:$C$18),0)</f>
        <v>0</v>
      </c>
      <c r="AT35" s="136">
        <f>IFERROR(SUMIFS('Interim CFs'!$H:$H,'Interim CFs'!$B:$B,$C$4,'Interim CFs'!$E:$E,"&gt;"&amp;$AN34,'Interim CFs'!$E:$E,"&lt;="&amp;$AN35)/$C$8,0)</f>
        <v>0</v>
      </c>
      <c r="AU35" s="137"/>
      <c r="AV35" s="137"/>
      <c r="AW35" s="136">
        <f t="shared" si="4"/>
        <v>0</v>
      </c>
      <c r="AX35" s="136"/>
      <c r="AY35" s="136">
        <f>IF(AW35&lt;=0,0,IF(SUM($AW$11:AW35)&lt;0,AW35,-MIN(SUM($AW$10:AW34),0)))</f>
        <v>0</v>
      </c>
      <c r="AZ35" s="136">
        <f>SUMIF($AY$11:AY35,"&gt;0",$AY$11:AY35)</f>
        <v>0</v>
      </c>
      <c r="BA35" s="136">
        <f t="shared" si="29"/>
        <v>0</v>
      </c>
      <c r="BB35" s="132">
        <f t="shared" si="5"/>
        <v>0</v>
      </c>
      <c r="BC35" s="132">
        <f t="shared" si="1"/>
        <v>0</v>
      </c>
      <c r="BD35" s="132">
        <f t="shared" si="6"/>
        <v>0</v>
      </c>
      <c r="BE35" s="132">
        <f>-IF(BD35&lt;=0,0,MIN(BD35,$BE$9+SUM($BE$10:BE34)))</f>
        <v>0</v>
      </c>
      <c r="BF35" s="136">
        <f t="shared" si="30"/>
        <v>0</v>
      </c>
      <c r="BG35" s="136">
        <f t="shared" si="2"/>
        <v>0</v>
      </c>
      <c r="BH35" s="136"/>
      <c r="BI35" s="136" t="e">
        <f t="shared" si="3"/>
        <v>#N/A</v>
      </c>
      <c r="BJ35" s="136"/>
      <c r="BK35" s="132">
        <f t="shared" si="8"/>
        <v>0</v>
      </c>
      <c r="BL35" s="136"/>
      <c r="BM35" s="132"/>
      <c r="BN35" s="143">
        <f t="shared" si="9"/>
        <v>124.75</v>
      </c>
      <c r="BO35" s="132" t="e">
        <f>IF(AN35&lt;closingdate,0,IF(AN35=closingdate,-INDEX('Pricing Table'!$C$24:$D$24,MATCH(Fund!$C$4,'Pricing Table'!$C$5:$D$5,0)),Fund!BI35))</f>
        <v>#N/A</v>
      </c>
      <c r="BP35" s="12"/>
      <c r="BQ35" s="12"/>
    </row>
    <row r="36" spans="2:69">
      <c r="B36" s="23" t="s">
        <v>72</v>
      </c>
      <c r="C36" s="368">
        <f>SUM($AT:$AT)</f>
        <v>0</v>
      </c>
      <c r="D36" s="24" t="e">
        <f t="shared" si="23"/>
        <v>#N/A</v>
      </c>
      <c r="F36" s="51"/>
      <c r="G36" s="115"/>
      <c r="H36" s="115"/>
      <c r="I36" s="115"/>
      <c r="J36" s="115"/>
      <c r="K36" s="53"/>
      <c r="L36" s="53"/>
      <c r="M36" s="115"/>
      <c r="N36" s="117"/>
      <c r="O36" s="172"/>
      <c r="P36" s="172"/>
      <c r="Q36" s="172"/>
      <c r="R36" s="114"/>
      <c r="S36" s="114"/>
      <c r="T36" s="114"/>
      <c r="U36" s="118"/>
      <c r="V36" s="168"/>
      <c r="W36" s="167"/>
      <c r="X36" s="104"/>
      <c r="Y36" s="54"/>
      <c r="Z36" s="54"/>
      <c r="AA36" s="57"/>
      <c r="AB36" s="51"/>
      <c r="AC36" s="122"/>
      <c r="AD36" s="35"/>
      <c r="AE36" s="122"/>
      <c r="AF36" s="33"/>
      <c r="AG36" s="34"/>
      <c r="AH36" s="34"/>
      <c r="AI36" s="34"/>
      <c r="AJ36" s="34"/>
      <c r="AK36" s="34"/>
      <c r="AL36" s="12"/>
      <c r="AM36" s="58">
        <f t="shared" si="27"/>
        <v>25</v>
      </c>
      <c r="AN36" s="135">
        <f t="shared" si="28"/>
        <v>45747</v>
      </c>
      <c r="AO36" s="165"/>
      <c r="AP36" s="165"/>
      <c r="AQ36" s="132">
        <f>IF(AN36&lt;=closingdate,SUMIFS($C$41:$C$135,$B$41:$B$135,"&gt;"&amp;EOMONTH(AN36,-3),$B$41:$B$135,"&lt;="&amp;AN36),IF(AND(AO36="",AP36=""),SUMIFS($AI$16:$AI$500,$AA$16:$AA$500,$AN36),INDEX($AO36:$AP36,MATCH(Portfolio!$D$9,Fund!$AO$10:$AP$10,0))*Fund!$AI$14))</f>
        <v>0</v>
      </c>
      <c r="AR36" s="138"/>
      <c r="AS36" s="136" cm="1">
        <f t="array" ref="AS36">IF(AQ36&gt;0,SUM(IF(ROW($AR$11:AR35)&gt;=MAX(IF($AQ$11:AQ35&gt;0,ROW($AQ$11:AQ35),0)),$AR$11:AR35,0)),0)+IF(AN36=MAX($AA$17,$AA$18,$AA$19,$AA$20,$AA$21,$AA$22,$AA$23,$AA$24),SUM($C$17:$C$18),0)</f>
        <v>0</v>
      </c>
      <c r="AT36" s="136">
        <f>IFERROR(SUMIFS('Interim CFs'!$H:$H,'Interim CFs'!$B:$B,$C$4,'Interim CFs'!$E:$E,"&gt;"&amp;$AN35,'Interim CFs'!$E:$E,"&lt;="&amp;$AN36)/$C$8,0)</f>
        <v>0</v>
      </c>
      <c r="AU36" s="137"/>
      <c r="AV36" s="137"/>
      <c r="AW36" s="136">
        <f t="shared" si="4"/>
        <v>0</v>
      </c>
      <c r="AX36" s="136"/>
      <c r="AY36" s="136">
        <f>IF(AW36&lt;=0,0,IF(SUM($AW$11:AW36)&lt;0,AW36,-MIN(SUM($AW$10:AW35),0)))</f>
        <v>0</v>
      </c>
      <c r="AZ36" s="136">
        <f>SUMIF($AY$11:AY36,"&gt;0",$AY$11:AY36)</f>
        <v>0</v>
      </c>
      <c r="BA36" s="136">
        <f t="shared" si="29"/>
        <v>0</v>
      </c>
      <c r="BB36" s="132">
        <f t="shared" si="5"/>
        <v>0</v>
      </c>
      <c r="BC36" s="132">
        <f t="shared" si="1"/>
        <v>0</v>
      </c>
      <c r="BD36" s="132">
        <f t="shared" si="6"/>
        <v>0</v>
      </c>
      <c r="BE36" s="132">
        <f>-IF(BD36&lt;=0,0,MIN(BD36,$BE$9+SUM($BE$10:BE35)))</f>
        <v>0</v>
      </c>
      <c r="BF36" s="136">
        <f t="shared" si="30"/>
        <v>0</v>
      </c>
      <c r="BG36" s="136">
        <f t="shared" si="2"/>
        <v>0</v>
      </c>
      <c r="BH36" s="136"/>
      <c r="BI36" s="136" t="e">
        <f t="shared" si="3"/>
        <v>#N/A</v>
      </c>
      <c r="BJ36" s="136"/>
      <c r="BK36" s="132">
        <f t="shared" si="8"/>
        <v>0</v>
      </c>
      <c r="BL36" s="136"/>
      <c r="BM36" s="132"/>
      <c r="BN36" s="143">
        <f t="shared" si="9"/>
        <v>125</v>
      </c>
      <c r="BO36" s="132" t="e">
        <f>IF(AN36&lt;closingdate,0,IF(AN36=closingdate,-INDEX('Pricing Table'!$C$24:$D$24,MATCH(Fund!$C$4,'Pricing Table'!$C$5:$D$5,0)),Fund!BI36))</f>
        <v>#N/A</v>
      </c>
      <c r="BP36" s="12"/>
      <c r="BQ36" s="12"/>
    </row>
    <row r="37" spans="2:69">
      <c r="B37" s="23" t="s">
        <v>111</v>
      </c>
      <c r="C37" s="372"/>
      <c r="D37" s="373" t="e">
        <f>$BO$1</f>
        <v>#VALUE!</v>
      </c>
      <c r="F37" s="51"/>
      <c r="G37" s="115"/>
      <c r="H37" s="115"/>
      <c r="I37" s="115"/>
      <c r="J37" s="115"/>
      <c r="K37" s="53"/>
      <c r="L37" s="53"/>
      <c r="M37" s="115"/>
      <c r="N37" s="117"/>
      <c r="O37" s="172"/>
      <c r="P37" s="172"/>
      <c r="Q37" s="172"/>
      <c r="R37" s="114"/>
      <c r="S37" s="114"/>
      <c r="T37" s="114"/>
      <c r="U37" s="118"/>
      <c r="V37" s="168"/>
      <c r="W37" s="167"/>
      <c r="X37" s="104"/>
      <c r="Y37" s="54"/>
      <c r="Z37" s="54"/>
      <c r="AA37" s="57"/>
      <c r="AB37" s="51"/>
      <c r="AC37" s="122"/>
      <c r="AD37" s="35"/>
      <c r="AE37" s="122"/>
      <c r="AF37" s="33"/>
      <c r="AG37" s="34"/>
      <c r="AH37" s="34"/>
      <c r="AI37" s="34"/>
      <c r="AJ37" s="34"/>
      <c r="AK37" s="34"/>
      <c r="AL37" s="12"/>
      <c r="AM37" s="58">
        <f t="shared" si="27"/>
        <v>26</v>
      </c>
      <c r="AN37" s="135">
        <f t="shared" si="28"/>
        <v>45838</v>
      </c>
      <c r="AO37" s="165"/>
      <c r="AP37" s="165"/>
      <c r="AQ37" s="132">
        <f>IF(AN37&lt;=closingdate,SUMIFS($C$41:$C$135,$B$41:$B$135,"&gt;"&amp;EOMONTH(AN37,-3),$B$41:$B$135,"&lt;="&amp;AN37),IF(AND(AO37="",AP37=""),SUMIFS($AI$16:$AI$500,$AA$16:$AA$500,$AN37),INDEX($AO37:$AP37,MATCH(Portfolio!$D$9,Fund!$AO$10:$AP$10,0))*Fund!$AI$14))</f>
        <v>0</v>
      </c>
      <c r="AR37" s="138"/>
      <c r="AS37" s="136" cm="1">
        <f t="array" ref="AS37">IF(AQ37&gt;0,SUM(IF(ROW($AR$11:AR36)&gt;=MAX(IF($AQ$11:AQ36&gt;0,ROW($AQ$11:AQ36),0)),$AR$11:AR36,0)),0)+IF(AN37=MAX($AA$17,$AA$18,$AA$19,$AA$20,$AA$21,$AA$22,$AA$23,$AA$24),SUM($C$17:$C$18),0)</f>
        <v>0</v>
      </c>
      <c r="AT37" s="136">
        <f>IFERROR(SUMIFS('Interim CFs'!$H:$H,'Interim CFs'!$B:$B,$C$4,'Interim CFs'!$E:$E,"&gt;"&amp;$AN36,'Interim CFs'!$E:$E,"&lt;="&amp;$AN37)/$C$8,0)</f>
        <v>0</v>
      </c>
      <c r="AU37" s="137"/>
      <c r="AV37" s="137"/>
      <c r="AW37" s="136">
        <f t="shared" si="4"/>
        <v>0</v>
      </c>
      <c r="AX37" s="136"/>
      <c r="AY37" s="136">
        <f>IF(AW37&lt;=0,0,IF(SUM($AW$11:AW37)&lt;0,AW37,-MIN(SUM($AW$10:AW36),0)))</f>
        <v>0</v>
      </c>
      <c r="AZ37" s="136">
        <f>SUMIF($AY$11:AY37,"&gt;0",$AY$11:AY37)</f>
        <v>0</v>
      </c>
      <c r="BA37" s="136">
        <f t="shared" si="29"/>
        <v>0</v>
      </c>
      <c r="BB37" s="132">
        <f t="shared" si="5"/>
        <v>0</v>
      </c>
      <c r="BC37" s="132">
        <f t="shared" si="1"/>
        <v>0</v>
      </c>
      <c r="BD37" s="132">
        <f t="shared" si="6"/>
        <v>0</v>
      </c>
      <c r="BE37" s="132">
        <f>-IF(BD37&lt;=0,0,MIN(BD37,$BE$9+SUM($BE$10:BE36)))</f>
        <v>0</v>
      </c>
      <c r="BF37" s="136">
        <f t="shared" si="30"/>
        <v>0</v>
      </c>
      <c r="BG37" s="136">
        <f t="shared" si="2"/>
        <v>0</v>
      </c>
      <c r="BH37" s="136"/>
      <c r="BI37" s="136" t="e">
        <f t="shared" si="3"/>
        <v>#N/A</v>
      </c>
      <c r="BJ37" s="136"/>
      <c r="BK37" s="132">
        <f t="shared" si="8"/>
        <v>0</v>
      </c>
      <c r="BL37" s="136"/>
      <c r="BM37" s="132"/>
      <c r="BN37" s="143">
        <f t="shared" si="9"/>
        <v>125.25</v>
      </c>
      <c r="BO37" s="132" t="e">
        <f>IF(AN37&lt;closingdate,0,IF(AN37=closingdate,-INDEX('Pricing Table'!$C$24:$D$24,MATCH(Fund!$C$4,'Pricing Table'!$C$5:$D$5,0)),Fund!BI37))</f>
        <v>#N/A</v>
      </c>
      <c r="BP37" s="12"/>
      <c r="BQ37" s="12"/>
    </row>
    <row r="38" spans="2:69">
      <c r="B38" s="23" t="s">
        <v>112</v>
      </c>
      <c r="C38" s="372"/>
      <c r="D38" s="123" t="e">
        <f>SUMIFS($BO:$BO,$BO:$BO,"&gt;0",$AN:$AN,"&gt;"&amp;closingdate)/-SUMIFS($BO:$BO,$BO:$BO,"&lt;0",$AN:$AN,"&gt;="&amp;closingdate)</f>
        <v>#DIV/0!</v>
      </c>
      <c r="F38" s="51"/>
      <c r="G38" s="115"/>
      <c r="H38" s="115"/>
      <c r="I38" s="115"/>
      <c r="J38" s="115"/>
      <c r="K38" s="53"/>
      <c r="L38" s="53"/>
      <c r="M38" s="115"/>
      <c r="N38" s="117"/>
      <c r="O38" s="172"/>
      <c r="P38" s="172"/>
      <c r="Q38" s="172"/>
      <c r="R38" s="114"/>
      <c r="S38" s="114"/>
      <c r="T38" s="114"/>
      <c r="U38" s="118"/>
      <c r="V38" s="168"/>
      <c r="W38" s="167"/>
      <c r="X38" s="104"/>
      <c r="Y38" s="54"/>
      <c r="Z38" s="54"/>
      <c r="AA38" s="57"/>
      <c r="AB38" s="51"/>
      <c r="AC38" s="122"/>
      <c r="AD38" s="35"/>
      <c r="AE38" s="122"/>
      <c r="AF38" s="33"/>
      <c r="AG38" s="34"/>
      <c r="AH38" s="34"/>
      <c r="AI38" s="34"/>
      <c r="AJ38" s="34"/>
      <c r="AK38" s="34"/>
      <c r="AL38" s="12"/>
      <c r="AM38" s="58">
        <f t="shared" si="27"/>
        <v>27</v>
      </c>
      <c r="AN38" s="135">
        <f t="shared" si="28"/>
        <v>45930</v>
      </c>
      <c r="AO38" s="165"/>
      <c r="AP38" s="165"/>
      <c r="AQ38" s="132">
        <f>IF(AN38&lt;=closingdate,SUMIFS($C$41:$C$135,$B$41:$B$135,"&gt;"&amp;EOMONTH(AN38,-3),$B$41:$B$135,"&lt;="&amp;AN38),IF(AND(AO38="",AP38=""),SUMIFS($AI$16:$AI$500,$AA$16:$AA$500,$AN38),INDEX($AO38:$AP38,MATCH(Portfolio!$D$9,Fund!$AO$10:$AP$10,0))*Fund!$AI$14))</f>
        <v>0</v>
      </c>
      <c r="AR38" s="138"/>
      <c r="AS38" s="136" cm="1">
        <f t="array" ref="AS38">IF(AQ38&gt;0,SUM(IF(ROW($AR$11:AR37)&gt;=MAX(IF($AQ$11:AQ37&gt;0,ROW($AQ$11:AQ37),0)),$AR$11:AR37,0)),0)+IF(AN38=MAX($AA$17,$AA$18,$AA$19,$AA$20,$AA$21,$AA$22,$AA$23,$AA$24),SUM($C$17:$C$18),0)</f>
        <v>0</v>
      </c>
      <c r="AT38" s="136">
        <f>IFERROR(SUMIFS('Interim CFs'!$H:$H,'Interim CFs'!$B:$B,$C$4,'Interim CFs'!$E:$E,"&gt;"&amp;$AN37,'Interim CFs'!$E:$E,"&lt;="&amp;$AN38)/$C$8,0)</f>
        <v>0</v>
      </c>
      <c r="AU38" s="137"/>
      <c r="AV38" s="137"/>
      <c r="AW38" s="136">
        <f t="shared" si="4"/>
        <v>0</v>
      </c>
      <c r="AX38" s="136"/>
      <c r="AY38" s="136">
        <f>IF(AW38&lt;=0,0,IF(SUM($AW$11:AW38)&lt;0,AW38,-MIN(SUM($AW$10:AW37),0)))</f>
        <v>0</v>
      </c>
      <c r="AZ38" s="136">
        <f>SUMIF($AY$11:AY38,"&gt;0",$AY$11:AY38)</f>
        <v>0</v>
      </c>
      <c r="BA38" s="136">
        <f t="shared" si="29"/>
        <v>0</v>
      </c>
      <c r="BB38" s="132">
        <f t="shared" si="5"/>
        <v>0</v>
      </c>
      <c r="BC38" s="132">
        <f t="shared" si="1"/>
        <v>0</v>
      </c>
      <c r="BD38" s="132">
        <f t="shared" si="6"/>
        <v>0</v>
      </c>
      <c r="BE38" s="132">
        <f>-IF(BD38&lt;=0,0,MIN(BD38,$BE$9+SUM($BE$10:BE37)))</f>
        <v>0</v>
      </c>
      <c r="BF38" s="136">
        <f t="shared" si="30"/>
        <v>0</v>
      </c>
      <c r="BG38" s="136">
        <f t="shared" si="2"/>
        <v>0</v>
      </c>
      <c r="BH38" s="136"/>
      <c r="BI38" s="136" t="e">
        <f t="shared" si="3"/>
        <v>#N/A</v>
      </c>
      <c r="BJ38" s="136"/>
      <c r="BK38" s="132">
        <f t="shared" si="8"/>
        <v>0</v>
      </c>
      <c r="BL38" s="136"/>
      <c r="BM38" s="132"/>
      <c r="BN38" s="143">
        <f t="shared" si="9"/>
        <v>125.5</v>
      </c>
      <c r="BO38" s="132" t="e">
        <f>IF(AN38&lt;closingdate,0,IF(AN38=closingdate,-INDEX('Pricing Table'!$C$24:$D$24,MATCH(Fund!$C$4,'Pricing Table'!$C$5:$D$5,0)),Fund!BI38))</f>
        <v>#N/A</v>
      </c>
      <c r="BP38" s="12"/>
      <c r="BQ38" s="12"/>
    </row>
    <row r="39" spans="2:69">
      <c r="B39" s="25" t="s">
        <v>113</v>
      </c>
      <c r="C39" s="374"/>
      <c r="D39" s="375" t="e" cm="1">
        <f t="array" ref="D39">SUMPRODUCT(--($BO:$BO&gt;0),$BO:$BO,$BN:$BN)/SUMIFS($BO:$BO,$BO:$BO,"&gt;0",$AN:$AN,"&gt;"&amp;closingdate)</f>
        <v>#VALUE!</v>
      </c>
      <c r="F39" s="51"/>
      <c r="G39" s="115"/>
      <c r="H39" s="115"/>
      <c r="I39" s="115"/>
      <c r="J39" s="115"/>
      <c r="K39" s="53"/>
      <c r="L39" s="53"/>
      <c r="M39" s="115"/>
      <c r="N39" s="117"/>
      <c r="O39" s="172"/>
      <c r="P39" s="172"/>
      <c r="Q39" s="172"/>
      <c r="R39" s="114"/>
      <c r="S39" s="114"/>
      <c r="T39" s="114"/>
      <c r="U39" s="118"/>
      <c r="V39" s="168"/>
      <c r="W39" s="167"/>
      <c r="X39" s="104"/>
      <c r="Y39" s="54"/>
      <c r="Z39" s="54"/>
      <c r="AA39" s="57"/>
      <c r="AB39" s="51"/>
      <c r="AC39" s="122"/>
      <c r="AD39" s="35"/>
      <c r="AE39" s="122"/>
      <c r="AF39" s="33"/>
      <c r="AG39" s="34"/>
      <c r="AH39" s="34"/>
      <c r="AI39" s="34"/>
      <c r="AJ39" s="34"/>
      <c r="AK39" s="34"/>
      <c r="AL39" s="12"/>
      <c r="AM39" s="58">
        <f t="shared" si="27"/>
        <v>28</v>
      </c>
      <c r="AN39" s="135">
        <f t="shared" si="28"/>
        <v>46022</v>
      </c>
      <c r="AO39" s="124"/>
      <c r="AP39" s="124"/>
      <c r="AQ39" s="132">
        <f>IF(AN39&lt;=closingdate,SUMIFS($C$41:$C$135,$B$41:$B$135,"&gt;"&amp;EOMONTH(AN39,-3),$B$41:$B$135,"&lt;="&amp;AN39),IF(AND(AO39="",AP39=""),SUMIFS($AI$16:$AI$500,$AA$16:$AA$500,$AN39),INDEX($AO39:$AP39,MATCH(Portfolio!$D$9,Fund!$AO$10:$AP$10,0))*Fund!$AI$14))</f>
        <v>0</v>
      </c>
      <c r="AR39" s="138"/>
      <c r="AS39" s="136" cm="1">
        <f t="array" ref="AS39">IF(AQ39&gt;0,SUM(IF(ROW($AR$11:AR38)&gt;=MAX(IF($AQ$11:AQ38&gt;0,ROW($AQ$11:AQ38),0)),$AR$11:AR38,0)),0)+IF(AN39=MAX($AA$17,$AA$18,$AA$19,$AA$20,$AA$21,$AA$22,$AA$23,$AA$24),SUM($C$17:$C$18),0)</f>
        <v>0</v>
      </c>
      <c r="AT39" s="136">
        <f>IFERROR(SUMIFS('Interim CFs'!$H:$H,'Interim CFs'!$B:$B,$C$4,'Interim CFs'!$E:$E,"&gt;"&amp;$AN38,'Interim CFs'!$E:$E,"&lt;="&amp;$AN39)/$C$8,0)</f>
        <v>0</v>
      </c>
      <c r="AU39" s="137"/>
      <c r="AV39" s="137"/>
      <c r="AW39" s="136">
        <f t="shared" si="4"/>
        <v>0</v>
      </c>
      <c r="AX39" s="136"/>
      <c r="AY39" s="136">
        <f>IF(AW39&lt;=0,0,IF(SUM($AW$11:AW39)&lt;0,AW39,-MIN(SUM($AW$10:AW38),0)))</f>
        <v>0</v>
      </c>
      <c r="AZ39" s="136">
        <f>SUMIF($AY$11:AY39,"&gt;0",$AY$11:AY39)</f>
        <v>0</v>
      </c>
      <c r="BA39" s="136">
        <f t="shared" si="29"/>
        <v>0</v>
      </c>
      <c r="BB39" s="132">
        <f t="shared" si="5"/>
        <v>0</v>
      </c>
      <c r="BC39" s="132">
        <f t="shared" si="1"/>
        <v>0</v>
      </c>
      <c r="BD39" s="132">
        <f t="shared" si="6"/>
        <v>0</v>
      </c>
      <c r="BE39" s="132">
        <f>-IF(BD39&lt;=0,0,MIN(BD39,$BE$9+SUM($BE$10:BE38)))</f>
        <v>0</v>
      </c>
      <c r="BF39" s="136">
        <f t="shared" si="30"/>
        <v>0</v>
      </c>
      <c r="BG39" s="136">
        <f t="shared" si="2"/>
        <v>0</v>
      </c>
      <c r="BH39" s="136"/>
      <c r="BI39" s="136" t="e">
        <f t="shared" si="3"/>
        <v>#N/A</v>
      </c>
      <c r="BJ39" s="136"/>
      <c r="BK39" s="132">
        <f t="shared" si="8"/>
        <v>0</v>
      </c>
      <c r="BL39" s="136"/>
      <c r="BM39" s="132"/>
      <c r="BN39" s="143">
        <f t="shared" si="9"/>
        <v>125.75</v>
      </c>
      <c r="BO39" s="132" t="e">
        <f>IF(AN39&lt;closingdate,0,IF(AN39=closingdate,-INDEX('Pricing Table'!$C$24:$D$24,MATCH(Fund!$C$4,'Pricing Table'!$C$5:$D$5,0)),Fund!BI39))</f>
        <v>#N/A</v>
      </c>
      <c r="BP39" s="12"/>
      <c r="BQ39" s="12"/>
    </row>
    <row r="40" spans="2:69">
      <c r="B40" s="509" t="s">
        <v>326</v>
      </c>
      <c r="D40" s="627" t="s">
        <v>361</v>
      </c>
      <c r="AL40" s="12"/>
      <c r="AM40" s="58">
        <f t="shared" si="27"/>
        <v>29</v>
      </c>
      <c r="AN40" s="135">
        <f t="shared" si="28"/>
        <v>46112</v>
      </c>
      <c r="AO40" s="124"/>
      <c r="AP40" s="124"/>
      <c r="AQ40" s="132">
        <f>IF(AN40&lt;=closingdate,SUMIFS($C$41:$C$135,$B$41:$B$135,"&gt;"&amp;EOMONTH(AN40,-3),$B$41:$B$135,"&lt;="&amp;AN40),IF(AND(AO40="",AP40=""),SUMIFS($AI$16:$AI$500,$AA$16:$AA$500,$AN40),INDEX($AO40:$AP40,MATCH(Portfolio!$D$9,Fund!$AO$10:$AP$10,0))*Fund!$AI$14))</f>
        <v>0</v>
      </c>
      <c r="AR40" s="138"/>
      <c r="AS40" s="136" cm="1">
        <f t="array" ref="AS40">IF(AQ40&gt;0,SUM(IF(ROW($AR$11:AR39)&gt;=MAX(IF($AQ$11:AQ39&gt;0,ROW($AQ$11:AQ39),0)),$AR$11:AR39,0)),0)+IF(AN40=MAX($AA$17,$AA$18,$AA$19,$AA$20,$AA$21,$AA$22,$AA$23,$AA$24),SUM($C$17:$C$18),0)</f>
        <v>0</v>
      </c>
      <c r="AT40" s="136">
        <f>IFERROR(SUMIFS('Interim CFs'!$H:$H,'Interim CFs'!$B:$B,$C$4,'Interim CFs'!$E:$E,"&gt;"&amp;$AN39,'Interim CFs'!$E:$E,"&lt;="&amp;$AN40)/$C$8,0)</f>
        <v>0</v>
      </c>
      <c r="AU40" s="137"/>
      <c r="AV40" s="137"/>
      <c r="AW40" s="136">
        <f t="shared" si="4"/>
        <v>0</v>
      </c>
      <c r="AX40" s="136"/>
      <c r="AY40" s="136">
        <f>IF(AW40&lt;=0,0,IF(SUM($AW$11:AW40)&lt;0,AW40,-MIN(SUM($AW$10:AW39),0)))</f>
        <v>0</v>
      </c>
      <c r="AZ40" s="136">
        <f>SUMIF($AY$11:AY40,"&gt;0",$AY$11:AY40)</f>
        <v>0</v>
      </c>
      <c r="BA40" s="136">
        <f t="shared" si="29"/>
        <v>0</v>
      </c>
      <c r="BB40" s="132">
        <f t="shared" si="5"/>
        <v>0</v>
      </c>
      <c r="BC40" s="132">
        <f t="shared" si="1"/>
        <v>0</v>
      </c>
      <c r="BD40" s="132">
        <f t="shared" si="6"/>
        <v>0</v>
      </c>
      <c r="BE40" s="132">
        <f>-IF(BD40&lt;=0,0,MIN(BD40,$BE$9+SUM($BE$10:BE39)))</f>
        <v>0</v>
      </c>
      <c r="BF40" s="136">
        <f t="shared" si="30"/>
        <v>0</v>
      </c>
      <c r="BG40" s="136">
        <f t="shared" si="2"/>
        <v>0</v>
      </c>
      <c r="BH40" s="136"/>
      <c r="BI40" s="136" t="e">
        <f t="shared" si="3"/>
        <v>#N/A</v>
      </c>
      <c r="BJ40" s="136"/>
      <c r="BK40" s="132">
        <f t="shared" si="8"/>
        <v>0</v>
      </c>
      <c r="BL40" s="136"/>
      <c r="BM40" s="132"/>
      <c r="BN40" s="143">
        <f t="shared" si="9"/>
        <v>126</v>
      </c>
      <c r="BO40" s="132" t="e">
        <f>IF(AN40&lt;closingdate,0,IF(AN40=closingdate,-INDEX('Pricing Table'!$C$24:$D$24,MATCH(Fund!$C$4,'Pricing Table'!$C$5:$D$5,0)),Fund!BI40))</f>
        <v>#N/A</v>
      </c>
      <c r="BP40" s="12"/>
    </row>
    <row r="41" spans="2:69">
      <c r="B41" s="2" t="s">
        <v>114</v>
      </c>
      <c r="C41" s="10" t="s">
        <v>115</v>
      </c>
      <c r="D41" s="628" t="e">
        <f>-C35/SUMIFS($BA:$BA,$BA:$BA,"&gt;0")</f>
        <v>#DIV/0!</v>
      </c>
      <c r="AL41" s="12"/>
      <c r="AM41" s="58">
        <f t="shared" si="27"/>
        <v>30</v>
      </c>
      <c r="AN41" s="135">
        <f t="shared" si="28"/>
        <v>46203</v>
      </c>
      <c r="AO41" s="124"/>
      <c r="AP41" s="124"/>
      <c r="AQ41" s="132">
        <f>IF(AN41&lt;=closingdate,SUMIFS($C$41:$C$135,$B$41:$B$135,"&gt;"&amp;EOMONTH(AN41,-3),$B$41:$B$135,"&lt;="&amp;AN41),IF(AND(AO41="",AP41=""),SUMIFS($AI$16:$AI$500,$AA$16:$AA$500,$AN41),INDEX($AO41:$AP41,MATCH(Portfolio!$D$9,Fund!$AO$10:$AP$10,0))*Fund!$AI$14))</f>
        <v>0</v>
      </c>
      <c r="AR41" s="138"/>
      <c r="AS41" s="136" cm="1">
        <f t="array" ref="AS41">IF(AQ41&gt;0,SUM(IF(ROW($AR$11:AR40)&gt;=MAX(IF($AQ$11:AQ40&gt;0,ROW($AQ$11:AQ40),0)),$AR$11:AR40,0)),0)+IF(AN41=MAX($AA$17,$AA$18,$AA$19,$AA$20,$AA$21,$AA$22,$AA$23,$AA$24),SUM($C$17:$C$18),0)</f>
        <v>0</v>
      </c>
      <c r="AT41" s="136">
        <f>IFERROR(SUMIFS('Interim CFs'!$H:$H,'Interim CFs'!$B:$B,$C$4,'Interim CFs'!$E:$E,"&gt;"&amp;$AN40,'Interim CFs'!$E:$E,"&lt;="&amp;$AN41)/$C$8,0)</f>
        <v>0</v>
      </c>
      <c r="AU41" s="137"/>
      <c r="AV41" s="137"/>
      <c r="AW41" s="136">
        <f t="shared" si="4"/>
        <v>0</v>
      </c>
      <c r="AX41" s="136"/>
      <c r="AY41" s="136">
        <f>IF(AW41&lt;=0,0,IF(SUM($AW$11:AW41)&lt;0,AW41,-MIN(SUM($AW$10:AW40),0)))</f>
        <v>0</v>
      </c>
      <c r="AZ41" s="136">
        <f>SUMIF($AY$11:AY41,"&gt;0",$AY$11:AY41)</f>
        <v>0</v>
      </c>
      <c r="BA41" s="136">
        <f t="shared" si="29"/>
        <v>0</v>
      </c>
      <c r="BB41" s="132">
        <f t="shared" si="5"/>
        <v>0</v>
      </c>
      <c r="BC41" s="132">
        <f t="shared" si="1"/>
        <v>0</v>
      </c>
      <c r="BD41" s="132">
        <f t="shared" si="6"/>
        <v>0</v>
      </c>
      <c r="BE41" s="132">
        <f>-IF(BD41&lt;=0,0,MIN(BD41,$BE$9+SUM($BE$10:BE40)))</f>
        <v>0</v>
      </c>
      <c r="BF41" s="136">
        <f t="shared" si="30"/>
        <v>0</v>
      </c>
      <c r="BG41" s="136">
        <f t="shared" si="2"/>
        <v>0</v>
      </c>
      <c r="BH41" s="136"/>
      <c r="BI41" s="136" t="e">
        <f t="shared" si="3"/>
        <v>#N/A</v>
      </c>
      <c r="BJ41" s="136"/>
      <c r="BK41" s="132">
        <f t="shared" si="8"/>
        <v>0</v>
      </c>
      <c r="BL41" s="136"/>
      <c r="BM41" s="132"/>
      <c r="BN41" s="143">
        <f t="shared" si="9"/>
        <v>126.25</v>
      </c>
      <c r="BO41" s="132" t="e">
        <f>IF(AN41&lt;closingdate,0,IF(AN41=closingdate,-INDEX('Pricing Table'!$C$24:$D$24,MATCH(Fund!$C$4,'Pricing Table'!$C$5:$D$5,0)),Fund!BI41))</f>
        <v>#N/A</v>
      </c>
      <c r="BP41" s="12"/>
    </row>
    <row r="42" spans="2:69">
      <c r="AM42" s="58">
        <f t="shared" si="27"/>
        <v>31</v>
      </c>
      <c r="AN42" s="135">
        <f t="shared" si="28"/>
        <v>46295</v>
      </c>
      <c r="AO42" s="124"/>
      <c r="AP42" s="124"/>
      <c r="AQ42" s="132">
        <f>IF(AN42&lt;=closingdate,SUMIFS($C$41:$C$135,$B$41:$B$135,"&gt;"&amp;EOMONTH(AN42,-3),$B$41:$B$135,"&lt;="&amp;AN42),IF(AND(AO42="",AP42=""),SUMIFS($AI$16:$AI$500,$AA$16:$AA$500,$AN42),INDEX($AO42:$AP42,MATCH(Portfolio!$D$9,Fund!$AO$10:$AP$10,0))*Fund!$AI$14))</f>
        <v>0</v>
      </c>
      <c r="AR42" s="138"/>
      <c r="AS42" s="136" cm="1">
        <f t="array" ref="AS42">IF(AQ42&gt;0,SUM(IF(ROW($AR$11:AR41)&gt;=MAX(IF($AQ$11:AQ41&gt;0,ROW($AQ$11:AQ41),0)),$AR$11:AR41,0)),0)+IF(AN42=MAX($AA$17,$AA$18,$AA$19,$AA$20,$AA$21,$AA$22,$AA$23,$AA$24),SUM($C$17:$C$18),0)</f>
        <v>0</v>
      </c>
      <c r="AT42" s="136">
        <f>IFERROR(SUMIFS('Interim CFs'!$H:$H,'Interim CFs'!$B:$B,$C$4,'Interim CFs'!$E:$E,"&gt;"&amp;$AN41,'Interim CFs'!$E:$E,"&lt;="&amp;$AN42)/$C$8,0)</f>
        <v>0</v>
      </c>
      <c r="AU42" s="137"/>
      <c r="AV42" s="137"/>
      <c r="AW42" s="136">
        <f t="shared" si="4"/>
        <v>0</v>
      </c>
      <c r="AX42" s="136"/>
      <c r="AY42" s="136">
        <f>IF(AW42&lt;=0,0,IF(SUM($AW$11:AW42)&lt;0,AW42,-MIN(SUM($AW$10:AW41),0)))</f>
        <v>0</v>
      </c>
      <c r="AZ42" s="136">
        <f>SUMIF($AY$11:AY42,"&gt;0",$AY$11:AY42)</f>
        <v>0</v>
      </c>
      <c r="BA42" s="136">
        <f t="shared" si="29"/>
        <v>0</v>
      </c>
      <c r="BB42" s="132">
        <f t="shared" si="5"/>
        <v>0</v>
      </c>
      <c r="BC42" s="132">
        <f t="shared" si="1"/>
        <v>0</v>
      </c>
      <c r="BD42" s="132">
        <f t="shared" si="6"/>
        <v>0</v>
      </c>
      <c r="BE42" s="132">
        <f>-IF(BD42&lt;=0,0,MIN(BD42,$BE$9+SUM($BE$10:BE41)))</f>
        <v>0</v>
      </c>
      <c r="BF42" s="136">
        <f t="shared" si="30"/>
        <v>0</v>
      </c>
      <c r="BG42" s="136">
        <f t="shared" si="2"/>
        <v>0</v>
      </c>
      <c r="BH42" s="136"/>
      <c r="BI42" s="136" t="e">
        <f t="shared" si="3"/>
        <v>#N/A</v>
      </c>
      <c r="BJ42" s="136"/>
      <c r="BK42" s="132">
        <f t="shared" si="8"/>
        <v>0</v>
      </c>
      <c r="BL42" s="136"/>
      <c r="BM42" s="132"/>
      <c r="BN42" s="143">
        <f t="shared" si="9"/>
        <v>126.5</v>
      </c>
      <c r="BO42" s="132" t="e">
        <f>IF(AN42&lt;closingdate,0,IF(AN42=closingdate,-INDEX('Pricing Table'!$C$24:$D$24,MATCH(Fund!$C$4,'Pricing Table'!$C$5:$D$5,0)),Fund!BI42))</f>
        <v>#N/A</v>
      </c>
      <c r="BP42" s="12"/>
    </row>
    <row r="43" spans="2:69">
      <c r="B43" s="47"/>
      <c r="C43" s="48"/>
      <c r="AM43" s="58">
        <f t="shared" si="27"/>
        <v>32</v>
      </c>
      <c r="AN43" s="135">
        <f t="shared" si="28"/>
        <v>46387</v>
      </c>
      <c r="AO43" s="124"/>
      <c r="AP43" s="124"/>
      <c r="AQ43" s="132">
        <f>IF(AN43&lt;=closingdate,SUMIFS($C$41:$C$135,$B$41:$B$135,"&gt;"&amp;EOMONTH(AN43,-3),$B$41:$B$135,"&lt;="&amp;AN43),IF(AND(AO43="",AP43=""),SUMIFS($AI$16:$AI$500,$AA$16:$AA$500,$AN43),INDEX($AO43:$AP43,MATCH(Portfolio!$D$9,Fund!$AO$10:$AP$10,0))*Fund!$AI$14))</f>
        <v>0</v>
      </c>
      <c r="AR43" s="138"/>
      <c r="AS43" s="136" cm="1">
        <f t="array" ref="AS43">IF(AQ43&gt;0,SUM(IF(ROW($AR$11:AR42)&gt;=MAX(IF($AQ$11:AQ42&gt;0,ROW($AQ$11:AQ42),0)),$AR$11:AR42,0)),0)+IF(AN43=MAX($AA$17,$AA$18,$AA$19,$AA$20,$AA$21,$AA$22,$AA$23,$AA$24),SUM($C$17:$C$18),0)</f>
        <v>0</v>
      </c>
      <c r="AT43" s="136">
        <f>IFERROR(SUMIFS('Interim CFs'!$H:$H,'Interim CFs'!$B:$B,$C$4,'Interim CFs'!$E:$E,"&gt;"&amp;$AN42,'Interim CFs'!$E:$E,"&lt;="&amp;$AN43)/$C$8,0)</f>
        <v>0</v>
      </c>
      <c r="AU43" s="137"/>
      <c r="AV43" s="137"/>
      <c r="AW43" s="136">
        <f t="shared" ref="AW43:AW74" si="31">SUM(AQ43:AV43)</f>
        <v>0</v>
      </c>
      <c r="AX43" s="136"/>
      <c r="AY43" s="136">
        <f>IF(AW43&lt;=0,0,IF(SUM($AW$11:AW43)&lt;0,AW43,-MIN(SUM($AW$10:AW42),0)))</f>
        <v>0</v>
      </c>
      <c r="AZ43" s="136">
        <f>SUMIF($AY$11:AY43,"&gt;0",$AY$11:AY43)</f>
        <v>0</v>
      </c>
      <c r="BA43" s="136">
        <f t="shared" si="29"/>
        <v>0</v>
      </c>
      <c r="BB43" s="132">
        <f t="shared" si="5"/>
        <v>0</v>
      </c>
      <c r="BC43" s="132">
        <f t="shared" ref="BC43:BC74" si="32">IF(AW43&lt;=0,0,IF(AND(BB42&gt;0,BB43&gt;0),0,MIN(BA43,-(BB42+AY43))))</f>
        <v>0</v>
      </c>
      <c r="BD43" s="132">
        <f t="shared" si="6"/>
        <v>0</v>
      </c>
      <c r="BE43" s="132">
        <f>-IF(BD43&lt;=0,0,MIN(BD43,$BE$9+SUM($BE$10:BE42)))</f>
        <v>0</v>
      </c>
      <c r="BF43" s="136">
        <f t="shared" si="30"/>
        <v>0</v>
      </c>
      <c r="BG43" s="136">
        <f t="shared" ref="BG43:BG74" si="33">IF(AZ43&lt;$AY$9,0,IF($C$26=0,IF(BA43&lt;=0,0,-$C$27*BA43),IF(BF43&lt;=0,0,-$C$27*BF43)))</f>
        <v>0</v>
      </c>
      <c r="BH43" s="136"/>
      <c r="BI43" s="136" t="e">
        <f t="shared" ref="BI43:BI75" si="34">(AW43+BE43+BG43)*$C$8</f>
        <v>#N/A</v>
      </c>
      <c r="BJ43" s="136"/>
      <c r="BK43" s="132">
        <f t="shared" si="8"/>
        <v>0</v>
      </c>
      <c r="BL43" s="136"/>
      <c r="BM43" s="132"/>
      <c r="BN43" s="143">
        <f t="shared" ref="BN43:BN75" si="35">IF(AN43&lt;closingdate,0,FLOOR(((YEAR(AN43)*12+MONTH(AN43))-(YEAR(closingdate)*12+MONTH(closingdate)))/3,1))/4</f>
        <v>126.75</v>
      </c>
      <c r="BO43" s="132" t="e">
        <f>IF(AN43&lt;closingdate,0,IF(AN43=closingdate,-INDEX('Pricing Table'!$C$24:$D$24,MATCH(Fund!$C$4,'Pricing Table'!$C$5:$D$5,0)),Fund!BI43))</f>
        <v>#N/A</v>
      </c>
      <c r="BP43" s="12"/>
    </row>
    <row r="44" spans="2:69">
      <c r="B44" s="47"/>
      <c r="C44" s="48"/>
      <c r="AM44" s="58">
        <f t="shared" si="27"/>
        <v>33</v>
      </c>
      <c r="AN44" s="135">
        <f t="shared" si="28"/>
        <v>46477</v>
      </c>
      <c r="AO44" s="124"/>
      <c r="AP44" s="124"/>
      <c r="AQ44" s="132">
        <f>IF(AN44&lt;=closingdate,SUMIFS($C$41:$C$135,$B$41:$B$135,"&gt;"&amp;EOMONTH(AN44,-3),$B$41:$B$135,"&lt;="&amp;AN44),IF(AND(AO44="",AP44=""),SUMIFS($AI$16:$AI$500,$AA$16:$AA$500,$AN44),INDEX($AO44:$AP44,MATCH(Portfolio!$D$9,Fund!$AO$10:$AP$10,0))*Fund!$AI$14))</f>
        <v>0</v>
      </c>
      <c r="AR44" s="138"/>
      <c r="AS44" s="136" cm="1">
        <f t="array" ref="AS44">IF(AQ44&gt;0,SUM(IF(ROW($AR$11:AR43)&gt;=MAX(IF($AQ$11:AQ43&gt;0,ROW($AQ$11:AQ43),0)),$AR$11:AR43,0)),0)+IF(AN44=MAX($AA$17,$AA$18,$AA$19,$AA$20,$AA$21,$AA$22,$AA$23,$AA$24),SUM($C$17:$C$18),0)</f>
        <v>0</v>
      </c>
      <c r="AT44" s="136">
        <f>IFERROR(SUMIFS('Interim CFs'!$H:$H,'Interim CFs'!$B:$B,$C$4,'Interim CFs'!$E:$E,"&gt;"&amp;$AN43,'Interim CFs'!$E:$E,"&lt;="&amp;$AN44)/$C$8,0)</f>
        <v>0</v>
      </c>
      <c r="AU44" s="137"/>
      <c r="AV44" s="137"/>
      <c r="AW44" s="136">
        <f t="shared" si="31"/>
        <v>0</v>
      </c>
      <c r="AX44" s="136"/>
      <c r="AY44" s="136">
        <f>IF(AW44&lt;=0,0,IF(SUM($AW$11:AW44)&lt;0,AW44,-MIN(SUM($AW$10:AW43),0)))</f>
        <v>0</v>
      </c>
      <c r="AZ44" s="136">
        <f>SUMIF($AY$11:AY44,"&gt;0",$AY$11:AY44)</f>
        <v>0</v>
      </c>
      <c r="BA44" s="136">
        <f t="shared" si="29"/>
        <v>0</v>
      </c>
      <c r="BB44" s="132">
        <f t="shared" ref="BB44:BB75" si="36">AW44*(1+((1+$C$26)^0.25-1))+BB43*(1+((1+$C$26)^0.25-1))</f>
        <v>0</v>
      </c>
      <c r="BC44" s="132">
        <f t="shared" si="32"/>
        <v>0</v>
      </c>
      <c r="BD44" s="132">
        <f t="shared" si="6"/>
        <v>0</v>
      </c>
      <c r="BE44" s="132">
        <f>-IF(BD44&lt;=0,0,MIN(BD44,$BE$9+SUM($BE$10:BE43)))</f>
        <v>0</v>
      </c>
      <c r="BF44" s="136">
        <f t="shared" si="30"/>
        <v>0</v>
      </c>
      <c r="BG44" s="136">
        <f t="shared" si="33"/>
        <v>0</v>
      </c>
      <c r="BH44" s="136"/>
      <c r="BI44" s="136" t="e">
        <f t="shared" si="34"/>
        <v>#N/A</v>
      </c>
      <c r="BJ44" s="136"/>
      <c r="BK44" s="132">
        <f t="shared" si="8"/>
        <v>0</v>
      </c>
      <c r="BL44" s="136"/>
      <c r="BM44" s="132"/>
      <c r="BN44" s="143">
        <f t="shared" si="35"/>
        <v>127</v>
      </c>
      <c r="BO44" s="132" t="e">
        <f>IF(AN44&lt;closingdate,0,IF(AN44=closingdate,-INDEX('Pricing Table'!$C$24:$D$24,MATCH(Fund!$C$4,'Pricing Table'!$C$5:$D$5,0)),Fund!BI44))</f>
        <v>#N/A</v>
      </c>
      <c r="BP44" s="12"/>
    </row>
    <row r="45" spans="2:69">
      <c r="B45" s="47"/>
      <c r="C45" s="48"/>
      <c r="AM45" s="58">
        <f t="shared" si="27"/>
        <v>34</v>
      </c>
      <c r="AN45" s="135">
        <f t="shared" si="28"/>
        <v>46568</v>
      </c>
      <c r="AO45" s="124"/>
      <c r="AP45" s="124"/>
      <c r="AQ45" s="132">
        <f>IF(AN45&lt;=closingdate,SUMIFS($C$41:$C$135,$B$41:$B$135,"&gt;"&amp;EOMONTH(AN45,-3),$B$41:$B$135,"&lt;="&amp;AN45),IF(AND(AO45="",AP45=""),SUMIFS($AI$16:$AI$500,$AA$16:$AA$500,$AN45),INDEX($AO45:$AP45,MATCH(Portfolio!$D$9,Fund!$AO$10:$AP$10,0))*Fund!$AI$14))</f>
        <v>0</v>
      </c>
      <c r="AR45" s="138"/>
      <c r="AS45" s="136" cm="1">
        <f t="array" ref="AS45">IF(AQ45&gt;0,SUM(IF(ROW($AR$11:AR44)&gt;=MAX(IF($AQ$11:AQ44&gt;0,ROW($AQ$11:AQ44),0)),$AR$11:AR44,0)),0)+IF(AN45=MAX($AA$17,$AA$18,$AA$19,$AA$20,$AA$21,$AA$22,$AA$23,$AA$24),SUM($C$17:$C$18),0)</f>
        <v>0</v>
      </c>
      <c r="AT45" s="136">
        <f>IFERROR(SUMIFS('Interim CFs'!$H:$H,'Interim CFs'!$B:$B,$C$4,'Interim CFs'!$E:$E,"&gt;"&amp;$AN44,'Interim CFs'!$E:$E,"&lt;="&amp;$AN45)/$C$8,0)</f>
        <v>0</v>
      </c>
      <c r="AU45" s="137"/>
      <c r="AV45" s="137"/>
      <c r="AW45" s="136">
        <f t="shared" si="31"/>
        <v>0</v>
      </c>
      <c r="AX45" s="136"/>
      <c r="AY45" s="136">
        <f>IF(AW45&lt;=0,0,IF(SUM($AW$11:AW45)&lt;0,AW45,-MIN(SUM($AW$10:AW44),0)))</f>
        <v>0</v>
      </c>
      <c r="AZ45" s="136">
        <f>SUMIF($AY$11:AY45,"&gt;0",$AY$11:AY45)</f>
        <v>0</v>
      </c>
      <c r="BA45" s="136">
        <f t="shared" si="29"/>
        <v>0</v>
      </c>
      <c r="BB45" s="132">
        <f t="shared" si="36"/>
        <v>0</v>
      </c>
      <c r="BC45" s="132">
        <f t="shared" si="32"/>
        <v>0</v>
      </c>
      <c r="BD45" s="132">
        <f t="shared" si="6"/>
        <v>0</v>
      </c>
      <c r="BE45" s="132">
        <f>-IF(BD45&lt;=0,0,MIN(BD45,$BE$9+SUM($BE$10:BE44)))</f>
        <v>0</v>
      </c>
      <c r="BF45" s="136">
        <f t="shared" si="30"/>
        <v>0</v>
      </c>
      <c r="BG45" s="136">
        <f t="shared" si="33"/>
        <v>0</v>
      </c>
      <c r="BH45" s="136"/>
      <c r="BI45" s="136" t="e">
        <f t="shared" si="34"/>
        <v>#N/A</v>
      </c>
      <c r="BJ45" s="136"/>
      <c r="BK45" s="132">
        <f t="shared" si="8"/>
        <v>0</v>
      </c>
      <c r="BL45" s="136"/>
      <c r="BM45" s="132"/>
      <c r="BN45" s="143">
        <f t="shared" si="35"/>
        <v>127.25</v>
      </c>
      <c r="BO45" s="132" t="e">
        <f>IF(AN45&lt;closingdate,0,IF(AN45=closingdate,-INDEX('Pricing Table'!$C$24:$D$24,MATCH(Fund!$C$4,'Pricing Table'!$C$5:$D$5,0)),Fund!BI45))</f>
        <v>#N/A</v>
      </c>
      <c r="BP45" s="12"/>
    </row>
    <row r="46" spans="2:69">
      <c r="B46" s="47"/>
      <c r="C46" s="48"/>
      <c r="AM46" s="58">
        <f t="shared" si="27"/>
        <v>35</v>
      </c>
      <c r="AN46" s="135">
        <f t="shared" si="28"/>
        <v>46660</v>
      </c>
      <c r="AO46" s="124"/>
      <c r="AP46" s="124"/>
      <c r="AQ46" s="132">
        <f>IF(AN46&lt;=closingdate,SUMIFS($C$41:$C$135,$B$41:$B$135,"&gt;"&amp;EOMONTH(AN46,-3),$B$41:$B$135,"&lt;="&amp;AN46),IF(AND(AO46="",AP46=""),SUMIFS($AI$16:$AI$500,$AA$16:$AA$500,$AN46),INDEX($AO46:$AP46,MATCH(Portfolio!$D$9,Fund!$AO$10:$AP$10,0))*Fund!$AI$14))</f>
        <v>0</v>
      </c>
      <c r="AR46" s="138"/>
      <c r="AS46" s="136" cm="1">
        <f t="array" ref="AS46">IF(AQ46&gt;0,SUM(IF(ROW($AR$11:AR45)&gt;=MAX(IF($AQ$11:AQ45&gt;0,ROW($AQ$11:AQ45),0)),$AR$11:AR45,0)),0)+IF(AN46=MAX($AA$17,$AA$18,$AA$19,$AA$20,$AA$21,$AA$22,$AA$23,$AA$24),SUM($C$17:$C$18),0)</f>
        <v>0</v>
      </c>
      <c r="AT46" s="136">
        <f>IFERROR(SUMIFS('Interim CFs'!$H:$H,'Interim CFs'!$B:$B,$C$4,'Interim CFs'!$E:$E,"&gt;"&amp;$AN45,'Interim CFs'!$E:$E,"&lt;="&amp;$AN46)/$C$8,0)</f>
        <v>0</v>
      </c>
      <c r="AU46" s="137"/>
      <c r="AV46" s="137"/>
      <c r="AW46" s="136">
        <f t="shared" si="31"/>
        <v>0</v>
      </c>
      <c r="AX46" s="136"/>
      <c r="AY46" s="136">
        <f>IF(AW46&lt;=0,0,IF(SUM($AW$11:AW46)&lt;0,AW46,-MIN(SUM($AW$10:AW45),0)))</f>
        <v>0</v>
      </c>
      <c r="AZ46" s="136">
        <f>SUMIF($AY$11:AY46,"&gt;0",$AY$11:AY46)</f>
        <v>0</v>
      </c>
      <c r="BA46" s="136">
        <f t="shared" si="29"/>
        <v>0</v>
      </c>
      <c r="BB46" s="132">
        <f t="shared" si="36"/>
        <v>0</v>
      </c>
      <c r="BC46" s="132">
        <f t="shared" si="32"/>
        <v>0</v>
      </c>
      <c r="BD46" s="132">
        <f t="shared" si="6"/>
        <v>0</v>
      </c>
      <c r="BE46" s="132">
        <f>-IF(BD46&lt;=0,0,MIN(BD46,$BE$9+SUM($BE$10:BE45)))</f>
        <v>0</v>
      </c>
      <c r="BF46" s="136">
        <f t="shared" si="30"/>
        <v>0</v>
      </c>
      <c r="BG46" s="136">
        <f t="shared" si="33"/>
        <v>0</v>
      </c>
      <c r="BH46" s="136"/>
      <c r="BI46" s="136" t="e">
        <f t="shared" si="34"/>
        <v>#N/A</v>
      </c>
      <c r="BJ46" s="136"/>
      <c r="BK46" s="132">
        <f t="shared" si="8"/>
        <v>0</v>
      </c>
      <c r="BL46" s="136"/>
      <c r="BM46" s="132"/>
      <c r="BN46" s="143">
        <f t="shared" si="35"/>
        <v>127.5</v>
      </c>
      <c r="BO46" s="132" t="e">
        <f>IF(AN46&lt;closingdate,0,IF(AN46=closingdate,-INDEX('Pricing Table'!$C$24:$D$24,MATCH(Fund!$C$4,'Pricing Table'!$C$5:$D$5,0)),Fund!BI46))</f>
        <v>#N/A</v>
      </c>
    </row>
    <row r="47" spans="2:69">
      <c r="B47" s="47"/>
      <c r="C47" s="48"/>
      <c r="AM47" s="58">
        <f t="shared" si="27"/>
        <v>36</v>
      </c>
      <c r="AN47" s="135">
        <f t="shared" si="28"/>
        <v>46752</v>
      </c>
      <c r="AO47" s="124"/>
      <c r="AP47" s="124"/>
      <c r="AQ47" s="132">
        <f>IF(AN47&lt;=closingdate,SUMIFS($C$41:$C$135,$B$41:$B$135,"&gt;"&amp;EOMONTH(AN47,-3),$B$41:$B$135,"&lt;="&amp;AN47),IF(AND(AO47="",AP47=""),SUMIFS($AI$16:$AI$500,$AA$16:$AA$500,$AN47),INDEX($AO47:$AP47,MATCH(Portfolio!$D$9,Fund!$AO$10:$AP$10,0))*Fund!$AI$14))</f>
        <v>0</v>
      </c>
      <c r="AR47" s="138"/>
      <c r="AS47" s="136" cm="1">
        <f t="array" ref="AS47">IF(AQ47&gt;0,SUM(IF(ROW($AR$11:AR46)&gt;=MAX(IF($AQ$11:AQ46&gt;0,ROW($AQ$11:AQ46),0)),$AR$11:AR46,0)),0)+IF(AN47=MAX($AA$17,$AA$18,$AA$19,$AA$20,$AA$21,$AA$22,$AA$23,$AA$24),SUM($C$17:$C$18),0)</f>
        <v>0</v>
      </c>
      <c r="AT47" s="136">
        <f>IFERROR(SUMIFS('Interim CFs'!$H:$H,'Interim CFs'!$B:$B,$C$4,'Interim CFs'!$E:$E,"&gt;"&amp;$AN46,'Interim CFs'!$E:$E,"&lt;="&amp;$AN47)/$C$8,0)</f>
        <v>0</v>
      </c>
      <c r="AU47" s="137"/>
      <c r="AV47" s="137"/>
      <c r="AW47" s="136">
        <f t="shared" si="31"/>
        <v>0</v>
      </c>
      <c r="AX47" s="136"/>
      <c r="AY47" s="136">
        <f>IF(AW47&lt;=0,0,IF(SUM($AW$11:AW47)&lt;0,AW47,-MIN(SUM($AW$10:AW46),0)))</f>
        <v>0</v>
      </c>
      <c r="AZ47" s="136">
        <f>SUMIF($AY$11:AY47,"&gt;0",$AY$11:AY47)</f>
        <v>0</v>
      </c>
      <c r="BA47" s="136">
        <f t="shared" si="29"/>
        <v>0</v>
      </c>
      <c r="BB47" s="132">
        <f t="shared" si="36"/>
        <v>0</v>
      </c>
      <c r="BC47" s="132">
        <f t="shared" si="32"/>
        <v>0</v>
      </c>
      <c r="BD47" s="132">
        <f t="shared" si="6"/>
        <v>0</v>
      </c>
      <c r="BE47" s="132">
        <f>-IF(BD47&lt;=0,0,MIN(BD47,$BE$9+SUM($BE$10:BE46)))</f>
        <v>0</v>
      </c>
      <c r="BF47" s="136">
        <f t="shared" si="30"/>
        <v>0</v>
      </c>
      <c r="BG47" s="136">
        <f t="shared" si="33"/>
        <v>0</v>
      </c>
      <c r="BH47" s="136"/>
      <c r="BI47" s="136" t="e">
        <f t="shared" si="34"/>
        <v>#N/A</v>
      </c>
      <c r="BJ47" s="136"/>
      <c r="BK47" s="132">
        <f t="shared" si="8"/>
        <v>0</v>
      </c>
      <c r="BL47" s="136"/>
      <c r="BM47" s="132"/>
      <c r="BN47" s="143">
        <f t="shared" si="35"/>
        <v>127.75</v>
      </c>
      <c r="BO47" s="132" t="e">
        <f>IF(AN47&lt;closingdate,0,IF(AN47=closingdate,-INDEX('Pricing Table'!$C$24:$D$24,MATCH(Fund!$C$4,'Pricing Table'!$C$5:$D$5,0)),Fund!BI47))</f>
        <v>#N/A</v>
      </c>
    </row>
    <row r="48" spans="2:69">
      <c r="B48" s="47"/>
      <c r="C48" s="48"/>
      <c r="AM48" s="58">
        <f t="shared" si="27"/>
        <v>37</v>
      </c>
      <c r="AN48" s="135">
        <f t="shared" si="28"/>
        <v>46843</v>
      </c>
      <c r="AO48" s="124"/>
      <c r="AP48" s="124"/>
      <c r="AQ48" s="132">
        <f>IF(AN48&lt;=closingdate,SUMIFS($C$41:$C$135,$B$41:$B$135,"&gt;"&amp;EOMONTH(AN48,-3),$B$41:$B$135,"&lt;="&amp;AN48),IF(AND(AO48="",AP48=""),SUMIFS($AI$16:$AI$500,$AA$16:$AA$500,$AN48),INDEX($AO48:$AP48,MATCH(Portfolio!$D$9,Fund!$AO$10:$AP$10,0))*Fund!$AI$14))</f>
        <v>0</v>
      </c>
      <c r="AR48" s="138"/>
      <c r="AS48" s="136" cm="1">
        <f t="array" ref="AS48">IF(AQ48&gt;0,SUM(IF(ROW($AR$11:AR47)&gt;=MAX(IF($AQ$11:AQ47&gt;0,ROW($AQ$11:AQ47),0)),$AR$11:AR47,0)),0)+IF(AN48=MAX($AA$17,$AA$18,$AA$19,$AA$20,$AA$21,$AA$22,$AA$23,$AA$24),SUM($C$17:$C$18),0)</f>
        <v>0</v>
      </c>
      <c r="AT48" s="136">
        <f>IFERROR(SUMIFS('Interim CFs'!$H:$H,'Interim CFs'!$B:$B,$C$4,'Interim CFs'!$E:$E,"&gt;"&amp;$AN47,'Interim CFs'!$E:$E,"&lt;="&amp;$AN48)/$C$8,0)</f>
        <v>0</v>
      </c>
      <c r="AU48" s="137"/>
      <c r="AV48" s="137"/>
      <c r="AW48" s="136">
        <f t="shared" si="31"/>
        <v>0</v>
      </c>
      <c r="AX48" s="136"/>
      <c r="AY48" s="136">
        <f>IF(AW48&lt;=0,0,IF(SUM($AW$11:AW48)&lt;0,AW48,-MIN(SUM($AW$10:AW47),0)))</f>
        <v>0</v>
      </c>
      <c r="AZ48" s="136">
        <f>SUMIF($AY$11:AY48,"&gt;0",$AY$11:AY48)</f>
        <v>0</v>
      </c>
      <c r="BA48" s="136">
        <f t="shared" si="29"/>
        <v>0</v>
      </c>
      <c r="BB48" s="132">
        <f t="shared" si="36"/>
        <v>0</v>
      </c>
      <c r="BC48" s="132">
        <f t="shared" si="32"/>
        <v>0</v>
      </c>
      <c r="BD48" s="132">
        <f t="shared" si="6"/>
        <v>0</v>
      </c>
      <c r="BE48" s="132">
        <f>-IF(BD48&lt;=0,0,MIN(BD48,$BE$9+SUM($BE$10:BE47)))</f>
        <v>0</v>
      </c>
      <c r="BF48" s="136">
        <f t="shared" si="30"/>
        <v>0</v>
      </c>
      <c r="BG48" s="136">
        <f t="shared" si="33"/>
        <v>0</v>
      </c>
      <c r="BH48" s="136"/>
      <c r="BI48" s="136" t="e">
        <f t="shared" si="34"/>
        <v>#N/A</v>
      </c>
      <c r="BJ48" s="136"/>
      <c r="BK48" s="132">
        <f t="shared" si="8"/>
        <v>0</v>
      </c>
      <c r="BL48" s="136"/>
      <c r="BM48" s="132"/>
      <c r="BN48" s="143">
        <f t="shared" si="35"/>
        <v>128</v>
      </c>
      <c r="BO48" s="132" t="e">
        <f>IF(AN48&lt;closingdate,0,IF(AN48=closingdate,-INDEX('Pricing Table'!$C$24:$D$24,MATCH(Fund!$C$4,'Pricing Table'!$C$5:$D$5,0)),Fund!BI48))</f>
        <v>#N/A</v>
      </c>
    </row>
    <row r="49" spans="2:67">
      <c r="B49" s="47"/>
      <c r="C49" s="48"/>
      <c r="AM49" s="58">
        <f t="shared" si="27"/>
        <v>38</v>
      </c>
      <c r="AN49" s="135">
        <f t="shared" si="28"/>
        <v>46934</v>
      </c>
      <c r="AO49" s="124"/>
      <c r="AP49" s="124"/>
      <c r="AQ49" s="132">
        <f>IF(AN49&lt;=closingdate,SUMIFS($C$41:$C$135,$B$41:$B$135,"&gt;"&amp;EOMONTH(AN49,-3),$B$41:$B$135,"&lt;="&amp;AN49),IF(AND(AO49="",AP49=""),SUMIFS($AI$16:$AI$500,$AA$16:$AA$500,$AN49),INDEX($AO49:$AP49,MATCH(Portfolio!$D$9,Fund!$AO$10:$AP$10,0))*Fund!$AI$14))</f>
        <v>0</v>
      </c>
      <c r="AR49" s="138"/>
      <c r="AS49" s="136" cm="1">
        <f t="array" ref="AS49">IF(AQ49&gt;0,SUM(IF(ROW($AR$11:AR48)&gt;=MAX(IF($AQ$11:AQ48&gt;0,ROW($AQ$11:AQ48),0)),$AR$11:AR48,0)),0)+IF(AN49=MAX($AA$17,$AA$18,$AA$19,$AA$20,$AA$21,$AA$22,$AA$23,$AA$24),SUM($C$17:$C$18),0)</f>
        <v>0</v>
      </c>
      <c r="AT49" s="136">
        <f>IFERROR(SUMIFS('Interim CFs'!$H:$H,'Interim CFs'!$B:$B,$C$4,'Interim CFs'!$E:$E,"&gt;"&amp;$AN48,'Interim CFs'!$E:$E,"&lt;="&amp;$AN49)/$C$8,0)</f>
        <v>0</v>
      </c>
      <c r="AU49" s="137"/>
      <c r="AV49" s="137"/>
      <c r="AW49" s="136">
        <f t="shared" si="31"/>
        <v>0</v>
      </c>
      <c r="AX49" s="136"/>
      <c r="AY49" s="136">
        <f>IF(AW49&lt;=0,0,IF(SUM($AW$11:AW49)&lt;0,AW49,-MIN(SUM($AW$10:AW48),0)))</f>
        <v>0</v>
      </c>
      <c r="AZ49" s="136">
        <f>SUMIF($AY$11:AY49,"&gt;0",$AY$11:AY49)</f>
        <v>0</v>
      </c>
      <c r="BA49" s="136">
        <f t="shared" ref="BA49:BA75" si="37">AW49-AY49</f>
        <v>0</v>
      </c>
      <c r="BB49" s="132">
        <f t="shared" si="36"/>
        <v>0</v>
      </c>
      <c r="BC49" s="132">
        <f t="shared" si="32"/>
        <v>0</v>
      </c>
      <c r="BD49" s="132">
        <f t="shared" si="6"/>
        <v>0</v>
      </c>
      <c r="BE49" s="132">
        <f>-IF(BD49&lt;=0,0,MIN(BD49,$BE$9+SUM($BE$10:BE48)))</f>
        <v>0</v>
      </c>
      <c r="BF49" s="136">
        <f t="shared" si="30"/>
        <v>0</v>
      </c>
      <c r="BG49" s="136">
        <f t="shared" si="33"/>
        <v>0</v>
      </c>
      <c r="BH49" s="136"/>
      <c r="BI49" s="136" t="e">
        <f t="shared" si="34"/>
        <v>#N/A</v>
      </c>
      <c r="BJ49" s="136"/>
      <c r="BK49" s="132">
        <f t="shared" si="8"/>
        <v>0</v>
      </c>
      <c r="BL49" s="136"/>
      <c r="BM49" s="132"/>
      <c r="BN49" s="143">
        <f t="shared" si="35"/>
        <v>128.25</v>
      </c>
      <c r="BO49" s="132" t="e">
        <f>IF(AN49&lt;closingdate,0,IF(AN49=closingdate,-INDEX('Pricing Table'!$C$24:$D$24,MATCH(Fund!$C$4,'Pricing Table'!$C$5:$D$5,0)),Fund!BI49))</f>
        <v>#N/A</v>
      </c>
    </row>
    <row r="50" spans="2:67">
      <c r="B50" s="47"/>
      <c r="C50" s="48"/>
      <c r="AM50" s="58">
        <f t="shared" si="27"/>
        <v>39</v>
      </c>
      <c r="AN50" s="135">
        <f t="shared" si="28"/>
        <v>47026</v>
      </c>
      <c r="AO50" s="124"/>
      <c r="AP50" s="124"/>
      <c r="AQ50" s="132">
        <f>IF(AN50&lt;=closingdate,SUMIFS($C$41:$C$135,$B$41:$B$135,"&gt;"&amp;EOMONTH(AN50,-3),$B$41:$B$135,"&lt;="&amp;AN50),IF(AND(AO50="",AP50=""),SUMIFS($AI$16:$AI$500,$AA$16:$AA$500,$AN50),INDEX($AO50:$AP50,MATCH(Portfolio!$D$9,Fund!$AO$10:$AP$10,0))*Fund!$AI$14))</f>
        <v>0</v>
      </c>
      <c r="AR50" s="138"/>
      <c r="AS50" s="136" cm="1">
        <f t="array" ref="AS50">IF(AQ50&gt;0,SUM(IF(ROW($AR$11:AR49)&gt;=MAX(IF($AQ$11:AQ49&gt;0,ROW($AQ$11:AQ49),0)),$AR$11:AR49,0)),0)+IF(AN50=MAX($AA$17,$AA$18,$AA$19,$AA$20,$AA$21,$AA$22,$AA$23,$AA$24),SUM($C$17:$C$18),0)</f>
        <v>0</v>
      </c>
      <c r="AT50" s="136">
        <f>IFERROR(SUMIFS('Interim CFs'!$H:$H,'Interim CFs'!$B:$B,$C$4,'Interim CFs'!$E:$E,"&gt;"&amp;$AN49,'Interim CFs'!$E:$E,"&lt;="&amp;$AN50)/$C$8,0)</f>
        <v>0</v>
      </c>
      <c r="AU50" s="137"/>
      <c r="AV50" s="137"/>
      <c r="AW50" s="136">
        <f t="shared" si="31"/>
        <v>0</v>
      </c>
      <c r="AX50" s="136"/>
      <c r="AY50" s="136">
        <f>IF(AW50&lt;=0,0,IF(SUM($AW$11:AW50)&lt;0,AW50,-MIN(SUM($AW$10:AW49),0)))</f>
        <v>0</v>
      </c>
      <c r="AZ50" s="136">
        <f>SUMIF($AY$11:AY50,"&gt;0",$AY$11:AY50)</f>
        <v>0</v>
      </c>
      <c r="BA50" s="136">
        <f t="shared" si="37"/>
        <v>0</v>
      </c>
      <c r="BB50" s="132">
        <f t="shared" si="36"/>
        <v>0</v>
      </c>
      <c r="BC50" s="132">
        <f t="shared" si="32"/>
        <v>0</v>
      </c>
      <c r="BD50" s="132">
        <f t="shared" si="6"/>
        <v>0</v>
      </c>
      <c r="BE50" s="132">
        <f>-IF(BD50&lt;=0,0,MIN(BD50,$BE$9+SUM($BE$10:BE49)))</f>
        <v>0</v>
      </c>
      <c r="BF50" s="136">
        <f t="shared" si="30"/>
        <v>0</v>
      </c>
      <c r="BG50" s="136">
        <f t="shared" si="33"/>
        <v>0</v>
      </c>
      <c r="BH50" s="136"/>
      <c r="BI50" s="136" t="e">
        <f t="shared" si="34"/>
        <v>#N/A</v>
      </c>
      <c r="BJ50" s="136"/>
      <c r="BK50" s="132">
        <f t="shared" si="8"/>
        <v>0</v>
      </c>
      <c r="BL50" s="136"/>
      <c r="BM50" s="132"/>
      <c r="BN50" s="143">
        <f t="shared" si="35"/>
        <v>128.5</v>
      </c>
      <c r="BO50" s="132" t="e">
        <f>IF(AN50&lt;closingdate,0,IF(AN50=closingdate,-INDEX('Pricing Table'!$C$24:$D$24,MATCH(Fund!$C$4,'Pricing Table'!$C$5:$D$5,0)),Fund!BI50))</f>
        <v>#N/A</v>
      </c>
    </row>
    <row r="51" spans="2:67">
      <c r="B51" s="47"/>
      <c r="C51" s="48"/>
      <c r="AM51" s="58">
        <f t="shared" si="27"/>
        <v>40</v>
      </c>
      <c r="AN51" s="135">
        <f t="shared" si="28"/>
        <v>47118</v>
      </c>
      <c r="AO51" s="124"/>
      <c r="AP51" s="124"/>
      <c r="AQ51" s="132">
        <f>IF(AN51&lt;=closingdate,SUMIFS($C$41:$C$135,$B$41:$B$135,"&gt;"&amp;EOMONTH(AN51,-3),$B$41:$B$135,"&lt;="&amp;AN51),IF(AND(AO51="",AP51=""),SUMIFS($AI$16:$AI$500,$AA$16:$AA$500,$AN51),INDEX($AO51:$AP51,MATCH(Portfolio!$D$9,Fund!$AO$10:$AP$10,0))*Fund!$AI$14))</f>
        <v>0</v>
      </c>
      <c r="AR51" s="138"/>
      <c r="AS51" s="136" cm="1">
        <f t="array" ref="AS51">IF(AQ51&gt;0,SUM(IF(ROW($AR$11:AR50)&gt;=MAX(IF($AQ$11:AQ50&gt;0,ROW($AQ$11:AQ50),0)),$AR$11:AR50,0)),0)+IF(AN51=MAX($AA$17,$AA$18,$AA$19,$AA$20,$AA$21,$AA$22,$AA$23,$AA$24),SUM($C$17:$C$18),0)</f>
        <v>0</v>
      </c>
      <c r="AT51" s="136">
        <f>IFERROR(SUMIFS('Interim CFs'!$H:$H,'Interim CFs'!$B:$B,$C$4,'Interim CFs'!$E:$E,"&gt;"&amp;$AN50,'Interim CFs'!$E:$E,"&lt;="&amp;$AN51)/$C$8,0)</f>
        <v>0</v>
      </c>
      <c r="AU51" s="137"/>
      <c r="AV51" s="137"/>
      <c r="AW51" s="136">
        <f t="shared" si="31"/>
        <v>0</v>
      </c>
      <c r="AX51" s="136"/>
      <c r="AY51" s="136">
        <f>IF(AW51&lt;=0,0,IF(SUM($AW$11:AW51)&lt;0,AW51,-MIN(SUM($AW$10:AW50),0)))</f>
        <v>0</v>
      </c>
      <c r="AZ51" s="136">
        <f>SUMIF($AY$11:AY51,"&gt;0",$AY$11:AY51)</f>
        <v>0</v>
      </c>
      <c r="BA51" s="136">
        <f t="shared" si="37"/>
        <v>0</v>
      </c>
      <c r="BB51" s="132">
        <f t="shared" si="36"/>
        <v>0</v>
      </c>
      <c r="BC51" s="132">
        <f t="shared" si="32"/>
        <v>0</v>
      </c>
      <c r="BD51" s="132">
        <f t="shared" si="6"/>
        <v>0</v>
      </c>
      <c r="BE51" s="132">
        <f>-IF(BD51&lt;=0,0,MIN(BD51,$BE$9+SUM($BE$10:BE50)))</f>
        <v>0</v>
      </c>
      <c r="BF51" s="136">
        <f t="shared" si="30"/>
        <v>0</v>
      </c>
      <c r="BG51" s="136">
        <f t="shared" si="33"/>
        <v>0</v>
      </c>
      <c r="BH51" s="136"/>
      <c r="BI51" s="136" t="e">
        <f t="shared" si="34"/>
        <v>#N/A</v>
      </c>
      <c r="BJ51" s="136"/>
      <c r="BK51" s="132">
        <f t="shared" si="8"/>
        <v>0</v>
      </c>
      <c r="BL51" s="136"/>
      <c r="BM51" s="132"/>
      <c r="BN51" s="143">
        <f t="shared" si="35"/>
        <v>128.75</v>
      </c>
      <c r="BO51" s="132" t="e">
        <f>IF(AN51&lt;closingdate,0,IF(AN51=closingdate,-INDEX('Pricing Table'!$C$24:$D$24,MATCH(Fund!$C$4,'Pricing Table'!$C$5:$D$5,0)),Fund!BI51))</f>
        <v>#N/A</v>
      </c>
    </row>
    <row r="52" spans="2:67">
      <c r="B52" s="47"/>
      <c r="C52" s="48"/>
      <c r="AM52" s="58">
        <f t="shared" si="27"/>
        <v>41</v>
      </c>
      <c r="AN52" s="135">
        <f t="shared" si="28"/>
        <v>47208</v>
      </c>
      <c r="AO52" s="124"/>
      <c r="AP52" s="124"/>
      <c r="AQ52" s="132">
        <f>IF(AN52&lt;=closingdate,SUMIFS($C$41:$C$135,$B$41:$B$135,"&gt;"&amp;EOMONTH(AN52,-3),$B$41:$B$135,"&lt;="&amp;AN52),IF(AND(AO52="",AP52=""),SUMIFS($AI$16:$AI$500,$AA$16:$AA$500,$AN52),INDEX($AO52:$AP52,MATCH(Portfolio!$D$9,Fund!$AO$10:$AP$10,0))*Fund!$AI$14))</f>
        <v>0</v>
      </c>
      <c r="AR52" s="138"/>
      <c r="AS52" s="136" cm="1">
        <f t="array" ref="AS52">IF(AQ52&gt;0,SUM(IF(ROW($AR$11:AR51)&gt;=MAX(IF($AQ$11:AQ51&gt;0,ROW($AQ$11:AQ51),0)),$AR$11:AR51,0)),0)+IF(AN52=MAX($AA$17,$AA$18,$AA$19,$AA$20,$AA$21,$AA$22,$AA$23,$AA$24),SUM($C$17:$C$18),0)</f>
        <v>0</v>
      </c>
      <c r="AT52" s="136">
        <f>IFERROR(SUMIFS('Interim CFs'!$H:$H,'Interim CFs'!$B:$B,$C$4,'Interim CFs'!$E:$E,"&gt;"&amp;$AN51,'Interim CFs'!$E:$E,"&lt;="&amp;$AN52)/$C$8,0)</f>
        <v>0</v>
      </c>
      <c r="AU52" s="137"/>
      <c r="AV52" s="137"/>
      <c r="AW52" s="136">
        <f t="shared" si="31"/>
        <v>0</v>
      </c>
      <c r="AX52" s="136"/>
      <c r="AY52" s="136">
        <f>IF(AW52&lt;=0,0,IF(SUM($AW$11:AW52)&lt;0,AW52,-MIN(SUM($AW$10:AW51),0)))</f>
        <v>0</v>
      </c>
      <c r="AZ52" s="136">
        <f>SUMIF($AY$11:AY52,"&gt;0",$AY$11:AY52)</f>
        <v>0</v>
      </c>
      <c r="BA52" s="136">
        <f t="shared" si="37"/>
        <v>0</v>
      </c>
      <c r="BB52" s="132">
        <f t="shared" si="36"/>
        <v>0</v>
      </c>
      <c r="BC52" s="132">
        <f t="shared" si="32"/>
        <v>0</v>
      </c>
      <c r="BD52" s="132">
        <f t="shared" si="6"/>
        <v>0</v>
      </c>
      <c r="BE52" s="132">
        <f>-IF(BD52&lt;=0,0,MIN(BD52,$BE$9+SUM($BE$10:BE51)))</f>
        <v>0</v>
      </c>
      <c r="BF52" s="136">
        <f t="shared" si="30"/>
        <v>0</v>
      </c>
      <c r="BG52" s="136">
        <f t="shared" si="33"/>
        <v>0</v>
      </c>
      <c r="BH52" s="136"/>
      <c r="BI52" s="136" t="e">
        <f t="shared" si="34"/>
        <v>#N/A</v>
      </c>
      <c r="BJ52" s="136"/>
      <c r="BK52" s="132">
        <f t="shared" si="8"/>
        <v>0</v>
      </c>
      <c r="BL52" s="136"/>
      <c r="BM52" s="132"/>
      <c r="BN52" s="143">
        <f t="shared" si="35"/>
        <v>129</v>
      </c>
      <c r="BO52" s="132" t="e">
        <f>IF(AN52&lt;closingdate,0,IF(AN52=closingdate,-INDEX('Pricing Table'!$C$24:$D$24,MATCH(Fund!$C$4,'Pricing Table'!$C$5:$D$5,0)),Fund!BI52))</f>
        <v>#N/A</v>
      </c>
    </row>
    <row r="53" spans="2:67">
      <c r="B53" s="47"/>
      <c r="C53" s="48"/>
      <c r="AM53" s="58">
        <f t="shared" si="27"/>
        <v>42</v>
      </c>
      <c r="AN53" s="135">
        <f t="shared" si="28"/>
        <v>47299</v>
      </c>
      <c r="AO53" s="124"/>
      <c r="AP53" s="124"/>
      <c r="AQ53" s="132">
        <f>IF(AN53&lt;=closingdate,SUMIFS($C$41:$C$135,$B$41:$B$135,"&gt;"&amp;EOMONTH(AN53,-3),$B$41:$B$135,"&lt;="&amp;AN53),IF(AND(AO53="",AP53=""),SUMIFS($AI$16:$AI$500,$AA$16:$AA$500,$AN53),INDEX($AO53:$AP53,MATCH(Portfolio!$D$9,Fund!$AO$10:$AP$10,0))*Fund!$AI$14))</f>
        <v>0</v>
      </c>
      <c r="AR53" s="138"/>
      <c r="AS53" s="136" cm="1">
        <f t="array" ref="AS53">IF(AQ53&gt;0,SUM(IF(ROW($AR$11:AR52)&gt;=MAX(IF($AQ$11:AQ52&gt;0,ROW($AQ$11:AQ52),0)),$AR$11:AR52,0)),0)+IF(AN53=MAX($AA$17,$AA$18,$AA$19,$AA$20,$AA$21,$AA$22,$AA$23,$AA$24),SUM($C$17:$C$18),0)</f>
        <v>0</v>
      </c>
      <c r="AT53" s="136">
        <f>IFERROR(SUMIFS('Interim CFs'!$H:$H,'Interim CFs'!$B:$B,$C$4,'Interim CFs'!$E:$E,"&gt;"&amp;$AN52,'Interim CFs'!$E:$E,"&lt;="&amp;$AN53)/$C$8,0)</f>
        <v>0</v>
      </c>
      <c r="AU53" s="137"/>
      <c r="AV53" s="137"/>
      <c r="AW53" s="136">
        <f t="shared" si="31"/>
        <v>0</v>
      </c>
      <c r="AX53" s="136"/>
      <c r="AY53" s="136">
        <f>IF(AW53&lt;=0,0,IF(SUM($AW$11:AW53)&lt;0,AW53,-MIN(SUM($AW$10:AW52),0)))</f>
        <v>0</v>
      </c>
      <c r="AZ53" s="136">
        <f>SUMIF($AY$11:AY53,"&gt;0",$AY$11:AY53)</f>
        <v>0</v>
      </c>
      <c r="BA53" s="136">
        <f t="shared" si="37"/>
        <v>0</v>
      </c>
      <c r="BB53" s="132">
        <f t="shared" si="36"/>
        <v>0</v>
      </c>
      <c r="BC53" s="132">
        <f t="shared" si="32"/>
        <v>0</v>
      </c>
      <c r="BD53" s="132">
        <f t="shared" si="6"/>
        <v>0</v>
      </c>
      <c r="BE53" s="132">
        <f>-IF(BD53&lt;=0,0,MIN(BD53,$BE$9+SUM($BE$10:BE52)))</f>
        <v>0</v>
      </c>
      <c r="BF53" s="136">
        <f t="shared" si="30"/>
        <v>0</v>
      </c>
      <c r="BG53" s="136">
        <f t="shared" si="33"/>
        <v>0</v>
      </c>
      <c r="BH53" s="136"/>
      <c r="BI53" s="136" t="e">
        <f t="shared" si="34"/>
        <v>#N/A</v>
      </c>
      <c r="BJ53" s="136"/>
      <c r="BK53" s="132">
        <f t="shared" si="8"/>
        <v>0</v>
      </c>
      <c r="BL53" s="136"/>
      <c r="BM53" s="132"/>
      <c r="BN53" s="143">
        <f t="shared" si="35"/>
        <v>129.25</v>
      </c>
      <c r="BO53" s="132" t="e">
        <f>IF(AN53&lt;closingdate,0,IF(AN53=closingdate,-INDEX('Pricing Table'!$C$24:$D$24,MATCH(Fund!$C$4,'Pricing Table'!$C$5:$D$5,0)),Fund!BI53))</f>
        <v>#N/A</v>
      </c>
    </row>
    <row r="54" spans="2:67">
      <c r="B54" s="47"/>
      <c r="C54" s="48"/>
      <c r="AM54" s="58">
        <f t="shared" si="27"/>
        <v>43</v>
      </c>
      <c r="AN54" s="135">
        <f t="shared" si="28"/>
        <v>47391</v>
      </c>
      <c r="AO54" s="124"/>
      <c r="AP54" s="124"/>
      <c r="AQ54" s="132">
        <f>IF(AN54&lt;=closingdate,SUMIFS($C$41:$C$135,$B$41:$B$135,"&gt;"&amp;EOMONTH(AN54,-3),$B$41:$B$135,"&lt;="&amp;AN54),IF(AND(AO54="",AP54=""),SUMIFS($AI$16:$AI$500,$AA$16:$AA$500,$AN54),INDEX($AO54:$AP54,MATCH(Portfolio!$D$9,Fund!$AO$10:$AP$10,0))*Fund!$AI$14))</f>
        <v>0</v>
      </c>
      <c r="AR54" s="138"/>
      <c r="AS54" s="136" cm="1">
        <f t="array" ref="AS54">IF(AQ54&gt;0,SUM(IF(ROW($AR$11:AR53)&gt;=MAX(IF($AQ$11:AQ53&gt;0,ROW($AQ$11:AQ53),0)),$AR$11:AR53,0)),0)+IF(AN54=MAX($AA$17,$AA$18,$AA$19,$AA$20,$AA$21,$AA$22,$AA$23,$AA$24),SUM($C$17:$C$18),0)</f>
        <v>0</v>
      </c>
      <c r="AT54" s="136">
        <f>IFERROR(SUMIFS('Interim CFs'!$H:$H,'Interim CFs'!$B:$B,$C$4,'Interim CFs'!$E:$E,"&gt;"&amp;$AN53,'Interim CFs'!$E:$E,"&lt;="&amp;$AN54)/$C$8,0)</f>
        <v>0</v>
      </c>
      <c r="AU54" s="137"/>
      <c r="AV54" s="137"/>
      <c r="AW54" s="136">
        <f t="shared" si="31"/>
        <v>0</v>
      </c>
      <c r="AX54" s="136"/>
      <c r="AY54" s="136">
        <f>IF(AW54&lt;=0,0,IF(SUM($AW$11:AW54)&lt;0,AW54,-MIN(SUM($AW$10:AW53),0)))</f>
        <v>0</v>
      </c>
      <c r="AZ54" s="136">
        <f>SUMIF($AY$11:AY54,"&gt;0",$AY$11:AY54)</f>
        <v>0</v>
      </c>
      <c r="BA54" s="136">
        <f t="shared" si="37"/>
        <v>0</v>
      </c>
      <c r="BB54" s="132">
        <f t="shared" si="36"/>
        <v>0</v>
      </c>
      <c r="BC54" s="132">
        <f t="shared" si="32"/>
        <v>0</v>
      </c>
      <c r="BD54" s="132">
        <f t="shared" si="6"/>
        <v>0</v>
      </c>
      <c r="BE54" s="132">
        <f>-IF(BD54&lt;=0,0,MIN(BD54,$BE$9+SUM($BE$10:BE53)))</f>
        <v>0</v>
      </c>
      <c r="BF54" s="136">
        <f t="shared" si="30"/>
        <v>0</v>
      </c>
      <c r="BG54" s="136">
        <f t="shared" si="33"/>
        <v>0</v>
      </c>
      <c r="BH54" s="136"/>
      <c r="BI54" s="136" t="e">
        <f t="shared" si="34"/>
        <v>#N/A</v>
      </c>
      <c r="BJ54" s="136"/>
      <c r="BK54" s="132">
        <f t="shared" si="8"/>
        <v>0</v>
      </c>
      <c r="BL54" s="136"/>
      <c r="BM54" s="132"/>
      <c r="BN54" s="143">
        <f t="shared" si="35"/>
        <v>129.5</v>
      </c>
      <c r="BO54" s="132" t="e">
        <f>IF(AN54&lt;closingdate,0,IF(AN54=closingdate,-INDEX('Pricing Table'!$C$24:$D$24,MATCH(Fund!$C$4,'Pricing Table'!$C$5:$D$5,0)),Fund!BI54))</f>
        <v>#N/A</v>
      </c>
    </row>
    <row r="55" spans="2:67">
      <c r="B55" s="47"/>
      <c r="C55" s="48"/>
      <c r="AM55" s="58">
        <f t="shared" si="27"/>
        <v>44</v>
      </c>
      <c r="AN55" s="135">
        <f t="shared" si="28"/>
        <v>47483</v>
      </c>
      <c r="AO55" s="124"/>
      <c r="AP55" s="124"/>
      <c r="AQ55" s="132">
        <f>IF(AN55&lt;=closingdate,SUMIFS($C$41:$C$135,$B$41:$B$135,"&gt;"&amp;EOMONTH(AN55,-3),$B$41:$B$135,"&lt;="&amp;AN55),IF(AND(AO55="",AP55=""),SUMIFS($AI$16:$AI$500,$AA$16:$AA$500,$AN55),INDEX($AO55:$AP55,MATCH(Portfolio!$D$9,Fund!$AO$10:$AP$10,0))*Fund!$AI$14))</f>
        <v>0</v>
      </c>
      <c r="AR55" s="138"/>
      <c r="AS55" s="136" cm="1">
        <f t="array" ref="AS55">IF(AQ55&gt;0,SUM(IF(ROW($AR$11:AR54)&gt;=MAX(IF($AQ$11:AQ54&gt;0,ROW($AQ$11:AQ54),0)),$AR$11:AR54,0)),0)+IF(AN55=MAX($AA$17,$AA$18,$AA$19,$AA$20,$AA$21,$AA$22,$AA$23,$AA$24),SUM($C$17:$C$18),0)</f>
        <v>0</v>
      </c>
      <c r="AT55" s="136">
        <f>IFERROR(SUMIFS('Interim CFs'!$H:$H,'Interim CFs'!$B:$B,$C$4,'Interim CFs'!$E:$E,"&gt;"&amp;$AN54,'Interim CFs'!$E:$E,"&lt;="&amp;$AN55)/$C$8,0)</f>
        <v>0</v>
      </c>
      <c r="AU55" s="137"/>
      <c r="AV55" s="137"/>
      <c r="AW55" s="136">
        <f t="shared" si="31"/>
        <v>0</v>
      </c>
      <c r="AX55" s="136"/>
      <c r="AY55" s="136">
        <f>IF(AW55&lt;=0,0,IF(SUM($AW$11:AW55)&lt;0,AW55,-MIN(SUM($AW$10:AW54),0)))</f>
        <v>0</v>
      </c>
      <c r="AZ55" s="136">
        <f>SUMIF($AY$11:AY55,"&gt;0",$AY$11:AY55)</f>
        <v>0</v>
      </c>
      <c r="BA55" s="136">
        <f t="shared" si="37"/>
        <v>0</v>
      </c>
      <c r="BB55" s="132">
        <f t="shared" si="36"/>
        <v>0</v>
      </c>
      <c r="BC55" s="132">
        <f t="shared" si="32"/>
        <v>0</v>
      </c>
      <c r="BD55" s="132">
        <f t="shared" si="6"/>
        <v>0</v>
      </c>
      <c r="BE55" s="132">
        <f>-IF(BD55&lt;=0,0,MIN(BD55,$BE$9+SUM($BE$10:BE54)))</f>
        <v>0</v>
      </c>
      <c r="BF55" s="136">
        <f t="shared" si="30"/>
        <v>0</v>
      </c>
      <c r="BG55" s="136">
        <f t="shared" si="33"/>
        <v>0</v>
      </c>
      <c r="BH55" s="136"/>
      <c r="BI55" s="136" t="e">
        <f t="shared" si="34"/>
        <v>#N/A</v>
      </c>
      <c r="BJ55" s="136"/>
      <c r="BK55" s="132">
        <f t="shared" si="8"/>
        <v>0</v>
      </c>
      <c r="BL55" s="136"/>
      <c r="BM55" s="132"/>
      <c r="BN55" s="143">
        <f t="shared" si="35"/>
        <v>129.75</v>
      </c>
      <c r="BO55" s="132" t="e">
        <f>IF(AN55&lt;closingdate,0,IF(AN55=closingdate,-INDEX('Pricing Table'!$C$24:$D$24,MATCH(Fund!$C$4,'Pricing Table'!$C$5:$D$5,0)),Fund!BI55))</f>
        <v>#N/A</v>
      </c>
    </row>
    <row r="56" spans="2:67">
      <c r="B56" s="47"/>
      <c r="C56" s="48"/>
      <c r="AM56" s="58">
        <f t="shared" si="27"/>
        <v>45</v>
      </c>
      <c r="AN56" s="135">
        <f t="shared" si="28"/>
        <v>47573</v>
      </c>
      <c r="AO56" s="124"/>
      <c r="AP56" s="124"/>
      <c r="AQ56" s="132">
        <f>IF(AN56&lt;=closingdate,SUMIFS($C$41:$C$135,$B$41:$B$135,"&gt;"&amp;EOMONTH(AN56,-3),$B$41:$B$135,"&lt;="&amp;AN56),IF(AND(AO56="",AP56=""),SUMIFS($AI$16:$AI$500,$AA$16:$AA$500,$AN56),INDEX($AO56:$AP56,MATCH(Portfolio!$D$9,Fund!$AO$10:$AP$10,0))*Fund!$AI$14))</f>
        <v>0</v>
      </c>
      <c r="AR56" s="138"/>
      <c r="AS56" s="136" cm="1">
        <f t="array" ref="AS56">IF(AQ56&gt;0,SUM(IF(ROW($AR$11:AR55)&gt;=MAX(IF($AQ$11:AQ55&gt;0,ROW($AQ$11:AQ55),0)),$AR$11:AR55,0)),0)+IF(AN56=MAX($AA$17,$AA$18,$AA$19,$AA$20,$AA$21,$AA$22,$AA$23,$AA$24),SUM($C$17:$C$18),0)</f>
        <v>0</v>
      </c>
      <c r="AT56" s="136">
        <f>IFERROR(SUMIFS('Interim CFs'!$H:$H,'Interim CFs'!$B:$B,$C$4,'Interim CFs'!$E:$E,"&gt;"&amp;$AN55,'Interim CFs'!$E:$E,"&lt;="&amp;$AN56)/$C$8,0)</f>
        <v>0</v>
      </c>
      <c r="AU56" s="137"/>
      <c r="AV56" s="137"/>
      <c r="AW56" s="136">
        <f t="shared" si="31"/>
        <v>0</v>
      </c>
      <c r="AX56" s="136"/>
      <c r="AY56" s="136">
        <f>IF(AW56&lt;=0,0,IF(SUM($AW$11:AW56)&lt;0,AW56,-MIN(SUM($AW$10:AW55),0)))</f>
        <v>0</v>
      </c>
      <c r="AZ56" s="136">
        <f>SUMIF($AY$11:AY56,"&gt;0",$AY$11:AY56)</f>
        <v>0</v>
      </c>
      <c r="BA56" s="136">
        <f t="shared" si="37"/>
        <v>0</v>
      </c>
      <c r="BB56" s="132">
        <f t="shared" si="36"/>
        <v>0</v>
      </c>
      <c r="BC56" s="132">
        <f t="shared" si="32"/>
        <v>0</v>
      </c>
      <c r="BD56" s="132">
        <f t="shared" si="6"/>
        <v>0</v>
      </c>
      <c r="BE56" s="132">
        <f>-IF(BD56&lt;=0,0,MIN(BD56,$BE$9+SUM($BE$10:BE55)))</f>
        <v>0</v>
      </c>
      <c r="BF56" s="136">
        <f t="shared" si="30"/>
        <v>0</v>
      </c>
      <c r="BG56" s="136">
        <f t="shared" si="33"/>
        <v>0</v>
      </c>
      <c r="BH56" s="136"/>
      <c r="BI56" s="136" t="e">
        <f t="shared" si="34"/>
        <v>#N/A</v>
      </c>
      <c r="BJ56" s="136"/>
      <c r="BK56" s="132">
        <f t="shared" si="8"/>
        <v>0</v>
      </c>
      <c r="BL56" s="136"/>
      <c r="BM56" s="132"/>
      <c r="BN56" s="143">
        <f t="shared" si="35"/>
        <v>130</v>
      </c>
      <c r="BO56" s="132" t="e">
        <f>IF(AN56&lt;closingdate,0,IF(AN56=closingdate,-INDEX('Pricing Table'!$C$24:$D$24,MATCH(Fund!$C$4,'Pricing Table'!$C$5:$D$5,0)),Fund!BI56))</f>
        <v>#N/A</v>
      </c>
    </row>
    <row r="57" spans="2:67">
      <c r="B57" s="47"/>
      <c r="C57" s="48"/>
      <c r="AI57" s="84"/>
      <c r="AM57" s="58">
        <f t="shared" si="27"/>
        <v>46</v>
      </c>
      <c r="AN57" s="135">
        <f t="shared" si="28"/>
        <v>47664</v>
      </c>
      <c r="AO57" s="124"/>
      <c r="AP57" s="124"/>
      <c r="AQ57" s="132">
        <f>IF(AN57&lt;=closingdate,SUMIFS($C$41:$C$135,$B$41:$B$135,"&gt;"&amp;EOMONTH(AN57,-3),$B$41:$B$135,"&lt;="&amp;AN57),IF(AND(AO57="",AP57=""),SUMIFS($AI$16:$AI$500,$AA$16:$AA$500,$AN57),INDEX($AO57:$AP57,MATCH(Portfolio!$D$9,Fund!$AO$10:$AP$10,0))*Fund!$AI$14))</f>
        <v>0</v>
      </c>
      <c r="AR57" s="138"/>
      <c r="AS57" s="136" cm="1">
        <f t="array" ref="AS57">IF(AQ57&gt;0,SUM(IF(ROW($AR$11:AR56)&gt;=MAX(IF($AQ$11:AQ56&gt;0,ROW($AQ$11:AQ56),0)),$AR$11:AR56,0)),0)+IF(AN57=MAX($AA$17,$AA$18,$AA$19,$AA$20,$AA$21,$AA$22,$AA$23,$AA$24),SUM($C$17:$C$18),0)</f>
        <v>0</v>
      </c>
      <c r="AT57" s="136">
        <f>IFERROR(SUMIFS('Interim CFs'!$H:$H,'Interim CFs'!$B:$B,$C$4,'Interim CFs'!$E:$E,"&gt;"&amp;$AN56,'Interim CFs'!$E:$E,"&lt;="&amp;$AN57)/$C$8,0)</f>
        <v>0</v>
      </c>
      <c r="AU57" s="137"/>
      <c r="AV57" s="137"/>
      <c r="AW57" s="136">
        <f t="shared" si="31"/>
        <v>0</v>
      </c>
      <c r="AX57" s="136"/>
      <c r="AY57" s="136">
        <f>IF(AW57&lt;=0,0,IF(SUM($AW$11:AW57)&lt;0,AW57,-MIN(SUM($AW$10:AW56),0)))</f>
        <v>0</v>
      </c>
      <c r="AZ57" s="136">
        <f>SUMIF($AY$11:AY57,"&gt;0",$AY$11:AY57)</f>
        <v>0</v>
      </c>
      <c r="BA57" s="136">
        <f t="shared" si="37"/>
        <v>0</v>
      </c>
      <c r="BB57" s="132">
        <f t="shared" si="36"/>
        <v>0</v>
      </c>
      <c r="BC57" s="132">
        <f t="shared" si="32"/>
        <v>0</v>
      </c>
      <c r="BD57" s="132">
        <f t="shared" si="6"/>
        <v>0</v>
      </c>
      <c r="BE57" s="132">
        <f>-IF(BD57&lt;=0,0,MIN(BD57,$BE$9+SUM($BE$10:BE56)))</f>
        <v>0</v>
      </c>
      <c r="BF57" s="136">
        <f t="shared" si="30"/>
        <v>0</v>
      </c>
      <c r="BG57" s="136">
        <f t="shared" si="33"/>
        <v>0</v>
      </c>
      <c r="BH57" s="136"/>
      <c r="BI57" s="136" t="e">
        <f t="shared" si="34"/>
        <v>#N/A</v>
      </c>
      <c r="BJ57" s="136"/>
      <c r="BK57" s="132">
        <f t="shared" si="8"/>
        <v>0</v>
      </c>
      <c r="BL57" s="136"/>
      <c r="BM57" s="132"/>
      <c r="BN57" s="143">
        <f t="shared" si="35"/>
        <v>130.25</v>
      </c>
      <c r="BO57" s="132" t="e">
        <f>IF(AN57&lt;closingdate,0,IF(AN57=closingdate,-INDEX('Pricing Table'!$C$24:$D$24,MATCH(Fund!$C$4,'Pricing Table'!$C$5:$D$5,0)),Fund!BI57))</f>
        <v>#N/A</v>
      </c>
    </row>
    <row r="58" spans="2:67" ht="15">
      <c r="B58" s="47"/>
      <c r="C58" s="48"/>
      <c r="F58"/>
      <c r="G58"/>
      <c r="H58"/>
      <c r="I58"/>
      <c r="J58"/>
      <c r="K58"/>
      <c r="L58"/>
      <c r="M58"/>
      <c r="N58"/>
      <c r="O58"/>
      <c r="P58"/>
      <c r="Q58"/>
      <c r="R58" s="336"/>
      <c r="S58"/>
      <c r="T58"/>
      <c r="U58"/>
      <c r="V58"/>
      <c r="W58"/>
      <c r="X58"/>
      <c r="Y58"/>
      <c r="AD58" s="383"/>
      <c r="AE58" s="383"/>
      <c r="AI58" s="384"/>
      <c r="AM58" s="58">
        <f t="shared" si="27"/>
        <v>47</v>
      </c>
      <c r="AN58" s="135">
        <f t="shared" si="28"/>
        <v>47756</v>
      </c>
      <c r="AO58" s="124"/>
      <c r="AP58" s="124"/>
      <c r="AQ58" s="132">
        <f>IF(AN58&lt;=closingdate,SUMIFS($C$41:$C$135,$B$41:$B$135,"&gt;"&amp;EOMONTH(AN58,-3),$B$41:$B$135,"&lt;="&amp;AN58),IF(AND(AO58="",AP58=""),SUMIFS($AI$16:$AI$500,$AA$16:$AA$500,$AN58),INDEX($AO58:$AP58,MATCH(Portfolio!$D$9,Fund!$AO$10:$AP$10,0))*Fund!$AI$14))</f>
        <v>0</v>
      </c>
      <c r="AR58" s="138"/>
      <c r="AS58" s="136" cm="1">
        <f t="array" ref="AS58">IF(AQ58&gt;0,SUM(IF(ROW($AR$11:AR57)&gt;=MAX(IF($AQ$11:AQ57&gt;0,ROW($AQ$11:AQ57),0)),$AR$11:AR57,0)),0)+IF(AN58=MAX($AA$17,$AA$18,$AA$19,$AA$20,$AA$21,$AA$22,$AA$23,$AA$24),SUM($C$17:$C$18),0)</f>
        <v>0</v>
      </c>
      <c r="AT58" s="136">
        <f>IFERROR(SUMIFS('Interim CFs'!$H:$H,'Interim CFs'!$B:$B,$C$4,'Interim CFs'!$E:$E,"&gt;"&amp;$AN57,'Interim CFs'!$E:$E,"&lt;="&amp;$AN58)/$C$8,0)</f>
        <v>0</v>
      </c>
      <c r="AU58" s="137"/>
      <c r="AV58" s="137"/>
      <c r="AW58" s="136">
        <f t="shared" si="31"/>
        <v>0</v>
      </c>
      <c r="AX58" s="136"/>
      <c r="AY58" s="136">
        <f>IF(AW58&lt;=0,0,IF(SUM($AW$11:AW58)&lt;0,AW58,-MIN(SUM($AW$10:AW57),0)))</f>
        <v>0</v>
      </c>
      <c r="AZ58" s="136">
        <f>SUMIF($AY$11:AY58,"&gt;0",$AY$11:AY58)</f>
        <v>0</v>
      </c>
      <c r="BA58" s="136">
        <f t="shared" si="37"/>
        <v>0</v>
      </c>
      <c r="BB58" s="132">
        <f t="shared" si="36"/>
        <v>0</v>
      </c>
      <c r="BC58" s="132">
        <f t="shared" si="32"/>
        <v>0</v>
      </c>
      <c r="BD58" s="132">
        <f t="shared" si="6"/>
        <v>0</v>
      </c>
      <c r="BE58" s="132">
        <f>-IF(BD58&lt;=0,0,MIN(BD58,$BE$9+SUM($BE$10:BE57)))</f>
        <v>0</v>
      </c>
      <c r="BF58" s="136">
        <f t="shared" si="30"/>
        <v>0</v>
      </c>
      <c r="BG58" s="136">
        <f t="shared" si="33"/>
        <v>0</v>
      </c>
      <c r="BH58" s="136"/>
      <c r="BI58" s="136" t="e">
        <f t="shared" si="34"/>
        <v>#N/A</v>
      </c>
      <c r="BJ58" s="136"/>
      <c r="BK58" s="132">
        <f t="shared" si="8"/>
        <v>0</v>
      </c>
      <c r="BL58" s="136"/>
      <c r="BM58" s="132"/>
      <c r="BN58" s="143">
        <f t="shared" si="35"/>
        <v>130.5</v>
      </c>
      <c r="BO58" s="132" t="e">
        <f>IF(AN58&lt;closingdate,0,IF(AN58=closingdate,-INDEX('Pricing Table'!$C$24:$D$24,MATCH(Fund!$C$4,'Pricing Table'!$C$5:$D$5,0)),Fund!BI58))</f>
        <v>#N/A</v>
      </c>
    </row>
    <row r="59" spans="2:67" ht="15">
      <c r="B59" s="47"/>
      <c r="C59" s="48"/>
      <c r="F59"/>
      <c r="G59"/>
      <c r="H59"/>
      <c r="I59"/>
      <c r="J59"/>
      <c r="K59"/>
      <c r="L59"/>
      <c r="M59"/>
      <c r="N59"/>
      <c r="O59"/>
      <c r="P59"/>
      <c r="Q59"/>
      <c r="R59" s="336"/>
      <c r="S59"/>
      <c r="T59"/>
      <c r="U59"/>
      <c r="V59"/>
      <c r="W59"/>
      <c r="X59"/>
      <c r="Y59"/>
      <c r="AD59" s="383"/>
      <c r="AE59" s="383"/>
      <c r="AM59" s="58">
        <f t="shared" si="27"/>
        <v>48</v>
      </c>
      <c r="AN59" s="135">
        <f t="shared" si="28"/>
        <v>47848</v>
      </c>
      <c r="AO59" s="124"/>
      <c r="AP59" s="124"/>
      <c r="AQ59" s="132">
        <f>IF(AN59&lt;=closingdate,SUMIFS($C$41:$C$135,$B$41:$B$135,"&gt;"&amp;EOMONTH(AN59,-3),$B$41:$B$135,"&lt;="&amp;AN59),IF(AND(AO59="",AP59=""),SUMIFS($AI$16:$AI$500,$AA$16:$AA$500,$AN59),INDEX($AO59:$AP59,MATCH(Portfolio!$D$9,Fund!$AO$10:$AP$10,0))*Fund!$AI$14))</f>
        <v>0</v>
      </c>
      <c r="AR59" s="138"/>
      <c r="AS59" s="136" cm="1">
        <f t="array" ref="AS59">IF(AQ59&gt;0,SUM(IF(ROW($AR$11:AR58)&gt;=MAX(IF($AQ$11:AQ58&gt;0,ROW($AQ$11:AQ58),0)),$AR$11:AR58,0)),0)+IF(AN59=MAX($AA$17,$AA$18,$AA$19,$AA$20,$AA$21,$AA$22,$AA$23,$AA$24),SUM($C$17:$C$18),0)</f>
        <v>0</v>
      </c>
      <c r="AT59" s="136">
        <f>IFERROR(SUMIFS('Interim CFs'!$H:$H,'Interim CFs'!$B:$B,$C$4,'Interim CFs'!$E:$E,"&gt;"&amp;$AN58,'Interim CFs'!$E:$E,"&lt;="&amp;$AN59)/$C$8,0)</f>
        <v>0</v>
      </c>
      <c r="AU59" s="137"/>
      <c r="AV59" s="137"/>
      <c r="AW59" s="136">
        <f t="shared" si="31"/>
        <v>0</v>
      </c>
      <c r="AX59" s="136"/>
      <c r="AY59" s="136">
        <f>IF(AW59&lt;=0,0,IF(SUM($AW$11:AW59)&lt;0,AW59,-MIN(SUM($AW$10:AW58),0)))</f>
        <v>0</v>
      </c>
      <c r="AZ59" s="136">
        <f>SUMIF($AY$11:AY59,"&gt;0",$AY$11:AY59)</f>
        <v>0</v>
      </c>
      <c r="BA59" s="136">
        <f t="shared" si="37"/>
        <v>0</v>
      </c>
      <c r="BB59" s="132">
        <f t="shared" si="36"/>
        <v>0</v>
      </c>
      <c r="BC59" s="132">
        <f t="shared" si="32"/>
        <v>0</v>
      </c>
      <c r="BD59" s="132">
        <f t="shared" si="6"/>
        <v>0</v>
      </c>
      <c r="BE59" s="132">
        <f>-IF(BD59&lt;=0,0,MIN(BD59,$BE$9+SUM($BE$10:BE58)))</f>
        <v>0</v>
      </c>
      <c r="BF59" s="136">
        <f t="shared" si="30"/>
        <v>0</v>
      </c>
      <c r="BG59" s="136">
        <f t="shared" si="33"/>
        <v>0</v>
      </c>
      <c r="BH59" s="136"/>
      <c r="BI59" s="136" t="e">
        <f t="shared" si="34"/>
        <v>#N/A</v>
      </c>
      <c r="BJ59" s="136"/>
      <c r="BK59" s="132">
        <f t="shared" si="8"/>
        <v>0</v>
      </c>
      <c r="BL59" s="136"/>
      <c r="BM59" s="132"/>
      <c r="BN59" s="143">
        <f t="shared" si="35"/>
        <v>130.75</v>
      </c>
      <c r="BO59" s="132" t="e">
        <f>IF(AN59&lt;closingdate,0,IF(AN59=closingdate,-INDEX('Pricing Table'!$C$24:$D$24,MATCH(Fund!$C$4,'Pricing Table'!$C$5:$D$5,0)),Fund!BI59))</f>
        <v>#N/A</v>
      </c>
    </row>
    <row r="60" spans="2:67" ht="15">
      <c r="B60" s="47"/>
      <c r="C60" s="48"/>
      <c r="F60"/>
      <c r="G60"/>
      <c r="H60"/>
      <c r="I60"/>
      <c r="J60"/>
      <c r="K60"/>
      <c r="L60"/>
      <c r="M60"/>
      <c r="N60"/>
      <c r="O60"/>
      <c r="P60"/>
      <c r="Q60"/>
      <c r="R60"/>
      <c r="S60"/>
      <c r="T60"/>
      <c r="U60"/>
      <c r="V60"/>
      <c r="W60"/>
      <c r="X60"/>
      <c r="Y60"/>
      <c r="AA60" s="385"/>
      <c r="AB60" s="12"/>
      <c r="AC60" s="12"/>
      <c r="AD60" s="12"/>
      <c r="AE60" s="12"/>
      <c r="AF60" s="12"/>
      <c r="AG60" s="12"/>
      <c r="AH60" s="12"/>
      <c r="AI60" s="12"/>
      <c r="AJ60" s="12"/>
      <c r="AM60" s="58">
        <f t="shared" si="27"/>
        <v>49</v>
      </c>
      <c r="AN60" s="135">
        <f t="shared" si="28"/>
        <v>47938</v>
      </c>
      <c r="AO60" s="124"/>
      <c r="AP60" s="124"/>
      <c r="AQ60" s="132">
        <f>IF(AN60&lt;=closingdate,SUMIFS($C$41:$C$135,$B$41:$B$135,"&gt;"&amp;EOMONTH(AN60,-3),$B$41:$B$135,"&lt;="&amp;AN60),IF(AND(AO60="",AP60=""),SUMIFS($AI$16:$AI$500,$AA$16:$AA$500,$AN60),INDEX($AO60:$AP60,MATCH(Portfolio!$D$9,Fund!$AO$10:$AP$10,0))*Fund!$AI$14))</f>
        <v>0</v>
      </c>
      <c r="AR60" s="138"/>
      <c r="AS60" s="136" cm="1">
        <f t="array" ref="AS60">IF(AQ60&gt;0,SUM(IF(ROW($AR$11:AR59)&gt;=MAX(IF($AQ$11:AQ59&gt;0,ROW($AQ$11:AQ59),0)),$AR$11:AR59,0)),0)+IF(AN60=MAX($AA$17,$AA$18,$AA$19,$AA$20,$AA$21,$AA$22,$AA$23,$AA$24),SUM($C$17:$C$18),0)</f>
        <v>0</v>
      </c>
      <c r="AT60" s="136">
        <f>IFERROR(SUMIFS('Interim CFs'!$H:$H,'Interim CFs'!$B:$B,$C$4,'Interim CFs'!$E:$E,"&gt;"&amp;$AN59,'Interim CFs'!$E:$E,"&lt;="&amp;$AN60)/$C$8,0)</f>
        <v>0</v>
      </c>
      <c r="AU60" s="137"/>
      <c r="AV60" s="137"/>
      <c r="AW60" s="136">
        <f t="shared" si="31"/>
        <v>0</v>
      </c>
      <c r="AX60" s="136"/>
      <c r="AY60" s="136">
        <f>IF(AW60&lt;=0,0,IF(SUM($AW$11:AW60)&lt;0,AW60,-MIN(SUM($AW$10:AW59),0)))</f>
        <v>0</v>
      </c>
      <c r="AZ60" s="136">
        <f>SUMIF($AY$11:AY60,"&gt;0",$AY$11:AY60)</f>
        <v>0</v>
      </c>
      <c r="BA60" s="136">
        <f t="shared" si="37"/>
        <v>0</v>
      </c>
      <c r="BB60" s="132">
        <f t="shared" si="36"/>
        <v>0</v>
      </c>
      <c r="BC60" s="132">
        <f t="shared" si="32"/>
        <v>0</v>
      </c>
      <c r="BD60" s="132">
        <f t="shared" si="6"/>
        <v>0</v>
      </c>
      <c r="BE60" s="132">
        <f>-IF(BD60&lt;=0,0,MIN(BD60,$BE$9+SUM($BE$10:BE59)))</f>
        <v>0</v>
      </c>
      <c r="BF60" s="136">
        <f t="shared" si="30"/>
        <v>0</v>
      </c>
      <c r="BG60" s="136">
        <f t="shared" si="33"/>
        <v>0</v>
      </c>
      <c r="BH60" s="136"/>
      <c r="BI60" s="136" t="e">
        <f t="shared" si="34"/>
        <v>#N/A</v>
      </c>
      <c r="BJ60" s="136"/>
      <c r="BK60" s="132">
        <f t="shared" si="8"/>
        <v>0</v>
      </c>
      <c r="BL60" s="136"/>
      <c r="BM60" s="132"/>
      <c r="BN60" s="143">
        <f t="shared" si="35"/>
        <v>131</v>
      </c>
      <c r="BO60" s="132" t="e">
        <f>IF(AN60&lt;closingdate,0,IF(AN60=closingdate,-INDEX('Pricing Table'!$C$24:$D$24,MATCH(Fund!$C$4,'Pricing Table'!$C$5:$D$5,0)),Fund!BI60))</f>
        <v>#N/A</v>
      </c>
    </row>
    <row r="61" spans="2:67" ht="15">
      <c r="B61" s="47"/>
      <c r="C61" s="48"/>
      <c r="F61"/>
      <c r="G61"/>
      <c r="H61"/>
      <c r="I61"/>
      <c r="J61"/>
      <c r="K61"/>
      <c r="L61"/>
      <c r="M61"/>
      <c r="N61"/>
      <c r="O61"/>
      <c r="P61"/>
      <c r="Q61"/>
      <c r="R61"/>
      <c r="S61"/>
      <c r="T61"/>
      <c r="U61"/>
      <c r="V61"/>
      <c r="W61"/>
      <c r="X61"/>
      <c r="Y61"/>
      <c r="AA61" s="385"/>
      <c r="AB61" s="12"/>
      <c r="AC61" s="12"/>
      <c r="AD61" s="12"/>
      <c r="AE61" s="12"/>
      <c r="AF61" s="12"/>
      <c r="AG61" s="12"/>
      <c r="AH61" s="12"/>
      <c r="AI61" s="12"/>
      <c r="AJ61" s="12"/>
      <c r="AK61" s="72"/>
      <c r="AM61" s="58">
        <f t="shared" si="27"/>
        <v>50</v>
      </c>
      <c r="AN61" s="135">
        <f t="shared" si="28"/>
        <v>48029</v>
      </c>
      <c r="AO61" s="124"/>
      <c r="AP61" s="124"/>
      <c r="AQ61" s="132">
        <f>IF(AN61&lt;=closingdate,SUMIFS($C$41:$C$135,$B$41:$B$135,"&gt;"&amp;EOMONTH(AN61,-3),$B$41:$B$135,"&lt;="&amp;AN61),IF(AND(AO61="",AP61=""),SUMIFS($AI$16:$AI$500,$AA$16:$AA$500,$AN61),INDEX($AO61:$AP61,MATCH(Portfolio!$D$9,Fund!$AO$10:$AP$10,0))*Fund!$AI$14))</f>
        <v>0</v>
      </c>
      <c r="AR61" s="138"/>
      <c r="AS61" s="136" cm="1">
        <f t="array" ref="AS61">IF(AQ61&gt;0,SUM(IF(ROW($AR$11:AR60)&gt;=MAX(IF($AQ$11:AQ60&gt;0,ROW($AQ$11:AQ60),0)),$AR$11:AR60,0)),0)+IF(AN61=MAX($AA$17,$AA$18,$AA$19,$AA$20,$AA$21,$AA$22,$AA$23,$AA$24),SUM($C$17:$C$18),0)</f>
        <v>0</v>
      </c>
      <c r="AT61" s="136">
        <f>IFERROR(SUMIFS('Interim CFs'!$H:$H,'Interim CFs'!$B:$B,$C$4,'Interim CFs'!$E:$E,"&gt;"&amp;$AN60,'Interim CFs'!$E:$E,"&lt;="&amp;$AN61)/$C$8,0)</f>
        <v>0</v>
      </c>
      <c r="AU61" s="137"/>
      <c r="AV61" s="137"/>
      <c r="AW61" s="136">
        <f t="shared" si="31"/>
        <v>0</v>
      </c>
      <c r="AX61" s="136"/>
      <c r="AY61" s="136">
        <f>IF(AW61&lt;=0,0,IF(SUM($AW$11:AW61)&lt;0,AW61,-MIN(SUM($AW$10:AW60),0)))</f>
        <v>0</v>
      </c>
      <c r="AZ61" s="136">
        <f>SUMIF($AY$11:AY61,"&gt;0",$AY$11:AY61)</f>
        <v>0</v>
      </c>
      <c r="BA61" s="136">
        <f t="shared" si="37"/>
        <v>0</v>
      </c>
      <c r="BB61" s="132">
        <f t="shared" si="36"/>
        <v>0</v>
      </c>
      <c r="BC61" s="132">
        <f t="shared" si="32"/>
        <v>0</v>
      </c>
      <c r="BD61" s="132">
        <f t="shared" si="6"/>
        <v>0</v>
      </c>
      <c r="BE61" s="132">
        <f>-IF(BD61&lt;=0,0,MIN(BD61,$BE$9+SUM($BE$10:BE60)))</f>
        <v>0</v>
      </c>
      <c r="BF61" s="136">
        <f t="shared" si="30"/>
        <v>0</v>
      </c>
      <c r="BG61" s="136">
        <f t="shared" si="33"/>
        <v>0</v>
      </c>
      <c r="BH61" s="136"/>
      <c r="BI61" s="136" t="e">
        <f t="shared" si="34"/>
        <v>#N/A</v>
      </c>
      <c r="BJ61" s="136"/>
      <c r="BK61" s="132">
        <f t="shared" si="8"/>
        <v>0</v>
      </c>
      <c r="BL61" s="136"/>
      <c r="BM61" s="132"/>
      <c r="BN61" s="143">
        <f t="shared" si="35"/>
        <v>131.25</v>
      </c>
      <c r="BO61" s="132" t="e">
        <f>IF(AN61&lt;closingdate,0,IF(AN61=closingdate,-INDEX('Pricing Table'!$C$24:$D$24,MATCH(Fund!$C$4,'Pricing Table'!$C$5:$D$5,0)),Fund!BI61))</f>
        <v>#N/A</v>
      </c>
    </row>
    <row r="62" spans="2:67" ht="15">
      <c r="B62" s="47"/>
      <c r="C62" s="48"/>
      <c r="F62"/>
      <c r="G62" s="331"/>
      <c r="H62" s="331"/>
      <c r="I62" s="331"/>
      <c r="J62"/>
      <c r="K62"/>
      <c r="L62"/>
      <c r="M62"/>
      <c r="N62"/>
      <c r="O62"/>
      <c r="P62"/>
      <c r="Q62"/>
      <c r="R62"/>
      <c r="S62"/>
      <c r="T62"/>
      <c r="U62"/>
      <c r="V62"/>
      <c r="W62"/>
      <c r="X62"/>
      <c r="Y62"/>
      <c r="AA62" s="385"/>
      <c r="AB62" s="12"/>
      <c r="AC62" s="12"/>
      <c r="AD62" s="12"/>
      <c r="AE62" s="12"/>
      <c r="AF62" s="12"/>
      <c r="AG62" s="12"/>
      <c r="AH62" s="12"/>
      <c r="AI62" s="12"/>
      <c r="AJ62" s="12"/>
      <c r="AM62" s="58">
        <f t="shared" si="27"/>
        <v>51</v>
      </c>
      <c r="AN62" s="135">
        <f t="shared" si="28"/>
        <v>48121</v>
      </c>
      <c r="AO62" s="124"/>
      <c r="AP62" s="124"/>
      <c r="AQ62" s="132">
        <f>IF(AN62&lt;=closingdate,SUMIFS($C$41:$C$135,$B$41:$B$135,"&gt;"&amp;EOMONTH(AN62,-3),$B$41:$B$135,"&lt;="&amp;AN62),IF(AND(AO62="",AP62=""),SUMIFS($AI$16:$AI$500,$AA$16:$AA$500,$AN62),INDEX($AO62:$AP62,MATCH(Portfolio!$D$9,Fund!$AO$10:$AP$10,0))*Fund!$AI$14))</f>
        <v>0</v>
      </c>
      <c r="AR62" s="138"/>
      <c r="AS62" s="136" cm="1">
        <f t="array" ref="AS62">IF(AQ62&gt;0,SUM(IF(ROW($AR$11:AR61)&gt;=MAX(IF($AQ$11:AQ61&gt;0,ROW($AQ$11:AQ61),0)),$AR$11:AR61,0)),0)+IF(AN62=MAX($AA$17,$AA$18,$AA$19,$AA$20,$AA$21,$AA$22,$AA$23,$AA$24),SUM($C$17:$C$18),0)</f>
        <v>0</v>
      </c>
      <c r="AT62" s="136">
        <f>IFERROR(SUMIFS('Interim CFs'!$H:$H,'Interim CFs'!$B:$B,$C$4,'Interim CFs'!$E:$E,"&gt;"&amp;$AN61,'Interim CFs'!$E:$E,"&lt;="&amp;$AN62)/$C$8,0)</f>
        <v>0</v>
      </c>
      <c r="AU62" s="137"/>
      <c r="AV62" s="137"/>
      <c r="AW62" s="136">
        <f t="shared" si="31"/>
        <v>0</v>
      </c>
      <c r="AX62" s="136"/>
      <c r="AY62" s="136">
        <f>IF(AW62&lt;=0,0,IF(SUM($AW$11:AW62)&lt;0,AW62,-MIN(SUM($AW$10:AW61),0)))</f>
        <v>0</v>
      </c>
      <c r="AZ62" s="136">
        <f>SUMIF($AY$11:AY62,"&gt;0",$AY$11:AY62)</f>
        <v>0</v>
      </c>
      <c r="BA62" s="136">
        <f t="shared" si="37"/>
        <v>0</v>
      </c>
      <c r="BB62" s="132">
        <f t="shared" si="36"/>
        <v>0</v>
      </c>
      <c r="BC62" s="132">
        <f t="shared" si="32"/>
        <v>0</v>
      </c>
      <c r="BD62" s="132">
        <f t="shared" si="6"/>
        <v>0</v>
      </c>
      <c r="BE62" s="132">
        <f>-IF(BD62&lt;=0,0,MIN(BD62,$BE$9+SUM($BE$10:BE61)))</f>
        <v>0</v>
      </c>
      <c r="BF62" s="136">
        <f t="shared" si="30"/>
        <v>0</v>
      </c>
      <c r="BG62" s="136">
        <f t="shared" si="33"/>
        <v>0</v>
      </c>
      <c r="BH62" s="136"/>
      <c r="BI62" s="136" t="e">
        <f t="shared" si="34"/>
        <v>#N/A</v>
      </c>
      <c r="BJ62" s="136"/>
      <c r="BK62" s="132">
        <f t="shared" si="8"/>
        <v>0</v>
      </c>
      <c r="BL62" s="136"/>
      <c r="BM62" s="132"/>
      <c r="BN62" s="143">
        <f t="shared" si="35"/>
        <v>131.5</v>
      </c>
      <c r="BO62" s="132" t="e">
        <f>IF(AN62&lt;closingdate,0,IF(AN62=closingdate,-INDEX('Pricing Table'!$C$24:$D$24,MATCH(Fund!$C$4,'Pricing Table'!$C$5:$D$5,0)),Fund!BI62))</f>
        <v>#N/A</v>
      </c>
    </row>
    <row r="63" spans="2:67" ht="15">
      <c r="B63" s="47"/>
      <c r="C63" s="48"/>
      <c r="F63"/>
      <c r="G63"/>
      <c r="H63"/>
      <c r="I63"/>
      <c r="J63"/>
      <c r="K63"/>
      <c r="L63"/>
      <c r="M63"/>
      <c r="N63"/>
      <c r="O63"/>
      <c r="P63"/>
      <c r="Q63"/>
      <c r="R63"/>
      <c r="S63"/>
      <c r="T63"/>
      <c r="U63"/>
      <c r="V63"/>
      <c r="W63"/>
      <c r="X63"/>
      <c r="Y63"/>
      <c r="AA63" s="385"/>
      <c r="AB63" s="12"/>
      <c r="AC63" s="12"/>
      <c r="AD63" s="12"/>
      <c r="AE63" s="12"/>
      <c r="AF63" s="12"/>
      <c r="AG63" s="12"/>
      <c r="AH63" s="12"/>
      <c r="AI63" s="12"/>
      <c r="AJ63" s="12"/>
      <c r="AM63" s="58">
        <f t="shared" si="27"/>
        <v>52</v>
      </c>
      <c r="AN63" s="135">
        <f t="shared" si="28"/>
        <v>48213</v>
      </c>
      <c r="AO63" s="124"/>
      <c r="AP63" s="124"/>
      <c r="AQ63" s="132">
        <f>IF(AN63&lt;=closingdate,SUMIFS($C$41:$C$135,$B$41:$B$135,"&gt;"&amp;EOMONTH(AN63,-3),$B$41:$B$135,"&lt;="&amp;AN63),IF(AND(AO63="",AP63=""),SUMIFS($AI$16:$AI$500,$AA$16:$AA$500,$AN63),INDEX($AO63:$AP63,MATCH(Portfolio!$D$9,Fund!$AO$10:$AP$10,0))*Fund!$AI$14))</f>
        <v>0</v>
      </c>
      <c r="AR63" s="138"/>
      <c r="AS63" s="136" cm="1">
        <f t="array" ref="AS63">IF(AQ63&gt;0,SUM(IF(ROW($AR$11:AR62)&gt;=MAX(IF($AQ$11:AQ62&gt;0,ROW($AQ$11:AQ62),0)),$AR$11:AR62,0)),0)+IF(AN63=MAX($AA$17,$AA$18,$AA$19,$AA$20,$AA$21,$AA$22,$AA$23,$AA$24),SUM($C$17:$C$18),0)</f>
        <v>0</v>
      </c>
      <c r="AT63" s="136">
        <f>IFERROR(SUMIFS('Interim CFs'!$H:$H,'Interim CFs'!$B:$B,$C$4,'Interim CFs'!$E:$E,"&gt;"&amp;$AN62,'Interim CFs'!$E:$E,"&lt;="&amp;$AN63)/$C$8,0)</f>
        <v>0</v>
      </c>
      <c r="AU63" s="137"/>
      <c r="AV63" s="137"/>
      <c r="AW63" s="136">
        <f t="shared" si="31"/>
        <v>0</v>
      </c>
      <c r="AX63" s="136"/>
      <c r="AY63" s="136">
        <f>IF(AW63&lt;=0,0,IF(SUM($AW$11:AW63)&lt;0,AW63,-MIN(SUM($AW$10:AW62),0)))</f>
        <v>0</v>
      </c>
      <c r="AZ63" s="136">
        <f>SUMIF($AY$11:AY63,"&gt;0",$AY$11:AY63)</f>
        <v>0</v>
      </c>
      <c r="BA63" s="136">
        <f t="shared" si="37"/>
        <v>0</v>
      </c>
      <c r="BB63" s="132">
        <f t="shared" si="36"/>
        <v>0</v>
      </c>
      <c r="BC63" s="132">
        <f t="shared" si="32"/>
        <v>0</v>
      </c>
      <c r="BD63" s="132">
        <f t="shared" si="6"/>
        <v>0</v>
      </c>
      <c r="BE63" s="132">
        <f>-IF(BD63&lt;=0,0,MIN(BD63,$BE$9+SUM($BE$10:BE62)))</f>
        <v>0</v>
      </c>
      <c r="BF63" s="136">
        <f t="shared" si="30"/>
        <v>0</v>
      </c>
      <c r="BG63" s="136">
        <f t="shared" si="33"/>
        <v>0</v>
      </c>
      <c r="BH63" s="136"/>
      <c r="BI63" s="136" t="e">
        <f t="shared" si="34"/>
        <v>#N/A</v>
      </c>
      <c r="BJ63" s="136"/>
      <c r="BK63" s="132">
        <f t="shared" si="8"/>
        <v>0</v>
      </c>
      <c r="BL63" s="136"/>
      <c r="BM63" s="132"/>
      <c r="BN63" s="143">
        <f t="shared" si="35"/>
        <v>131.75</v>
      </c>
      <c r="BO63" s="132" t="e">
        <f>IF(AN63&lt;closingdate,0,IF(AN63=closingdate,-INDEX('Pricing Table'!$C$24:$D$24,MATCH(Fund!$C$4,'Pricing Table'!$C$5:$D$5,0)),Fund!BI63))</f>
        <v>#N/A</v>
      </c>
    </row>
    <row r="64" spans="2:67" ht="15">
      <c r="B64" s="47"/>
      <c r="C64" s="48"/>
      <c r="F64"/>
      <c r="G64"/>
      <c r="H64"/>
      <c r="I64"/>
      <c r="J64"/>
      <c r="K64"/>
      <c r="L64"/>
      <c r="M64"/>
      <c r="N64"/>
      <c r="O64"/>
      <c r="P64"/>
      <c r="Q64"/>
      <c r="R64"/>
      <c r="S64"/>
      <c r="T64"/>
      <c r="U64"/>
      <c r="V64"/>
      <c r="W64"/>
      <c r="X64"/>
      <c r="Y64"/>
      <c r="AA64" s="385"/>
      <c r="AB64" s="12"/>
      <c r="AC64" s="12"/>
      <c r="AD64" s="12"/>
      <c r="AE64" s="12"/>
      <c r="AF64" s="12"/>
      <c r="AG64" s="12"/>
      <c r="AH64" s="12"/>
      <c r="AI64" s="12"/>
      <c r="AJ64" s="12"/>
      <c r="AM64" s="58">
        <f t="shared" si="27"/>
        <v>53</v>
      </c>
      <c r="AN64" s="135">
        <f t="shared" si="28"/>
        <v>48304</v>
      </c>
      <c r="AO64" s="124"/>
      <c r="AP64" s="124"/>
      <c r="AQ64" s="132">
        <f>IF(AN64&lt;=closingdate,SUMIFS($C$41:$C$135,$B$41:$B$135,"&gt;"&amp;EOMONTH(AN64,-3),$B$41:$B$135,"&lt;="&amp;AN64),IF(AND(AO64="",AP64=""),SUMIFS($AI$16:$AI$500,$AA$16:$AA$500,$AN64),INDEX($AO64:$AP64,MATCH(Portfolio!$D$9,Fund!$AO$10:$AP$10,0))*Fund!$AI$14))</f>
        <v>0</v>
      </c>
      <c r="AR64" s="138"/>
      <c r="AS64" s="136" cm="1">
        <f t="array" ref="AS64">IF(AQ64&gt;0,SUM(IF(ROW($AR$11:AR63)&gt;=MAX(IF($AQ$11:AQ63&gt;0,ROW($AQ$11:AQ63),0)),$AR$11:AR63,0)),0)+IF(AN64=MAX($AA$17,$AA$18,$AA$19,$AA$20,$AA$21,$AA$22,$AA$23,$AA$24),SUM($C$17:$C$18),0)</f>
        <v>0</v>
      </c>
      <c r="AT64" s="136">
        <f>IFERROR(SUMIFS('Interim CFs'!$H:$H,'Interim CFs'!$B:$B,$C$4,'Interim CFs'!$E:$E,"&gt;"&amp;$AN63,'Interim CFs'!$E:$E,"&lt;="&amp;$AN64)/$C$8,0)</f>
        <v>0</v>
      </c>
      <c r="AU64" s="137"/>
      <c r="AV64" s="137"/>
      <c r="AW64" s="136">
        <f t="shared" si="31"/>
        <v>0</v>
      </c>
      <c r="AX64" s="136"/>
      <c r="AY64" s="136">
        <f>IF(AW64&lt;=0,0,IF(SUM($AW$11:AW64)&lt;0,AW64,-MIN(SUM($AW$10:AW63),0)))</f>
        <v>0</v>
      </c>
      <c r="AZ64" s="136">
        <f>SUMIF($AY$11:AY64,"&gt;0",$AY$11:AY64)</f>
        <v>0</v>
      </c>
      <c r="BA64" s="136">
        <f t="shared" si="37"/>
        <v>0</v>
      </c>
      <c r="BB64" s="132">
        <f t="shared" si="36"/>
        <v>0</v>
      </c>
      <c r="BC64" s="132">
        <f t="shared" si="32"/>
        <v>0</v>
      </c>
      <c r="BD64" s="132">
        <f t="shared" si="6"/>
        <v>0</v>
      </c>
      <c r="BE64" s="132">
        <f>-IF(BD64&lt;=0,0,MIN(BD64,$BE$9+SUM($BE$10:BE63)))</f>
        <v>0</v>
      </c>
      <c r="BF64" s="136">
        <f t="shared" si="30"/>
        <v>0</v>
      </c>
      <c r="BG64" s="136">
        <f t="shared" si="33"/>
        <v>0</v>
      </c>
      <c r="BH64" s="136"/>
      <c r="BI64" s="136" t="e">
        <f t="shared" si="34"/>
        <v>#N/A</v>
      </c>
      <c r="BJ64" s="136"/>
      <c r="BK64" s="132">
        <f t="shared" si="8"/>
        <v>0</v>
      </c>
      <c r="BL64" s="136"/>
      <c r="BM64" s="132"/>
      <c r="BN64" s="143">
        <f t="shared" si="35"/>
        <v>132</v>
      </c>
      <c r="BO64" s="132" t="e">
        <f>IF(AN64&lt;closingdate,0,IF(AN64=closingdate,-INDEX('Pricing Table'!$C$24:$D$24,MATCH(Fund!$C$4,'Pricing Table'!$C$5:$D$5,0)),Fund!BI64))</f>
        <v>#N/A</v>
      </c>
    </row>
    <row r="65" spans="2:67" ht="15">
      <c r="B65" s="47"/>
      <c r="C65" s="48"/>
      <c r="F65"/>
      <c r="G65"/>
      <c r="H65"/>
      <c r="I65"/>
      <c r="J65"/>
      <c r="K65"/>
      <c r="L65"/>
      <c r="M65"/>
      <c r="N65"/>
      <c r="O65"/>
      <c r="P65"/>
      <c r="Q65"/>
      <c r="R65"/>
      <c r="S65"/>
      <c r="T65"/>
      <c r="U65"/>
      <c r="V65"/>
      <c r="W65"/>
      <c r="X65"/>
      <c r="Y65"/>
      <c r="AA65" s="385"/>
      <c r="AB65" s="12"/>
      <c r="AC65" s="12"/>
      <c r="AD65" s="12"/>
      <c r="AE65" s="12"/>
      <c r="AF65" s="12"/>
      <c r="AG65" s="12"/>
      <c r="AH65" s="12"/>
      <c r="AI65" s="12"/>
      <c r="AJ65" s="12"/>
      <c r="AM65" s="58">
        <f t="shared" si="27"/>
        <v>54</v>
      </c>
      <c r="AN65" s="135">
        <f t="shared" si="28"/>
        <v>48395</v>
      </c>
      <c r="AO65" s="124"/>
      <c r="AP65" s="124"/>
      <c r="AQ65" s="132">
        <f>IF(AN65&lt;=closingdate,SUMIFS($C$41:$C$135,$B$41:$B$135,"&gt;"&amp;EOMONTH(AN65,-3),$B$41:$B$135,"&lt;="&amp;AN65),IF(AND(AO65="",AP65=""),SUMIFS($AI$16:$AI$500,$AA$16:$AA$500,$AN65),INDEX($AO65:$AP65,MATCH(Portfolio!$D$9,Fund!$AO$10:$AP$10,0))*Fund!$AI$14))</f>
        <v>0</v>
      </c>
      <c r="AR65" s="138"/>
      <c r="AS65" s="136" cm="1">
        <f t="array" ref="AS65">IF(AQ65&gt;0,SUM(IF(ROW($AR$11:AR64)&gt;=MAX(IF($AQ$11:AQ64&gt;0,ROW($AQ$11:AQ64),0)),$AR$11:AR64,0)),0)+IF(AN65=MAX($AA$17,$AA$18,$AA$19,$AA$20,$AA$21,$AA$22,$AA$23,$AA$24),SUM($C$17:$C$18),0)</f>
        <v>0</v>
      </c>
      <c r="AT65" s="136">
        <f>IFERROR(SUMIFS('Interim CFs'!$H:$H,'Interim CFs'!$B:$B,$C$4,'Interim CFs'!$E:$E,"&gt;"&amp;$AN64,'Interim CFs'!$E:$E,"&lt;="&amp;$AN65)/$C$8,0)</f>
        <v>0</v>
      </c>
      <c r="AU65" s="137"/>
      <c r="AV65" s="137"/>
      <c r="AW65" s="136">
        <f t="shared" si="31"/>
        <v>0</v>
      </c>
      <c r="AX65" s="136"/>
      <c r="AY65" s="136">
        <f>IF(AW65&lt;=0,0,IF(SUM($AW$11:AW65)&lt;0,AW65,-MIN(SUM($AW$10:AW64),0)))</f>
        <v>0</v>
      </c>
      <c r="AZ65" s="136">
        <f>SUMIF($AY$11:AY65,"&gt;0",$AY$11:AY65)</f>
        <v>0</v>
      </c>
      <c r="BA65" s="136">
        <f t="shared" si="37"/>
        <v>0</v>
      </c>
      <c r="BB65" s="132">
        <f t="shared" si="36"/>
        <v>0</v>
      </c>
      <c r="BC65" s="132">
        <f t="shared" si="32"/>
        <v>0</v>
      </c>
      <c r="BD65" s="132">
        <f t="shared" si="6"/>
        <v>0</v>
      </c>
      <c r="BE65" s="132">
        <f>-IF(BD65&lt;=0,0,MIN(BD65,$BE$9+SUM($BE$10:BE64)))</f>
        <v>0</v>
      </c>
      <c r="BF65" s="136">
        <f t="shared" si="30"/>
        <v>0</v>
      </c>
      <c r="BG65" s="136">
        <f t="shared" si="33"/>
        <v>0</v>
      </c>
      <c r="BH65" s="136"/>
      <c r="BI65" s="136" t="e">
        <f t="shared" si="34"/>
        <v>#N/A</v>
      </c>
      <c r="BJ65" s="136"/>
      <c r="BK65" s="132">
        <f t="shared" si="8"/>
        <v>0</v>
      </c>
      <c r="BL65" s="136"/>
      <c r="BM65" s="132"/>
      <c r="BN65" s="143">
        <f t="shared" si="35"/>
        <v>132.25</v>
      </c>
      <c r="BO65" s="132" t="e">
        <f>IF(AN65&lt;closingdate,0,IF(AN65=closingdate,-INDEX('Pricing Table'!$C$24:$D$24,MATCH(Fund!$C$4,'Pricing Table'!$C$5:$D$5,0)),Fund!BI65))</f>
        <v>#N/A</v>
      </c>
    </row>
    <row r="66" spans="2:67" ht="15">
      <c r="B66" s="47"/>
      <c r="C66" s="48"/>
      <c r="F66"/>
      <c r="G66"/>
      <c r="H66"/>
      <c r="I66"/>
      <c r="J66"/>
      <c r="K66"/>
      <c r="L66"/>
      <c r="M66"/>
      <c r="N66"/>
      <c r="O66"/>
      <c r="P66"/>
      <c r="Q66"/>
      <c r="R66"/>
      <c r="S66"/>
      <c r="T66"/>
      <c r="U66"/>
      <c r="V66"/>
      <c r="W66"/>
      <c r="X66"/>
      <c r="Y66"/>
      <c r="AA66" s="385"/>
      <c r="AB66" s="12"/>
      <c r="AC66" s="12"/>
      <c r="AD66" s="9"/>
      <c r="AE66" s="12"/>
      <c r="AF66" s="12"/>
      <c r="AG66" s="12"/>
      <c r="AH66" s="12"/>
      <c r="AI66" s="12"/>
      <c r="AJ66" s="12"/>
      <c r="AM66" s="58">
        <f t="shared" si="27"/>
        <v>55</v>
      </c>
      <c r="AN66" s="135">
        <f t="shared" si="28"/>
        <v>48487</v>
      </c>
      <c r="AO66" s="124"/>
      <c r="AP66" s="124"/>
      <c r="AQ66" s="132">
        <f>IF(AN66&lt;=closingdate,SUMIFS($C$41:$C$135,$B$41:$B$135,"&gt;"&amp;EOMONTH(AN66,-3),$B$41:$B$135,"&lt;="&amp;AN66),IF(AND(AO66="",AP66=""),SUMIFS($AI$16:$AI$500,$AA$16:$AA$500,$AN66),INDEX($AO66:$AP66,MATCH(Portfolio!$D$9,Fund!$AO$10:$AP$10,0))*Fund!$AI$14))</f>
        <v>0</v>
      </c>
      <c r="AR66" s="138"/>
      <c r="AS66" s="136" cm="1">
        <f t="array" ref="AS66">IF(AQ66&gt;0,SUM(IF(ROW($AR$11:AR65)&gt;=MAX(IF($AQ$11:AQ65&gt;0,ROW($AQ$11:AQ65),0)),$AR$11:AR65,0)),0)+IF(AN66=MAX($AA$17,$AA$18,$AA$19,$AA$20,$AA$21,$AA$22,$AA$23,$AA$24),SUM($C$17:$C$18),0)</f>
        <v>0</v>
      </c>
      <c r="AT66" s="136">
        <f>IFERROR(SUMIFS('Interim CFs'!$H:$H,'Interim CFs'!$B:$B,$C$4,'Interim CFs'!$E:$E,"&gt;"&amp;$AN65,'Interim CFs'!$E:$E,"&lt;="&amp;$AN66)/$C$8,0)</f>
        <v>0</v>
      </c>
      <c r="AU66" s="137"/>
      <c r="AV66" s="137"/>
      <c r="AW66" s="136">
        <f t="shared" si="31"/>
        <v>0</v>
      </c>
      <c r="AX66" s="136"/>
      <c r="AY66" s="136">
        <f>IF(AW66&lt;=0,0,IF(SUM($AW$11:AW66)&lt;0,AW66,-MIN(SUM($AW$10:AW65),0)))</f>
        <v>0</v>
      </c>
      <c r="AZ66" s="136">
        <f>SUMIF($AY$11:AY66,"&gt;0",$AY$11:AY66)</f>
        <v>0</v>
      </c>
      <c r="BA66" s="136">
        <f t="shared" si="37"/>
        <v>0</v>
      </c>
      <c r="BB66" s="132">
        <f t="shared" si="36"/>
        <v>0</v>
      </c>
      <c r="BC66" s="132">
        <f t="shared" si="32"/>
        <v>0</v>
      </c>
      <c r="BD66" s="132">
        <f t="shared" si="6"/>
        <v>0</v>
      </c>
      <c r="BE66" s="132">
        <f>-IF(BD66&lt;=0,0,MIN(BD66,$BE$9+SUM($BE$10:BE65)))</f>
        <v>0</v>
      </c>
      <c r="BF66" s="136">
        <f t="shared" si="30"/>
        <v>0</v>
      </c>
      <c r="BG66" s="136">
        <f t="shared" si="33"/>
        <v>0</v>
      </c>
      <c r="BH66" s="136"/>
      <c r="BI66" s="136" t="e">
        <f t="shared" si="34"/>
        <v>#N/A</v>
      </c>
      <c r="BJ66" s="136"/>
      <c r="BK66" s="132">
        <f t="shared" si="8"/>
        <v>0</v>
      </c>
      <c r="BL66" s="136"/>
      <c r="BM66" s="132"/>
      <c r="BN66" s="143">
        <f t="shared" si="35"/>
        <v>132.5</v>
      </c>
      <c r="BO66" s="132" t="e">
        <f>IF(AN66&lt;closingdate,0,IF(AN66=closingdate,-INDEX('Pricing Table'!$C$24:$D$24,MATCH(Fund!$C$4,'Pricing Table'!$C$5:$D$5,0)),Fund!BI66))</f>
        <v>#N/A</v>
      </c>
    </row>
    <row r="67" spans="2:67" ht="15">
      <c r="B67" s="47"/>
      <c r="C67" s="48"/>
      <c r="F67"/>
      <c r="G67"/>
      <c r="H67"/>
      <c r="I67"/>
      <c r="J67"/>
      <c r="K67"/>
      <c r="L67"/>
      <c r="M67"/>
      <c r="N67"/>
      <c r="O67"/>
      <c r="P67"/>
      <c r="Q67"/>
      <c r="R67"/>
      <c r="S67"/>
      <c r="T67"/>
      <c r="U67"/>
      <c r="V67"/>
      <c r="W67"/>
      <c r="X67"/>
      <c r="Y67"/>
      <c r="AA67" s="385"/>
      <c r="AB67" s="12"/>
      <c r="AC67" s="12"/>
      <c r="AD67" s="12"/>
      <c r="AE67" s="5"/>
      <c r="AF67" s="12"/>
      <c r="AG67" s="12"/>
      <c r="AH67" s="12"/>
      <c r="AI67" s="12"/>
      <c r="AJ67" s="12"/>
      <c r="AM67" s="58">
        <f t="shared" si="27"/>
        <v>56</v>
      </c>
      <c r="AN67" s="135">
        <f t="shared" si="28"/>
        <v>48579</v>
      </c>
      <c r="AO67" s="124"/>
      <c r="AP67" s="124"/>
      <c r="AQ67" s="132">
        <f>IF(AN67&lt;=closingdate,SUMIFS($C$41:$C$135,$B$41:$B$135,"&gt;"&amp;EOMONTH(AN67,-3),$B$41:$B$135,"&lt;="&amp;AN67),IF(AND(AO67="",AP67=""),SUMIFS($AI$16:$AI$500,$AA$16:$AA$500,$AN67),INDEX($AO67:$AP67,MATCH(Portfolio!$D$9,Fund!$AO$10:$AP$10,0))*Fund!$AI$14))</f>
        <v>0</v>
      </c>
      <c r="AR67" s="138"/>
      <c r="AS67" s="136" cm="1">
        <f t="array" ref="AS67">IF(AQ67&gt;0,SUM(IF(ROW($AR$11:AR66)&gt;=MAX(IF($AQ$11:AQ66&gt;0,ROW($AQ$11:AQ66),0)),$AR$11:AR66,0)),0)+IF(AN67=MAX($AA$17,$AA$18,$AA$19,$AA$20,$AA$21,$AA$22,$AA$23,$AA$24),SUM($C$17:$C$18),0)</f>
        <v>0</v>
      </c>
      <c r="AT67" s="136">
        <f>IFERROR(SUMIFS('Interim CFs'!$H:$H,'Interim CFs'!$B:$B,$C$4,'Interim CFs'!$E:$E,"&gt;"&amp;$AN66,'Interim CFs'!$E:$E,"&lt;="&amp;$AN67)/$C$8,0)</f>
        <v>0</v>
      </c>
      <c r="AU67" s="137"/>
      <c r="AV67" s="137"/>
      <c r="AW67" s="136">
        <f t="shared" si="31"/>
        <v>0</v>
      </c>
      <c r="AX67" s="136"/>
      <c r="AY67" s="136">
        <f>IF(AW67&lt;=0,0,IF(SUM($AW$11:AW67)&lt;0,AW67,-MIN(SUM($AW$10:AW66),0)))</f>
        <v>0</v>
      </c>
      <c r="AZ67" s="136">
        <f>SUMIF($AY$11:AY67,"&gt;0",$AY$11:AY67)</f>
        <v>0</v>
      </c>
      <c r="BA67" s="136">
        <f t="shared" si="37"/>
        <v>0</v>
      </c>
      <c r="BB67" s="132">
        <f t="shared" si="36"/>
        <v>0</v>
      </c>
      <c r="BC67" s="132">
        <f t="shared" si="32"/>
        <v>0</v>
      </c>
      <c r="BD67" s="132">
        <f t="shared" si="6"/>
        <v>0</v>
      </c>
      <c r="BE67" s="132">
        <f>-IF(BD67&lt;=0,0,MIN(BD67,$BE$9+SUM($BE$10:BE66)))</f>
        <v>0</v>
      </c>
      <c r="BF67" s="136">
        <f t="shared" si="30"/>
        <v>0</v>
      </c>
      <c r="BG67" s="136">
        <f t="shared" si="33"/>
        <v>0</v>
      </c>
      <c r="BH67" s="136"/>
      <c r="BI67" s="136" t="e">
        <f t="shared" si="34"/>
        <v>#N/A</v>
      </c>
      <c r="BJ67" s="136"/>
      <c r="BK67" s="132">
        <f t="shared" si="8"/>
        <v>0</v>
      </c>
      <c r="BL67" s="136"/>
      <c r="BM67" s="132"/>
      <c r="BN67" s="143">
        <f t="shared" si="35"/>
        <v>132.75</v>
      </c>
      <c r="BO67" s="132" t="e">
        <f>IF(AN67&lt;closingdate,0,IF(AN67=closingdate,-INDEX('Pricing Table'!$C$24:$D$24,MATCH(Fund!$C$4,'Pricing Table'!$C$5:$D$5,0)),Fund!BI67))</f>
        <v>#N/A</v>
      </c>
    </row>
    <row r="68" spans="2:67" ht="15">
      <c r="B68" s="47"/>
      <c r="C68" s="48"/>
      <c r="F68"/>
      <c r="G68"/>
      <c r="H68"/>
      <c r="I68"/>
      <c r="J68"/>
      <c r="K68"/>
      <c r="L68"/>
      <c r="M68"/>
      <c r="N68"/>
      <c r="O68"/>
      <c r="P68"/>
      <c r="Q68"/>
      <c r="R68"/>
      <c r="S68"/>
      <c r="T68"/>
      <c r="U68"/>
      <c r="V68"/>
      <c r="W68"/>
      <c r="X68"/>
      <c r="Y68"/>
      <c r="AA68" s="385"/>
      <c r="AB68" s="12"/>
      <c r="AC68" s="12"/>
      <c r="AD68" s="12"/>
      <c r="AE68" s="12"/>
      <c r="AF68" s="12"/>
      <c r="AG68" s="12"/>
      <c r="AH68" s="12"/>
      <c r="AI68" s="12"/>
      <c r="AJ68" s="12"/>
      <c r="AM68" s="58">
        <f t="shared" si="27"/>
        <v>57</v>
      </c>
      <c r="AN68" s="135">
        <f t="shared" si="28"/>
        <v>48669</v>
      </c>
      <c r="AO68" s="124"/>
      <c r="AP68" s="124"/>
      <c r="AQ68" s="132">
        <f>IF(AN68&lt;=closingdate,SUMIFS($C$41:$C$135,$B$41:$B$135,"&gt;"&amp;EOMONTH(AN68,-3),$B$41:$B$135,"&lt;="&amp;AN68),IF(AND(AO68="",AP68=""),SUMIFS($AI$16:$AI$500,$AA$16:$AA$500,$AN68),INDEX($AO68:$AP68,MATCH(Portfolio!$D$9,Fund!$AO$10:$AP$10,0))*Fund!$AI$14))</f>
        <v>0</v>
      </c>
      <c r="AR68" s="138"/>
      <c r="AS68" s="136" cm="1">
        <f t="array" ref="AS68">IF(AQ68&gt;0,SUM(IF(ROW($AR$11:AR67)&gt;=MAX(IF($AQ$11:AQ67&gt;0,ROW($AQ$11:AQ67),0)),$AR$11:AR67,0)),0)+IF(AN68=MAX($AA$17,$AA$18,$AA$19,$AA$20,$AA$21,$AA$22,$AA$23,$AA$24),SUM($C$17:$C$18),0)</f>
        <v>0</v>
      </c>
      <c r="AT68" s="136">
        <f>IFERROR(SUMIFS('Interim CFs'!$H:$H,'Interim CFs'!$B:$B,$C$4,'Interim CFs'!$E:$E,"&gt;"&amp;$AN67,'Interim CFs'!$E:$E,"&lt;="&amp;$AN68)/$C$8,0)</f>
        <v>0</v>
      </c>
      <c r="AU68" s="137"/>
      <c r="AV68" s="137"/>
      <c r="AW68" s="136">
        <f t="shared" si="31"/>
        <v>0</v>
      </c>
      <c r="AX68" s="136"/>
      <c r="AY68" s="136">
        <f>IF(AW68&lt;=0,0,IF(SUM($AW$11:AW68)&lt;0,AW68,-MIN(SUM($AW$10:AW67),0)))</f>
        <v>0</v>
      </c>
      <c r="AZ68" s="136">
        <f>SUMIF($AY$11:AY68,"&gt;0",$AY$11:AY68)</f>
        <v>0</v>
      </c>
      <c r="BA68" s="136">
        <f t="shared" si="37"/>
        <v>0</v>
      </c>
      <c r="BB68" s="132">
        <f t="shared" si="36"/>
        <v>0</v>
      </c>
      <c r="BC68" s="132">
        <f t="shared" si="32"/>
        <v>0</v>
      </c>
      <c r="BD68" s="132">
        <f t="shared" si="6"/>
        <v>0</v>
      </c>
      <c r="BE68" s="132">
        <f>-IF(BD68&lt;=0,0,MIN(BD68,$BE$9+SUM($BE$10:BE67)))</f>
        <v>0</v>
      </c>
      <c r="BF68" s="136">
        <f t="shared" si="30"/>
        <v>0</v>
      </c>
      <c r="BG68" s="136">
        <f t="shared" si="33"/>
        <v>0</v>
      </c>
      <c r="BH68" s="136"/>
      <c r="BI68" s="136" t="e">
        <f t="shared" si="34"/>
        <v>#N/A</v>
      </c>
      <c r="BJ68" s="136"/>
      <c r="BK68" s="132">
        <f t="shared" si="8"/>
        <v>0</v>
      </c>
      <c r="BL68" s="136"/>
      <c r="BM68" s="132"/>
      <c r="BN68" s="143">
        <f t="shared" si="35"/>
        <v>133</v>
      </c>
      <c r="BO68" s="132" t="e">
        <f>IF(AN68&lt;closingdate,0,IF(AN68=closingdate,-INDEX('Pricing Table'!$C$24:$D$24,MATCH(Fund!$C$4,'Pricing Table'!$C$5:$D$5,0)),Fund!BI68))</f>
        <v>#N/A</v>
      </c>
    </row>
    <row r="69" spans="2:67" ht="15">
      <c r="B69" s="47"/>
      <c r="C69" s="48"/>
      <c r="F69"/>
      <c r="G69"/>
      <c r="H69"/>
      <c r="I69"/>
      <c r="J69"/>
      <c r="K69"/>
      <c r="L69"/>
      <c r="M69"/>
      <c r="N69"/>
      <c r="O69"/>
      <c r="P69"/>
      <c r="Q69"/>
      <c r="R69"/>
      <c r="S69"/>
      <c r="T69"/>
      <c r="U69"/>
      <c r="V69"/>
      <c r="W69"/>
      <c r="X69"/>
      <c r="Y69"/>
      <c r="AA69" s="385"/>
      <c r="AB69" s="12"/>
      <c r="AC69" s="12"/>
      <c r="AD69" s="12"/>
      <c r="AE69" s="12"/>
      <c r="AF69" s="12"/>
      <c r="AG69" s="12"/>
      <c r="AH69" s="12"/>
      <c r="AI69" s="12"/>
      <c r="AJ69" s="12">
        <f t="shared" ref="AJ69:AJ76" si="38">X69-X26</f>
        <v>0</v>
      </c>
      <c r="AM69" s="58">
        <f t="shared" si="27"/>
        <v>58</v>
      </c>
      <c r="AN69" s="135">
        <f t="shared" si="28"/>
        <v>48760</v>
      </c>
      <c r="AO69" s="124"/>
      <c r="AP69" s="124"/>
      <c r="AQ69" s="132">
        <f>IF(AN69&lt;=closingdate,SUMIFS($C$41:$C$135,$B$41:$B$135,"&gt;"&amp;EOMONTH(AN69,-3),$B$41:$B$135,"&lt;="&amp;AN69),IF(AND(AO69="",AP69=""),SUMIFS($AI$16:$AI$500,$AA$16:$AA$500,$AN69),INDEX($AO69:$AP69,MATCH(Portfolio!$D$9,Fund!$AO$10:$AP$10,0))*Fund!$AI$14))</f>
        <v>0</v>
      </c>
      <c r="AR69" s="138"/>
      <c r="AS69" s="136" cm="1">
        <f t="array" ref="AS69">IF(AQ69&gt;0,SUM(IF(ROW($AR$11:AR68)&gt;=MAX(IF($AQ$11:AQ68&gt;0,ROW($AQ$11:AQ68),0)),$AR$11:AR68,0)),0)+IF(AN69=MAX($AA$17,$AA$18,$AA$19,$AA$20,$AA$21,$AA$22,$AA$23,$AA$24),SUM($C$17:$C$18),0)</f>
        <v>0</v>
      </c>
      <c r="AT69" s="136">
        <f>IFERROR(SUMIFS('Interim CFs'!$H:$H,'Interim CFs'!$B:$B,$C$4,'Interim CFs'!$E:$E,"&gt;"&amp;$AN68,'Interim CFs'!$E:$E,"&lt;="&amp;$AN69)/$C$8,0)</f>
        <v>0</v>
      </c>
      <c r="AU69" s="137"/>
      <c r="AV69" s="137"/>
      <c r="AW69" s="136">
        <f t="shared" si="31"/>
        <v>0</v>
      </c>
      <c r="AX69" s="136"/>
      <c r="AY69" s="136">
        <f>IF(AW69&lt;=0,0,IF(SUM($AW$11:AW69)&lt;0,AW69,-MIN(SUM($AW$10:AW68),0)))</f>
        <v>0</v>
      </c>
      <c r="AZ69" s="136">
        <f>SUMIF($AY$11:AY69,"&gt;0",$AY$11:AY69)</f>
        <v>0</v>
      </c>
      <c r="BA69" s="136">
        <f t="shared" si="37"/>
        <v>0</v>
      </c>
      <c r="BB69" s="132">
        <f t="shared" si="36"/>
        <v>0</v>
      </c>
      <c r="BC69" s="132">
        <f t="shared" si="32"/>
        <v>0</v>
      </c>
      <c r="BD69" s="132">
        <f t="shared" si="6"/>
        <v>0</v>
      </c>
      <c r="BE69" s="132">
        <f>-IF(BD69&lt;=0,0,MIN(BD69,$BE$9+SUM($BE$10:BE68)))</f>
        <v>0</v>
      </c>
      <c r="BF69" s="136">
        <f t="shared" si="30"/>
        <v>0</v>
      </c>
      <c r="BG69" s="136">
        <f t="shared" si="33"/>
        <v>0</v>
      </c>
      <c r="BH69" s="136"/>
      <c r="BI69" s="136" t="e">
        <f t="shared" si="34"/>
        <v>#N/A</v>
      </c>
      <c r="BJ69" s="136"/>
      <c r="BK69" s="132">
        <f t="shared" si="8"/>
        <v>0</v>
      </c>
      <c r="BL69" s="136"/>
      <c r="BM69" s="132"/>
      <c r="BN69" s="143">
        <f t="shared" si="35"/>
        <v>133.25</v>
      </c>
      <c r="BO69" s="132" t="e">
        <f>IF(AN69&lt;closingdate,0,IF(AN69=closingdate,-INDEX('Pricing Table'!$C$24:$D$24,MATCH(Fund!$C$4,'Pricing Table'!$C$5:$D$5,0)),Fund!BI69))</f>
        <v>#N/A</v>
      </c>
    </row>
    <row r="70" spans="2:67" ht="15">
      <c r="B70" s="47"/>
      <c r="C70" s="48"/>
      <c r="F70"/>
      <c r="G70"/>
      <c r="H70"/>
      <c r="I70"/>
      <c r="J70"/>
      <c r="K70"/>
      <c r="L70"/>
      <c r="M70"/>
      <c r="N70"/>
      <c r="O70"/>
      <c r="P70"/>
      <c r="Q70"/>
      <c r="R70"/>
      <c r="S70"/>
      <c r="T70"/>
      <c r="U70"/>
      <c r="V70"/>
      <c r="W70"/>
      <c r="X70"/>
      <c r="Y70"/>
      <c r="AA70" s="385"/>
      <c r="AB70" s="12"/>
      <c r="AC70" s="12"/>
      <c r="AD70" s="12"/>
      <c r="AE70" s="12"/>
      <c r="AF70" s="12"/>
      <c r="AG70" s="12"/>
      <c r="AH70" s="12"/>
      <c r="AI70" s="12"/>
      <c r="AJ70" s="12">
        <f t="shared" si="38"/>
        <v>0</v>
      </c>
      <c r="AM70" s="58">
        <f t="shared" si="27"/>
        <v>59</v>
      </c>
      <c r="AN70" s="135">
        <f t="shared" si="28"/>
        <v>48852</v>
      </c>
      <c r="AO70" s="124"/>
      <c r="AP70" s="124"/>
      <c r="AQ70" s="132">
        <f>IF(AN70&lt;=closingdate,SUMIFS($C$41:$C$135,$B$41:$B$135,"&gt;"&amp;EOMONTH(AN70,-3),$B$41:$B$135,"&lt;="&amp;AN70),IF(AND(AO70="",AP70=""),SUMIFS($AI$16:$AI$500,$AA$16:$AA$500,$AN70),INDEX($AO70:$AP70,MATCH(Portfolio!$D$9,Fund!$AO$10:$AP$10,0))*Fund!$AI$14))</f>
        <v>0</v>
      </c>
      <c r="AR70" s="138"/>
      <c r="AS70" s="136" cm="1">
        <f t="array" ref="AS70">IF(AQ70&gt;0,SUM(IF(ROW($AR$11:AR69)&gt;=MAX(IF($AQ$11:AQ69&gt;0,ROW($AQ$11:AQ69),0)),$AR$11:AR69,0)),0)+IF(AN70=MAX($AA$17,$AA$18,$AA$19,$AA$20,$AA$21,$AA$22,$AA$23,$AA$24),SUM($C$17:$C$18),0)</f>
        <v>0</v>
      </c>
      <c r="AT70" s="136">
        <f>IFERROR(SUMIFS('Interim CFs'!$H:$H,'Interim CFs'!$B:$B,$C$4,'Interim CFs'!$E:$E,"&gt;"&amp;$AN69,'Interim CFs'!$E:$E,"&lt;="&amp;$AN70)/$C$8,0)</f>
        <v>0</v>
      </c>
      <c r="AU70" s="137"/>
      <c r="AV70" s="137"/>
      <c r="AW70" s="136">
        <f t="shared" si="31"/>
        <v>0</v>
      </c>
      <c r="AX70" s="136"/>
      <c r="AY70" s="136">
        <f>IF(AW70&lt;=0,0,IF(SUM($AW$11:AW70)&lt;0,AW70,-MIN(SUM($AW$10:AW69),0)))</f>
        <v>0</v>
      </c>
      <c r="AZ70" s="136">
        <f>SUMIF($AY$11:AY70,"&gt;0",$AY$11:AY70)</f>
        <v>0</v>
      </c>
      <c r="BA70" s="136">
        <f t="shared" si="37"/>
        <v>0</v>
      </c>
      <c r="BB70" s="132">
        <f t="shared" si="36"/>
        <v>0</v>
      </c>
      <c r="BC70" s="132">
        <f t="shared" si="32"/>
        <v>0</v>
      </c>
      <c r="BD70" s="132">
        <f t="shared" si="6"/>
        <v>0</v>
      </c>
      <c r="BE70" s="132">
        <f>-IF(BD70&lt;=0,0,MIN(BD70,$BE$9+SUM($BE$10:BE69)))</f>
        <v>0</v>
      </c>
      <c r="BF70" s="136">
        <f t="shared" si="30"/>
        <v>0</v>
      </c>
      <c r="BG70" s="136">
        <f t="shared" si="33"/>
        <v>0</v>
      </c>
      <c r="BH70" s="136"/>
      <c r="BI70" s="136" t="e">
        <f t="shared" si="34"/>
        <v>#N/A</v>
      </c>
      <c r="BJ70" s="136"/>
      <c r="BK70" s="132">
        <f t="shared" si="8"/>
        <v>0</v>
      </c>
      <c r="BL70" s="136"/>
      <c r="BM70" s="132"/>
      <c r="BN70" s="143">
        <f t="shared" si="35"/>
        <v>133.5</v>
      </c>
      <c r="BO70" s="132" t="e">
        <f>IF(AN70&lt;closingdate,0,IF(AN70=closingdate,-INDEX('Pricing Table'!$C$24:$D$24,MATCH(Fund!$C$4,'Pricing Table'!$C$5:$D$5,0)),Fund!BI70))</f>
        <v>#N/A</v>
      </c>
    </row>
    <row r="71" spans="2:67" ht="15">
      <c r="B71" s="47"/>
      <c r="C71" s="48"/>
      <c r="F71"/>
      <c r="G71"/>
      <c r="H71"/>
      <c r="I71"/>
      <c r="J71"/>
      <c r="K71"/>
      <c r="L71"/>
      <c r="M71"/>
      <c r="N71"/>
      <c r="O71"/>
      <c r="P71"/>
      <c r="Q71"/>
      <c r="R71"/>
      <c r="S71"/>
      <c r="T71"/>
      <c r="U71"/>
      <c r="V71"/>
      <c r="W71"/>
      <c r="X71"/>
      <c r="Y71"/>
      <c r="AA71" s="385"/>
      <c r="AB71" s="12"/>
      <c r="AC71" s="12"/>
      <c r="AD71" s="12"/>
      <c r="AE71" s="12"/>
      <c r="AF71" s="12"/>
      <c r="AG71" s="12"/>
      <c r="AH71" s="12"/>
      <c r="AI71" s="12"/>
      <c r="AJ71" s="12">
        <f t="shared" si="38"/>
        <v>0</v>
      </c>
      <c r="AM71" s="58">
        <f t="shared" si="27"/>
        <v>60</v>
      </c>
      <c r="AN71" s="135">
        <f t="shared" si="28"/>
        <v>48944</v>
      </c>
      <c r="AO71" s="124"/>
      <c r="AP71" s="124"/>
      <c r="AQ71" s="132">
        <f>IF(AN71&lt;=closingdate,SUMIFS($C$41:$C$135,$B$41:$B$135,"&gt;"&amp;EOMONTH(AN71,-3),$B$41:$B$135,"&lt;="&amp;AN71),IF(AND(AO71="",AP71=""),SUMIFS($AI$16:$AI$500,$AA$16:$AA$500,$AN71),INDEX($AO71:$AP71,MATCH(Portfolio!$D$9,Fund!$AO$10:$AP$10,0))*Fund!$AI$14))</f>
        <v>0</v>
      </c>
      <c r="AR71" s="138"/>
      <c r="AS71" s="136" cm="1">
        <f t="array" ref="AS71">IF(AQ71&gt;0,SUM(IF(ROW($AR$11:AR70)&gt;=MAX(IF($AQ$11:AQ70&gt;0,ROW($AQ$11:AQ70),0)),$AR$11:AR70,0)),0)+IF(AN71=MAX($AA$17,$AA$18,$AA$19,$AA$20,$AA$21,$AA$22,$AA$23,$AA$24),SUM($C$17:$C$18),0)</f>
        <v>0</v>
      </c>
      <c r="AT71" s="136">
        <f>IFERROR(SUMIFS('Interim CFs'!$H:$H,'Interim CFs'!$B:$B,$C$4,'Interim CFs'!$E:$E,"&gt;"&amp;$AN70,'Interim CFs'!$E:$E,"&lt;="&amp;$AN71)/$C$8,0)</f>
        <v>0</v>
      </c>
      <c r="AU71" s="137"/>
      <c r="AV71" s="137"/>
      <c r="AW71" s="136">
        <f t="shared" si="31"/>
        <v>0</v>
      </c>
      <c r="AX71" s="136"/>
      <c r="AY71" s="136">
        <f>IF(AW71&lt;=0,0,IF(SUM($AW$11:AW71)&lt;0,AW71,-MIN(SUM($AW$10:AW70),0)))</f>
        <v>0</v>
      </c>
      <c r="AZ71" s="136">
        <f>SUMIF($AY$11:AY71,"&gt;0",$AY$11:AY71)</f>
        <v>0</v>
      </c>
      <c r="BA71" s="136">
        <f t="shared" si="37"/>
        <v>0</v>
      </c>
      <c r="BB71" s="132">
        <f t="shared" si="36"/>
        <v>0</v>
      </c>
      <c r="BC71" s="132">
        <f t="shared" si="32"/>
        <v>0</v>
      </c>
      <c r="BD71" s="132">
        <f t="shared" si="6"/>
        <v>0</v>
      </c>
      <c r="BE71" s="132">
        <f>-IF(BD71&lt;=0,0,MIN(BD71,$BE$9+SUM($BE$10:BE70)))</f>
        <v>0</v>
      </c>
      <c r="BF71" s="136">
        <f t="shared" si="30"/>
        <v>0</v>
      </c>
      <c r="BG71" s="136">
        <f t="shared" si="33"/>
        <v>0</v>
      </c>
      <c r="BH71" s="136"/>
      <c r="BI71" s="136" t="e">
        <f t="shared" si="34"/>
        <v>#N/A</v>
      </c>
      <c r="BJ71" s="136"/>
      <c r="BK71" s="132">
        <f t="shared" si="8"/>
        <v>0</v>
      </c>
      <c r="BL71" s="136"/>
      <c r="BM71" s="132"/>
      <c r="BN71" s="143">
        <f t="shared" si="35"/>
        <v>133.75</v>
      </c>
      <c r="BO71" s="132" t="e">
        <f>IF(AN71&lt;closingdate,0,IF(AN71=closingdate,-INDEX('Pricing Table'!$C$24:$D$24,MATCH(Fund!$C$4,'Pricing Table'!$C$5:$D$5,0)),Fund!BI71))</f>
        <v>#N/A</v>
      </c>
    </row>
    <row r="72" spans="2:67" ht="15">
      <c r="B72" s="47"/>
      <c r="C72" s="48"/>
      <c r="F72"/>
      <c r="G72"/>
      <c r="H72"/>
      <c r="I72"/>
      <c r="J72"/>
      <c r="K72"/>
      <c r="L72"/>
      <c r="M72"/>
      <c r="N72"/>
      <c r="O72"/>
      <c r="P72"/>
      <c r="Q72"/>
      <c r="R72"/>
      <c r="S72"/>
      <c r="T72"/>
      <c r="U72"/>
      <c r="V72"/>
      <c r="W72"/>
      <c r="X72"/>
      <c r="Y72"/>
      <c r="AA72" s="385"/>
      <c r="AB72" s="12"/>
      <c r="AC72" s="12"/>
      <c r="AD72" s="12"/>
      <c r="AE72" s="12"/>
      <c r="AF72" s="12"/>
      <c r="AG72" s="12"/>
      <c r="AH72" s="12"/>
      <c r="AI72" s="12"/>
      <c r="AJ72" s="12">
        <f t="shared" si="38"/>
        <v>0</v>
      </c>
      <c r="AM72" s="58">
        <f t="shared" si="27"/>
        <v>61</v>
      </c>
      <c r="AN72" s="135">
        <f t="shared" si="28"/>
        <v>49034</v>
      </c>
      <c r="AO72" s="124"/>
      <c r="AP72" s="124"/>
      <c r="AQ72" s="132">
        <f>IF(AN72&lt;=closingdate,SUMIFS($C$41:$C$135,$B$41:$B$135,"&gt;"&amp;EOMONTH(AN72,-3),$B$41:$B$135,"&lt;="&amp;AN72),IF(AND(AO72="",AP72=""),SUMIFS($AI$16:$AI$500,$AA$16:$AA$500,$AN72),INDEX($AO72:$AP72,MATCH(Portfolio!$D$9,Fund!$AO$10:$AP$10,0))*Fund!$AI$14))</f>
        <v>0</v>
      </c>
      <c r="AR72" s="138"/>
      <c r="AS72" s="136" cm="1">
        <f t="array" ref="AS72">IF(AQ72&gt;0,SUM(IF(ROW($AR$11:AR71)&gt;=MAX(IF($AQ$11:AQ71&gt;0,ROW($AQ$11:AQ71),0)),$AR$11:AR71,0)),0)+IF(AN72=MAX($AA$17,$AA$18,$AA$19,$AA$20,$AA$21,$AA$22,$AA$23,$AA$24),SUM($C$17:$C$18),0)</f>
        <v>0</v>
      </c>
      <c r="AT72" s="136">
        <f>IFERROR(SUMIFS('Interim CFs'!$H:$H,'Interim CFs'!$B:$B,$C$4,'Interim CFs'!$E:$E,"&gt;"&amp;$AN71,'Interim CFs'!$E:$E,"&lt;="&amp;$AN72)/$C$8,0)</f>
        <v>0</v>
      </c>
      <c r="AU72" s="137"/>
      <c r="AV72" s="137"/>
      <c r="AW72" s="136">
        <f t="shared" si="31"/>
        <v>0</v>
      </c>
      <c r="AX72" s="136"/>
      <c r="AY72" s="136">
        <f>IF(AW72&lt;=0,0,IF(SUM($AW$11:AW72)&lt;0,AW72,-MIN(SUM($AW$10:AW71),0)))</f>
        <v>0</v>
      </c>
      <c r="AZ72" s="136">
        <f>SUMIF($AY$11:AY72,"&gt;0",$AY$11:AY72)</f>
        <v>0</v>
      </c>
      <c r="BA72" s="136">
        <f t="shared" si="37"/>
        <v>0</v>
      </c>
      <c r="BB72" s="132">
        <f t="shared" si="36"/>
        <v>0</v>
      </c>
      <c r="BC72" s="132">
        <f t="shared" si="32"/>
        <v>0</v>
      </c>
      <c r="BD72" s="132">
        <f t="shared" si="6"/>
        <v>0</v>
      </c>
      <c r="BE72" s="132">
        <f>-IF(BD72&lt;=0,0,MIN(BD72,$BE$9+SUM($BE$10:BE71)))</f>
        <v>0</v>
      </c>
      <c r="BF72" s="136">
        <f t="shared" si="30"/>
        <v>0</v>
      </c>
      <c r="BG72" s="136">
        <f t="shared" si="33"/>
        <v>0</v>
      </c>
      <c r="BH72" s="136"/>
      <c r="BI72" s="136" t="e">
        <f t="shared" si="34"/>
        <v>#N/A</v>
      </c>
      <c r="BJ72" s="136"/>
      <c r="BK72" s="132">
        <f t="shared" si="8"/>
        <v>0</v>
      </c>
      <c r="BL72" s="136"/>
      <c r="BM72" s="132"/>
      <c r="BN72" s="143">
        <f t="shared" si="35"/>
        <v>134</v>
      </c>
      <c r="BO72" s="132" t="e">
        <f>IF(AN72&lt;closingdate,0,IF(AN72=closingdate,-INDEX('Pricing Table'!$C$24:$D$24,MATCH(Fund!$C$4,'Pricing Table'!$C$5:$D$5,0)),Fund!BI72))</f>
        <v>#N/A</v>
      </c>
    </row>
    <row r="73" spans="2:67" ht="15">
      <c r="B73" s="47"/>
      <c r="C73" s="48"/>
      <c r="F73"/>
      <c r="G73"/>
      <c r="H73"/>
      <c r="I73"/>
      <c r="J73"/>
      <c r="K73"/>
      <c r="L73"/>
      <c r="M73"/>
      <c r="N73"/>
      <c r="O73"/>
      <c r="P73"/>
      <c r="Q73"/>
      <c r="R73"/>
      <c r="S73"/>
      <c r="T73"/>
      <c r="U73"/>
      <c r="V73"/>
      <c r="W73"/>
      <c r="X73"/>
      <c r="Y73"/>
      <c r="AA73" s="385"/>
      <c r="AB73" s="12"/>
      <c r="AC73" s="12"/>
      <c r="AD73" s="12"/>
      <c r="AE73" s="12"/>
      <c r="AF73" s="12"/>
      <c r="AG73" s="12"/>
      <c r="AH73" s="12"/>
      <c r="AI73" s="12"/>
      <c r="AJ73" s="12">
        <f t="shared" si="38"/>
        <v>0</v>
      </c>
      <c r="AM73" s="58">
        <f t="shared" si="27"/>
        <v>62</v>
      </c>
      <c r="AN73" s="135">
        <f t="shared" si="28"/>
        <v>49125</v>
      </c>
      <c r="AO73" s="124"/>
      <c r="AP73" s="124"/>
      <c r="AQ73" s="132">
        <f>IF(AN73&lt;=closingdate,SUMIFS($C$41:$C$135,$B$41:$B$135,"&gt;"&amp;EOMONTH(AN73,-3),$B$41:$B$135,"&lt;="&amp;AN73),IF(AND(AO73="",AP73=""),SUMIFS($AI$16:$AI$500,$AA$16:$AA$500,$AN73),INDEX($AO73:$AP73,MATCH(Portfolio!$D$9,Fund!$AO$10:$AP$10,0))*Fund!$AI$14))</f>
        <v>0</v>
      </c>
      <c r="AR73" s="138"/>
      <c r="AS73" s="136" cm="1">
        <f t="array" ref="AS73">IF(AQ73&gt;0,SUM(IF(ROW($AR$11:AR72)&gt;=MAX(IF($AQ$11:AQ72&gt;0,ROW($AQ$11:AQ72),0)),$AR$11:AR72,0)),0)+IF(AN73=MAX($AA$17,$AA$18,$AA$19,$AA$20,$AA$21,$AA$22,$AA$23,$AA$24),SUM($C$17:$C$18),0)</f>
        <v>0</v>
      </c>
      <c r="AT73" s="136">
        <f>IFERROR(SUMIFS('Interim CFs'!$H:$H,'Interim CFs'!$B:$B,$C$4,'Interim CFs'!$E:$E,"&gt;"&amp;$AN72,'Interim CFs'!$E:$E,"&lt;="&amp;$AN73)/$C$8,0)</f>
        <v>0</v>
      </c>
      <c r="AU73" s="137"/>
      <c r="AV73" s="137"/>
      <c r="AW73" s="136">
        <f t="shared" si="31"/>
        <v>0</v>
      </c>
      <c r="AX73" s="136"/>
      <c r="AY73" s="136">
        <f>IF(AW73&lt;=0,0,IF(SUM($AW$11:AW73)&lt;0,AW73,-MIN(SUM($AW$10:AW72),0)))</f>
        <v>0</v>
      </c>
      <c r="AZ73" s="136">
        <f>SUMIF($AY$11:AY73,"&gt;0",$AY$11:AY73)</f>
        <v>0</v>
      </c>
      <c r="BA73" s="136">
        <f t="shared" si="37"/>
        <v>0</v>
      </c>
      <c r="BB73" s="132">
        <f t="shared" si="36"/>
        <v>0</v>
      </c>
      <c r="BC73" s="132">
        <f t="shared" si="32"/>
        <v>0</v>
      </c>
      <c r="BD73" s="132">
        <f t="shared" si="6"/>
        <v>0</v>
      </c>
      <c r="BE73" s="132">
        <f>-IF(BD73&lt;=0,0,MIN(BD73,$BE$9+SUM($BE$10:BE72)))</f>
        <v>0</v>
      </c>
      <c r="BF73" s="136">
        <f t="shared" si="30"/>
        <v>0</v>
      </c>
      <c r="BG73" s="136">
        <f t="shared" si="33"/>
        <v>0</v>
      </c>
      <c r="BH73" s="136"/>
      <c r="BI73" s="136" t="e">
        <f t="shared" si="34"/>
        <v>#N/A</v>
      </c>
      <c r="BJ73" s="136"/>
      <c r="BK73" s="132">
        <f t="shared" si="8"/>
        <v>0</v>
      </c>
      <c r="BL73" s="136"/>
      <c r="BM73" s="132"/>
      <c r="BN73" s="143">
        <f t="shared" si="35"/>
        <v>134.25</v>
      </c>
      <c r="BO73" s="132" t="e">
        <f>IF(AN73&lt;closingdate,0,IF(AN73=closingdate,-INDEX('Pricing Table'!$C$24:$D$24,MATCH(Fund!$C$4,'Pricing Table'!$C$5:$D$5,0)),Fund!BI73))</f>
        <v>#N/A</v>
      </c>
    </row>
    <row r="74" spans="2:67" ht="15">
      <c r="B74" s="47"/>
      <c r="C74" s="48"/>
      <c r="F74"/>
      <c r="G74"/>
      <c r="H74"/>
      <c r="I74"/>
      <c r="J74"/>
      <c r="K74"/>
      <c r="L74"/>
      <c r="M74"/>
      <c r="N74"/>
      <c r="O74"/>
      <c r="P74"/>
      <c r="Q74"/>
      <c r="R74"/>
      <c r="S74"/>
      <c r="T74"/>
      <c r="U74"/>
      <c r="V74"/>
      <c r="W74"/>
      <c r="X74"/>
      <c r="Y74"/>
      <c r="AA74" s="385"/>
      <c r="AB74" s="12"/>
      <c r="AC74" s="12"/>
      <c r="AD74" s="12"/>
      <c r="AE74" s="12"/>
      <c r="AF74" s="12"/>
      <c r="AG74" s="12"/>
      <c r="AH74" s="12"/>
      <c r="AI74" s="12"/>
      <c r="AJ74" s="12">
        <f t="shared" si="38"/>
        <v>0</v>
      </c>
      <c r="AM74" s="58">
        <f t="shared" si="27"/>
        <v>63</v>
      </c>
      <c r="AN74" s="135">
        <f t="shared" si="28"/>
        <v>49217</v>
      </c>
      <c r="AO74" s="124"/>
      <c r="AP74" s="124"/>
      <c r="AQ74" s="132">
        <f>IF(AN74&lt;=closingdate,SUMIFS($C$41:$C$135,$B$41:$B$135,"&gt;"&amp;EOMONTH(AN74,-3),$B$41:$B$135,"&lt;="&amp;AN74),IF(AND(AO74="",AP74=""),SUMIFS($AI$16:$AI$500,$AA$16:$AA$500,$AN74),INDEX($AO74:$AP74,MATCH(Portfolio!$D$9,Fund!$AO$10:$AP$10,0))*Fund!$AI$14))</f>
        <v>0</v>
      </c>
      <c r="AR74" s="138"/>
      <c r="AS74" s="136" cm="1">
        <f t="array" ref="AS74">IF(AQ74&gt;0,SUM(IF(ROW($AR$11:AR73)&gt;=MAX(IF($AQ$11:AQ73&gt;0,ROW($AQ$11:AQ73),0)),$AR$11:AR73,0)),0)+IF(AN74=MAX($AA$17,$AA$18,$AA$19,$AA$20,$AA$21,$AA$22,$AA$23,$AA$24),SUM($C$17:$C$18),0)</f>
        <v>0</v>
      </c>
      <c r="AT74" s="136">
        <f>IFERROR(SUMIFS('Interim CFs'!$H:$H,'Interim CFs'!$B:$B,$C$4,'Interim CFs'!$E:$E,"&gt;"&amp;$AN73,'Interim CFs'!$E:$E,"&lt;="&amp;$AN74)/$C$8,0)</f>
        <v>0</v>
      </c>
      <c r="AU74" s="137"/>
      <c r="AV74" s="137"/>
      <c r="AW74" s="136">
        <f t="shared" si="31"/>
        <v>0</v>
      </c>
      <c r="AX74" s="136"/>
      <c r="AY74" s="136">
        <f>IF(AW74&lt;=0,0,IF(SUM($AW$11:AW74)&lt;0,AW74,-MIN(SUM($AW$10:AW73),0)))</f>
        <v>0</v>
      </c>
      <c r="AZ74" s="136">
        <f>SUMIF($AY$11:AY74,"&gt;0",$AY$11:AY74)</f>
        <v>0</v>
      </c>
      <c r="BA74" s="136">
        <f t="shared" si="37"/>
        <v>0</v>
      </c>
      <c r="BB74" s="132">
        <f t="shared" si="36"/>
        <v>0</v>
      </c>
      <c r="BC74" s="132">
        <f t="shared" si="32"/>
        <v>0</v>
      </c>
      <c r="BD74" s="132">
        <f t="shared" si="6"/>
        <v>0</v>
      </c>
      <c r="BE74" s="132">
        <f>-IF(BD74&lt;=0,0,MIN(BD74,$BE$9+SUM($BE$10:BE73)))</f>
        <v>0</v>
      </c>
      <c r="BF74" s="136">
        <f t="shared" si="30"/>
        <v>0</v>
      </c>
      <c r="BG74" s="136">
        <f t="shared" si="33"/>
        <v>0</v>
      </c>
      <c r="BH74" s="136"/>
      <c r="BI74" s="136" t="e">
        <f t="shared" si="34"/>
        <v>#N/A</v>
      </c>
      <c r="BJ74" s="136"/>
      <c r="BK74" s="132">
        <f t="shared" si="8"/>
        <v>0</v>
      </c>
      <c r="BL74" s="136"/>
      <c r="BM74" s="132"/>
      <c r="BN74" s="143">
        <f t="shared" si="35"/>
        <v>134.5</v>
      </c>
      <c r="BO74" s="132" t="e">
        <f>IF(AN74&lt;closingdate,0,IF(AN74=closingdate,-INDEX('Pricing Table'!$C$24:$D$24,MATCH(Fund!$C$4,'Pricing Table'!$C$5:$D$5,0)),Fund!BI74))</f>
        <v>#N/A</v>
      </c>
    </row>
    <row r="75" spans="2:67" ht="15">
      <c r="B75" s="47"/>
      <c r="C75" s="48"/>
      <c r="F75"/>
      <c r="G75"/>
      <c r="H75"/>
      <c r="I75"/>
      <c r="J75"/>
      <c r="K75"/>
      <c r="L75"/>
      <c r="M75"/>
      <c r="N75"/>
      <c r="O75"/>
      <c r="P75"/>
      <c r="Q75"/>
      <c r="R75"/>
      <c r="S75"/>
      <c r="T75"/>
      <c r="U75"/>
      <c r="V75"/>
      <c r="W75"/>
      <c r="X75"/>
      <c r="Y75"/>
      <c r="AA75" s="385"/>
      <c r="AB75" s="12"/>
      <c r="AC75" s="12"/>
      <c r="AD75" s="12"/>
      <c r="AE75" s="12"/>
      <c r="AF75" s="12"/>
      <c r="AG75" s="12"/>
      <c r="AH75" s="12"/>
      <c r="AI75" s="12"/>
      <c r="AJ75" s="12">
        <f t="shared" si="38"/>
        <v>0</v>
      </c>
      <c r="AM75" s="58">
        <f t="shared" si="27"/>
        <v>64</v>
      </c>
      <c r="AN75" s="135">
        <f t="shared" si="28"/>
        <v>49309</v>
      </c>
      <c r="AO75" s="124"/>
      <c r="AP75" s="124"/>
      <c r="AQ75" s="132">
        <f>IF(AN75&lt;=closingdate,SUMIFS($C$41:$C$135,$B$41:$B$135,"&gt;"&amp;EOMONTH(AN75,-3),$B$41:$B$135,"&lt;="&amp;AN75),IF(AND(AO75="",AP75=""),SUMIFS($AI$16:$AI$500,$AA$16:$AA$500,$AN75),INDEX($AO75:$AP75,MATCH(Portfolio!$D$9,Fund!$AO$10:$AP$10,0))*Fund!$AI$14))</f>
        <v>0</v>
      </c>
      <c r="AR75" s="138"/>
      <c r="AS75" s="136" cm="1">
        <f t="array" ref="AS75">IF(AQ75&gt;0,SUM(IF(ROW($AR$11:AR74)&gt;=MAX(IF($AQ$11:AQ74&gt;0,ROW($AQ$11:AQ74),0)),$AR$11:AR74,0)),0)+IF(AN75=MAX($AA$17,$AA$18,$AA$19,$AA$20,$AA$21,$AA$22,$AA$23,$AA$24),SUM($C$17:$C$18),0)</f>
        <v>0</v>
      </c>
      <c r="AT75" s="136">
        <f>IFERROR(SUMIFS('Interim CFs'!$H:$H,'Interim CFs'!$B:$B,$C$4,'Interim CFs'!$E:$E,"&gt;"&amp;$AN74,'Interim CFs'!$E:$E,"&lt;="&amp;$AN75)/$C$8,0)</f>
        <v>0</v>
      </c>
      <c r="AU75" s="137"/>
      <c r="AV75" s="137"/>
      <c r="AW75" s="136">
        <f>SUM(AQ75:AV75)</f>
        <v>0</v>
      </c>
      <c r="AX75" s="136"/>
      <c r="AY75" s="136">
        <f>IF(AW75&lt;=0,0,IF(SUM($AW$11:AW75)&lt;0,AW75,-MIN(SUM($AW$10:AW74),0)))</f>
        <v>0</v>
      </c>
      <c r="AZ75" s="136">
        <f>SUMIF($AY$11:AY75,"&gt;0",$AY$11:AY75)</f>
        <v>0</v>
      </c>
      <c r="BA75" s="136">
        <f t="shared" si="37"/>
        <v>0</v>
      </c>
      <c r="BB75" s="132">
        <f t="shared" si="36"/>
        <v>0</v>
      </c>
      <c r="BC75" s="132">
        <f t="shared" ref="BC75" si="39">IF(AW75&lt;=0,0,IF(AND(BB74&gt;0,BB75&gt;0),0,MIN(BA75,-(BB74+AY75))))</f>
        <v>0</v>
      </c>
      <c r="BD75" s="132">
        <f t="shared" ref="BD75" si="40">BA75-BC75</f>
        <v>0</v>
      </c>
      <c r="BE75" s="132">
        <f>-IF(BD75&lt;=0,0,MIN(BD75,$BE$9+SUM($BE$10:BE74)))</f>
        <v>0</v>
      </c>
      <c r="BF75" s="136">
        <f t="shared" ref="BF75" si="41">BD75+BE75</f>
        <v>0</v>
      </c>
      <c r="BG75" s="136">
        <f t="shared" ref="BG75" si="42">IF(AZ75&lt;$AY$9,0,IF($C$26=0,IF(BA75&lt;=0,0,-$C$27*BA75),IF(BF75&lt;=0,0,-$C$27*BF75)))</f>
        <v>0</v>
      </c>
      <c r="BH75" s="136"/>
      <c r="BI75" s="136" t="e">
        <f t="shared" si="34"/>
        <v>#N/A</v>
      </c>
      <c r="BJ75" s="136"/>
      <c r="BK75" s="132">
        <f t="shared" si="8"/>
        <v>0</v>
      </c>
      <c r="BL75" s="136"/>
      <c r="BM75" s="132"/>
      <c r="BN75" s="143">
        <f t="shared" si="35"/>
        <v>134.75</v>
      </c>
      <c r="BO75" s="132" t="e">
        <f>IF(AN75&lt;closingdate,0,IF(AN75=closingdate,-INDEX('Pricing Table'!$C$24:$D$24,MATCH(Fund!$C$4,'Pricing Table'!$C$5:$D$5,0)),Fund!BI75))</f>
        <v>#N/A</v>
      </c>
    </row>
    <row r="76" spans="2:67" ht="15">
      <c r="B76" s="47"/>
      <c r="C76" s="48"/>
      <c r="F76"/>
      <c r="G76"/>
      <c r="H76"/>
      <c r="I76"/>
      <c r="J76"/>
      <c r="K76"/>
      <c r="L76"/>
      <c r="M76"/>
      <c r="N76"/>
      <c r="O76"/>
      <c r="P76"/>
      <c r="Q76"/>
      <c r="R76"/>
      <c r="S76"/>
      <c r="T76"/>
      <c r="U76"/>
      <c r="V76"/>
      <c r="W76"/>
      <c r="X76"/>
      <c r="Y76"/>
      <c r="AA76" s="385"/>
      <c r="AB76" s="12"/>
      <c r="AC76" s="12"/>
      <c r="AD76" s="12"/>
      <c r="AE76" s="12"/>
      <c r="AF76" s="12"/>
      <c r="AG76" s="12"/>
      <c r="AH76" s="12"/>
      <c r="AI76" s="12"/>
      <c r="AJ76" s="12">
        <f t="shared" si="38"/>
        <v>0</v>
      </c>
      <c r="AZ76" s="12"/>
    </row>
    <row r="77" spans="2:67" ht="15">
      <c r="B77" s="47"/>
      <c r="C77" s="48"/>
      <c r="F77"/>
      <c r="G77"/>
      <c r="H77"/>
      <c r="I77"/>
      <c r="J77"/>
      <c r="K77"/>
      <c r="L77"/>
      <c r="M77"/>
      <c r="N77"/>
      <c r="O77"/>
      <c r="P77"/>
      <c r="Q77"/>
      <c r="R77"/>
      <c r="S77"/>
      <c r="T77"/>
      <c r="U77"/>
      <c r="V77"/>
      <c r="W77"/>
      <c r="X77"/>
      <c r="Y77"/>
      <c r="AZ77" s="12"/>
    </row>
    <row r="78" spans="2:67" ht="15">
      <c r="B78" s="47"/>
      <c r="C78" s="48"/>
      <c r="F78"/>
      <c r="G78"/>
      <c r="H78"/>
      <c r="I78"/>
      <c r="J78"/>
      <c r="K78"/>
      <c r="L78"/>
      <c r="M78"/>
      <c r="N78"/>
      <c r="O78"/>
      <c r="P78"/>
      <c r="Q78"/>
      <c r="R78"/>
      <c r="S78"/>
      <c r="T78"/>
      <c r="U78"/>
      <c r="V78"/>
      <c r="W78"/>
      <c r="X78"/>
      <c r="Y78"/>
      <c r="AZ78" s="12"/>
    </row>
    <row r="79" spans="2:67" ht="15">
      <c r="B79" s="47"/>
      <c r="C79" s="48"/>
      <c r="F79"/>
      <c r="G79"/>
      <c r="H79"/>
      <c r="I79"/>
      <c r="J79"/>
      <c r="K79"/>
      <c r="L79"/>
      <c r="M79"/>
      <c r="N79"/>
      <c r="O79"/>
      <c r="P79"/>
      <c r="Q79"/>
      <c r="R79"/>
      <c r="S79"/>
      <c r="T79"/>
      <c r="U79"/>
      <c r="V79"/>
      <c r="W79"/>
      <c r="X79"/>
      <c r="Y79"/>
      <c r="AZ79" s="12"/>
    </row>
    <row r="80" spans="2:67" ht="15">
      <c r="B80" s="47"/>
      <c r="C80" s="48"/>
      <c r="F80"/>
      <c r="G80"/>
      <c r="H80"/>
      <c r="I80"/>
      <c r="J80"/>
      <c r="K80"/>
      <c r="L80"/>
      <c r="M80"/>
      <c r="N80"/>
      <c r="O80"/>
      <c r="P80"/>
      <c r="Q80"/>
      <c r="R80"/>
      <c r="S80"/>
      <c r="T80"/>
      <c r="U80"/>
      <c r="V80"/>
      <c r="W80"/>
      <c r="X80"/>
      <c r="Y80"/>
      <c r="AZ80" s="12"/>
    </row>
    <row r="81" spans="2:52" ht="15">
      <c r="B81" s="47"/>
      <c r="C81" s="48"/>
      <c r="F81"/>
      <c r="G81"/>
      <c r="H81"/>
      <c r="I81"/>
      <c r="J81"/>
      <c r="K81"/>
      <c r="L81"/>
      <c r="M81"/>
      <c r="N81"/>
      <c r="O81"/>
      <c r="P81"/>
      <c r="Q81"/>
      <c r="R81"/>
      <c r="S81"/>
      <c r="T81"/>
      <c r="U81"/>
      <c r="V81"/>
      <c r="W81"/>
      <c r="X81"/>
      <c r="Y81"/>
      <c r="AZ81" s="12"/>
    </row>
    <row r="82" spans="2:52" ht="15">
      <c r="B82" s="47"/>
      <c r="C82" s="48"/>
      <c r="F82"/>
      <c r="G82"/>
      <c r="H82"/>
      <c r="I82"/>
      <c r="J82"/>
      <c r="K82"/>
      <c r="L82"/>
      <c r="M82"/>
      <c r="N82"/>
      <c r="O82"/>
      <c r="P82"/>
      <c r="Q82"/>
      <c r="R82"/>
      <c r="S82"/>
      <c r="T82"/>
      <c r="U82"/>
      <c r="V82"/>
      <c r="W82"/>
      <c r="X82"/>
      <c r="Y82"/>
      <c r="AZ82" s="12"/>
    </row>
    <row r="83" spans="2:52" ht="15">
      <c r="B83" s="47"/>
      <c r="C83" s="48"/>
      <c r="F83"/>
      <c r="G83"/>
      <c r="H83"/>
      <c r="I83"/>
      <c r="J83"/>
      <c r="K83"/>
      <c r="L83"/>
      <c r="M83"/>
      <c r="N83"/>
      <c r="O83"/>
      <c r="P83"/>
      <c r="Q83"/>
      <c r="R83"/>
      <c r="S83"/>
      <c r="T83"/>
      <c r="U83"/>
      <c r="V83"/>
      <c r="W83"/>
      <c r="X83"/>
      <c r="Y83"/>
      <c r="AZ83" s="12"/>
    </row>
    <row r="84" spans="2:52" ht="15">
      <c r="B84" s="47"/>
      <c r="C84" s="48"/>
      <c r="F84"/>
      <c r="G84"/>
      <c r="H84"/>
      <c r="I84"/>
      <c r="J84"/>
      <c r="K84"/>
      <c r="L84"/>
      <c r="M84"/>
      <c r="N84"/>
      <c r="O84"/>
      <c r="P84"/>
      <c r="Q84"/>
      <c r="R84"/>
      <c r="S84"/>
      <c r="T84"/>
      <c r="U84"/>
      <c r="V84"/>
      <c r="W84"/>
      <c r="X84"/>
      <c r="Y84"/>
      <c r="AZ84" s="12"/>
    </row>
    <row r="85" spans="2:52" ht="15">
      <c r="B85" s="47"/>
      <c r="C85" s="48"/>
      <c r="F85"/>
      <c r="G85"/>
      <c r="H85"/>
      <c r="I85"/>
      <c r="J85"/>
      <c r="K85"/>
      <c r="L85"/>
      <c r="M85"/>
      <c r="N85"/>
      <c r="O85"/>
      <c r="P85"/>
      <c r="Q85"/>
      <c r="R85"/>
      <c r="S85"/>
      <c r="T85"/>
      <c r="U85"/>
      <c r="V85"/>
      <c r="W85"/>
      <c r="X85"/>
      <c r="Y85"/>
      <c r="AZ85" s="12"/>
    </row>
    <row r="86" spans="2:52" ht="15">
      <c r="B86" s="47"/>
      <c r="C86" s="48"/>
      <c r="F86"/>
      <c r="G86"/>
      <c r="H86"/>
      <c r="I86"/>
      <c r="J86"/>
      <c r="K86"/>
      <c r="L86"/>
      <c r="M86"/>
      <c r="N86"/>
      <c r="O86"/>
      <c r="P86"/>
      <c r="Q86"/>
      <c r="R86"/>
      <c r="S86"/>
      <c r="T86"/>
      <c r="U86"/>
      <c r="V86"/>
      <c r="W86"/>
      <c r="X86"/>
      <c r="Y86"/>
      <c r="AZ86" s="12"/>
    </row>
    <row r="87" spans="2:52" ht="15">
      <c r="B87" s="47"/>
      <c r="C87" s="48"/>
      <c r="F87"/>
      <c r="G87"/>
      <c r="H87"/>
      <c r="I87"/>
      <c r="J87"/>
      <c r="K87"/>
      <c r="L87"/>
      <c r="M87"/>
      <c r="N87"/>
      <c r="O87"/>
      <c r="P87"/>
      <c r="Q87"/>
      <c r="R87"/>
      <c r="S87"/>
      <c r="T87"/>
      <c r="U87"/>
      <c r="V87"/>
      <c r="W87"/>
      <c r="X87"/>
      <c r="Y87"/>
      <c r="AZ87" s="12"/>
    </row>
    <row r="88" spans="2:52" ht="15">
      <c r="B88" s="47"/>
      <c r="C88" s="48"/>
      <c r="F88"/>
      <c r="G88"/>
      <c r="H88"/>
      <c r="I88"/>
      <c r="J88"/>
      <c r="K88"/>
      <c r="L88"/>
      <c r="M88"/>
      <c r="N88"/>
      <c r="O88"/>
      <c r="P88"/>
      <c r="Q88"/>
      <c r="R88"/>
      <c r="S88"/>
      <c r="T88"/>
      <c r="U88"/>
      <c r="V88"/>
      <c r="W88"/>
      <c r="X88"/>
      <c r="Y88"/>
      <c r="AZ88" s="12"/>
    </row>
    <row r="89" spans="2:52" ht="15">
      <c r="B89" s="47"/>
      <c r="C89" s="48"/>
      <c r="F89"/>
      <c r="G89"/>
      <c r="H89"/>
      <c r="I89"/>
      <c r="J89"/>
      <c r="K89"/>
      <c r="L89"/>
      <c r="M89"/>
      <c r="N89"/>
      <c r="O89"/>
      <c r="P89"/>
      <c r="Q89"/>
      <c r="R89"/>
      <c r="S89"/>
      <c r="T89"/>
      <c r="U89"/>
      <c r="V89"/>
      <c r="W89"/>
      <c r="X89"/>
      <c r="Y89"/>
      <c r="AZ89" s="12"/>
    </row>
    <row r="90" spans="2:52" ht="15">
      <c r="B90" s="47"/>
      <c r="C90" s="48"/>
      <c r="F90"/>
      <c r="G90"/>
      <c r="H90"/>
      <c r="I90"/>
      <c r="J90"/>
      <c r="K90"/>
      <c r="L90"/>
      <c r="M90"/>
      <c r="N90"/>
      <c r="O90"/>
      <c r="P90"/>
      <c r="Q90"/>
      <c r="R90"/>
      <c r="S90"/>
      <c r="T90"/>
      <c r="U90"/>
      <c r="V90"/>
      <c r="W90"/>
      <c r="X90"/>
      <c r="Y90"/>
      <c r="AZ90" s="12"/>
    </row>
    <row r="91" spans="2:52" ht="15">
      <c r="B91" s="47"/>
      <c r="C91" s="48"/>
      <c r="F91"/>
      <c r="G91"/>
      <c r="H91"/>
      <c r="I91"/>
      <c r="J91"/>
      <c r="K91"/>
      <c r="L91"/>
      <c r="M91"/>
      <c r="N91"/>
      <c r="O91"/>
      <c r="P91"/>
      <c r="Q91"/>
      <c r="R91"/>
      <c r="S91"/>
      <c r="T91"/>
      <c r="U91"/>
      <c r="V91"/>
      <c r="W91"/>
      <c r="X91"/>
      <c r="Y91"/>
      <c r="AZ91" s="12"/>
    </row>
    <row r="92" spans="2:52">
      <c r="B92" s="47"/>
      <c r="C92" s="48"/>
      <c r="AZ92" s="12"/>
    </row>
    <row r="93" spans="2:52">
      <c r="B93" s="47"/>
      <c r="C93" s="48"/>
      <c r="AZ93" s="12"/>
    </row>
    <row r="94" spans="2:52">
      <c r="B94" s="47"/>
      <c r="C94" s="48"/>
      <c r="AZ94" s="12"/>
    </row>
    <row r="95" spans="2:52">
      <c r="B95" s="47"/>
      <c r="C95" s="48"/>
      <c r="AZ95" s="12"/>
    </row>
    <row r="96" spans="2:52">
      <c r="B96" s="47"/>
      <c r="C96" s="48"/>
    </row>
    <row r="97" spans="2:3">
      <c r="B97" s="47"/>
      <c r="C97" s="48"/>
    </row>
    <row r="98" spans="2:3">
      <c r="B98" s="47"/>
      <c r="C98" s="48"/>
    </row>
    <row r="99" spans="2:3">
      <c r="B99" s="47"/>
      <c r="C99" s="48"/>
    </row>
    <row r="100" spans="2:3">
      <c r="B100" s="47"/>
      <c r="C100" s="48"/>
    </row>
    <row r="101" spans="2:3">
      <c r="B101" s="47"/>
      <c r="C101" s="48"/>
    </row>
    <row r="102" spans="2:3">
      <c r="B102" s="47"/>
      <c r="C102" s="48"/>
    </row>
    <row r="103" spans="2:3">
      <c r="B103" s="47"/>
      <c r="C103" s="48"/>
    </row>
    <row r="104" spans="2:3">
      <c r="B104" s="47"/>
      <c r="C104" s="48"/>
    </row>
    <row r="105" spans="2:3">
      <c r="B105" s="47"/>
      <c r="C105" s="48"/>
    </row>
    <row r="106" spans="2:3">
      <c r="B106" s="47"/>
      <c r="C106" s="48"/>
    </row>
    <row r="107" spans="2:3">
      <c r="B107" s="47"/>
      <c r="C107" s="48"/>
    </row>
    <row r="108" spans="2:3">
      <c r="B108" s="47"/>
      <c r="C108" s="48"/>
    </row>
    <row r="109" spans="2:3">
      <c r="B109" s="47"/>
      <c r="C109" s="48"/>
    </row>
    <row r="110" spans="2:3">
      <c r="B110" s="47"/>
      <c r="C110" s="48"/>
    </row>
    <row r="111" spans="2:3">
      <c r="B111" s="47"/>
      <c r="C111" s="48"/>
    </row>
    <row r="112" spans="2:3">
      <c r="B112" s="47"/>
      <c r="C112" s="48"/>
    </row>
    <row r="113" spans="2:12">
      <c r="B113" s="47"/>
      <c r="C113" s="48"/>
    </row>
    <row r="114" spans="2:12">
      <c r="B114" s="47"/>
      <c r="C114" s="48"/>
    </row>
    <row r="115" spans="2:12">
      <c r="B115" s="47"/>
      <c r="C115" s="48"/>
    </row>
    <row r="116" spans="2:12">
      <c r="B116" s="47"/>
      <c r="C116" s="48"/>
    </row>
    <row r="117" spans="2:12">
      <c r="B117" s="47"/>
      <c r="C117" s="48"/>
      <c r="K117" s="1"/>
      <c r="L117" s="1"/>
    </row>
    <row r="118" spans="2:12">
      <c r="B118" s="47"/>
      <c r="C118" s="48"/>
    </row>
    <row r="119" spans="2:12">
      <c r="B119" s="47"/>
      <c r="C119" s="48"/>
    </row>
    <row r="120" spans="2:12">
      <c r="B120" s="47"/>
      <c r="C120" s="48"/>
    </row>
    <row r="121" spans="2:12">
      <c r="B121" s="47"/>
      <c r="C121" s="48"/>
    </row>
    <row r="122" spans="2:12">
      <c r="B122" s="47"/>
      <c r="C122" s="48"/>
    </row>
    <row r="123" spans="2:12">
      <c r="B123" s="47"/>
      <c r="C123" s="48"/>
    </row>
    <row r="124" spans="2:12">
      <c r="B124" s="47"/>
      <c r="C124" s="48"/>
    </row>
    <row r="125" spans="2:12">
      <c r="B125" s="47"/>
      <c r="C125" s="48"/>
    </row>
    <row r="126" spans="2:12">
      <c r="B126" s="47"/>
      <c r="C126" s="48"/>
    </row>
    <row r="127" spans="2:12">
      <c r="B127" s="47"/>
      <c r="C127" s="48"/>
    </row>
    <row r="128" spans="2:12">
      <c r="B128" s="47"/>
      <c r="C128" s="48"/>
    </row>
    <row r="129" spans="2:3">
      <c r="B129" s="47"/>
      <c r="C129" s="48"/>
    </row>
    <row r="130" spans="2:3">
      <c r="B130" s="47"/>
      <c r="C130" s="48"/>
    </row>
    <row r="131" spans="2:3">
      <c r="B131" s="47"/>
      <c r="C131" s="48"/>
    </row>
    <row r="132" spans="2:3">
      <c r="B132" s="47"/>
      <c r="C132" s="48"/>
    </row>
    <row r="133" spans="2:3">
      <c r="B133" s="47"/>
      <c r="C133" s="48"/>
    </row>
    <row r="134" spans="2:3">
      <c r="B134" s="47"/>
      <c r="C134" s="48"/>
    </row>
    <row r="135" spans="2:3">
      <c r="B135" s="47"/>
      <c r="C135" s="48"/>
    </row>
  </sheetData>
  <autoFilter ref="F16:AA16" xr:uid="{A7F8BF70-2C30-4EF6-AFCB-B981B0E631F1}"/>
  <conditionalFormatting sqref="AQ1:AT1 AY1:AZ1">
    <cfRule type="containsText" dxfId="6" priority="21" operator="containsText" text="FALSE">
      <formula>NOT(ISERROR(SEARCH("FALSE",AQ1)))</formula>
    </cfRule>
    <cfRule type="containsText" dxfId="5" priority="20" operator="containsText" text="TRUE">
      <formula>NOT(ISERROR(SEARCH("TRUE",AQ1)))</formula>
    </cfRule>
  </conditionalFormatting>
  <conditionalFormatting sqref="BB1:BC1">
    <cfRule type="containsText" dxfId="3" priority="6" operator="containsText" text="TRUE">
      <formula>NOT(ISERROR(SEARCH("TRUE",BB1)))</formula>
    </cfRule>
    <cfRule type="containsText" dxfId="2" priority="7" operator="containsText" text="FALSE">
      <formula>NOT(ISERROR(SEARCH("FALSE",BB1)))</formula>
    </cfRule>
  </conditionalFormatting>
  <conditionalFormatting sqref="BE1">
    <cfRule type="containsText" dxfId="1" priority="3" operator="containsText" text="FALSE">
      <formula>NOT(ISERROR(SEARCH("FALSE",BE1)))</formula>
    </cfRule>
    <cfRule type="containsText" dxfId="0" priority="2" operator="containsText" text="TRUE">
      <formula>NOT(ISERROR(SEARCH("TRUE",BE1)))</formula>
    </cfRule>
  </conditionalFormatting>
  <pageMargins left="0.7" right="0.7" top="0.75" bottom="0.75" header="0.3" footer="0.3"/>
  <ignoredErrors>
    <ignoredError sqref="BI11:BI64 BI65:BI75 C19 C5:C8 D31:D39" evalError="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17706094-28A4-4569-96AD-6F7F52F14AF4}">
            <xm:f>AND($AN11&gt;Portfolio!$D$5,$AN11&lt;=Portfolio!$D$6)</xm:f>
            <x14:dxf>
              <fill>
                <patternFill>
                  <bgColor theme="0" tint="-0.14996795556505021"/>
                </patternFill>
              </fill>
              <border>
                <left/>
                <right/>
                <top/>
                <bottom/>
                <vertical/>
                <horizontal/>
              </border>
            </x14:dxf>
          </x14:cfRule>
          <xm:sqref>AM11:BO75</xm:sqref>
        </x14:conditionalFormatting>
        <x14:conditionalFormatting xmlns:xm="http://schemas.microsoft.com/office/excel/2006/main">
          <x14:cfRule type="expression" priority="8" id="{AC8F45AE-AE30-40CC-83DF-A011CA62B74E}">
            <xm:f>$AN11&lt;=Portfolio!$D$5</xm:f>
            <x14:dxf>
              <fill>
                <patternFill patternType="darkUp"/>
              </fill>
            </x14:dxf>
          </x14:cfRule>
          <xm:sqref>AR11:AV75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172E9-5DEB-4F81-989C-045469BD94ED}">
  <sheetPr>
    <tabColor rgb="FF00B050"/>
  </sheetPr>
  <dimension ref="A1:AI103"/>
  <sheetViews>
    <sheetView showGridLines="0" workbookViewId="0">
      <selection activeCell="K11" sqref="K11"/>
    </sheetView>
  </sheetViews>
  <sheetFormatPr baseColWidth="10" defaultColWidth="9.1640625" defaultRowHeight="13" outlineLevelRow="1"/>
  <cols>
    <col min="1" max="1" width="2.6640625" style="178" customWidth="1"/>
    <col min="2" max="2" width="2" style="178" bestFit="1" customWidth="1"/>
    <col min="3" max="3" width="2.6640625" style="178" customWidth="1"/>
    <col min="4" max="4" width="45.83203125" style="178" customWidth="1"/>
    <col min="5" max="19" width="13.33203125" style="178" customWidth="1"/>
    <col min="20" max="25" width="13.33203125" style="180" customWidth="1"/>
    <col min="26" max="27" width="13.33203125" style="178" customWidth="1"/>
    <col min="28" max="28" width="13.33203125" style="180" customWidth="1"/>
    <col min="29" max="35" width="13.33203125" style="178" customWidth="1"/>
    <col min="36" max="16384" width="9.1640625" style="178"/>
  </cols>
  <sheetData>
    <row r="1" spans="2:33">
      <c r="K1" s="179"/>
      <c r="L1" s="179"/>
      <c r="M1" s="179"/>
      <c r="N1" s="179"/>
      <c r="O1" s="179"/>
      <c r="P1" s="179"/>
      <c r="Q1" s="179"/>
      <c r="R1" s="179"/>
      <c r="S1" s="179"/>
      <c r="T1" s="179"/>
      <c r="U1" s="178"/>
      <c r="V1" s="178"/>
      <c r="W1" s="178"/>
      <c r="X1" s="178"/>
    </row>
    <row r="2" spans="2:33" ht="16">
      <c r="C2" s="181" t="s">
        <v>116</v>
      </c>
      <c r="E2" s="181"/>
      <c r="F2" s="181"/>
      <c r="G2" s="181"/>
      <c r="H2" s="181"/>
      <c r="I2" s="181"/>
      <c r="J2" s="181"/>
      <c r="K2" s="181"/>
      <c r="L2" s="181"/>
      <c r="M2" s="181"/>
      <c r="N2" s="181"/>
      <c r="O2" s="181"/>
      <c r="P2" s="181"/>
      <c r="Q2" s="181"/>
      <c r="R2" s="181"/>
      <c r="S2" s="181"/>
    </row>
    <row r="3" spans="2:33">
      <c r="T3" s="178"/>
      <c r="U3" s="178"/>
      <c r="V3" s="178"/>
      <c r="W3" s="178"/>
      <c r="X3" s="178"/>
      <c r="Y3" s="178"/>
    </row>
    <row r="4" spans="2:33" s="180" customFormat="1">
      <c r="B4" s="178"/>
      <c r="D4" s="182" t="s">
        <v>117</v>
      </c>
      <c r="E4" s="183"/>
      <c r="F4" s="184"/>
      <c r="G4" s="182"/>
      <c r="H4" s="182"/>
      <c r="I4" s="182"/>
      <c r="J4" s="182"/>
      <c r="K4" s="182"/>
      <c r="L4" s="182"/>
      <c r="M4" s="182"/>
      <c r="N4" s="182"/>
      <c r="O4" s="182"/>
      <c r="P4" s="182"/>
      <c r="Q4" s="182"/>
      <c r="R4" s="182"/>
      <c r="S4" s="182"/>
      <c r="T4" s="182"/>
      <c r="U4" s="182"/>
      <c r="V4" s="182"/>
      <c r="W4" s="182"/>
      <c r="X4" s="182"/>
      <c r="Y4" s="182"/>
      <c r="AC4" s="178"/>
      <c r="AD4" s="178"/>
      <c r="AE4" s="178"/>
      <c r="AF4" s="178"/>
      <c r="AG4" s="178"/>
    </row>
    <row r="5" spans="2:33" s="180" customFormat="1">
      <c r="B5" s="178"/>
      <c r="D5" s="376" t="s">
        <v>90</v>
      </c>
      <c r="E5" s="185"/>
      <c r="F5" s="186"/>
      <c r="G5" s="185"/>
      <c r="H5" s="185"/>
      <c r="I5" s="185"/>
      <c r="J5" s="185"/>
      <c r="K5" s="185"/>
      <c r="L5" s="185"/>
      <c r="M5" s="185"/>
      <c r="N5" s="185"/>
      <c r="O5" s="185"/>
      <c r="P5" s="185"/>
      <c r="Q5" s="185"/>
      <c r="R5" s="185"/>
      <c r="S5" s="185"/>
      <c r="T5" s="185"/>
      <c r="U5" s="185"/>
      <c r="V5" s="185"/>
      <c r="W5" s="185"/>
      <c r="X5" s="185"/>
      <c r="Y5" s="185"/>
      <c r="AC5" s="178"/>
      <c r="AD5" s="178"/>
      <c r="AE5" s="178"/>
      <c r="AF5" s="178"/>
      <c r="AG5" s="178"/>
    </row>
    <row r="6" spans="2:33">
      <c r="D6" s="187"/>
      <c r="E6" s="187"/>
      <c r="F6" s="187"/>
      <c r="G6" s="187"/>
      <c r="H6" s="187"/>
      <c r="I6" s="187"/>
      <c r="J6" s="187"/>
      <c r="K6" s="187"/>
      <c r="L6" s="187"/>
      <c r="M6" s="187"/>
      <c r="N6" s="187"/>
      <c r="O6" s="187"/>
      <c r="P6" s="187"/>
      <c r="Q6" s="187"/>
      <c r="R6" s="187"/>
      <c r="S6" s="187"/>
      <c r="T6" s="187"/>
      <c r="U6" s="187"/>
      <c r="V6" s="187"/>
      <c r="W6" s="187"/>
      <c r="X6" s="187"/>
      <c r="Y6" s="187"/>
    </row>
    <row r="7" spans="2:33">
      <c r="D7" s="187" t="s">
        <v>55</v>
      </c>
      <c r="E7" s="188">
        <f ca="1">TODAY()</f>
        <v>45439</v>
      </c>
      <c r="F7" s="187"/>
      <c r="G7" s="187"/>
      <c r="H7" s="187"/>
      <c r="I7" s="187"/>
      <c r="J7" s="187"/>
      <c r="K7" s="187"/>
      <c r="L7" s="187"/>
      <c r="M7" s="187"/>
      <c r="N7" s="189"/>
      <c r="O7" s="187"/>
      <c r="P7" s="187"/>
      <c r="Q7" s="187"/>
      <c r="R7" s="187"/>
      <c r="S7" s="187"/>
      <c r="T7" s="190"/>
      <c r="U7" s="190"/>
      <c r="V7" s="190"/>
      <c r="W7" s="190"/>
      <c r="X7" s="190"/>
      <c r="Y7" s="190"/>
    </row>
    <row r="8" spans="2:33">
      <c r="D8" s="178" t="s">
        <v>118</v>
      </c>
      <c r="E8" s="190" t="e">
        <f>INDEX(Fund!$N:$N,MATCH(Company!C2,Fund!$F:$F,0))</f>
        <v>#N/A</v>
      </c>
      <c r="F8" s="187"/>
      <c r="G8" s="187"/>
      <c r="H8" s="187"/>
      <c r="I8" s="187"/>
      <c r="J8" s="187"/>
      <c r="K8" s="187"/>
      <c r="L8" s="187"/>
      <c r="M8" s="187"/>
      <c r="N8" s="187"/>
      <c r="O8" s="187"/>
      <c r="P8" s="187"/>
      <c r="Q8" s="187"/>
      <c r="R8" s="187"/>
      <c r="S8" s="187"/>
      <c r="T8" s="190"/>
      <c r="U8" s="190"/>
      <c r="V8" s="190"/>
      <c r="W8" s="190"/>
      <c r="X8" s="190"/>
      <c r="Y8" s="190"/>
    </row>
    <row r="9" spans="2:33">
      <c r="D9" s="178" t="s">
        <v>95</v>
      </c>
      <c r="E9" s="392" t="e">
        <f>INDEX(Fund!$P:$P,MATCH(Company!C2,Fund!$F:$F,0))</f>
        <v>#N/A</v>
      </c>
      <c r="F9" s="187"/>
      <c r="G9" s="187"/>
      <c r="H9" s="187"/>
      <c r="I9" s="187"/>
      <c r="J9" s="187"/>
      <c r="K9" s="187"/>
      <c r="L9" s="187"/>
      <c r="M9" s="187"/>
      <c r="N9" s="187"/>
      <c r="O9" s="187"/>
      <c r="P9" s="187"/>
      <c r="Q9" s="187"/>
      <c r="R9" s="187"/>
      <c r="S9" s="187"/>
      <c r="T9" s="190"/>
      <c r="U9" s="190"/>
      <c r="V9" s="190"/>
      <c r="W9" s="190"/>
      <c r="X9" s="190"/>
      <c r="Y9" s="190"/>
    </row>
    <row r="10" spans="2:33">
      <c r="D10" s="178" t="s">
        <v>119</v>
      </c>
      <c r="E10" s="390">
        <f>SUMIFS(Fund!$T:$T,Fund!$F:$F,Company!$C$2)</f>
        <v>0</v>
      </c>
      <c r="F10" s="187"/>
      <c r="G10" s="187"/>
      <c r="H10" s="187"/>
      <c r="I10" s="187"/>
      <c r="J10" s="187"/>
      <c r="K10" s="187"/>
      <c r="L10" s="187"/>
      <c r="M10" s="187"/>
      <c r="N10" s="187"/>
      <c r="O10" s="187"/>
      <c r="P10" s="187"/>
      <c r="Q10" s="187"/>
      <c r="R10" s="187"/>
      <c r="S10" s="187"/>
      <c r="T10" s="190"/>
      <c r="U10" s="190"/>
      <c r="V10" s="190"/>
      <c r="W10" s="190"/>
      <c r="X10" s="190"/>
      <c r="Y10" s="190"/>
    </row>
    <row r="11" spans="2:33">
      <c r="E11" s="190"/>
      <c r="F11" s="187"/>
      <c r="G11" s="187"/>
      <c r="H11" s="187"/>
      <c r="I11" s="187"/>
      <c r="J11" s="187"/>
      <c r="K11" s="187"/>
      <c r="L11" s="187"/>
      <c r="M11" s="187"/>
      <c r="N11" s="187"/>
      <c r="O11" s="187"/>
      <c r="P11" s="187"/>
      <c r="Q11" s="187"/>
      <c r="R11" s="187"/>
      <c r="S11" s="187"/>
      <c r="T11" s="190"/>
      <c r="U11" s="190"/>
      <c r="V11" s="190"/>
      <c r="W11" s="190"/>
      <c r="X11" s="190"/>
      <c r="Y11" s="190"/>
    </row>
    <row r="12" spans="2:33">
      <c r="D12" s="178" t="s">
        <v>120</v>
      </c>
      <c r="E12" s="391" t="e">
        <f>INDEX(Fund!$G:$G,MATCH(Company!C2,Fund!$F:$F,0))</f>
        <v>#N/A</v>
      </c>
      <c r="F12" s="187"/>
      <c r="G12" s="187"/>
      <c r="H12" s="187"/>
      <c r="I12" s="187"/>
      <c r="J12" s="187"/>
      <c r="K12" s="187"/>
      <c r="L12" s="187"/>
      <c r="M12" s="187"/>
      <c r="N12" s="187"/>
      <c r="O12" s="187"/>
      <c r="P12" s="187"/>
      <c r="Q12" s="187"/>
      <c r="R12" s="187"/>
      <c r="S12" s="187"/>
      <c r="T12" s="190"/>
      <c r="U12" s="190"/>
      <c r="V12" s="190"/>
      <c r="W12" s="190"/>
      <c r="X12" s="190"/>
      <c r="Y12" s="190"/>
    </row>
    <row r="13" spans="2:33">
      <c r="D13" s="178" t="s">
        <v>121</v>
      </c>
      <c r="E13" s="315" t="e">
        <f>EOMONTH(EOMONTH(E12,MOD(3-MONTH(E12),3)),7*12)</f>
        <v>#N/A</v>
      </c>
      <c r="F13" s="314"/>
      <c r="G13" s="187"/>
      <c r="H13" s="187"/>
      <c r="I13" s="187"/>
      <c r="J13" s="187"/>
      <c r="K13" s="187"/>
      <c r="L13" s="187"/>
      <c r="M13" s="187"/>
      <c r="N13" s="187"/>
      <c r="O13" s="187"/>
      <c r="P13" s="187"/>
      <c r="Q13" s="187"/>
      <c r="R13" s="187"/>
      <c r="S13" s="187"/>
      <c r="T13" s="190"/>
      <c r="U13" s="190"/>
      <c r="V13" s="190"/>
      <c r="W13" s="190"/>
      <c r="X13" s="190"/>
      <c r="Y13" s="190"/>
    </row>
    <row r="14" spans="2:33">
      <c r="D14" s="187"/>
      <c r="E14" s="191"/>
      <c r="F14" s="187"/>
      <c r="G14" s="187"/>
      <c r="H14" s="187"/>
      <c r="I14" s="187"/>
      <c r="J14" s="187"/>
      <c r="K14" s="187"/>
      <c r="L14" s="187"/>
      <c r="M14" s="187"/>
      <c r="N14" s="187"/>
      <c r="O14" s="187"/>
      <c r="P14" s="187"/>
      <c r="Q14" s="187"/>
      <c r="R14" s="187"/>
      <c r="S14" s="187"/>
      <c r="T14" s="190"/>
      <c r="U14" s="190"/>
      <c r="V14" s="190"/>
      <c r="W14" s="190"/>
      <c r="X14" s="190"/>
      <c r="Y14" s="190"/>
    </row>
    <row r="15" spans="2:33">
      <c r="D15" s="187"/>
      <c r="E15" s="192"/>
      <c r="F15" s="187"/>
      <c r="G15" s="187"/>
      <c r="H15" s="187"/>
      <c r="I15" s="187"/>
      <c r="J15" s="187"/>
      <c r="K15" s="187"/>
      <c r="L15" s="187"/>
      <c r="M15" s="187"/>
      <c r="N15" s="187"/>
      <c r="O15" s="187"/>
      <c r="P15" s="187"/>
      <c r="Q15" s="187"/>
      <c r="R15" s="187"/>
      <c r="S15" s="187"/>
      <c r="T15" s="190"/>
      <c r="U15" s="190"/>
      <c r="V15" s="190"/>
      <c r="W15" s="190"/>
      <c r="X15" s="190"/>
      <c r="Y15" s="190"/>
    </row>
    <row r="16" spans="2:33">
      <c r="D16" s="193"/>
      <c r="E16" s="187"/>
      <c r="F16" s="187"/>
      <c r="G16" s="187"/>
      <c r="H16" s="187"/>
      <c r="I16" s="187"/>
      <c r="J16" s="187"/>
      <c r="K16" s="187"/>
      <c r="L16" s="187"/>
      <c r="M16" s="194"/>
      <c r="N16" s="194"/>
      <c r="O16" s="194"/>
      <c r="P16" s="194"/>
      <c r="Q16" s="194"/>
      <c r="R16" s="194"/>
      <c r="S16" s="194"/>
      <c r="T16" s="190"/>
      <c r="U16" s="190"/>
      <c r="V16" s="190"/>
      <c r="W16" s="195"/>
      <c r="Y16" s="196"/>
      <c r="AB16" s="178"/>
    </row>
    <row r="17" spans="2:28">
      <c r="B17" s="197">
        <v>1</v>
      </c>
      <c r="D17" s="197" t="s">
        <v>122</v>
      </c>
      <c r="E17" s="187"/>
      <c r="F17" s="187"/>
      <c r="G17" s="187"/>
      <c r="H17" s="187"/>
      <c r="I17" s="187"/>
      <c r="J17" s="187"/>
      <c r="K17" s="187"/>
      <c r="L17" s="187"/>
      <c r="M17" s="189"/>
      <c r="N17" s="198"/>
      <c r="O17" s="198"/>
      <c r="P17" s="198"/>
      <c r="Q17" s="198"/>
      <c r="R17" s="198"/>
      <c r="T17" s="178"/>
      <c r="U17" s="187"/>
      <c r="V17" s="178"/>
      <c r="W17" s="178"/>
      <c r="X17" s="199"/>
      <c r="Y17" s="178"/>
      <c r="AB17" s="178"/>
    </row>
    <row r="18" spans="2:28">
      <c r="B18" s="187"/>
      <c r="D18" s="187"/>
      <c r="E18" s="187"/>
      <c r="F18" s="187"/>
      <c r="G18" s="187"/>
      <c r="H18" s="187"/>
      <c r="I18" s="187"/>
      <c r="J18" s="187"/>
      <c r="K18" s="187"/>
      <c r="L18" s="187"/>
      <c r="M18" s="187"/>
      <c r="N18" s="187"/>
      <c r="T18" s="178"/>
      <c r="U18" s="178"/>
      <c r="V18" s="178"/>
      <c r="W18" s="178"/>
      <c r="X18" s="178"/>
      <c r="Y18" s="178"/>
      <c r="AB18" s="178"/>
    </row>
    <row r="19" spans="2:28">
      <c r="D19" s="200" t="s">
        <v>123</v>
      </c>
      <c r="E19" s="200"/>
      <c r="F19" s="200"/>
      <c r="G19" s="200"/>
      <c r="H19" s="200"/>
      <c r="I19" s="200"/>
      <c r="J19" s="200"/>
      <c r="K19" s="200"/>
      <c r="L19" s="200"/>
      <c r="M19" s="200"/>
      <c r="N19" s="180"/>
      <c r="O19" s="180"/>
      <c r="P19" s="180"/>
      <c r="Q19" s="180"/>
      <c r="R19" s="180"/>
      <c r="T19" s="178"/>
      <c r="U19" s="178"/>
      <c r="V19" s="178"/>
      <c r="W19" s="178"/>
      <c r="X19" s="178"/>
      <c r="Y19" s="178"/>
      <c r="AB19" s="178"/>
    </row>
    <row r="20" spans="2:28">
      <c r="D20" s="201" t="s">
        <v>124</v>
      </c>
      <c r="E20" s="200"/>
      <c r="F20" s="200"/>
      <c r="G20" s="200"/>
      <c r="H20" s="200"/>
      <c r="I20" s="200"/>
      <c r="J20" s="200"/>
      <c r="K20" s="200"/>
      <c r="L20" s="200"/>
      <c r="M20" s="180"/>
      <c r="N20" s="180"/>
      <c r="O20" s="180"/>
      <c r="P20" s="180"/>
      <c r="Q20" s="180"/>
      <c r="R20" s="180"/>
      <c r="T20" s="178"/>
      <c r="U20" s="178"/>
      <c r="V20" s="178"/>
      <c r="W20" s="178"/>
      <c r="X20" s="178"/>
      <c r="Y20" s="178"/>
      <c r="AB20" s="178"/>
    </row>
    <row r="21" spans="2:28">
      <c r="D21" s="200"/>
      <c r="E21" s="202">
        <v>43100</v>
      </c>
      <c r="F21" s="202">
        <f>+EOMONTH(E21,12)</f>
        <v>43465</v>
      </c>
      <c r="G21" s="202">
        <f t="shared" ref="G21:J21" si="0">+EOMONTH(F21,12)</f>
        <v>43830</v>
      </c>
      <c r="H21" s="202">
        <f t="shared" si="0"/>
        <v>44196</v>
      </c>
      <c r="I21" s="202">
        <f t="shared" si="0"/>
        <v>44561</v>
      </c>
      <c r="J21" s="203">
        <f t="shared" si="0"/>
        <v>44926</v>
      </c>
      <c r="K21" s="202">
        <f>+EOMONTH(J21,12)</f>
        <v>45291</v>
      </c>
      <c r="L21" s="202">
        <f>+EOMONTH(K21,12)</f>
        <v>45657</v>
      </c>
      <c r="M21" s="203">
        <f>+EOMONTH(L21,12)</f>
        <v>46022</v>
      </c>
      <c r="N21" s="407" t="e">
        <f>E13</f>
        <v>#N/A</v>
      </c>
      <c r="T21" s="178"/>
      <c r="U21" s="178"/>
      <c r="V21" s="178"/>
      <c r="W21" s="178"/>
      <c r="X21" s="178"/>
      <c r="Y21" s="178"/>
      <c r="AB21" s="178"/>
    </row>
    <row r="22" spans="2:28" ht="15" customHeight="1">
      <c r="D22" s="204" t="e">
        <f>+"All data in "&amp;$E$8</f>
        <v>#N/A</v>
      </c>
      <c r="E22" s="205" t="str">
        <f>YEAR(E21)&amp;"A"</f>
        <v>2017A</v>
      </c>
      <c r="F22" s="205" t="str">
        <f t="shared" ref="F22:J22" si="1">YEAR(F21)&amp;"A"</f>
        <v>2018A</v>
      </c>
      <c r="G22" s="205" t="str">
        <f t="shared" si="1"/>
        <v>2019A</v>
      </c>
      <c r="H22" s="205" t="str">
        <f t="shared" si="1"/>
        <v>2020A</v>
      </c>
      <c r="I22" s="205" t="str">
        <f t="shared" si="1"/>
        <v>2021A</v>
      </c>
      <c r="J22" s="313" t="str">
        <f t="shared" si="1"/>
        <v>2022A</v>
      </c>
      <c r="K22" s="205" t="str">
        <f>YEAR(K21)&amp;"F"</f>
        <v>2023F</v>
      </c>
      <c r="L22" s="205" t="str">
        <f>YEAR(L21)&amp;"F"</f>
        <v>2024F</v>
      </c>
      <c r="M22" s="206" t="str">
        <f>YEAR(M21)&amp;"F"</f>
        <v>2025F</v>
      </c>
      <c r="N22" s="408" t="e">
        <f>YEAR(N21)&amp;"F"</f>
        <v>#N/A</v>
      </c>
      <c r="T22" s="178"/>
      <c r="U22" s="178"/>
      <c r="V22" s="178"/>
      <c r="W22" s="178"/>
      <c r="X22" s="178"/>
      <c r="Y22" s="178"/>
      <c r="AB22" s="178"/>
    </row>
    <row r="23" spans="2:28">
      <c r="D23" s="208" t="s">
        <v>125</v>
      </c>
      <c r="E23" s="377"/>
      <c r="F23" s="377"/>
      <c r="G23" s="377"/>
      <c r="H23" s="377"/>
      <c r="I23" s="377"/>
      <c r="J23" s="428"/>
      <c r="K23" s="316">
        <f>I23*(1+K24)</f>
        <v>0</v>
      </c>
      <c r="L23" s="316">
        <f>K23*(1+L24)</f>
        <v>0</v>
      </c>
      <c r="M23" s="317">
        <f>L23*(1+M24)</f>
        <v>0</v>
      </c>
      <c r="N23" s="409" t="e">
        <f>M23*(1+N24)^((N21-M21)/365)</f>
        <v>#N/A</v>
      </c>
      <c r="T23" s="178"/>
      <c r="U23" s="178"/>
      <c r="V23" s="178"/>
      <c r="W23" s="178"/>
      <c r="X23" s="178"/>
      <c r="Y23" s="178"/>
      <c r="AB23" s="178"/>
    </row>
    <row r="24" spans="2:28">
      <c r="D24" s="209" t="s">
        <v>126</v>
      </c>
      <c r="E24" s="210" t="str">
        <f>+IFERROR(E23/D23-1,"-")</f>
        <v>-</v>
      </c>
      <c r="F24" s="210" t="str">
        <f t="shared" ref="F24:I24" si="2">+IFERROR(F23/E23-1,"-")</f>
        <v>-</v>
      </c>
      <c r="G24" s="210" t="str">
        <f t="shared" si="2"/>
        <v>-</v>
      </c>
      <c r="H24" s="210" t="str">
        <f t="shared" si="2"/>
        <v>-</v>
      </c>
      <c r="I24" s="210" t="str">
        <f t="shared" si="2"/>
        <v>-</v>
      </c>
      <c r="J24" s="212" t="str">
        <f>+IFERROR(J23/I23-1,"-")</f>
        <v>-</v>
      </c>
      <c r="K24" s="410"/>
      <c r="L24" s="410"/>
      <c r="M24" s="411"/>
      <c r="N24" s="412"/>
      <c r="T24" s="178"/>
      <c r="U24" s="178"/>
      <c r="V24" s="178"/>
      <c r="W24" s="178"/>
      <c r="X24" s="178"/>
      <c r="Y24" s="178"/>
      <c r="AB24" s="178"/>
    </row>
    <row r="25" spans="2:28">
      <c r="D25" s="211" t="s">
        <v>127</v>
      </c>
      <c r="E25" s="378"/>
      <c r="F25" s="378"/>
      <c r="G25" s="378"/>
      <c r="H25" s="378"/>
      <c r="I25" s="378"/>
      <c r="J25" s="429"/>
      <c r="K25" s="318">
        <f>K23*K27</f>
        <v>0</v>
      </c>
      <c r="L25" s="318">
        <f t="shared" ref="L25:N25" si="3">L23*L27</f>
        <v>0</v>
      </c>
      <c r="M25" s="319">
        <f t="shared" si="3"/>
        <v>0</v>
      </c>
      <c r="N25" s="413" t="e">
        <f t="shared" si="3"/>
        <v>#N/A</v>
      </c>
      <c r="T25" s="178"/>
      <c r="U25" s="178"/>
      <c r="V25" s="178"/>
      <c r="W25" s="178"/>
      <c r="X25" s="178"/>
      <c r="Y25" s="178"/>
      <c r="AB25" s="178"/>
    </row>
    <row r="26" spans="2:28">
      <c r="D26" s="209" t="s">
        <v>126</v>
      </c>
      <c r="E26" s="210" t="str">
        <f t="shared" ref="E26:J26" si="4">+IFERROR(E25/D25-1,"-")</f>
        <v>-</v>
      </c>
      <c r="F26" s="210" t="str">
        <f t="shared" si="4"/>
        <v>-</v>
      </c>
      <c r="G26" s="210" t="str">
        <f t="shared" si="4"/>
        <v>-</v>
      </c>
      <c r="H26" s="210" t="str">
        <f t="shared" si="4"/>
        <v>-</v>
      </c>
      <c r="I26" s="210" t="str">
        <f t="shared" si="4"/>
        <v>-</v>
      </c>
      <c r="J26" s="212" t="str">
        <f t="shared" si="4"/>
        <v>-</v>
      </c>
      <c r="K26" s="210" t="str">
        <f>+IFERROR(K25/I25-1,"-")</f>
        <v>-</v>
      </c>
      <c r="L26" s="210" t="str">
        <f>+IFERROR(L25/K25-1,"-")</f>
        <v>-</v>
      </c>
      <c r="M26" s="212" t="str">
        <f>+IFERROR(M25/L25-1,"-")</f>
        <v>-</v>
      </c>
      <c r="N26" s="414" t="str">
        <f>+IFERROR(N25/M25-1,"-")</f>
        <v>-</v>
      </c>
      <c r="T26" s="178"/>
      <c r="U26" s="178"/>
      <c r="V26" s="178"/>
      <c r="W26" s="178"/>
      <c r="X26" s="178"/>
      <c r="Y26" s="178"/>
      <c r="AB26" s="178"/>
    </row>
    <row r="27" spans="2:28">
      <c r="D27" s="209" t="s">
        <v>128</v>
      </c>
      <c r="E27" s="210" t="str">
        <f t="shared" ref="E27:J27" si="5">IFERROR((+E25/E23),"-")</f>
        <v>-</v>
      </c>
      <c r="F27" s="210" t="str">
        <f t="shared" si="5"/>
        <v>-</v>
      </c>
      <c r="G27" s="210" t="str">
        <f t="shared" si="5"/>
        <v>-</v>
      </c>
      <c r="H27" s="210" t="str">
        <f t="shared" si="5"/>
        <v>-</v>
      </c>
      <c r="I27" s="210" t="str">
        <f t="shared" si="5"/>
        <v>-</v>
      </c>
      <c r="J27" s="212" t="str">
        <f t="shared" si="5"/>
        <v>-</v>
      </c>
      <c r="K27" s="410"/>
      <c r="L27" s="410"/>
      <c r="M27" s="411"/>
      <c r="N27" s="412"/>
      <c r="T27" s="178"/>
      <c r="U27" s="178"/>
      <c r="V27" s="178"/>
      <c r="W27" s="178"/>
      <c r="X27" s="178"/>
      <c r="Y27" s="178"/>
      <c r="AB27" s="178"/>
    </row>
    <row r="28" spans="2:28">
      <c r="D28" s="211" t="s">
        <v>129</v>
      </c>
      <c r="E28" s="311"/>
      <c r="F28" s="311"/>
      <c r="G28" s="311"/>
      <c r="H28" s="311"/>
      <c r="I28" s="311"/>
      <c r="J28" s="430"/>
      <c r="K28" s="318"/>
      <c r="L28" s="318"/>
      <c r="M28" s="319"/>
      <c r="N28" s="413"/>
      <c r="T28" s="178"/>
      <c r="U28" s="178"/>
      <c r="V28" s="178"/>
      <c r="W28" s="178"/>
      <c r="X28" s="178"/>
      <c r="Y28" s="178"/>
      <c r="AB28" s="178"/>
    </row>
    <row r="29" spans="2:28">
      <c r="D29" s="209" t="s">
        <v>126</v>
      </c>
      <c r="E29" s="210" t="str">
        <f t="shared" ref="E29:J29" si="6">+IFERROR(E28/D28-1,"-")</f>
        <v>-</v>
      </c>
      <c r="F29" s="210" t="str">
        <f t="shared" si="6"/>
        <v>-</v>
      </c>
      <c r="G29" s="210" t="str">
        <f t="shared" si="6"/>
        <v>-</v>
      </c>
      <c r="H29" s="210" t="str">
        <f t="shared" si="6"/>
        <v>-</v>
      </c>
      <c r="I29" s="210" t="str">
        <f t="shared" si="6"/>
        <v>-</v>
      </c>
      <c r="J29" s="212" t="str">
        <f t="shared" si="6"/>
        <v>-</v>
      </c>
      <c r="K29" s="210" t="str">
        <f>+IFERROR(K28/I28-1,"-")</f>
        <v>-</v>
      </c>
      <c r="L29" s="210" t="str">
        <f>+IFERROR(L28/K28-1,"-")</f>
        <v>-</v>
      </c>
      <c r="M29" s="212" t="str">
        <f>+IFERROR(M28/L28-1,"-")</f>
        <v>-</v>
      </c>
      <c r="N29" s="414" t="str">
        <f>+IFERROR(N28/M28-1,"-")</f>
        <v>-</v>
      </c>
      <c r="T29" s="178"/>
      <c r="U29" s="178"/>
      <c r="V29" s="178"/>
      <c r="W29" s="178"/>
      <c r="X29" s="178"/>
      <c r="Y29" s="178"/>
      <c r="AB29" s="178"/>
    </row>
    <row r="30" spans="2:28">
      <c r="D30" s="209" t="s">
        <v>128</v>
      </c>
      <c r="E30" s="210" t="str">
        <f t="shared" ref="E30:J30" si="7">IFERROR((+E28/E23),"-")</f>
        <v>-</v>
      </c>
      <c r="F30" s="210" t="str">
        <f t="shared" si="7"/>
        <v>-</v>
      </c>
      <c r="G30" s="210" t="str">
        <f t="shared" si="7"/>
        <v>-</v>
      </c>
      <c r="H30" s="210" t="str">
        <f t="shared" si="7"/>
        <v>-</v>
      </c>
      <c r="I30" s="210" t="str">
        <f t="shared" si="7"/>
        <v>-</v>
      </c>
      <c r="J30" s="212" t="str">
        <f t="shared" si="7"/>
        <v>-</v>
      </c>
      <c r="K30" s="210" t="str">
        <f>IFERROR((+K28/K23),"-")</f>
        <v>-</v>
      </c>
      <c r="L30" s="210" t="str">
        <f>IFERROR((+L28/L23),"-")</f>
        <v>-</v>
      </c>
      <c r="M30" s="212" t="str">
        <f>IFERROR((+M28/M23),"-")</f>
        <v>-</v>
      </c>
      <c r="N30" s="414" t="str">
        <f t="shared" ref="N30" si="8">IFERROR((+N28/N23),"-")</f>
        <v>-</v>
      </c>
      <c r="T30" s="178"/>
      <c r="U30" s="178"/>
      <c r="V30" s="178"/>
      <c r="W30" s="178"/>
      <c r="X30" s="178"/>
      <c r="Y30" s="178"/>
      <c r="AB30" s="178"/>
    </row>
    <row r="31" spans="2:28">
      <c r="D31" s="211" t="s">
        <v>130</v>
      </c>
      <c r="E31" s="311"/>
      <c r="F31" s="311"/>
      <c r="G31" s="311"/>
      <c r="H31" s="311"/>
      <c r="I31" s="311"/>
      <c r="J31" s="430"/>
      <c r="K31" s="318"/>
      <c r="L31" s="318"/>
      <c r="M31" s="319"/>
      <c r="N31" s="413"/>
      <c r="T31" s="178"/>
      <c r="U31" s="178"/>
      <c r="V31" s="178"/>
      <c r="W31" s="178"/>
      <c r="X31" s="178"/>
      <c r="Y31" s="178"/>
      <c r="AB31" s="178"/>
    </row>
    <row r="32" spans="2:28">
      <c r="D32" s="209" t="s">
        <v>126</v>
      </c>
      <c r="E32" s="210" t="str">
        <f>+IFERROR(E31/D31-1,"-")</f>
        <v>-</v>
      </c>
      <c r="F32" s="210" t="str">
        <f t="shared" ref="F32:J32" si="9">+IFERROR(F31/E31-1,"-")</f>
        <v>-</v>
      </c>
      <c r="G32" s="210" t="str">
        <f t="shared" si="9"/>
        <v>-</v>
      </c>
      <c r="H32" s="210" t="str">
        <f t="shared" si="9"/>
        <v>-</v>
      </c>
      <c r="I32" s="210" t="str">
        <f t="shared" si="9"/>
        <v>-</v>
      </c>
      <c r="J32" s="212" t="str">
        <f t="shared" si="9"/>
        <v>-</v>
      </c>
      <c r="K32" s="210" t="str">
        <f>+IFERROR(K31/I31-1,"-")</f>
        <v>-</v>
      </c>
      <c r="L32" s="210" t="str">
        <f>+IFERROR(L31/K31-1,"-")</f>
        <v>-</v>
      </c>
      <c r="M32" s="212" t="str">
        <f>+IFERROR(M31/L31-1,"-")</f>
        <v>-</v>
      </c>
      <c r="N32" s="414" t="str">
        <f>+IFERROR(N31/M31-1,"-")</f>
        <v>-</v>
      </c>
      <c r="T32" s="178"/>
      <c r="U32" s="178"/>
      <c r="V32" s="178"/>
      <c r="W32" s="178"/>
      <c r="X32" s="178"/>
      <c r="Y32" s="178"/>
      <c r="AB32" s="178"/>
    </row>
    <row r="33" spans="2:28">
      <c r="D33" s="209" t="s">
        <v>128</v>
      </c>
      <c r="E33" s="210" t="str">
        <f t="shared" ref="E33:J33" si="10">IFERROR((+E31/E23),"-")</f>
        <v>-</v>
      </c>
      <c r="F33" s="210" t="str">
        <f t="shared" si="10"/>
        <v>-</v>
      </c>
      <c r="G33" s="210" t="str">
        <f t="shared" si="10"/>
        <v>-</v>
      </c>
      <c r="H33" s="210" t="str">
        <f t="shared" si="10"/>
        <v>-</v>
      </c>
      <c r="I33" s="210" t="str">
        <f t="shared" si="10"/>
        <v>-</v>
      </c>
      <c r="J33" s="212" t="str">
        <f t="shared" si="10"/>
        <v>-</v>
      </c>
      <c r="K33" s="210" t="str">
        <f>IFERROR((+K31/K23),"-")</f>
        <v>-</v>
      </c>
      <c r="L33" s="210" t="str">
        <f>IFERROR((+L31/L23),"-")</f>
        <v>-</v>
      </c>
      <c r="M33" s="212" t="str">
        <f>IFERROR((+M31/M23),"-")</f>
        <v>-</v>
      </c>
      <c r="N33" s="414" t="str">
        <f t="shared" ref="N33" si="11">IFERROR((+N31/N23),"-")</f>
        <v>-</v>
      </c>
      <c r="T33" s="178"/>
      <c r="U33" s="178"/>
      <c r="V33" s="178"/>
      <c r="W33" s="178"/>
      <c r="X33" s="178"/>
      <c r="Y33" s="178"/>
      <c r="AB33" s="178"/>
    </row>
    <row r="34" spans="2:28" s="180" customFormat="1">
      <c r="B34" s="178"/>
      <c r="D34" s="213" t="s">
        <v>257</v>
      </c>
      <c r="E34" s="386"/>
      <c r="F34" s="386"/>
      <c r="G34" s="386"/>
      <c r="H34" s="387"/>
      <c r="I34" s="387"/>
      <c r="J34" s="423"/>
      <c r="K34" s="388"/>
      <c r="L34" s="388"/>
      <c r="M34" s="389"/>
      <c r="N34" s="415"/>
      <c r="O34" s="178"/>
      <c r="P34" s="178"/>
      <c r="Q34" s="178"/>
      <c r="R34" s="178"/>
      <c r="S34" s="178"/>
      <c r="T34" s="178"/>
      <c r="U34" s="178"/>
      <c r="V34" s="178"/>
      <c r="W34" s="178"/>
      <c r="X34" s="178"/>
      <c r="Y34" s="178"/>
    </row>
    <row r="35" spans="2:28" s="180" customFormat="1">
      <c r="B35" s="178"/>
      <c r="D35" s="424" t="s">
        <v>258</v>
      </c>
      <c r="E35" s="425"/>
      <c r="F35" s="425"/>
      <c r="G35" s="425"/>
      <c r="H35" s="426"/>
      <c r="I35" s="426"/>
      <c r="J35" s="427"/>
      <c r="K35" s="416"/>
      <c r="L35" s="416"/>
      <c r="M35" s="417"/>
      <c r="N35" s="418"/>
      <c r="O35" s="178"/>
      <c r="P35" s="178"/>
      <c r="Q35" s="178"/>
      <c r="R35" s="178"/>
      <c r="S35" s="178"/>
      <c r="T35" s="178"/>
      <c r="U35" s="178"/>
      <c r="V35" s="178"/>
      <c r="W35" s="178"/>
      <c r="X35" s="178"/>
      <c r="Y35" s="178"/>
    </row>
    <row r="36" spans="2:28" s="180" customFormat="1">
      <c r="B36" s="178"/>
      <c r="D36" s="424" t="s">
        <v>131</v>
      </c>
      <c r="E36" s="425"/>
      <c r="F36" s="425"/>
      <c r="G36" s="419">
        <f>G34-G35</f>
        <v>0</v>
      </c>
      <c r="H36" s="419">
        <f>H34-H35</f>
        <v>0</v>
      </c>
      <c r="I36" s="419">
        <f t="shared" ref="I36" si="12">I34-I35</f>
        <v>0</v>
      </c>
      <c r="J36" s="420">
        <f>J34-J35</f>
        <v>0</v>
      </c>
      <c r="K36" s="419">
        <f>K34-K35</f>
        <v>0</v>
      </c>
      <c r="L36" s="419">
        <f t="shared" ref="L36:N36" si="13">L34-L35</f>
        <v>0</v>
      </c>
      <c r="M36" s="420">
        <f t="shared" si="13"/>
        <v>0</v>
      </c>
      <c r="N36" s="421">
        <f t="shared" si="13"/>
        <v>0</v>
      </c>
      <c r="S36" s="178"/>
      <c r="T36" s="178"/>
      <c r="U36" s="178"/>
      <c r="V36" s="178"/>
      <c r="W36" s="178"/>
      <c r="X36" s="178"/>
      <c r="Y36" s="178"/>
    </row>
    <row r="37" spans="2:28">
      <c r="D37" s="214" t="s">
        <v>132</v>
      </c>
      <c r="E37" s="215" t="str">
        <f>IFERROR(E36/E25,"")</f>
        <v/>
      </c>
      <c r="F37" s="215" t="str">
        <f>IFERROR(F36/F25,"")</f>
        <v/>
      </c>
      <c r="G37" s="215" t="str">
        <f>IFERROR(G36/G25,"")</f>
        <v/>
      </c>
      <c r="H37" s="215" t="str">
        <f>IFERROR(H36/H25,"")</f>
        <v/>
      </c>
      <c r="I37" s="215" t="str">
        <f t="shared" ref="I37:J37" si="14">IFERROR(I36/I25,"")</f>
        <v/>
      </c>
      <c r="J37" s="216" t="str">
        <f t="shared" si="14"/>
        <v/>
      </c>
      <c r="K37" s="215" t="str">
        <f>IFERROR(K36/K25,"")</f>
        <v/>
      </c>
      <c r="L37" s="215" t="str">
        <f>IFERROR(L36/L25,"")</f>
        <v/>
      </c>
      <c r="M37" s="216" t="str">
        <f>IFERROR(M36/M25,"")</f>
        <v/>
      </c>
      <c r="N37" s="422" t="str">
        <f>IFERROR(N36/N25,"")</f>
        <v/>
      </c>
      <c r="O37" s="180"/>
      <c r="P37" s="180"/>
      <c r="Q37" s="180"/>
      <c r="R37" s="180"/>
      <c r="T37" s="178"/>
      <c r="U37" s="178"/>
      <c r="V37" s="178"/>
      <c r="W37" s="178"/>
      <c r="X37" s="178"/>
      <c r="Y37" s="178"/>
      <c r="AB37" s="178"/>
    </row>
    <row r="38" spans="2:28">
      <c r="D38" s="217"/>
      <c r="E38" s="217"/>
      <c r="F38" s="217"/>
      <c r="G38" s="217"/>
      <c r="H38" s="217"/>
      <c r="I38" s="217"/>
      <c r="J38" s="217"/>
      <c r="K38" s="217"/>
      <c r="L38" s="217"/>
      <c r="M38" s="217"/>
      <c r="N38" s="217"/>
      <c r="O38" s="180"/>
      <c r="P38" s="180"/>
      <c r="Q38" s="180"/>
      <c r="R38" s="180"/>
      <c r="T38" s="178"/>
      <c r="U38" s="178"/>
      <c r="V38" s="178"/>
      <c r="W38" s="178"/>
      <c r="X38" s="178"/>
      <c r="Y38" s="178"/>
      <c r="AB38" s="178"/>
    </row>
    <row r="39" spans="2:28">
      <c r="D39" s="217"/>
      <c r="E39" s="217"/>
      <c r="F39" s="217"/>
      <c r="G39" s="217"/>
      <c r="H39" s="217"/>
      <c r="I39" s="217"/>
      <c r="J39" s="217"/>
      <c r="K39" s="217"/>
      <c r="L39" s="217"/>
      <c r="M39" s="217"/>
      <c r="N39" s="217"/>
      <c r="O39" s="180"/>
      <c r="P39" s="180"/>
      <c r="Q39" s="180"/>
      <c r="R39" s="180"/>
      <c r="T39" s="178"/>
      <c r="U39" s="178"/>
      <c r="V39" s="178"/>
      <c r="W39" s="178"/>
      <c r="X39" s="178"/>
      <c r="Y39" s="178"/>
      <c r="AB39" s="178"/>
    </row>
    <row r="40" spans="2:28">
      <c r="D40" s="217"/>
      <c r="E40" s="217"/>
      <c r="F40" s="217"/>
      <c r="G40" s="217"/>
      <c r="H40" s="217"/>
      <c r="I40" s="217"/>
      <c r="J40" s="217"/>
      <c r="K40" s="217"/>
      <c r="L40" s="217"/>
      <c r="M40" s="217"/>
      <c r="N40" s="217"/>
      <c r="O40" s="180"/>
      <c r="P40" s="180"/>
      <c r="Q40" s="180"/>
      <c r="R40" s="180"/>
      <c r="T40" s="178"/>
      <c r="U40" s="178"/>
      <c r="V40" s="178"/>
      <c r="W40" s="178"/>
      <c r="X40" s="178"/>
      <c r="Y40" s="178"/>
      <c r="AB40" s="178"/>
    </row>
    <row r="41" spans="2:28">
      <c r="B41" s="197">
        <v>2</v>
      </c>
      <c r="D41" s="197" t="s">
        <v>133</v>
      </c>
      <c r="E41" s="187"/>
      <c r="F41" s="187"/>
      <c r="G41" s="180"/>
      <c r="H41" s="180"/>
      <c r="I41" s="219"/>
      <c r="J41" s="219"/>
      <c r="K41" s="180"/>
      <c r="L41" s="180"/>
      <c r="M41" s="180"/>
      <c r="N41" s="180"/>
      <c r="O41" s="180"/>
      <c r="P41" s="180"/>
      <c r="Q41" s="180"/>
      <c r="R41" s="180"/>
      <c r="S41" s="180"/>
      <c r="U41" s="220"/>
      <c r="Z41" s="180"/>
      <c r="AB41" s="178"/>
    </row>
    <row r="42" spans="2:28">
      <c r="B42" s="187"/>
      <c r="D42" s="187"/>
      <c r="E42" s="187"/>
      <c r="F42" s="187"/>
      <c r="G42" s="180"/>
      <c r="H42" s="180"/>
      <c r="I42" s="180"/>
      <c r="J42" s="180"/>
      <c r="K42" s="180"/>
      <c r="L42" s="180"/>
      <c r="M42" s="180"/>
      <c r="N42" s="180"/>
      <c r="O42" s="180"/>
      <c r="P42" s="180"/>
      <c r="Q42" s="180"/>
      <c r="R42" s="180"/>
      <c r="S42" s="180"/>
      <c r="U42" s="220"/>
      <c r="Z42" s="180"/>
      <c r="AB42" s="178"/>
    </row>
    <row r="43" spans="2:28" s="180" customFormat="1">
      <c r="B43" s="178"/>
      <c r="D43" s="196"/>
      <c r="E43" s="640"/>
      <c r="F43" s="640"/>
      <c r="G43" s="221"/>
      <c r="H43" s="200"/>
      <c r="I43" s="200"/>
      <c r="J43" s="200"/>
      <c r="K43" s="200"/>
      <c r="L43" s="200"/>
      <c r="M43" s="200"/>
      <c r="N43" s="222"/>
      <c r="O43" s="222"/>
      <c r="P43" s="222"/>
      <c r="Q43" s="222"/>
      <c r="R43" s="222"/>
      <c r="S43" s="223"/>
      <c r="V43" s="222"/>
      <c r="W43" s="220"/>
      <c r="AA43" s="178"/>
      <c r="AB43" s="178"/>
    </row>
    <row r="44" spans="2:28" s="180" customFormat="1" ht="35.25" customHeight="1">
      <c r="B44" s="178"/>
      <c r="D44" s="224" t="str">
        <f>+D20</f>
        <v>Source</v>
      </c>
      <c r="E44" s="225" t="s">
        <v>134</v>
      </c>
      <c r="F44" s="225" t="s">
        <v>256</v>
      </c>
      <c r="G44" s="225" t="s">
        <v>135</v>
      </c>
      <c r="H44" s="226"/>
      <c r="I44" s="226"/>
      <c r="J44" s="227" t="s">
        <v>100</v>
      </c>
      <c r="K44" s="226"/>
      <c r="L44" s="226"/>
      <c r="M44" s="226"/>
      <c r="N44" s="186"/>
      <c r="O44" s="227"/>
      <c r="P44" s="227"/>
      <c r="Q44" s="227"/>
      <c r="R44" s="227"/>
      <c r="S44" s="227"/>
      <c r="T44" s="227"/>
      <c r="U44" s="227"/>
      <c r="V44" s="227"/>
      <c r="W44" s="227"/>
      <c r="X44" s="227"/>
      <c r="Z44" s="178"/>
      <c r="AA44" s="178"/>
    </row>
    <row r="45" spans="2:28" s="180" customFormat="1" ht="15" customHeight="1">
      <c r="B45" s="178"/>
      <c r="D45" s="196" t="s">
        <v>136</v>
      </c>
      <c r="E45" s="393" t="e">
        <f>E9/E8</f>
        <v>#N/A</v>
      </c>
      <c r="F45" s="394">
        <f>F53-F55</f>
        <v>0</v>
      </c>
      <c r="G45" s="228"/>
      <c r="H45" s="207"/>
      <c r="I45" s="207"/>
      <c r="J45" s="229"/>
      <c r="K45" s="207"/>
      <c r="L45" s="207"/>
      <c r="M45" s="207"/>
      <c r="O45" s="230"/>
      <c r="P45" s="230"/>
      <c r="Q45" s="230"/>
      <c r="R45" s="230"/>
      <c r="S45" s="230"/>
      <c r="T45" s="230"/>
      <c r="U45" s="230"/>
      <c r="V45" s="230"/>
      <c r="W45" s="230"/>
      <c r="X45" s="230"/>
      <c r="Z45" s="178"/>
      <c r="AA45" s="178"/>
    </row>
    <row r="46" spans="2:28" s="180" customFormat="1" ht="15" customHeight="1">
      <c r="B46" s="178"/>
      <c r="D46" s="196" t="s">
        <v>137</v>
      </c>
      <c r="E46" s="231" t="e">
        <f>E53/E51</f>
        <v>#N/A</v>
      </c>
      <c r="F46" s="395"/>
      <c r="G46" s="395"/>
      <c r="H46" s="232"/>
      <c r="I46" s="232"/>
      <c r="J46" s="229"/>
      <c r="K46" s="232"/>
      <c r="L46" s="232"/>
      <c r="M46" s="232"/>
      <c r="N46" s="233"/>
      <c r="O46" s="233"/>
      <c r="P46" s="233"/>
      <c r="Q46" s="233"/>
      <c r="R46" s="233"/>
      <c r="S46" s="233"/>
      <c r="T46" s="233"/>
      <c r="U46" s="233"/>
      <c r="V46" s="196"/>
      <c r="W46" s="196"/>
      <c r="X46" s="196"/>
      <c r="Y46" s="196"/>
      <c r="AA46" s="178"/>
    </row>
    <row r="47" spans="2:28" s="180" customFormat="1" ht="15" customHeight="1">
      <c r="B47" s="178"/>
      <c r="D47" s="196" t="s">
        <v>138</v>
      </c>
      <c r="E47" s="231" t="e">
        <f>E53/E52</f>
        <v>#N/A</v>
      </c>
      <c r="F47" s="234">
        <f>F53/H21</f>
        <v>0</v>
      </c>
      <c r="G47" s="396"/>
      <c r="H47" s="233"/>
      <c r="I47" s="233"/>
      <c r="J47" s="229"/>
      <c r="K47" s="233"/>
      <c r="L47" s="233"/>
      <c r="M47" s="233"/>
      <c r="N47" s="233"/>
      <c r="O47" s="233"/>
      <c r="P47" s="233"/>
      <c r="Q47" s="233"/>
      <c r="R47" s="233"/>
      <c r="S47" s="233"/>
      <c r="T47" s="233"/>
      <c r="U47" s="233"/>
      <c r="V47" s="196"/>
      <c r="W47" s="196"/>
      <c r="X47" s="196"/>
      <c r="Y47" s="196"/>
      <c r="AA47" s="178"/>
    </row>
    <row r="48" spans="2:28" s="180" customFormat="1">
      <c r="B48" s="178"/>
      <c r="D48" s="196" t="s">
        <v>139</v>
      </c>
      <c r="E48" s="235"/>
      <c r="F48" s="235"/>
      <c r="G48" s="235"/>
      <c r="H48" s="233"/>
      <c r="I48" s="233"/>
      <c r="J48" s="233"/>
      <c r="K48" s="233"/>
      <c r="L48" s="236"/>
      <c r="M48" s="233"/>
      <c r="N48" s="233"/>
      <c r="O48" s="233"/>
      <c r="P48" s="233"/>
      <c r="Q48" s="233"/>
      <c r="R48" s="233"/>
      <c r="S48" s="233"/>
      <c r="T48" s="236"/>
      <c r="U48" s="233"/>
      <c r="V48" s="237"/>
      <c r="W48" s="237"/>
      <c r="X48" s="237"/>
      <c r="Y48" s="237"/>
      <c r="Z48" s="178"/>
      <c r="AA48" s="178"/>
    </row>
    <row r="49" spans="1:33" s="180" customFormat="1">
      <c r="B49" s="178"/>
      <c r="G49" s="231"/>
      <c r="H49" s="233"/>
      <c r="I49" s="233"/>
      <c r="J49" s="229"/>
      <c r="K49" s="233"/>
      <c r="L49" s="233"/>
      <c r="M49" s="233"/>
      <c r="N49" s="233"/>
      <c r="O49" s="233"/>
      <c r="P49" s="233"/>
      <c r="Q49" s="233"/>
      <c r="R49" s="233"/>
      <c r="S49" s="233"/>
      <c r="T49" s="233"/>
      <c r="U49" s="233"/>
      <c r="V49" s="196"/>
      <c r="W49" s="196"/>
      <c r="X49" s="196"/>
      <c r="Y49" s="196"/>
      <c r="Z49" s="178"/>
      <c r="AA49" s="178"/>
    </row>
    <row r="50" spans="1:33" s="180" customFormat="1">
      <c r="B50" s="178"/>
      <c r="D50" s="196" t="s">
        <v>140</v>
      </c>
      <c r="E50" s="238">
        <f>K19</f>
        <v>0</v>
      </c>
      <c r="F50" s="238" t="e">
        <f>E12</f>
        <v>#N/A</v>
      </c>
      <c r="G50" s="238" t="e">
        <f>$E$13</f>
        <v>#N/A</v>
      </c>
      <c r="H50" s="233"/>
      <c r="I50" s="233"/>
      <c r="J50" s="233"/>
      <c r="K50" s="239"/>
      <c r="L50" s="240"/>
      <c r="M50" s="233"/>
      <c r="N50" s="233"/>
      <c r="O50" s="233"/>
      <c r="P50" s="233"/>
      <c r="Q50" s="233"/>
      <c r="R50" s="233"/>
      <c r="S50" s="233"/>
      <c r="T50" s="233"/>
      <c r="U50" s="233"/>
      <c r="V50" s="196"/>
      <c r="W50" s="196"/>
      <c r="X50" s="196"/>
      <c r="Y50" s="196"/>
      <c r="Z50" s="178"/>
      <c r="AA50" s="178"/>
    </row>
    <row r="51" spans="1:33" s="180" customFormat="1">
      <c r="B51" s="178"/>
      <c r="D51" s="196" t="s">
        <v>127</v>
      </c>
      <c r="E51" s="242" t="e">
        <f>INDEX($E$25:$O$25,MATCH(E50,$E$21:$O$21,0))</f>
        <v>#N/A</v>
      </c>
      <c r="F51" s="242" t="e">
        <f>INDEX($E$25:$O$25,MATCH(F50,$E$21:$O$21,0))</f>
        <v>#N/A</v>
      </c>
      <c r="G51" s="242" t="e">
        <f>INDEX($E$25:$O$25,MATCH(G50,$E$21:$O$21,0))</f>
        <v>#N/A</v>
      </c>
      <c r="H51" s="233"/>
      <c r="I51" s="241"/>
      <c r="J51" s="241"/>
      <c r="K51" s="239"/>
      <c r="L51" s="233"/>
      <c r="M51" s="233"/>
      <c r="N51" s="233"/>
      <c r="O51" s="233"/>
      <c r="P51" s="233"/>
      <c r="Q51" s="233"/>
      <c r="R51" s="233"/>
      <c r="S51" s="233"/>
      <c r="T51" s="233"/>
      <c r="U51" s="233"/>
      <c r="V51" s="196"/>
      <c r="W51" s="196"/>
      <c r="X51" s="196"/>
      <c r="Y51" s="196"/>
      <c r="Z51" s="178"/>
      <c r="AA51" s="178"/>
    </row>
    <row r="52" spans="1:33" s="180" customFormat="1">
      <c r="B52" s="178"/>
      <c r="D52" s="196" t="s">
        <v>125</v>
      </c>
      <c r="E52" s="242" t="e">
        <f>INDEX($E$23:$O$23,MATCH(E50,$E$21:$O$21,0))</f>
        <v>#N/A</v>
      </c>
      <c r="F52" s="242" t="e">
        <f>INDEX($E$23:$O$23,MATCH(F50,$E$21:$O$21,0))</f>
        <v>#N/A</v>
      </c>
      <c r="G52" s="242" t="e">
        <f>INDEX($E$23:$O$23,MATCH(G50,$E$21:$O$21,0))</f>
        <v>#N/A</v>
      </c>
      <c r="H52" s="232"/>
      <c r="I52" s="232"/>
      <c r="J52" s="232"/>
      <c r="K52" s="239"/>
      <c r="L52" s="232"/>
      <c r="M52" s="232"/>
      <c r="N52" s="243"/>
      <c r="O52" s="243"/>
      <c r="P52" s="243"/>
      <c r="Q52" s="243"/>
      <c r="R52" s="243"/>
      <c r="S52" s="233"/>
      <c r="T52" s="233"/>
      <c r="U52" s="233"/>
      <c r="V52" s="244"/>
      <c r="W52" s="244"/>
      <c r="X52" s="244"/>
      <c r="Y52" s="244"/>
      <c r="Z52" s="178"/>
      <c r="AA52" s="178"/>
    </row>
    <row r="53" spans="1:33" s="180" customFormat="1">
      <c r="B53" s="178"/>
      <c r="D53" s="245" t="s">
        <v>141</v>
      </c>
      <c r="E53" s="397" t="e">
        <f>E45+E55</f>
        <v>#N/A</v>
      </c>
      <c r="F53" s="398"/>
      <c r="G53" s="246" t="e">
        <f>G51*G46</f>
        <v>#N/A</v>
      </c>
      <c r="H53" s="247"/>
      <c r="I53" s="247"/>
      <c r="J53" s="247"/>
      <c r="K53" s="248"/>
      <c r="L53" s="247"/>
      <c r="M53" s="247"/>
      <c r="N53" s="247"/>
      <c r="O53" s="247"/>
      <c r="P53" s="247"/>
      <c r="Q53" s="247"/>
      <c r="R53" s="247"/>
      <c r="S53" s="247"/>
      <c r="T53" s="247"/>
      <c r="U53" s="247"/>
      <c r="V53" s="178"/>
      <c r="W53" s="178"/>
      <c r="X53" s="178"/>
      <c r="Y53" s="178"/>
      <c r="Z53" s="178"/>
      <c r="AA53" s="178"/>
    </row>
    <row r="54" spans="1:33" s="180" customFormat="1">
      <c r="B54" s="178"/>
      <c r="D54" s="196"/>
      <c r="E54" s="220"/>
      <c r="F54" s="242"/>
      <c r="G54" s="242"/>
      <c r="H54" s="249"/>
      <c r="I54" s="249"/>
      <c r="J54" s="249"/>
      <c r="K54" s="249"/>
      <c r="L54" s="249"/>
      <c r="M54" s="249"/>
      <c r="N54" s="249"/>
      <c r="O54" s="249"/>
      <c r="P54" s="249"/>
      <c r="Q54" s="249"/>
      <c r="R54" s="249"/>
      <c r="S54" s="249"/>
      <c r="T54" s="249"/>
      <c r="U54" s="249"/>
      <c r="V54" s="250"/>
      <c r="W54" s="250"/>
      <c r="X54" s="250"/>
      <c r="Y54" s="196"/>
      <c r="Z54" s="178"/>
      <c r="AA54" s="178"/>
    </row>
    <row r="55" spans="1:33" s="180" customFormat="1">
      <c r="B55" s="178"/>
      <c r="D55" s="196" t="s">
        <v>142</v>
      </c>
      <c r="E55" s="242" t="e">
        <f>INDEX($K$36:$O$36,MATCH(E50,$E$21:$O$21,0))</f>
        <v>#N/A</v>
      </c>
      <c r="F55" s="399"/>
      <c r="G55" s="242">
        <f>O34</f>
        <v>0</v>
      </c>
      <c r="H55" s="233"/>
      <c r="I55" s="233"/>
      <c r="J55" s="233"/>
      <c r="K55" s="233"/>
      <c r="L55" s="233"/>
      <c r="M55" s="233"/>
      <c r="N55" s="233"/>
      <c r="O55" s="233"/>
      <c r="P55" s="233"/>
      <c r="Q55" s="233"/>
      <c r="R55" s="233"/>
      <c r="S55" s="233"/>
      <c r="T55" s="233"/>
      <c r="U55" s="233"/>
      <c r="V55" s="196"/>
      <c r="W55" s="196"/>
      <c r="X55" s="196"/>
      <c r="Y55" s="196"/>
      <c r="Z55" s="178"/>
      <c r="AA55" s="178"/>
    </row>
    <row r="56" spans="1:33" s="180" customFormat="1">
      <c r="B56" s="178"/>
      <c r="D56" s="245" t="s">
        <v>143</v>
      </c>
      <c r="E56" s="400" t="e">
        <f>E45</f>
        <v>#N/A</v>
      </c>
      <c r="F56" s="246">
        <f>F45</f>
        <v>0</v>
      </c>
      <c r="G56" s="246" t="e">
        <f>G53-G55</f>
        <v>#N/A</v>
      </c>
      <c r="H56" s="251"/>
      <c r="I56" s="251"/>
      <c r="J56" s="251"/>
      <c r="K56" s="251"/>
      <c r="L56" s="251"/>
      <c r="M56" s="251"/>
      <c r="N56" s="251"/>
      <c r="O56" s="251"/>
      <c r="P56" s="251"/>
      <c r="Q56" s="251"/>
      <c r="R56" s="251"/>
      <c r="S56" s="251"/>
      <c r="T56" s="251"/>
      <c r="U56" s="251"/>
      <c r="V56" s="245"/>
      <c r="W56" s="245"/>
      <c r="X56" s="245"/>
      <c r="Y56" s="196"/>
      <c r="Z56" s="178"/>
      <c r="AA56" s="178"/>
    </row>
    <row r="57" spans="1:33" s="180" customFormat="1">
      <c r="B57" s="178"/>
      <c r="D57" s="196"/>
      <c r="E57" s="218"/>
      <c r="F57" s="242"/>
      <c r="G57" s="242"/>
      <c r="H57" s="233"/>
      <c r="I57" s="233"/>
      <c r="J57" s="233"/>
      <c r="K57" s="233"/>
      <c r="L57" s="233"/>
      <c r="M57" s="233"/>
      <c r="N57" s="233"/>
      <c r="O57" s="233"/>
      <c r="P57" s="233"/>
      <c r="Q57" s="233"/>
      <c r="R57" s="233"/>
      <c r="S57" s="233"/>
      <c r="T57" s="233"/>
      <c r="U57" s="233"/>
      <c r="V57" s="196"/>
      <c r="W57" s="196"/>
      <c r="X57" s="196"/>
      <c r="Y57" s="196"/>
      <c r="Z57" s="178"/>
      <c r="AA57" s="178"/>
    </row>
    <row r="58" spans="1:33" s="180" customFormat="1">
      <c r="B58" s="178"/>
      <c r="D58" s="196" t="s">
        <v>144</v>
      </c>
      <c r="E58" s="401"/>
      <c r="F58" s="402"/>
      <c r="G58" s="403">
        <f>E58</f>
        <v>0</v>
      </c>
      <c r="H58" s="252"/>
      <c r="I58" s="233"/>
      <c r="J58" s="233"/>
      <c r="K58" s="233"/>
      <c r="L58" s="233"/>
      <c r="M58" s="233"/>
      <c r="N58" s="233"/>
      <c r="O58" s="233"/>
      <c r="P58" s="233"/>
      <c r="Q58" s="233"/>
      <c r="R58" s="233"/>
      <c r="S58" s="233"/>
      <c r="T58" s="233"/>
      <c r="U58" s="233"/>
      <c r="V58" s="196"/>
      <c r="W58" s="196"/>
      <c r="X58" s="196"/>
      <c r="Y58" s="196"/>
      <c r="Z58" s="178"/>
      <c r="AA58" s="178"/>
    </row>
    <row r="59" spans="1:33" s="180" customFormat="1">
      <c r="B59" s="178"/>
      <c r="D59" s="185" t="s">
        <v>145</v>
      </c>
      <c r="E59" s="404" t="e">
        <f>E56*E58</f>
        <v>#N/A</v>
      </c>
      <c r="F59" s="253"/>
      <c r="G59" s="405" t="e">
        <f>G56*G58</f>
        <v>#N/A</v>
      </c>
      <c r="H59" s="253"/>
      <c r="I59" s="185"/>
      <c r="J59" s="185"/>
      <c r="K59" s="185"/>
      <c r="L59" s="185"/>
      <c r="M59" s="185"/>
      <c r="N59" s="185"/>
      <c r="O59" s="185"/>
      <c r="P59" s="185"/>
      <c r="Q59" s="185"/>
      <c r="R59" s="185"/>
      <c r="S59" s="185"/>
      <c r="T59" s="185"/>
      <c r="U59" s="185"/>
      <c r="V59" s="185"/>
      <c r="W59" s="185"/>
      <c r="X59" s="185"/>
      <c r="Y59" s="196"/>
      <c r="Z59" s="178"/>
      <c r="AA59" s="178"/>
    </row>
    <row r="60" spans="1:33" s="180" customFormat="1">
      <c r="B60" s="178"/>
      <c r="D60" s="196"/>
      <c r="E60" s="255"/>
      <c r="F60" s="256"/>
      <c r="G60" s="256"/>
      <c r="H60" s="196"/>
      <c r="I60" s="196"/>
      <c r="J60" s="196"/>
      <c r="K60" s="196"/>
      <c r="L60" s="196"/>
      <c r="M60" s="196"/>
      <c r="N60" s="196"/>
      <c r="O60" s="196"/>
      <c r="P60" s="196"/>
      <c r="Q60" s="196"/>
      <c r="R60" s="196"/>
      <c r="S60" s="196"/>
      <c r="T60" s="196"/>
      <c r="U60" s="196"/>
      <c r="V60" s="196"/>
      <c r="W60" s="196"/>
      <c r="X60" s="196"/>
      <c r="Y60" s="196"/>
      <c r="Z60" s="178"/>
      <c r="AA60" s="178"/>
    </row>
    <row r="61" spans="1:33" s="180" customFormat="1">
      <c r="B61" s="178"/>
      <c r="D61" s="196"/>
      <c r="E61" s="255"/>
      <c r="F61" s="256"/>
      <c r="G61" s="406" t="e">
        <f>G59/E59</f>
        <v>#N/A</v>
      </c>
      <c r="H61" s="196"/>
      <c r="I61" s="196"/>
      <c r="J61" s="196"/>
      <c r="K61" s="196"/>
      <c r="L61" s="196"/>
      <c r="M61" s="196"/>
      <c r="N61" s="196"/>
      <c r="O61" s="196"/>
      <c r="P61" s="196"/>
      <c r="Q61" s="196"/>
      <c r="R61" s="196"/>
      <c r="S61" s="196"/>
      <c r="T61" s="196"/>
      <c r="U61" s="254"/>
      <c r="V61" s="196"/>
      <c r="W61" s="254"/>
      <c r="X61" s="196"/>
      <c r="Y61" s="196"/>
      <c r="Z61" s="178"/>
      <c r="AA61" s="257"/>
      <c r="AB61" s="254"/>
    </row>
    <row r="62" spans="1:33" s="180" customFormat="1">
      <c r="A62" s="178"/>
      <c r="B62" s="178"/>
      <c r="C62" s="178"/>
      <c r="D62" s="201"/>
      <c r="E62" s="258"/>
      <c r="F62" s="259"/>
      <c r="G62" s="259"/>
      <c r="H62" s="260"/>
      <c r="I62" s="260"/>
      <c r="J62" s="260"/>
      <c r="K62" s="260"/>
      <c r="M62" s="260"/>
      <c r="N62" s="260"/>
      <c r="O62" s="261"/>
      <c r="P62" s="261"/>
      <c r="Q62" s="261"/>
      <c r="R62" s="261"/>
      <c r="S62" s="260"/>
      <c r="T62" s="196"/>
      <c r="U62" s="254"/>
      <c r="V62" s="196"/>
      <c r="W62" s="261"/>
      <c r="X62" s="196"/>
      <c r="Y62" s="178"/>
      <c r="Z62" s="178"/>
      <c r="AA62" s="178"/>
      <c r="AC62" s="178"/>
      <c r="AD62" s="178"/>
      <c r="AE62" s="178"/>
      <c r="AF62" s="178"/>
      <c r="AG62" s="178"/>
    </row>
    <row r="63" spans="1:33" s="180" customFormat="1">
      <c r="A63" s="178"/>
      <c r="B63" s="197">
        <v>3</v>
      </c>
      <c r="C63" s="178"/>
      <c r="D63" s="197" t="s">
        <v>146</v>
      </c>
      <c r="G63" s="178"/>
      <c r="H63" s="178"/>
      <c r="I63" s="178"/>
      <c r="J63" s="178"/>
      <c r="K63" s="178"/>
      <c r="L63" s="178"/>
      <c r="N63" s="178"/>
      <c r="O63" s="178"/>
      <c r="P63" s="178"/>
      <c r="Q63" s="178"/>
      <c r="R63" s="178"/>
      <c r="S63" s="178"/>
      <c r="U63" s="254"/>
      <c r="W63" s="254"/>
      <c r="Z63" s="178"/>
      <c r="AA63" s="178"/>
      <c r="AC63" s="178"/>
      <c r="AD63" s="178"/>
      <c r="AE63" s="178"/>
      <c r="AF63" s="178"/>
      <c r="AG63" s="178"/>
    </row>
    <row r="64" spans="1:33" s="180" customFormat="1">
      <c r="A64" s="178"/>
      <c r="B64" s="187"/>
      <c r="C64" s="178"/>
      <c r="D64" s="187"/>
      <c r="G64" s="178"/>
      <c r="H64" s="178"/>
      <c r="I64" s="178"/>
      <c r="J64" s="179"/>
      <c r="K64" s="178"/>
      <c r="L64" s="178"/>
      <c r="M64" s="178"/>
      <c r="N64" s="178"/>
      <c r="O64" s="178"/>
      <c r="P64" s="178"/>
      <c r="Q64" s="178"/>
      <c r="R64" s="178"/>
      <c r="S64" s="178"/>
      <c r="U64" s="254"/>
      <c r="W64" s="254"/>
      <c r="Z64" s="178"/>
      <c r="AA64" s="178"/>
      <c r="AC64" s="178"/>
      <c r="AD64" s="178"/>
      <c r="AE64" s="178"/>
      <c r="AF64" s="178"/>
      <c r="AG64" s="178"/>
    </row>
    <row r="65" spans="1:35" s="180" customFormat="1">
      <c r="A65" s="178"/>
      <c r="B65" s="187"/>
      <c r="C65" s="178"/>
      <c r="D65" s="187"/>
      <c r="G65" s="178"/>
      <c r="H65" s="178"/>
      <c r="I65" s="178"/>
      <c r="J65" s="178"/>
      <c r="K65" s="178"/>
      <c r="L65" s="178"/>
      <c r="M65" s="178"/>
      <c r="N65" s="178"/>
      <c r="O65" s="178"/>
      <c r="P65" s="178"/>
      <c r="Q65" s="178"/>
      <c r="R65" s="178"/>
      <c r="S65" s="178"/>
      <c r="U65" s="254"/>
      <c r="W65" s="254"/>
      <c r="Z65" s="178"/>
      <c r="AA65" s="178"/>
      <c r="AC65" s="178"/>
      <c r="AD65" s="178"/>
      <c r="AE65" s="178"/>
      <c r="AF65" s="178"/>
      <c r="AG65" s="178"/>
    </row>
    <row r="66" spans="1:35">
      <c r="D66" s="262" t="s">
        <v>147</v>
      </c>
      <c r="E66" s="262"/>
      <c r="F66" s="262"/>
      <c r="G66" s="262"/>
      <c r="H66" s="262"/>
      <c r="I66" s="262"/>
      <c r="J66" s="262"/>
      <c r="K66" s="262"/>
      <c r="L66" s="262"/>
      <c r="M66" s="262"/>
      <c r="N66" s="262"/>
      <c r="O66" s="262"/>
      <c r="P66" s="262"/>
      <c r="Q66" s="262"/>
      <c r="R66" s="262"/>
      <c r="S66" s="262"/>
      <c r="T66" s="262"/>
      <c r="U66" s="262"/>
      <c r="V66" s="262"/>
      <c r="W66" s="262"/>
      <c r="X66" s="262"/>
      <c r="Y66" s="262"/>
      <c r="Z66" s="262"/>
      <c r="AA66" s="262"/>
      <c r="AB66" s="262"/>
      <c r="AC66" s="262"/>
      <c r="AD66" s="262"/>
      <c r="AE66" s="262"/>
      <c r="AF66" s="262"/>
      <c r="AG66" s="262"/>
      <c r="AH66" s="262"/>
      <c r="AI66" s="262"/>
    </row>
    <row r="67" spans="1:35">
      <c r="D67" s="312"/>
      <c r="E67" s="263"/>
      <c r="F67" s="263"/>
      <c r="G67" s="263"/>
      <c r="H67" s="263"/>
      <c r="I67" s="263"/>
      <c r="J67" s="264"/>
      <c r="K67" s="264"/>
      <c r="L67" s="264"/>
      <c r="M67" s="264"/>
      <c r="N67" s="264"/>
      <c r="O67" s="264"/>
      <c r="P67" s="264"/>
      <c r="Q67" s="264"/>
      <c r="R67" s="264"/>
      <c r="S67" s="264"/>
      <c r="T67" s="263"/>
      <c r="U67" s="263"/>
      <c r="V67" s="263"/>
      <c r="W67" s="263"/>
      <c r="X67" s="263"/>
      <c r="Y67" s="263"/>
      <c r="Z67" s="263"/>
      <c r="AA67" s="263"/>
      <c r="AB67" s="263"/>
      <c r="AC67" s="263"/>
      <c r="AD67" s="263"/>
      <c r="AE67" s="263"/>
      <c r="AF67" s="263"/>
      <c r="AG67" s="263"/>
      <c r="AH67" s="180"/>
    </row>
    <row r="68" spans="1:35" ht="25.5" customHeight="1">
      <c r="D68" s="266"/>
      <c r="E68" s="263"/>
      <c r="F68" s="263"/>
      <c r="G68" s="263"/>
      <c r="H68" s="263"/>
      <c r="I68" s="263"/>
      <c r="J68" s="267"/>
      <c r="K68" s="264"/>
      <c r="L68" s="264"/>
      <c r="M68" s="268"/>
      <c r="N68" s="269"/>
      <c r="O68" s="269"/>
      <c r="P68" s="269"/>
      <c r="Q68" s="269"/>
      <c r="R68" s="269"/>
      <c r="S68" s="269"/>
      <c r="T68" s="263"/>
      <c r="U68" s="263"/>
      <c r="V68" s="263"/>
      <c r="W68" s="263"/>
      <c r="X68" s="263"/>
      <c r="Y68" s="263"/>
      <c r="Z68" s="263"/>
      <c r="AA68" s="263"/>
      <c r="AB68" s="263"/>
      <c r="AC68" s="263"/>
      <c r="AD68" s="263"/>
      <c r="AE68" s="263"/>
      <c r="AF68" s="263"/>
      <c r="AG68" s="263"/>
      <c r="AH68" s="180"/>
    </row>
    <row r="69" spans="1:35" s="449" customFormat="1" ht="36" customHeight="1">
      <c r="D69" s="476" t="s">
        <v>323</v>
      </c>
      <c r="E69" s="476" t="s">
        <v>321</v>
      </c>
      <c r="F69" s="476" t="s">
        <v>322</v>
      </c>
      <c r="G69" s="477" t="s">
        <v>148</v>
      </c>
      <c r="H69" s="477" t="s">
        <v>149</v>
      </c>
      <c r="I69" s="477" t="s">
        <v>259</v>
      </c>
      <c r="J69" s="477" t="s">
        <v>260</v>
      </c>
      <c r="K69" s="477" t="s">
        <v>261</v>
      </c>
      <c r="L69" s="470" t="s">
        <v>262</v>
      </c>
      <c r="M69" s="469" t="str">
        <f>" Revenue"</f>
        <v xml:space="preserve"> Revenue</v>
      </c>
      <c r="N69" s="470" t="s">
        <v>262</v>
      </c>
      <c r="O69" s="470" t="s">
        <v>262</v>
      </c>
      <c r="P69" s="469" t="s">
        <v>262</v>
      </c>
      <c r="Q69" s="469" t="s">
        <v>127</v>
      </c>
      <c r="R69" s="469" t="str">
        <f>" EBITDA"</f>
        <v xml:space="preserve"> EBITDA</v>
      </c>
      <c r="S69" s="469" t="s">
        <v>127</v>
      </c>
      <c r="T69" s="469" t="s">
        <v>127</v>
      </c>
      <c r="U69" s="469" t="s">
        <v>127</v>
      </c>
      <c r="V69" s="470" t="s">
        <v>263</v>
      </c>
      <c r="W69" s="470" t="s">
        <v>264</v>
      </c>
      <c r="X69" s="470" t="str">
        <f>" TEV/ "&amp;Period&amp;" Total Revenue"</f>
        <v xml:space="preserve"> TEV/ NTM Total Revenue</v>
      </c>
      <c r="Y69" s="470" t="str">
        <f>" TEV/ "&amp;Period&amp;" EBITDA"</f>
        <v xml:space="preserve"> TEV/ NTM EBITDA</v>
      </c>
      <c r="Z69" s="470" t="s">
        <v>265</v>
      </c>
      <c r="AA69" s="470" t="s">
        <v>265</v>
      </c>
      <c r="AB69" s="470" t="s">
        <v>265</v>
      </c>
      <c r="AC69" s="470" t="s">
        <v>265</v>
      </c>
      <c r="AD69" s="470" t="s">
        <v>266</v>
      </c>
      <c r="AE69" s="470" t="s">
        <v>267</v>
      </c>
      <c r="AF69" s="470" t="s">
        <v>268</v>
      </c>
      <c r="AG69" s="470" t="s">
        <v>269</v>
      </c>
      <c r="AH69" s="470" t="s">
        <v>270</v>
      </c>
      <c r="AI69" s="470" t="s">
        <v>271</v>
      </c>
    </row>
    <row r="70" spans="1:35">
      <c r="D70" s="471"/>
      <c r="E70" s="471"/>
      <c r="F70" s="471"/>
      <c r="G70" s="471"/>
      <c r="H70" s="471"/>
      <c r="I70" s="471">
        <f t="shared" ref="I70:J70" ca="1" si="15">I72</f>
        <v>45439</v>
      </c>
      <c r="J70" s="471">
        <f t="shared" ca="1" si="15"/>
        <v>45439</v>
      </c>
      <c r="K70" s="485"/>
      <c r="L70" s="486" t="str">
        <f t="shared" ref="L70:U70" si="16">L72</f>
        <v>LTM</v>
      </c>
      <c r="M70" s="487" t="str">
        <f t="shared" si="16"/>
        <v>NTM</v>
      </c>
      <c r="N70" s="487" t="str">
        <f t="shared" si="16"/>
        <v>FY2023</v>
      </c>
      <c r="O70" s="487" t="str">
        <f t="shared" si="16"/>
        <v>FY2022</v>
      </c>
      <c r="P70" s="487" t="str">
        <f t="shared" si="16"/>
        <v>FY2021</v>
      </c>
      <c r="Q70" s="270" t="str">
        <f t="shared" si="16"/>
        <v>LTM</v>
      </c>
      <c r="R70" s="270" t="str">
        <f t="shared" si="16"/>
        <v>NTM</v>
      </c>
      <c r="S70" s="270" t="str">
        <f t="shared" si="16"/>
        <v>FY2023</v>
      </c>
      <c r="T70" s="270" t="str">
        <f t="shared" si="16"/>
        <v>FY2022</v>
      </c>
      <c r="U70" s="270" t="str">
        <f t="shared" si="16"/>
        <v>FY2021</v>
      </c>
      <c r="V70" s="472"/>
      <c r="W70" s="472"/>
      <c r="X70" s="472"/>
      <c r="Y70" s="472"/>
      <c r="Z70" s="484" t="str">
        <f>Z72</f>
        <v>LTM</v>
      </c>
      <c r="AA70" s="484" t="str">
        <f>AA72</f>
        <v>FY2023</v>
      </c>
      <c r="AB70" s="484" t="str">
        <f>AB72</f>
        <v>FY2022</v>
      </c>
      <c r="AC70" s="484" t="str">
        <f>AC72</f>
        <v>FY2021</v>
      </c>
      <c r="AD70" s="487" t="str">
        <f>AD72</f>
        <v>LTM</v>
      </c>
      <c r="AE70" s="487"/>
      <c r="AF70" s="487"/>
      <c r="AG70" s="484" t="str">
        <f>AG72</f>
        <v>LTM</v>
      </c>
      <c r="AH70" s="484"/>
      <c r="AI70" s="484"/>
    </row>
    <row r="71" spans="1:35" ht="24" outlineLevel="1">
      <c r="D71" s="480" t="e">
        <f ca="1">_xll.SNL.Clients.Office.Excel.Functions.SPGTable(D73:D77,E71:AI71,E72:AI72,"Options:Curr="&amp;Currency&amp;",Mag="&amp;Mag&amp;",NA=NA")</f>
        <v>#NAME?</v>
      </c>
      <c r="E71" s="480" t="s">
        <v>272</v>
      </c>
      <c r="F71" s="480" t="s">
        <v>273</v>
      </c>
      <c r="G71" s="480" t="s">
        <v>274</v>
      </c>
      <c r="H71" s="480" t="s">
        <v>274</v>
      </c>
      <c r="I71" s="478" t="s">
        <v>275</v>
      </c>
      <c r="J71" s="431" t="s">
        <v>276</v>
      </c>
      <c r="K71" s="431" t="s">
        <v>277</v>
      </c>
      <c r="L71" s="488" t="s">
        <v>278</v>
      </c>
      <c r="M71" s="488" t="s">
        <v>279</v>
      </c>
      <c r="N71" s="488" t="s">
        <v>278</v>
      </c>
      <c r="O71" s="488" t="s">
        <v>278</v>
      </c>
      <c r="P71" s="488" t="s">
        <v>278</v>
      </c>
      <c r="Q71" s="431" t="s">
        <v>280</v>
      </c>
      <c r="R71" s="431" t="s">
        <v>281</v>
      </c>
      <c r="S71" s="431" t="s">
        <v>280</v>
      </c>
      <c r="T71" s="431" t="s">
        <v>280</v>
      </c>
      <c r="U71" s="431" t="s">
        <v>280</v>
      </c>
      <c r="V71" s="488"/>
      <c r="W71" s="488"/>
      <c r="X71" s="488"/>
      <c r="Y71" s="488"/>
      <c r="Z71" s="431" t="s">
        <v>282</v>
      </c>
      <c r="AA71" s="431" t="s">
        <v>282</v>
      </c>
      <c r="AB71" s="431" t="s">
        <v>282</v>
      </c>
      <c r="AC71" s="431" t="s">
        <v>282</v>
      </c>
      <c r="AD71" s="488" t="s">
        <v>283</v>
      </c>
      <c r="AE71" s="488" t="s">
        <v>284</v>
      </c>
      <c r="AF71" s="488" t="s">
        <v>285</v>
      </c>
      <c r="AG71" s="431" t="s">
        <v>286</v>
      </c>
      <c r="AH71" s="431" t="s">
        <v>287</v>
      </c>
      <c r="AI71" s="432" t="s">
        <v>288</v>
      </c>
    </row>
    <row r="72" spans="1:35" outlineLevel="1">
      <c r="D72" s="481"/>
      <c r="E72" s="481"/>
      <c r="F72" s="481"/>
      <c r="G72" s="482" t="s">
        <v>289</v>
      </c>
      <c r="H72" s="481"/>
      <c r="I72" s="479">
        <f ca="1">E7</f>
        <v>45439</v>
      </c>
      <c r="J72" s="434">
        <f ca="1">E7</f>
        <v>45439</v>
      </c>
      <c r="K72" s="434"/>
      <c r="L72" s="489" t="s">
        <v>150</v>
      </c>
      <c r="M72" s="489" t="str">
        <f>Period</f>
        <v>NTM</v>
      </c>
      <c r="N72" s="489" t="s">
        <v>153</v>
      </c>
      <c r="O72" s="489" t="s">
        <v>152</v>
      </c>
      <c r="P72" s="489" t="s">
        <v>151</v>
      </c>
      <c r="Q72" s="433" t="s">
        <v>150</v>
      </c>
      <c r="R72" s="433" t="str">
        <f>Period</f>
        <v>NTM</v>
      </c>
      <c r="S72" s="433" t="s">
        <v>153</v>
      </c>
      <c r="T72" s="433" t="s">
        <v>152</v>
      </c>
      <c r="U72" s="433" t="s">
        <v>151</v>
      </c>
      <c r="V72" s="489"/>
      <c r="W72" s="489"/>
      <c r="X72" s="489"/>
      <c r="Y72" s="489"/>
      <c r="Z72" s="433" t="s">
        <v>150</v>
      </c>
      <c r="AA72" s="433" t="s">
        <v>153</v>
      </c>
      <c r="AB72" s="433" t="s">
        <v>152</v>
      </c>
      <c r="AC72" s="433" t="s">
        <v>151</v>
      </c>
      <c r="AD72" s="489" t="s">
        <v>150</v>
      </c>
      <c r="AE72" s="489"/>
      <c r="AF72" s="489"/>
      <c r="AG72" s="433" t="s">
        <v>150</v>
      </c>
      <c r="AH72" s="433"/>
      <c r="AI72" s="435"/>
    </row>
    <row r="73" spans="1:35">
      <c r="D73" s="473"/>
      <c r="E73" s="473" t="s">
        <v>290</v>
      </c>
      <c r="F73" s="473" t="s">
        <v>291</v>
      </c>
      <c r="G73" s="474">
        <v>45016</v>
      </c>
      <c r="H73" s="474">
        <v>45107</v>
      </c>
      <c r="I73" s="475">
        <v>9.3624699278267851</v>
      </c>
      <c r="J73" s="475">
        <v>118.23992473937452</v>
      </c>
      <c r="K73" s="507">
        <v>53.036768243785097</v>
      </c>
      <c r="L73" s="490">
        <v>150.37355792321199</v>
      </c>
      <c r="M73" s="490">
        <v>120.61161743152789</v>
      </c>
      <c r="N73" s="490">
        <v>153.73640195016588</v>
      </c>
      <c r="O73" s="490">
        <v>210.17211344208567</v>
      </c>
      <c r="P73" s="490">
        <v>174.70501452569977</v>
      </c>
      <c r="Q73" s="483">
        <v>29.790747166863355</v>
      </c>
      <c r="R73" s="483" t="s">
        <v>292</v>
      </c>
      <c r="S73" s="483">
        <v>31.907275954528917</v>
      </c>
      <c r="T73" s="483">
        <v>53.159767156905353</v>
      </c>
      <c r="U73" s="483">
        <v>33.892074790283424</v>
      </c>
      <c r="V73" s="276" t="str">
        <f>IF($D73="","",IF(ISERROR($K73/L73),"NA",IF($K73/L73&lt;0,"NM",$K73/L73)))</f>
        <v/>
      </c>
      <c r="W73" s="276" t="str">
        <f>IF($D73="","",IF(ISERROR($K73/Q73),"NA",IF($K73/Q73&lt;0,"NM",$K73/Q73)))</f>
        <v/>
      </c>
      <c r="X73" s="276" t="str">
        <f>IF($D73="","",IFERROR(K73/M73,"NA"))</f>
        <v/>
      </c>
      <c r="Y73" s="276" t="str">
        <f>IF($D73="","",IF(ISERROR(K73/R73),"NA",IF((K73/R73)&lt;0,"NM",K73/R73)))</f>
        <v/>
      </c>
      <c r="Z73" s="492">
        <v>19.811</v>
      </c>
      <c r="AA73" s="492">
        <v>20.754999999999999</v>
      </c>
      <c r="AB73" s="492">
        <v>25.292999999999999</v>
      </c>
      <c r="AC73" s="492">
        <v>19.399999999999999</v>
      </c>
      <c r="AD73" s="497">
        <v>-10.718</v>
      </c>
      <c r="AE73" s="497">
        <v>7.3650000000000002</v>
      </c>
      <c r="AF73" s="497">
        <v>6.9509999999999996</v>
      </c>
      <c r="AG73" s="492">
        <v>-23.7</v>
      </c>
      <c r="AH73" s="492">
        <v>20.797000000000001</v>
      </c>
      <c r="AI73" s="492">
        <v>16.667000000000002</v>
      </c>
    </row>
    <row r="74" spans="1:35">
      <c r="D74" s="473"/>
      <c r="E74" s="473" t="s">
        <v>293</v>
      </c>
      <c r="F74" s="473" t="s">
        <v>294</v>
      </c>
      <c r="G74" s="474">
        <v>44926</v>
      </c>
      <c r="H74" s="474">
        <v>45107</v>
      </c>
      <c r="I74" s="475" t="s">
        <v>292</v>
      </c>
      <c r="J74" s="475" t="s">
        <v>292</v>
      </c>
      <c r="K74" s="507">
        <v>9801.6867299999994</v>
      </c>
      <c r="L74" s="490">
        <v>2714.5</v>
      </c>
      <c r="M74" s="490">
        <v>2969.2642999999998</v>
      </c>
      <c r="N74" s="490" t="s">
        <v>292</v>
      </c>
      <c r="O74" s="490">
        <v>2530.7000000000003</v>
      </c>
      <c r="P74" s="490">
        <v>2417.9</v>
      </c>
      <c r="Q74" s="483">
        <v>581.5</v>
      </c>
      <c r="R74" s="483">
        <v>663.125</v>
      </c>
      <c r="S74" s="483" t="s">
        <v>292</v>
      </c>
      <c r="T74" s="483">
        <v>545.29999999999995</v>
      </c>
      <c r="U74" s="483">
        <v>514.70000000000005</v>
      </c>
      <c r="V74" s="276" t="str">
        <f>IF($D74="","",IF(ISERROR($K74/L74),"NA",IF($K74/L74&lt;0,"NM",$K74/L74)))</f>
        <v/>
      </c>
      <c r="W74" s="276" t="str">
        <f>IF($D74="","",IF(ISERROR($K74/Q74),"NA",IF($K74/Q74&lt;0,"NM",$K74/Q74)))</f>
        <v/>
      </c>
      <c r="X74" s="276" t="str">
        <f>IF($D74="","",IFERROR(K74/M74,"NA"))</f>
        <v/>
      </c>
      <c r="Y74" s="276" t="str">
        <f>IF($D74="","",IF(ISERROR(K74/R74),"NA",IF((K74/R74)&lt;0,"NM",K74/R74)))</f>
        <v/>
      </c>
      <c r="Z74" s="492">
        <v>21.422000000000001</v>
      </c>
      <c r="AA74" s="492" t="s">
        <v>292</v>
      </c>
      <c r="AB74" s="492">
        <v>21.547000000000001</v>
      </c>
      <c r="AC74" s="492">
        <v>21.286999999999999</v>
      </c>
      <c r="AD74" s="497">
        <v>9.641</v>
      </c>
      <c r="AE74" s="497">
        <v>11.285</v>
      </c>
      <c r="AF74" s="497">
        <v>8.07</v>
      </c>
      <c r="AG74" s="492">
        <v>11.913</v>
      </c>
      <c r="AH74" s="492">
        <v>19.030999999999999</v>
      </c>
      <c r="AI74" s="492">
        <v>13.159000000000001</v>
      </c>
    </row>
    <row r="75" spans="1:35">
      <c r="D75" s="473"/>
      <c r="E75" s="473" t="s">
        <v>295</v>
      </c>
      <c r="F75" s="473" t="s">
        <v>296</v>
      </c>
      <c r="G75" s="474">
        <v>45138</v>
      </c>
      <c r="H75" s="474">
        <v>45138</v>
      </c>
      <c r="I75" s="475" t="s">
        <v>292</v>
      </c>
      <c r="J75" s="475" t="s">
        <v>292</v>
      </c>
      <c r="K75" s="507">
        <v>7269.1625435476617</v>
      </c>
      <c r="L75" s="490">
        <v>3679.9632680242239</v>
      </c>
      <c r="M75" s="490">
        <v>3962.1522217224465</v>
      </c>
      <c r="N75" s="490">
        <v>3679.9632680242239</v>
      </c>
      <c r="O75" s="490">
        <v>3377.3744176974892</v>
      </c>
      <c r="P75" s="490">
        <v>3265.0671461818579</v>
      </c>
      <c r="Q75" s="483">
        <v>647.05313965259643</v>
      </c>
      <c r="R75" s="483">
        <v>783.30256153623873</v>
      </c>
      <c r="S75" s="483">
        <v>647.05313965259643</v>
      </c>
      <c r="T75" s="483">
        <v>587.02610689519884</v>
      </c>
      <c r="U75" s="483">
        <v>588.96057416580481</v>
      </c>
      <c r="V75" s="276" t="str">
        <f>IF($D75="","",IF(ISERROR($K75/L75),"NA",IF($K75/L75&lt;0,"NM",$K75/L75)))</f>
        <v/>
      </c>
      <c r="W75" s="276" t="str">
        <f>IF($D75="","",IF(ISERROR($K75/Q75),"NA",IF($K75/Q75&lt;0,"NM",$K75/Q75)))</f>
        <v/>
      </c>
      <c r="X75" s="276" t="str">
        <f>IF($D75="","",IFERROR(K75/M75,"NA"))</f>
        <v/>
      </c>
      <c r="Y75" s="276" t="str">
        <f>IF($D75="","",IF(ISERROR(K75/R75),"NA",IF((K75/R75)&lt;0,"NM",K75/R75)))</f>
        <v/>
      </c>
      <c r="Z75" s="492">
        <v>17.582999999999998</v>
      </c>
      <c r="AA75" s="492">
        <v>17.582999999999998</v>
      </c>
      <c r="AB75" s="492">
        <v>17.381</v>
      </c>
      <c r="AC75" s="492">
        <v>18.038</v>
      </c>
      <c r="AD75" s="497">
        <v>18.355</v>
      </c>
      <c r="AE75" s="497">
        <v>6.0270000000000001</v>
      </c>
      <c r="AF75" s="497">
        <v>5.4610000000000003</v>
      </c>
      <c r="AG75" s="492">
        <v>19.731000000000002</v>
      </c>
      <c r="AH75" s="492">
        <v>15.564</v>
      </c>
      <c r="AI75" s="492">
        <v>4.282</v>
      </c>
    </row>
    <row r="76" spans="1:35">
      <c r="D76" s="473"/>
      <c r="E76" s="473" t="s">
        <v>297</v>
      </c>
      <c r="F76" s="473" t="s">
        <v>294</v>
      </c>
      <c r="G76" s="474">
        <v>44926</v>
      </c>
      <c r="H76" s="474">
        <v>45108</v>
      </c>
      <c r="I76" s="475" t="s">
        <v>292</v>
      </c>
      <c r="J76" s="475" t="s">
        <v>292</v>
      </c>
      <c r="K76" s="507">
        <v>219939.94614399999</v>
      </c>
      <c r="L76" s="490">
        <v>43524</v>
      </c>
      <c r="M76" s="490">
        <v>44694.261299999998</v>
      </c>
      <c r="N76" s="490" t="s">
        <v>292</v>
      </c>
      <c r="O76" s="490">
        <v>44915</v>
      </c>
      <c r="P76" s="490">
        <v>39211</v>
      </c>
      <c r="Q76" s="483">
        <v>10632</v>
      </c>
      <c r="R76" s="483">
        <v>11550.7315</v>
      </c>
      <c r="S76" s="483" t="s">
        <v>292</v>
      </c>
      <c r="T76" s="483">
        <v>11968</v>
      </c>
      <c r="U76" s="483">
        <v>12964</v>
      </c>
      <c r="V76" s="276" t="str">
        <f>IF($D76="","",IF(ISERROR($K76/L76),"NA",IF($K76/L76&lt;0,"NM",$K76/L76)))</f>
        <v/>
      </c>
      <c r="W76" s="276" t="str">
        <f>IF($D76="","",IF(ISERROR($K76/Q76),"NA",IF($K76/Q76&lt;0,"NM",$K76/Q76)))</f>
        <v/>
      </c>
      <c r="X76" s="276" t="str">
        <f>IF($D76="","",IFERROR(K76/M76,"NA"))</f>
        <v/>
      </c>
      <c r="Y76" s="276" t="str">
        <f>IF($D76="","",IF(ISERROR(K76/R76),"NA",IF((K76/R76)&lt;0,"NM",K76/R76)))</f>
        <v/>
      </c>
      <c r="Z76" s="492">
        <v>17.582999999999998</v>
      </c>
      <c r="AA76" s="492">
        <v>17.582999999999998</v>
      </c>
      <c r="AB76" s="492">
        <v>17.381</v>
      </c>
      <c r="AC76" s="492">
        <v>18.038</v>
      </c>
      <c r="AD76" s="497">
        <v>18.355</v>
      </c>
      <c r="AE76" s="497">
        <v>6.0270000000000001</v>
      </c>
      <c r="AF76" s="497">
        <v>5.4610000000000003</v>
      </c>
      <c r="AG76" s="492">
        <v>19.731000000000002</v>
      </c>
      <c r="AH76" s="492">
        <v>15.564</v>
      </c>
      <c r="AI76" s="492">
        <v>4.282</v>
      </c>
    </row>
    <row r="77" spans="1:35">
      <c r="D77" s="473"/>
      <c r="E77" s="473"/>
      <c r="F77" s="473"/>
      <c r="G77" s="474"/>
      <c r="H77" s="474"/>
      <c r="I77" s="475"/>
      <c r="J77" s="475"/>
      <c r="K77" s="507"/>
      <c r="L77" s="490"/>
      <c r="M77" s="490"/>
      <c r="N77" s="490"/>
      <c r="O77" s="490"/>
      <c r="P77" s="490"/>
      <c r="Q77" s="483"/>
      <c r="R77" s="483"/>
      <c r="S77" s="483"/>
      <c r="T77" s="483"/>
      <c r="U77" s="483"/>
      <c r="V77" s="276"/>
      <c r="W77" s="276"/>
      <c r="X77" s="276"/>
      <c r="Y77" s="276"/>
      <c r="Z77" s="492"/>
      <c r="AA77" s="492"/>
      <c r="AB77" s="492"/>
      <c r="AC77" s="492"/>
      <c r="AD77" s="497"/>
      <c r="AE77" s="497"/>
      <c r="AF77" s="497"/>
      <c r="AG77" s="492"/>
      <c r="AH77" s="492"/>
      <c r="AI77" s="492"/>
    </row>
    <row r="78" spans="1:35">
      <c r="D78" s="277"/>
      <c r="E78" s="278"/>
      <c r="F78" s="271"/>
      <c r="G78" s="272"/>
      <c r="H78" s="273"/>
      <c r="I78" s="273"/>
      <c r="J78" s="273"/>
      <c r="K78" s="273"/>
      <c r="L78" s="273"/>
      <c r="M78" s="273"/>
      <c r="N78" s="273"/>
      <c r="O78" s="274"/>
      <c r="P78" s="274"/>
      <c r="Q78" s="274"/>
      <c r="R78" s="274"/>
      <c r="S78" s="274"/>
      <c r="T78" s="274"/>
      <c r="U78" s="274"/>
      <c r="V78" s="274"/>
      <c r="W78" s="275"/>
      <c r="X78" s="275"/>
      <c r="Y78" s="275"/>
      <c r="Z78" s="273"/>
      <c r="AA78" s="273"/>
      <c r="AB78" s="273"/>
      <c r="AC78" s="273"/>
      <c r="AD78" s="273"/>
      <c r="AE78" s="273"/>
      <c r="AF78" s="273"/>
      <c r="AG78" s="502"/>
      <c r="AH78" s="502"/>
      <c r="AI78" s="502"/>
    </row>
    <row r="79" spans="1:35">
      <c r="D79" s="277"/>
      <c r="E79" s="263"/>
      <c r="F79" s="254"/>
      <c r="G79" s="272"/>
      <c r="J79" s="279"/>
      <c r="K79" s="279"/>
      <c r="L79" s="279"/>
      <c r="M79" s="279"/>
      <c r="N79" s="279"/>
      <c r="O79" s="279"/>
      <c r="P79" s="279"/>
      <c r="Q79" s="279"/>
      <c r="R79" s="279"/>
      <c r="S79" s="280" t="s">
        <v>154</v>
      </c>
      <c r="T79" s="281"/>
      <c r="U79" s="282"/>
      <c r="V79" s="436">
        <f t="shared" ref="V79:AI79" si="17">MAX(V73:V77)</f>
        <v>0</v>
      </c>
      <c r="W79" s="436">
        <f t="shared" si="17"/>
        <v>0</v>
      </c>
      <c r="X79" s="436">
        <f t="shared" si="17"/>
        <v>0</v>
      </c>
      <c r="Y79" s="436">
        <f t="shared" si="17"/>
        <v>0</v>
      </c>
      <c r="Z79" s="493">
        <f t="shared" si="17"/>
        <v>21.422000000000001</v>
      </c>
      <c r="AA79" s="493">
        <f t="shared" si="17"/>
        <v>20.754999999999999</v>
      </c>
      <c r="AB79" s="493">
        <f t="shared" si="17"/>
        <v>25.292999999999999</v>
      </c>
      <c r="AC79" s="493">
        <f t="shared" si="17"/>
        <v>21.286999999999999</v>
      </c>
      <c r="AD79" s="498">
        <f t="shared" si="17"/>
        <v>18.355</v>
      </c>
      <c r="AE79" s="498">
        <f t="shared" si="17"/>
        <v>11.285</v>
      </c>
      <c r="AF79" s="498">
        <f t="shared" si="17"/>
        <v>8.07</v>
      </c>
      <c r="AG79" s="493">
        <f t="shared" si="17"/>
        <v>19.731000000000002</v>
      </c>
      <c r="AH79" s="493">
        <f t="shared" si="17"/>
        <v>20.797000000000001</v>
      </c>
      <c r="AI79" s="503">
        <f t="shared" si="17"/>
        <v>16.667000000000002</v>
      </c>
    </row>
    <row r="80" spans="1:35">
      <c r="D80" s="277"/>
      <c r="E80" s="263"/>
      <c r="F80" s="254"/>
      <c r="G80" s="272"/>
      <c r="J80" s="279"/>
      <c r="K80" s="279"/>
      <c r="L80" s="279"/>
      <c r="M80" s="279"/>
      <c r="N80" s="279"/>
      <c r="O80" s="279"/>
      <c r="P80" s="279"/>
      <c r="Q80" s="279"/>
      <c r="R80" s="279"/>
      <c r="S80" s="283" t="s">
        <v>155</v>
      </c>
      <c r="T80" s="284"/>
      <c r="U80" s="491"/>
      <c r="V80" s="437" t="e">
        <f t="shared" ref="V80:AI80" si="18">QUARTILE(V73:V77,3)</f>
        <v>#NUM!</v>
      </c>
      <c r="W80" s="437" t="e">
        <f t="shared" si="18"/>
        <v>#NUM!</v>
      </c>
      <c r="X80" s="437" t="e">
        <f t="shared" si="18"/>
        <v>#NUM!</v>
      </c>
      <c r="Y80" s="437" t="e">
        <f t="shared" si="18"/>
        <v>#NUM!</v>
      </c>
      <c r="Z80" s="494">
        <f t="shared" si="18"/>
        <v>20.213750000000001</v>
      </c>
      <c r="AA80" s="494">
        <f t="shared" si="18"/>
        <v>19.168999999999997</v>
      </c>
      <c r="AB80" s="494">
        <f t="shared" si="18"/>
        <v>22.483499999999999</v>
      </c>
      <c r="AC80" s="494">
        <f t="shared" si="18"/>
        <v>19.871749999999999</v>
      </c>
      <c r="AD80" s="499">
        <f t="shared" si="18"/>
        <v>18.355</v>
      </c>
      <c r="AE80" s="499">
        <f t="shared" si="18"/>
        <v>8.3450000000000006</v>
      </c>
      <c r="AF80" s="499">
        <f t="shared" si="18"/>
        <v>7.2307499999999996</v>
      </c>
      <c r="AG80" s="494">
        <f t="shared" si="18"/>
        <v>19.731000000000002</v>
      </c>
      <c r="AH80" s="494">
        <f t="shared" si="18"/>
        <v>19.4725</v>
      </c>
      <c r="AI80" s="504">
        <f t="shared" si="18"/>
        <v>14.036000000000001</v>
      </c>
    </row>
    <row r="81" spans="4:35">
      <c r="D81" s="277"/>
      <c r="E81" s="263"/>
      <c r="F81" s="254"/>
      <c r="G81" s="438"/>
      <c r="J81" s="439"/>
      <c r="K81" s="440"/>
      <c r="L81" s="440"/>
      <c r="M81" s="440"/>
      <c r="N81" s="440"/>
      <c r="O81" s="439"/>
      <c r="P81" s="439"/>
      <c r="Q81" s="439"/>
      <c r="R81" s="439"/>
      <c r="S81" s="285" t="s">
        <v>156</v>
      </c>
      <c r="T81" s="286"/>
      <c r="U81" s="287"/>
      <c r="V81" s="441" t="e">
        <f t="shared" ref="V81:AI81" si="19">AVERAGE(V73:V77)</f>
        <v>#DIV/0!</v>
      </c>
      <c r="W81" s="442" t="e">
        <f t="shared" si="19"/>
        <v>#DIV/0!</v>
      </c>
      <c r="X81" s="443" t="e">
        <f t="shared" si="19"/>
        <v>#DIV/0!</v>
      </c>
      <c r="Y81" s="443" t="e">
        <f t="shared" si="19"/>
        <v>#DIV/0!</v>
      </c>
      <c r="Z81" s="495">
        <f t="shared" si="19"/>
        <v>19.09975</v>
      </c>
      <c r="AA81" s="495">
        <f t="shared" si="19"/>
        <v>18.640333333333331</v>
      </c>
      <c r="AB81" s="495">
        <f t="shared" si="19"/>
        <v>20.400500000000001</v>
      </c>
      <c r="AC81" s="495">
        <f t="shared" si="19"/>
        <v>19.190749999999998</v>
      </c>
      <c r="AD81" s="500">
        <f t="shared" si="19"/>
        <v>8.9082499999999989</v>
      </c>
      <c r="AE81" s="500">
        <f t="shared" si="19"/>
        <v>7.6760000000000002</v>
      </c>
      <c r="AF81" s="500">
        <f t="shared" si="19"/>
        <v>6.4857499999999995</v>
      </c>
      <c r="AG81" s="495">
        <f t="shared" si="19"/>
        <v>6.9187500000000011</v>
      </c>
      <c r="AH81" s="495">
        <f t="shared" si="19"/>
        <v>17.739000000000001</v>
      </c>
      <c r="AI81" s="505">
        <f t="shared" si="19"/>
        <v>9.5975000000000001</v>
      </c>
    </row>
    <row r="82" spans="4:35">
      <c r="D82" s="277"/>
      <c r="E82" s="263"/>
      <c r="F82" s="254"/>
      <c r="G82" s="438"/>
      <c r="J82" s="439"/>
      <c r="K82" s="440"/>
      <c r="L82" s="440"/>
      <c r="M82" s="440"/>
      <c r="N82" s="440"/>
      <c r="O82" s="439"/>
      <c r="P82" s="439"/>
      <c r="Q82" s="439"/>
      <c r="R82" s="439"/>
      <c r="S82" s="285" t="s">
        <v>157</v>
      </c>
      <c r="T82" s="286"/>
      <c r="U82" s="287"/>
      <c r="V82" s="444" t="e">
        <f t="shared" ref="V82:AI82" si="20">MEDIAN(V73:V77)</f>
        <v>#NUM!</v>
      </c>
      <c r="W82" s="445" t="e">
        <f t="shared" si="20"/>
        <v>#NUM!</v>
      </c>
      <c r="X82" s="443" t="e">
        <f t="shared" si="20"/>
        <v>#NUM!</v>
      </c>
      <c r="Y82" s="443" t="e">
        <f t="shared" si="20"/>
        <v>#NUM!</v>
      </c>
      <c r="Z82" s="495">
        <f t="shared" si="20"/>
        <v>18.696999999999999</v>
      </c>
      <c r="AA82" s="495">
        <f t="shared" si="20"/>
        <v>17.582999999999998</v>
      </c>
      <c r="AB82" s="495">
        <f t="shared" si="20"/>
        <v>19.463999999999999</v>
      </c>
      <c r="AC82" s="495">
        <f t="shared" si="20"/>
        <v>18.719000000000001</v>
      </c>
      <c r="AD82" s="500">
        <f t="shared" si="20"/>
        <v>13.998000000000001</v>
      </c>
      <c r="AE82" s="500">
        <f t="shared" si="20"/>
        <v>6.6959999999999997</v>
      </c>
      <c r="AF82" s="500">
        <f t="shared" si="20"/>
        <v>6.2059999999999995</v>
      </c>
      <c r="AG82" s="495">
        <f t="shared" si="20"/>
        <v>15.822000000000001</v>
      </c>
      <c r="AH82" s="495">
        <f t="shared" si="20"/>
        <v>17.297499999999999</v>
      </c>
      <c r="AI82" s="505">
        <f t="shared" si="20"/>
        <v>8.7205000000000013</v>
      </c>
    </row>
    <row r="83" spans="4:35">
      <c r="D83" s="277"/>
      <c r="E83" s="263"/>
      <c r="F83" s="254"/>
      <c r="G83" s="272"/>
      <c r="J83" s="446"/>
      <c r="K83" s="446"/>
      <c r="L83" s="446"/>
      <c r="M83" s="446"/>
      <c r="N83" s="446"/>
      <c r="O83" s="447"/>
      <c r="P83" s="447"/>
      <c r="Q83" s="447"/>
      <c r="R83" s="447"/>
      <c r="S83" s="283" t="s">
        <v>158</v>
      </c>
      <c r="T83" s="284"/>
      <c r="U83" s="274"/>
      <c r="V83" s="437" t="e">
        <f t="shared" ref="V83:AI83" si="21">+QUARTILE(V73:V77,1)</f>
        <v>#NUM!</v>
      </c>
      <c r="W83" s="437" t="e">
        <f t="shared" si="21"/>
        <v>#NUM!</v>
      </c>
      <c r="X83" s="437" t="e">
        <f t="shared" si="21"/>
        <v>#NUM!</v>
      </c>
      <c r="Y83" s="437" t="e">
        <f t="shared" si="21"/>
        <v>#NUM!</v>
      </c>
      <c r="Z83" s="494">
        <f t="shared" si="21"/>
        <v>17.582999999999998</v>
      </c>
      <c r="AA83" s="494">
        <f t="shared" si="21"/>
        <v>17.582999999999998</v>
      </c>
      <c r="AB83" s="494">
        <f t="shared" si="21"/>
        <v>17.381</v>
      </c>
      <c r="AC83" s="494">
        <f t="shared" si="21"/>
        <v>18.038</v>
      </c>
      <c r="AD83" s="499">
        <f t="shared" si="21"/>
        <v>4.5512500000000014</v>
      </c>
      <c r="AE83" s="499">
        <f t="shared" si="21"/>
        <v>6.0270000000000001</v>
      </c>
      <c r="AF83" s="499">
        <f t="shared" si="21"/>
        <v>5.4610000000000003</v>
      </c>
      <c r="AG83" s="494">
        <f t="shared" si="21"/>
        <v>3.0097500000000004</v>
      </c>
      <c r="AH83" s="494">
        <f t="shared" si="21"/>
        <v>15.564</v>
      </c>
      <c r="AI83" s="504">
        <f t="shared" si="21"/>
        <v>4.282</v>
      </c>
    </row>
    <row r="84" spans="4:35">
      <c r="D84" s="265"/>
      <c r="E84" s="265"/>
      <c r="F84" s="254"/>
      <c r="G84" s="279"/>
      <c r="J84" s="446"/>
      <c r="K84" s="446"/>
      <c r="L84" s="446"/>
      <c r="M84" s="446"/>
      <c r="N84" s="446"/>
      <c r="O84" s="447"/>
      <c r="P84" s="447"/>
      <c r="Q84" s="447"/>
      <c r="R84" s="447"/>
      <c r="S84" s="288" t="s">
        <v>159</v>
      </c>
      <c r="T84" s="289"/>
      <c r="U84" s="290"/>
      <c r="V84" s="448">
        <f t="shared" ref="V84:AI84" si="22">MIN(V73:V77)</f>
        <v>0</v>
      </c>
      <c r="W84" s="448">
        <f t="shared" si="22"/>
        <v>0</v>
      </c>
      <c r="X84" s="448">
        <f t="shared" si="22"/>
        <v>0</v>
      </c>
      <c r="Y84" s="448">
        <f t="shared" si="22"/>
        <v>0</v>
      </c>
      <c r="Z84" s="496">
        <f t="shared" si="22"/>
        <v>17.582999999999998</v>
      </c>
      <c r="AA84" s="496">
        <f t="shared" si="22"/>
        <v>17.582999999999998</v>
      </c>
      <c r="AB84" s="496">
        <f t="shared" si="22"/>
        <v>17.381</v>
      </c>
      <c r="AC84" s="496">
        <f t="shared" si="22"/>
        <v>18.038</v>
      </c>
      <c r="AD84" s="501">
        <f t="shared" si="22"/>
        <v>-10.718</v>
      </c>
      <c r="AE84" s="501">
        <f t="shared" si="22"/>
        <v>6.0270000000000001</v>
      </c>
      <c r="AF84" s="501">
        <f t="shared" si="22"/>
        <v>5.4610000000000003</v>
      </c>
      <c r="AG84" s="496">
        <f t="shared" si="22"/>
        <v>-23.7</v>
      </c>
      <c r="AH84" s="496">
        <f t="shared" si="22"/>
        <v>15.564</v>
      </c>
      <c r="AI84" s="506">
        <f t="shared" si="22"/>
        <v>4.282</v>
      </c>
    </row>
    <row r="88" spans="4:35">
      <c r="D88" s="262" t="s">
        <v>160</v>
      </c>
      <c r="E88" s="262"/>
      <c r="F88" s="262"/>
      <c r="G88" s="262"/>
      <c r="H88" s="262"/>
      <c r="I88" s="262"/>
      <c r="J88" s="262"/>
      <c r="K88" s="262"/>
      <c r="L88" s="262"/>
      <c r="M88" s="262"/>
      <c r="N88" s="262"/>
      <c r="O88" s="262"/>
      <c r="P88" s="262"/>
      <c r="Q88" s="262"/>
      <c r="R88" s="262"/>
      <c r="S88" s="262"/>
      <c r="T88" s="262"/>
      <c r="U88" s="262"/>
      <c r="V88" s="262"/>
      <c r="W88" s="262"/>
      <c r="X88" s="262"/>
      <c r="Y88" s="262"/>
      <c r="Z88" s="262"/>
      <c r="AA88" s="262"/>
      <c r="AB88" s="262"/>
      <c r="AC88" s="262"/>
      <c r="AD88" s="262"/>
      <c r="AE88" s="262"/>
      <c r="AF88" s="262"/>
      <c r="AG88" s="262"/>
      <c r="AH88" s="262"/>
      <c r="AI88" s="262"/>
    </row>
    <row r="89" spans="4:35" hidden="1" outlineLevel="1">
      <c r="D89" s="450" t="str">
        <f>_xll.SNL.Clients.Office.Excel.Functions.SPGTable(D92:D98,E89:X89,E90:X90,"Options:Curr="&amp;Currency&amp;",Mag="&amp;Mag&amp;",NA=NA")</f>
        <v>SPGTable</v>
      </c>
      <c r="E89" s="450" t="s">
        <v>298</v>
      </c>
      <c r="F89" s="450" t="s">
        <v>299</v>
      </c>
      <c r="G89" s="451" t="s">
        <v>300</v>
      </c>
      <c r="H89" s="450" t="s">
        <v>301</v>
      </c>
      <c r="I89" s="450" t="s">
        <v>302</v>
      </c>
      <c r="J89" s="450" t="s">
        <v>303</v>
      </c>
      <c r="K89" s="451" t="s">
        <v>304</v>
      </c>
      <c r="L89" s="451" t="s">
        <v>305</v>
      </c>
      <c r="M89" s="451" t="s">
        <v>306</v>
      </c>
      <c r="N89" s="450" t="s">
        <v>307</v>
      </c>
      <c r="O89" s="451" t="s">
        <v>308</v>
      </c>
      <c r="P89" s="451"/>
    </row>
    <row r="90" spans="4:35" hidden="1" outlineLevel="1">
      <c r="D90" s="452"/>
      <c r="E90" s="451"/>
      <c r="F90" s="451"/>
      <c r="G90" s="451" t="s">
        <v>309</v>
      </c>
      <c r="H90" s="451"/>
      <c r="I90" s="451" t="s">
        <v>309</v>
      </c>
      <c r="J90" s="451" t="s">
        <v>309</v>
      </c>
      <c r="K90" s="451" t="s">
        <v>309</v>
      </c>
      <c r="L90" s="451"/>
      <c r="M90" s="451"/>
      <c r="N90" s="451"/>
      <c r="O90" s="451" t="s">
        <v>309</v>
      </c>
      <c r="P90" s="451"/>
    </row>
    <row r="91" spans="4:35" ht="24" collapsed="1">
      <c r="D91" s="294" t="s">
        <v>164</v>
      </c>
      <c r="E91" s="294" t="s">
        <v>161</v>
      </c>
      <c r="F91" s="453" t="s">
        <v>310</v>
      </c>
      <c r="G91" s="453" t="s">
        <v>311</v>
      </c>
      <c r="H91" s="294" t="s">
        <v>55</v>
      </c>
      <c r="I91" s="294" t="s">
        <v>162</v>
      </c>
      <c r="J91" s="294" t="s">
        <v>163</v>
      </c>
      <c r="K91" s="294" t="s">
        <v>312</v>
      </c>
      <c r="L91" s="294" t="s">
        <v>125</v>
      </c>
      <c r="M91" s="294" t="s">
        <v>127</v>
      </c>
      <c r="N91" s="295" t="s">
        <v>165</v>
      </c>
      <c r="O91" s="295" t="s">
        <v>166</v>
      </c>
      <c r="P91" s="295"/>
      <c r="Q91" s="379"/>
      <c r="R91" s="379"/>
      <c r="S91" s="379"/>
      <c r="T91" s="379"/>
      <c r="U91" s="379"/>
      <c r="V91" s="379"/>
      <c r="X91" s="379"/>
      <c r="Y91" s="178"/>
      <c r="AB91" s="178"/>
    </row>
    <row r="92" spans="4:35" ht="21" customHeight="1">
      <c r="D92" s="382"/>
      <c r="E92" s="296" t="s">
        <v>313</v>
      </c>
      <c r="F92" s="296" t="s">
        <v>314</v>
      </c>
      <c r="G92" s="454">
        <v>100</v>
      </c>
      <c r="H92" s="297">
        <v>42517</v>
      </c>
      <c r="I92" s="298">
        <v>4.4625351720755697</v>
      </c>
      <c r="J92" s="298">
        <v>18.952160874782098</v>
      </c>
      <c r="K92" s="455">
        <v>4185.6794900000004</v>
      </c>
      <c r="L92" s="298" t="s">
        <v>292</v>
      </c>
      <c r="M92" s="298" t="s">
        <v>292</v>
      </c>
      <c r="N92" s="299" t="s">
        <v>297</v>
      </c>
      <c r="O92" s="299"/>
      <c r="P92" s="299"/>
      <c r="Q92" s="380"/>
      <c r="R92" s="380"/>
      <c r="S92" s="380"/>
      <c r="T92" s="380"/>
      <c r="U92" s="380"/>
      <c r="V92" s="380"/>
      <c r="X92" s="381"/>
      <c r="Y92" s="178"/>
      <c r="AB92" s="178"/>
    </row>
    <row r="93" spans="4:35" ht="21" customHeight="1">
      <c r="D93" s="382"/>
      <c r="E93" s="296" t="s">
        <v>315</v>
      </c>
      <c r="F93" s="296" t="s">
        <v>316</v>
      </c>
      <c r="G93" s="454">
        <v>100</v>
      </c>
      <c r="H93" s="297">
        <v>41099</v>
      </c>
      <c r="I93" s="298" t="s">
        <v>292</v>
      </c>
      <c r="J93" s="298" t="s">
        <v>292</v>
      </c>
      <c r="K93" s="455" t="s">
        <v>292</v>
      </c>
      <c r="L93" s="298" t="s">
        <v>292</v>
      </c>
      <c r="M93" s="298" t="s">
        <v>292</v>
      </c>
      <c r="N93" s="299" t="s">
        <v>313</v>
      </c>
      <c r="O93" s="299"/>
      <c r="P93" s="299"/>
      <c r="Q93" s="380"/>
      <c r="R93" s="380"/>
      <c r="S93" s="380"/>
      <c r="T93" s="380"/>
      <c r="U93" s="380"/>
      <c r="V93" s="380"/>
      <c r="X93" s="381"/>
      <c r="Y93" s="178"/>
      <c r="AB93" s="178"/>
    </row>
    <row r="94" spans="4:35" ht="21" customHeight="1">
      <c r="D94" s="382"/>
      <c r="E94" s="296" t="s">
        <v>317</v>
      </c>
      <c r="F94" s="296" t="s">
        <v>314</v>
      </c>
      <c r="G94" s="454">
        <v>100</v>
      </c>
      <c r="H94" s="297">
        <v>44550</v>
      </c>
      <c r="I94" s="298">
        <v>5.2154195011337903</v>
      </c>
      <c r="J94" s="298" t="s">
        <v>292</v>
      </c>
      <c r="K94" s="455">
        <v>230</v>
      </c>
      <c r="L94" s="298" t="s">
        <v>292</v>
      </c>
      <c r="M94" s="298" t="s">
        <v>292</v>
      </c>
      <c r="N94" s="299" t="s">
        <v>318</v>
      </c>
      <c r="O94" s="299"/>
      <c r="P94" s="299"/>
      <c r="Q94" s="380"/>
      <c r="R94" s="380"/>
      <c r="S94" s="380"/>
      <c r="T94" s="380"/>
      <c r="U94" s="380"/>
      <c r="V94" s="380"/>
      <c r="X94" s="381"/>
      <c r="Y94" s="178"/>
      <c r="AB94" s="178"/>
    </row>
    <row r="95" spans="4:35" ht="21" customHeight="1">
      <c r="D95" s="382"/>
      <c r="E95" s="296" t="s">
        <v>319</v>
      </c>
      <c r="F95" s="296" t="s">
        <v>314</v>
      </c>
      <c r="G95" s="454">
        <v>100</v>
      </c>
      <c r="H95" s="297">
        <v>43648</v>
      </c>
      <c r="I95" s="298">
        <v>7.0707070707070701</v>
      </c>
      <c r="J95" s="298" t="s">
        <v>292</v>
      </c>
      <c r="K95" s="455">
        <v>1.4</v>
      </c>
      <c r="L95" s="298" t="s">
        <v>292</v>
      </c>
      <c r="M95" s="298" t="s">
        <v>292</v>
      </c>
      <c r="N95" s="299" t="s">
        <v>320</v>
      </c>
      <c r="O95" s="299"/>
      <c r="P95" s="299"/>
      <c r="Q95" s="380"/>
      <c r="R95" s="380"/>
      <c r="S95" s="380"/>
      <c r="T95" s="380"/>
      <c r="U95" s="380"/>
      <c r="V95" s="380"/>
      <c r="X95" s="381"/>
      <c r="Y95" s="178"/>
      <c r="AB95" s="178"/>
    </row>
    <row r="96" spans="4:35" ht="14">
      <c r="D96" s="300"/>
      <c r="E96" s="300"/>
      <c r="F96" s="300"/>
      <c r="G96" s="301"/>
      <c r="H96" s="301"/>
      <c r="I96" s="301"/>
      <c r="J96" s="301"/>
      <c r="K96" s="291"/>
      <c r="L96" s="292"/>
      <c r="M96" s="293"/>
      <c r="N96" s="293"/>
      <c r="Y96" s="178"/>
      <c r="AB96" s="178"/>
    </row>
    <row r="97" spans="4:28" ht="14">
      <c r="D97" s="291"/>
      <c r="E97" s="291"/>
      <c r="H97" s="302" t="s">
        <v>154</v>
      </c>
      <c r="I97" s="456">
        <f>+MAX(I92:I95)</f>
        <v>7.0707070707070701</v>
      </c>
      <c r="J97" s="303">
        <f>+MAX(J92:J95)</f>
        <v>18.952160874782098</v>
      </c>
      <c r="K97" s="292"/>
      <c r="L97" s="292"/>
      <c r="M97" s="293"/>
      <c r="N97" s="293"/>
      <c r="Y97" s="178"/>
      <c r="AB97" s="178"/>
    </row>
    <row r="98" spans="4:28" ht="14">
      <c r="D98" s="291"/>
      <c r="E98" s="291"/>
      <c r="H98" s="305" t="s">
        <v>155</v>
      </c>
      <c r="I98" s="304">
        <f>+QUARTILE(I92:I95,3)</f>
        <v>6.1430632859204302</v>
      </c>
      <c r="J98" s="306">
        <f>+QUARTILE(J92:J95,3)</f>
        <v>18.952160874782098</v>
      </c>
      <c r="K98" s="292"/>
      <c r="M98" s="293"/>
      <c r="N98" s="293"/>
      <c r="Y98" s="178"/>
      <c r="AB98" s="178"/>
    </row>
    <row r="99" spans="4:28" ht="14">
      <c r="E99" s="291"/>
      <c r="H99" s="307" t="s">
        <v>156</v>
      </c>
      <c r="I99" s="457">
        <f>+AVERAGE(I92:I95)</f>
        <v>5.5828872479721428</v>
      </c>
      <c r="J99" s="308">
        <f>+AVERAGE(J92:J95)</f>
        <v>18.952160874782098</v>
      </c>
      <c r="K99" s="292"/>
      <c r="M99" s="293"/>
      <c r="N99" s="293"/>
      <c r="Y99" s="178"/>
      <c r="AB99" s="178"/>
    </row>
    <row r="100" spans="4:28" ht="14">
      <c r="E100" s="291"/>
      <c r="H100" s="307" t="s">
        <v>157</v>
      </c>
      <c r="I100" s="457">
        <f>+MEDIAN(I92:I95)</f>
        <v>5.2154195011337903</v>
      </c>
      <c r="J100" s="308">
        <f>+MEDIAN(J92:J95)</f>
        <v>18.952160874782098</v>
      </c>
      <c r="K100" s="292"/>
      <c r="M100" s="293"/>
      <c r="N100" s="293"/>
      <c r="Y100" s="178"/>
      <c r="AB100" s="178"/>
    </row>
    <row r="101" spans="4:28" ht="14">
      <c r="E101" s="291"/>
      <c r="H101" s="305" t="s">
        <v>158</v>
      </c>
      <c r="I101" s="304">
        <f>+QUARTILE(I92:I95,1)</f>
        <v>4.83897733660468</v>
      </c>
      <c r="J101" s="306">
        <f>+QUARTILE(J92:J95,1)</f>
        <v>18.952160874782098</v>
      </c>
      <c r="K101" s="292"/>
      <c r="M101" s="293"/>
      <c r="N101" s="293"/>
      <c r="Y101" s="178"/>
      <c r="AB101" s="178"/>
    </row>
    <row r="102" spans="4:28" ht="14">
      <c r="E102" s="291"/>
      <c r="H102" s="309" t="s">
        <v>159</v>
      </c>
      <c r="I102" s="458">
        <f>+MIN(I92:I95)</f>
        <v>4.4625351720755697</v>
      </c>
      <c r="J102" s="310">
        <f>+MIN(J92:J95)</f>
        <v>18.952160874782098</v>
      </c>
      <c r="K102" s="292"/>
      <c r="M102" s="293"/>
      <c r="N102" s="293"/>
      <c r="Y102" s="178"/>
      <c r="AB102" s="178"/>
    </row>
    <row r="103" spans="4:28">
      <c r="Y103" s="178"/>
      <c r="AB103" s="178"/>
    </row>
  </sheetData>
  <mergeCells count="1">
    <mergeCell ref="E43:F43"/>
  </mergeCells>
  <phoneticPr fontId="47" type="noConversion"/>
  <pageMargins left="0.7" right="0.7" top="0.75" bottom="0.75" header="0.3" footer="0.3"/>
  <pageSetup paperSize="9" orientation="portrait" r:id="rId1"/>
  <ignoredErrors>
    <ignoredError sqref="D22 E8:E12" evalErro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0E200-6264-4014-ACDB-C2DB175A7333}">
  <sheetPr>
    <tabColor rgb="FF00B050"/>
  </sheetPr>
  <dimension ref="B2:M20"/>
  <sheetViews>
    <sheetView workbookViewId="0"/>
  </sheetViews>
  <sheetFormatPr baseColWidth="10" defaultColWidth="8.83203125" defaultRowHeight="15" outlineLevelCol="1"/>
  <cols>
    <col min="2" max="2" width="27.5" bestFit="1" customWidth="1"/>
    <col min="3" max="3" width="17.5" bestFit="1" customWidth="1"/>
    <col min="5" max="5" width="3.6640625" bestFit="1" customWidth="1"/>
    <col min="6" max="6" width="6.5" customWidth="1"/>
    <col min="7" max="7" width="9.1640625" customWidth="1" outlineLevel="1"/>
    <col min="8" max="13" width="17.5" bestFit="1" customWidth="1"/>
  </cols>
  <sheetData>
    <row r="2" spans="2:13">
      <c r="B2" t="s">
        <v>167</v>
      </c>
      <c r="C2" s="328">
        <v>2</v>
      </c>
      <c r="E2" s="341"/>
      <c r="F2" s="342"/>
      <c r="G2" s="343" t="s">
        <v>168</v>
      </c>
      <c r="H2" s="344"/>
      <c r="I2" s="344"/>
      <c r="J2" s="344"/>
      <c r="K2" s="344"/>
      <c r="L2" s="344"/>
      <c r="M2" s="345"/>
    </row>
    <row r="3" spans="2:13">
      <c r="B3" t="s">
        <v>169</v>
      </c>
      <c r="C3" s="329">
        <v>0</v>
      </c>
      <c r="E3" s="346"/>
      <c r="F3" s="146"/>
      <c r="G3" s="347" t="e">
        <f ca="1">C6</f>
        <v>#REF!</v>
      </c>
      <c r="H3" s="348">
        <v>2</v>
      </c>
      <c r="I3" s="348">
        <f>H3+0.2</f>
        <v>2.2000000000000002</v>
      </c>
      <c r="J3" s="348">
        <f>I3+0.2</f>
        <v>2.4000000000000004</v>
      </c>
      <c r="K3" s="348">
        <f>J3+0.2</f>
        <v>2.6000000000000005</v>
      </c>
      <c r="L3" s="348">
        <f>K3+0.2</f>
        <v>2.8000000000000007</v>
      </c>
      <c r="M3" s="349">
        <f>L3+0.2</f>
        <v>3.0000000000000009</v>
      </c>
    </row>
    <row r="4" spans="2:13">
      <c r="B4" t="s">
        <v>170</v>
      </c>
      <c r="C4" s="328">
        <v>0</v>
      </c>
      <c r="E4" s="641" t="s">
        <v>171</v>
      </c>
      <c r="F4" s="360"/>
      <c r="G4" s="358">
        <v>0</v>
      </c>
      <c r="H4" s="362" t="s">
        <v>172</v>
      </c>
      <c r="I4" s="338" t="s">
        <v>173</v>
      </c>
      <c r="J4" s="338" t="s">
        <v>174</v>
      </c>
      <c r="K4" s="338" t="s">
        <v>175</v>
      </c>
      <c r="L4" s="338" t="s">
        <v>176</v>
      </c>
      <c r="M4" s="351" t="s">
        <v>177</v>
      </c>
    </row>
    <row r="5" spans="2:13">
      <c r="E5" s="641"/>
      <c r="F5" s="360"/>
      <c r="G5" s="358">
        <f>G4+0.5*12</f>
        <v>6</v>
      </c>
      <c r="H5" s="339" t="s">
        <v>178</v>
      </c>
      <c r="I5" s="340" t="s">
        <v>179</v>
      </c>
      <c r="J5" s="340" t="s">
        <v>180</v>
      </c>
      <c r="K5" s="340" t="s">
        <v>181</v>
      </c>
      <c r="L5" s="340" t="s">
        <v>182</v>
      </c>
      <c r="M5" s="352" t="s">
        <v>183</v>
      </c>
    </row>
    <row r="6" spans="2:13">
      <c r="B6" s="330" t="s">
        <v>184</v>
      </c>
      <c r="C6" s="334" t="e">
        <f ca="1">TEXT(C7,"0.0%")&amp;" / "&amp;TEXT(C9,"0.0")&amp;" / "&amp;TEXT(C8,"0.0%")</f>
        <v>#REF!</v>
      </c>
      <c r="E6" s="641"/>
      <c r="F6" s="360"/>
      <c r="G6" s="358">
        <f t="shared" ref="G6:G10" si="0">G5+0.5*12</f>
        <v>12</v>
      </c>
      <c r="H6" s="339" t="s">
        <v>185</v>
      </c>
      <c r="I6" s="340" t="s">
        <v>186</v>
      </c>
      <c r="J6" s="340" t="s">
        <v>187</v>
      </c>
      <c r="K6" s="340" t="s">
        <v>188</v>
      </c>
      <c r="L6" s="340" t="s">
        <v>189</v>
      </c>
      <c r="M6" s="352" t="s">
        <v>190</v>
      </c>
    </row>
    <row r="7" spans="2:13">
      <c r="B7" t="s">
        <v>191</v>
      </c>
      <c r="C7" s="332" t="e">
        <f ca="1">'Pricing Table'!$E$27</f>
        <v>#REF!</v>
      </c>
      <c r="E7" s="641"/>
      <c r="F7" s="360"/>
      <c r="G7" s="358">
        <f t="shared" si="0"/>
        <v>18</v>
      </c>
      <c r="H7" s="339" t="s">
        <v>192</v>
      </c>
      <c r="I7" s="340" t="s">
        <v>193</v>
      </c>
      <c r="J7" s="340" t="s">
        <v>194</v>
      </c>
      <c r="K7" s="340" t="s">
        <v>195</v>
      </c>
      <c r="L7" s="340" t="s">
        <v>196</v>
      </c>
      <c r="M7" s="352" t="s">
        <v>197</v>
      </c>
    </row>
    <row r="8" spans="2:13">
      <c r="B8" t="s">
        <v>198</v>
      </c>
      <c r="C8" s="332" t="e">
        <f ca="1">'Blended IRR_Calc'!$D$10</f>
        <v>#N/A</v>
      </c>
      <c r="E8" s="641"/>
      <c r="F8" s="360"/>
      <c r="G8" s="358">
        <f t="shared" si="0"/>
        <v>24</v>
      </c>
      <c r="H8" s="339" t="s">
        <v>199</v>
      </c>
      <c r="I8" s="340" t="s">
        <v>200</v>
      </c>
      <c r="J8" s="340" t="s">
        <v>201</v>
      </c>
      <c r="K8" s="340" t="s">
        <v>202</v>
      </c>
      <c r="L8" s="340" t="s">
        <v>203</v>
      </c>
      <c r="M8" s="352" t="s">
        <v>204</v>
      </c>
    </row>
    <row r="9" spans="2:13">
      <c r="B9" t="s">
        <v>205</v>
      </c>
      <c r="C9" s="333">
        <f ca="1">-'Blended IRR_Calc'!$F$6/m</f>
        <v>0</v>
      </c>
      <c r="E9" s="641"/>
      <c r="F9" s="360"/>
      <c r="G9" s="358">
        <f t="shared" si="0"/>
        <v>30</v>
      </c>
      <c r="H9" s="339" t="s">
        <v>206</v>
      </c>
      <c r="I9" s="340" t="s">
        <v>207</v>
      </c>
      <c r="J9" s="340" t="s">
        <v>208</v>
      </c>
      <c r="K9" s="340" t="s">
        <v>209</v>
      </c>
      <c r="L9" s="340" t="s">
        <v>210</v>
      </c>
      <c r="M9" s="352" t="s">
        <v>211</v>
      </c>
    </row>
    <row r="10" spans="2:13">
      <c r="E10" s="642"/>
      <c r="F10" s="361"/>
      <c r="G10" s="359">
        <f t="shared" si="0"/>
        <v>36</v>
      </c>
      <c r="H10" s="354" t="s">
        <v>212</v>
      </c>
      <c r="I10" s="355" t="s">
        <v>213</v>
      </c>
      <c r="J10" s="355" t="s">
        <v>214</v>
      </c>
      <c r="K10" s="355" t="s">
        <v>215</v>
      </c>
      <c r="L10" s="355" t="s">
        <v>216</v>
      </c>
      <c r="M10" s="356" t="s">
        <v>217</v>
      </c>
    </row>
    <row r="11" spans="2:13">
      <c r="G11" s="335"/>
    </row>
    <row r="12" spans="2:13">
      <c r="E12" s="341"/>
      <c r="F12" s="342"/>
      <c r="G12" s="343" t="s">
        <v>168</v>
      </c>
      <c r="H12" s="344"/>
      <c r="I12" s="344"/>
      <c r="J12" s="344"/>
      <c r="K12" s="344"/>
      <c r="L12" s="344"/>
      <c r="M12" s="345"/>
    </row>
    <row r="13" spans="2:13">
      <c r="E13" s="346"/>
      <c r="F13" s="146"/>
      <c r="G13" s="347" t="e">
        <f ca="1">$C$6</f>
        <v>#REF!</v>
      </c>
      <c r="H13" s="348">
        <v>2</v>
      </c>
      <c r="I13" s="348">
        <f>H13+0.2</f>
        <v>2.2000000000000002</v>
      </c>
      <c r="J13" s="348">
        <f>I13+0.2</f>
        <v>2.4000000000000004</v>
      </c>
      <c r="K13" s="348">
        <f>J13+0.2</f>
        <v>2.6000000000000005</v>
      </c>
      <c r="L13" s="348">
        <f>K13+0.2</f>
        <v>2.8000000000000007</v>
      </c>
      <c r="M13" s="349">
        <f>L13+0.2</f>
        <v>3.0000000000000009</v>
      </c>
    </row>
    <row r="14" spans="2:13">
      <c r="E14" s="641" t="s">
        <v>218</v>
      </c>
      <c r="F14" s="350">
        <f>G14+Fund!$AE$38</f>
        <v>-0.15000000000000002</v>
      </c>
      <c r="G14" s="350">
        <f>+G15-0.05</f>
        <v>-0.15000000000000002</v>
      </c>
      <c r="H14" s="337" t="s">
        <v>219</v>
      </c>
      <c r="I14" s="338" t="s">
        <v>220</v>
      </c>
      <c r="J14" s="338" t="s">
        <v>221</v>
      </c>
      <c r="K14" s="338" t="s">
        <v>222</v>
      </c>
      <c r="L14" s="338" t="s">
        <v>223</v>
      </c>
      <c r="M14" s="351" t="s">
        <v>224</v>
      </c>
    </row>
    <row r="15" spans="2:13">
      <c r="E15" s="641"/>
      <c r="F15" s="350">
        <f>G15+Fund!$AE$38</f>
        <v>-0.1</v>
      </c>
      <c r="G15" s="350">
        <f>+G16-0.05</f>
        <v>-0.1</v>
      </c>
      <c r="H15" s="339" t="s">
        <v>225</v>
      </c>
      <c r="I15" s="340" t="s">
        <v>226</v>
      </c>
      <c r="J15" s="340" t="s">
        <v>227</v>
      </c>
      <c r="K15" s="340" t="s">
        <v>228</v>
      </c>
      <c r="L15" s="340" t="s">
        <v>229</v>
      </c>
      <c r="M15" s="352" t="s">
        <v>230</v>
      </c>
    </row>
    <row r="16" spans="2:13">
      <c r="E16" s="641"/>
      <c r="F16" s="350">
        <f>G16+Fund!$AE$38</f>
        <v>-0.05</v>
      </c>
      <c r="G16" s="350">
        <f>+G17-0.05</f>
        <v>-0.05</v>
      </c>
      <c r="H16" s="339" t="s">
        <v>231</v>
      </c>
      <c r="I16" s="340" t="s">
        <v>232</v>
      </c>
      <c r="J16" s="340" t="s">
        <v>233</v>
      </c>
      <c r="K16" s="340" t="s">
        <v>234</v>
      </c>
      <c r="L16" s="340" t="s">
        <v>235</v>
      </c>
      <c r="M16" s="352" t="s">
        <v>236</v>
      </c>
    </row>
    <row r="17" spans="5:13">
      <c r="E17" s="641"/>
      <c r="F17" s="350">
        <f>G17+Fund!$AE$38</f>
        <v>0</v>
      </c>
      <c r="G17" s="350">
        <v>0</v>
      </c>
      <c r="H17" s="363" t="s">
        <v>172</v>
      </c>
      <c r="I17" s="340" t="s">
        <v>173</v>
      </c>
      <c r="J17" s="340" t="s">
        <v>174</v>
      </c>
      <c r="K17" s="340" t="s">
        <v>175</v>
      </c>
      <c r="L17" s="340" t="s">
        <v>176</v>
      </c>
      <c r="M17" s="352" t="s">
        <v>177</v>
      </c>
    </row>
    <row r="18" spans="5:13">
      <c r="E18" s="641"/>
      <c r="F18" s="350">
        <f>G18+Fund!$AE$38</f>
        <v>0.05</v>
      </c>
      <c r="G18" s="350">
        <f>+G17+0.05</f>
        <v>0.05</v>
      </c>
      <c r="H18" s="339" t="s">
        <v>237</v>
      </c>
      <c r="I18" s="340" t="s">
        <v>238</v>
      </c>
      <c r="J18" s="340" t="s">
        <v>239</v>
      </c>
      <c r="K18" s="340" t="s">
        <v>240</v>
      </c>
      <c r="L18" s="340" t="s">
        <v>241</v>
      </c>
      <c r="M18" s="352" t="s">
        <v>242</v>
      </c>
    </row>
    <row r="19" spans="5:13">
      <c r="E19" s="641"/>
      <c r="F19" s="350">
        <f>G19+Fund!$AE$38</f>
        <v>0.1</v>
      </c>
      <c r="G19" s="350">
        <f t="shared" ref="G19:G20" si="1">+G18+0.05</f>
        <v>0.1</v>
      </c>
      <c r="H19" s="339" t="s">
        <v>243</v>
      </c>
      <c r="I19" s="340" t="s">
        <v>244</v>
      </c>
      <c r="J19" s="340" t="s">
        <v>245</v>
      </c>
      <c r="K19" s="340" t="s">
        <v>246</v>
      </c>
      <c r="L19" s="340" t="s">
        <v>247</v>
      </c>
      <c r="M19" s="352" t="s">
        <v>248</v>
      </c>
    </row>
    <row r="20" spans="5:13">
      <c r="E20" s="642"/>
      <c r="F20" s="353">
        <f>G20+Fund!$AE$38</f>
        <v>0.15000000000000002</v>
      </c>
      <c r="G20" s="353">
        <f t="shared" si="1"/>
        <v>0.15000000000000002</v>
      </c>
      <c r="H20" s="354" t="s">
        <v>249</v>
      </c>
      <c r="I20" s="355" t="s">
        <v>250</v>
      </c>
      <c r="J20" s="355" t="s">
        <v>251</v>
      </c>
      <c r="K20" s="355" t="s">
        <v>252</v>
      </c>
      <c r="L20" s="355" t="s">
        <v>253</v>
      </c>
      <c r="M20" s="356" t="s">
        <v>254</v>
      </c>
    </row>
  </sheetData>
  <mergeCells count="2">
    <mergeCell ref="E4:E10"/>
    <mergeCell ref="E14:E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e49fc6-ba7e-4e05-bd43-433ebfbd5e2f">
      <Terms xmlns="http://schemas.microsoft.com/office/infopath/2007/PartnerControls"/>
    </lcf76f155ced4ddcb4097134ff3c332f>
    <TaxCatchAll xmlns="dfc8e12e-5e8d-415d-a3c4-13d1de65ab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C93DD1C7867C7498719A2D9E78CD243" ma:contentTypeVersion="15" ma:contentTypeDescription="Crée un document." ma:contentTypeScope="" ma:versionID="2fa8b1b4e2c0ae7f0f7b5ce6cd861842">
  <xsd:schema xmlns:xsd="http://www.w3.org/2001/XMLSchema" xmlns:xs="http://www.w3.org/2001/XMLSchema" xmlns:p="http://schemas.microsoft.com/office/2006/metadata/properties" xmlns:ns2="74e49fc6-ba7e-4e05-bd43-433ebfbd5e2f" xmlns:ns3="dfc8e12e-5e8d-415d-a3c4-13d1de65ab30" targetNamespace="http://schemas.microsoft.com/office/2006/metadata/properties" ma:root="true" ma:fieldsID="66fab2c4f3994623499c3557938a1c35" ns2:_="" ns3:_="">
    <xsd:import namespace="74e49fc6-ba7e-4e05-bd43-433ebfbd5e2f"/>
    <xsd:import namespace="dfc8e12e-5e8d-415d-a3c4-13d1de65ab3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e49fc6-ba7e-4e05-bd43-433ebfbd5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316d21b-d2d7-4812-b7f6-3cef58088dc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c8e12e-5e8d-415d-a3c4-13d1de65ab30"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9852b0c3-511e-4f09-a022-3606d9239379}" ma:internalName="TaxCatchAll" ma:showField="CatchAllData" ma:web="dfc8e12e-5e8d-415d-a3c4-13d1de65ab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3263A-54A0-41FF-AB85-B10D96E79FDC}">
  <ds:schemaRefs>
    <ds:schemaRef ds:uri="http://schemas.microsoft.com/sharepoint/v3/contenttype/forms"/>
  </ds:schemaRefs>
</ds:datastoreItem>
</file>

<file path=customXml/itemProps2.xml><?xml version="1.0" encoding="utf-8"?>
<ds:datastoreItem xmlns:ds="http://schemas.openxmlformats.org/officeDocument/2006/customXml" ds:itemID="{75E49314-9A87-4930-9A2C-8D51CDC72C18}">
  <ds:schemaRefs>
    <ds:schemaRef ds:uri="http://schemas.microsoft.com/office/2006/metadata/properties"/>
    <ds:schemaRef ds:uri="http://www.w3.org/2000/xmlns/"/>
    <ds:schemaRef ds:uri="74e49fc6-ba7e-4e05-bd43-433ebfbd5e2f"/>
    <ds:schemaRef ds:uri="http://schemas.microsoft.com/office/infopath/2007/PartnerControls"/>
    <ds:schemaRef ds:uri="dfc8e12e-5e8d-415d-a3c4-13d1de65ab30"/>
    <ds:schemaRef ds:uri="http://www.w3.org/2001/XMLSchema-instance"/>
  </ds:schemaRefs>
</ds:datastoreItem>
</file>

<file path=customXml/itemProps3.xml><?xml version="1.0" encoding="utf-8"?>
<ds:datastoreItem xmlns:ds="http://schemas.openxmlformats.org/officeDocument/2006/customXml" ds:itemID="{4005A584-CAFE-4F51-BB1D-DEB6C03D09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e49fc6-ba7e-4e05-bd43-433ebfbd5e2f"/>
    <ds:schemaRef ds:uri="dfc8e12e-5e8d-415d-a3c4-13d1de65ab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Summary</vt:lpstr>
      <vt:lpstr>Pricing Table</vt:lpstr>
      <vt:lpstr>Pricing Table Adjusted</vt:lpstr>
      <vt:lpstr>Fx Table</vt:lpstr>
      <vt:lpstr>Portfolio</vt:lpstr>
      <vt:lpstr>Interim CFs</vt:lpstr>
      <vt:lpstr>Blended IRR_Calc</vt:lpstr>
      <vt:lpstr>Blended IRR_Calc Adjusted</vt:lpstr>
      <vt:lpstr>Fund</vt:lpstr>
      <vt:lpstr>Company</vt:lpstr>
      <vt:lpstr>Sensitivities</vt:lpstr>
      <vt:lpstr>CCY</vt:lpstr>
      <vt:lpstr>closingdate</vt:lpstr>
      <vt:lpstr>refdate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Letellier</dc:creator>
  <cp:keywords/>
  <dc:description/>
  <cp:lastModifiedBy>Filippo Ippolito</cp:lastModifiedBy>
  <cp:revision/>
  <dcterms:created xsi:type="dcterms:W3CDTF">2023-09-04T16:14:37Z</dcterms:created>
  <dcterms:modified xsi:type="dcterms:W3CDTF">2024-05-27T11:50:25Z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{A9E81BDE-CCD8-4EF3-BB46-DDC5D05703FC}</vt:lpwstr>
  </property>
  <property fmtid="{D5CDD505-2E9C-101B-9397-08002B2CF9AE}" pid="3" name="MediaServiceImageTags">
    <vt:lpwstr/>
  </property>
  <property fmtid="{D5CDD505-2E9C-101B-9397-08002B2CF9AE}" pid="4" name="ContentTypeId">
    <vt:lpwstr>0x0101006C93DD1C7867C7498719A2D9E78CD243</vt:lpwstr>
  </property>
</Properties>
</file>