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she\GitHub\bread\"/>
    </mc:Choice>
  </mc:AlternateContent>
  <xr:revisionPtr revIDLastSave="0" documentId="13_ncr:1_{4B8771D1-A8EE-4982-BF74-79CB135F37B9}" xr6:coauthVersionLast="37" xr6:coauthVersionMax="37" xr10:uidLastSave="{00000000-0000-0000-0000-000000000000}"/>
  <bookViews>
    <workbookView xWindow="0" yWindow="0" windowWidth="23040" windowHeight="9060" activeTab="2" xr2:uid="{00000000-000D-0000-FFFF-FFFF00000000}"/>
  </bookViews>
  <sheets>
    <sheet name="ExtractionCalc" sheetId="1" r:id="rId1"/>
    <sheet name="FlourData" sheetId="2" r:id="rId2"/>
    <sheet name="Tartine" sheetId="3" r:id="rId3"/>
  </sheets>
  <definedNames>
    <definedName name="Ea">Tartine!$E$12</definedName>
    <definedName name="Eb">Tartine!$D$12</definedName>
    <definedName name="Pa">Tartine!$E$11</definedName>
    <definedName name="Pb">Tartine!$D$11</definedName>
    <definedName name="Q">ExtractionCalc!$B$2</definedName>
    <definedName name="R_1">ExtractionCalc!$B$3</definedName>
    <definedName name="R_2">ExtractionCalc!$B$4</definedName>
  </definedNames>
  <calcPr calcId="162913"/>
</workbook>
</file>

<file path=xl/calcChain.xml><?xml version="1.0" encoding="utf-8"?>
<calcChain xmlns="http://schemas.openxmlformats.org/spreadsheetml/2006/main">
  <c r="E12" i="3" l="1"/>
  <c r="D12" i="3"/>
  <c r="E11" i="3"/>
  <c r="D11" i="3"/>
  <c r="C11" i="2" l="1"/>
  <c r="C10" i="2"/>
  <c r="B48" i="3"/>
  <c r="C45" i="3" s="1"/>
  <c r="F43" i="3"/>
  <c r="G43" i="3" s="1"/>
  <c r="C43" i="3"/>
  <c r="F42" i="3"/>
  <c r="G42" i="3" s="1"/>
  <c r="C42" i="3"/>
  <c r="C41" i="3"/>
  <c r="C40" i="3"/>
  <c r="F30" i="3"/>
  <c r="G30" i="3" s="1"/>
  <c r="F29" i="3"/>
  <c r="G29" i="3" s="1"/>
  <c r="F17" i="3"/>
  <c r="G17" i="3" s="1"/>
  <c r="F16" i="3"/>
  <c r="G16" i="3" s="1"/>
  <c r="B35" i="3"/>
  <c r="C32" i="3" s="1"/>
  <c r="C30" i="3"/>
  <c r="C29" i="3"/>
  <c r="C28" i="3"/>
  <c r="C27" i="3"/>
  <c r="C15" i="3"/>
  <c r="C14" i="3"/>
  <c r="C17" i="3"/>
  <c r="C16" i="3"/>
  <c r="C9" i="2"/>
  <c r="B22" i="3"/>
  <c r="C19" i="3" s="1"/>
  <c r="A8" i="2"/>
  <c r="A7" i="2"/>
  <c r="A6" i="2"/>
  <c r="C5" i="2"/>
  <c r="A5" i="2"/>
  <c r="A4" i="2"/>
  <c r="A3" i="2"/>
  <c r="A2" i="2"/>
  <c r="A18" i="1"/>
  <c r="B6" i="1"/>
  <c r="B5" i="1"/>
  <c r="B7" i="1" s="1"/>
  <c r="D40" i="3" l="1"/>
  <c r="D48" i="3" s="1"/>
  <c r="D41" i="3"/>
  <c r="E41" i="3"/>
  <c r="E40" i="3"/>
  <c r="D28" i="3"/>
  <c r="D27" i="3"/>
  <c r="D35" i="3" s="1"/>
  <c r="E27" i="3"/>
  <c r="E35" i="3" s="1"/>
  <c r="E28" i="3"/>
  <c r="E15" i="3"/>
  <c r="D15" i="3"/>
  <c r="D14" i="3"/>
  <c r="D22" i="3" s="1"/>
  <c r="E14" i="3"/>
  <c r="E22" i="3" s="1"/>
  <c r="F28" i="3" l="1"/>
  <c r="G28" i="3" s="1"/>
  <c r="E48" i="3"/>
  <c r="F40" i="3"/>
  <c r="G40" i="3" s="1"/>
  <c r="F41" i="3"/>
  <c r="G41" i="3" s="1"/>
  <c r="F27" i="3"/>
  <c r="G27" i="3" s="1"/>
  <c r="G35" i="3" s="1"/>
  <c r="F35" i="3" s="1"/>
  <c r="F14" i="3"/>
  <c r="G14" i="3" s="1"/>
  <c r="F15" i="3"/>
  <c r="G15" i="3" s="1"/>
  <c r="G48" i="3" l="1"/>
  <c r="F48" i="3" s="1"/>
  <c r="G22" i="3"/>
  <c r="F22" i="3" s="1"/>
</calcChain>
</file>

<file path=xl/sharedStrings.xml><?xml version="1.0" encoding="utf-8"?>
<sst xmlns="http://schemas.openxmlformats.org/spreadsheetml/2006/main" count="108" uniqueCount="62">
  <si>
    <t>Brand</t>
  </si>
  <si>
    <t>Type</t>
  </si>
  <si>
    <t xml:space="preserve">Q </t>
  </si>
  <si>
    <t>Extraction</t>
  </si>
  <si>
    <t>Protein</t>
  </si>
  <si>
    <t>Grain</t>
  </si>
  <si>
    <t>High-extraction wheat flour</t>
  </si>
  <si>
    <t>Red Wheat</t>
  </si>
  <si>
    <t>Medium-Strong Wheat Flour</t>
  </si>
  <si>
    <t>Whole-grain wheat flour</t>
  </si>
  <si>
    <t xml:space="preserve"> quantity of flour desired</t>
  </si>
  <si>
    <t xml:space="preserve">R1 </t>
  </si>
  <si>
    <t>White whole-wheat flour</t>
  </si>
  <si>
    <t>White Wheat</t>
  </si>
  <si>
    <t>Protein:</t>
  </si>
  <si>
    <t xml:space="preserve"> desired extraction rate (average high extraction rate)</t>
  </si>
  <si>
    <t xml:space="preserve">R2 </t>
  </si>
  <si>
    <t xml:space="preserve"> given extraction rate (for bread flour)</t>
  </si>
  <si>
    <t xml:space="preserve">W </t>
  </si>
  <si>
    <t xml:space="preserve"> amount of whole-wheat flour to use (100% extraction)</t>
  </si>
  <si>
    <t xml:space="preserve">B </t>
  </si>
  <si>
    <t>Extraction:</t>
  </si>
  <si>
    <t xml:space="preserve"> amount of bread flour to use (R2 extraction)</t>
  </si>
  <si>
    <t>White-Wheat Blend (Ode to Bourdon)</t>
  </si>
  <si>
    <t>Bread Flour</t>
  </si>
  <si>
    <t>Target Mass (g)</t>
  </si>
  <si>
    <t>Azure Bread Flour</t>
  </si>
  <si>
    <t>Azure All-Purpose Flour</t>
  </si>
  <si>
    <t>Protein (g)</t>
  </si>
  <si>
    <t xml:space="preserve"> quantity of flour achieved</t>
  </si>
  <si>
    <t>then</t>
  </si>
  <si>
    <t>B = Q (R2 -R1R2)/(R1 - R1R2), and,</t>
  </si>
  <si>
    <t>All Purpose Flour</t>
  </si>
  <si>
    <t>W = Q (R1-R2)/(R1-R1R2)</t>
  </si>
  <si>
    <t>For example, if you want 100 grams at 85% extraction and you have 70% extraction bread flour, then</t>
  </si>
  <si>
    <t>Whole Red Wheat Flour</t>
  </si>
  <si>
    <t>B = 100 * (0.7 -0.85*0.7) / (0.85 -0.85*0 .7) = 41 grams, and,</t>
  </si>
  <si>
    <t>W = 100 * (0.85-0.7) / (0.85*0.7-0.85) = 59 grams.</t>
  </si>
  <si>
    <t>Wheat Germ</t>
  </si>
  <si>
    <t>Water</t>
  </si>
  <si>
    <t>Leaven</t>
  </si>
  <si>
    <t>Fine Sea Salt</t>
  </si>
  <si>
    <t>Robertson, Chad. Tartine Book No. 3: Modern Ancient Classic Whole (p. 49). Chronicle Books LLC. Kindle Edition.</t>
  </si>
  <si>
    <t>Wheat-Rye 20%</t>
  </si>
  <si>
    <t>Whole-grain dark rye flour</t>
  </si>
  <si>
    <t>Robertson, Chad. Tartine Book No. 3: Modern Ancient Classic Whole (p. 53). Chronicle Books LLC. Kindle Edition.</t>
  </si>
  <si>
    <t>Emmer/Einkorn</t>
  </si>
  <si>
    <t>Robertson, Chad. Tartine Book No. 3: Modern Ancient Classic Whole (p. 72). Chronicle Books LLC. Kindle Edition.</t>
  </si>
  <si>
    <t>Target Extraction</t>
  </si>
  <si>
    <t>Azure Market Organics Dark Rye Flour (Unifine), Organic</t>
  </si>
  <si>
    <t>Azure Market Organics Emmer Flour, (Unifine) Organic</t>
  </si>
  <si>
    <t>Emmer Flour</t>
  </si>
  <si>
    <t>Azure Market Organics Einkorn Flour (Unifine), Organic</t>
  </si>
  <si>
    <t>Einkorn Flour</t>
  </si>
  <si>
    <t>Total Flour</t>
  </si>
  <si>
    <t>Hydration</t>
  </si>
  <si>
    <t>Robertson, Chad. Tartine Book No. 3: Modern Ancient Classic Whole (pp. 6, 24, 22). Chronicle Books LLC. Kindle Edition.</t>
  </si>
  <si>
    <t>Selected Bread Flour</t>
  </si>
  <si>
    <t>Selected All-Purpose Flour</t>
  </si>
  <si>
    <t>Selected Flours for Blend:</t>
  </si>
  <si>
    <t>Extraction above Target</t>
  </si>
  <si>
    <t>Extraction below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</si>
</sst>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Times New Roman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9" fillId="3" borderId="1" applyNumberFormat="0" applyAlignment="0" applyProtection="0"/>
    <xf numFmtId="0" fontId="10" fillId="4" borderId="1" applyNumberFormat="0" applyAlignment="0" applyProtection="0"/>
    <xf numFmtId="0" fontId="4" fillId="5" borderId="2" applyNumberFormat="0" applyFont="0" applyAlignment="0" applyProtection="0"/>
    <xf numFmtId="0" fontId="11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wrapText="1"/>
    </xf>
    <xf numFmtId="9" fontId="2" fillId="0" borderId="0" xfId="0" applyNumberFormat="1" applyFont="1" applyAlignment="1"/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/>
    </xf>
    <xf numFmtId="9" fontId="3" fillId="0" borderId="0" xfId="0" applyNumberFormat="1" applyFont="1" applyAlignment="1">
      <alignment wrapText="1"/>
    </xf>
    <xf numFmtId="3" fontId="3" fillId="0" borderId="0" xfId="0" applyNumberFormat="1" applyFont="1" applyAlignment="1">
      <alignment wrapText="1"/>
    </xf>
    <xf numFmtId="164" fontId="2" fillId="0" borderId="0" xfId="0" applyNumberFormat="1" applyFont="1" applyAlignment="1"/>
    <xf numFmtId="0" fontId="5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9" fontId="2" fillId="0" borderId="0" xfId="0" applyNumberFormat="1" applyFont="1"/>
    <xf numFmtId="0" fontId="7" fillId="0" borderId="0" xfId="0" applyFont="1" applyAlignment="1"/>
    <xf numFmtId="0" fontId="0" fillId="0" borderId="0" xfId="0"/>
    <xf numFmtId="9" fontId="0" fillId="0" borderId="0" xfId="0" applyNumberFormat="1" applyFont="1" applyAlignment="1"/>
    <xf numFmtId="0" fontId="8" fillId="0" borderId="0" xfId="1" applyAlignment="1"/>
    <xf numFmtId="164" fontId="0" fillId="0" borderId="0" xfId="2" applyNumberFormat="1" applyFont="1" applyAlignment="1"/>
    <xf numFmtId="0" fontId="5" fillId="0" borderId="0" xfId="1" applyFont="1" applyAlignment="1"/>
    <xf numFmtId="9" fontId="1" fillId="0" borderId="0" xfId="0" applyNumberFormat="1" applyFont="1" applyAlignment="1"/>
    <xf numFmtId="9" fontId="0" fillId="0" borderId="0" xfId="2" applyFont="1"/>
    <xf numFmtId="0" fontId="0" fillId="0" borderId="0" xfId="0" applyFont="1" applyAlignment="1"/>
    <xf numFmtId="0" fontId="0" fillId="0" borderId="0" xfId="0" applyProtection="1">
      <protection locked="0"/>
    </xf>
    <xf numFmtId="9" fontId="0" fillId="0" borderId="0" xfId="2" applyFont="1" applyProtection="1">
      <protection locked="0"/>
    </xf>
    <xf numFmtId="0" fontId="9" fillId="3" borderId="1" xfId="3" applyProtection="1">
      <protection locked="0"/>
    </xf>
    <xf numFmtId="0" fontId="9" fillId="3" borderId="1" xfId="3" applyAlignment="1" applyProtection="1">
      <protection locked="0"/>
    </xf>
    <xf numFmtId="0" fontId="0" fillId="0" borderId="0" xfId="0" applyFont="1" applyAlignment="1" applyProtection="1">
      <protection locked="0"/>
    </xf>
    <xf numFmtId="9" fontId="10" fillId="4" borderId="1" xfId="4" applyNumberFormat="1"/>
    <xf numFmtId="1" fontId="2" fillId="0" borderId="0" xfId="0" applyNumberFormat="1" applyFont="1" applyProtection="1">
      <protection locked="0"/>
    </xf>
    <xf numFmtId="9" fontId="2" fillId="0" borderId="0" xfId="0" applyNumberFormat="1" applyFont="1" applyProtection="1">
      <protection locked="0"/>
    </xf>
    <xf numFmtId="1" fontId="0" fillId="0" borderId="0" xfId="0" applyNumberFormat="1" applyFont="1" applyAlignment="1" applyProtection="1">
      <protection locked="0"/>
    </xf>
    <xf numFmtId="1" fontId="11" fillId="0" borderId="0" xfId="6" applyNumberFormat="1" applyAlignment="1" applyProtection="1">
      <protection locked="0"/>
    </xf>
    <xf numFmtId="9" fontId="0" fillId="0" borderId="0" xfId="0" applyNumberFormat="1" applyFont="1" applyAlignment="1" applyProtection="1">
      <protection locked="0"/>
    </xf>
    <xf numFmtId="0" fontId="12" fillId="0" borderId="0" xfId="0" applyFont="1" applyProtection="1">
      <protection locked="0"/>
    </xf>
    <xf numFmtId="9" fontId="12" fillId="0" borderId="0" xfId="0" applyNumberFormat="1" applyFont="1" applyAlignment="1" applyProtection="1">
      <protection locked="0"/>
    </xf>
    <xf numFmtId="1" fontId="12" fillId="0" borderId="0" xfId="0" applyNumberFormat="1" applyFont="1" applyAlignment="1" applyProtection="1">
      <protection locked="0"/>
    </xf>
    <xf numFmtId="0" fontId="13" fillId="0" borderId="0" xfId="0" applyFont="1" applyAlignment="1"/>
    <xf numFmtId="0" fontId="11" fillId="0" borderId="0" xfId="6" applyAlignment="1">
      <alignment horizontal="right"/>
    </xf>
    <xf numFmtId="0" fontId="11" fillId="0" borderId="0" xfId="6" applyAlignment="1"/>
    <xf numFmtId="0" fontId="9" fillId="3" borderId="1" xfId="3" applyAlignment="1" applyProtection="1">
      <alignment horizontal="center"/>
      <protection locked="0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/>
    <xf numFmtId="0" fontId="1" fillId="5" borderId="3" xfId="5" applyFont="1" applyBorder="1" applyAlignment="1">
      <alignment horizontal="left"/>
    </xf>
    <xf numFmtId="0" fontId="1" fillId="5" borderId="0" xfId="5" applyFont="1" applyBorder="1" applyAlignment="1">
      <alignment horizontal="left"/>
    </xf>
    <xf numFmtId="0" fontId="2" fillId="5" borderId="2" xfId="5" applyFont="1" applyAlignment="1">
      <alignment horizontal="left"/>
    </xf>
  </cellXfs>
  <cellStyles count="7">
    <cellStyle name="Calculation" xfId="4" builtinId="22"/>
    <cellStyle name="Explanatory Text" xfId="6" builtinId="53"/>
    <cellStyle name="Hyperlink" xfId="1" builtinId="8"/>
    <cellStyle name="Input" xfId="3" builtinId="20"/>
    <cellStyle name="Normal" xfId="0" builtinId="0"/>
    <cellStyle name="Note" xfId="5" builtinId="10"/>
    <cellStyle name="Percent" xfId="2" builtinId="5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3" formatCode="0%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3" formatCode="0%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3" formatCode="0%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3" formatCode="0%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3" formatCode="0%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3" formatCode="0%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" formatCode="0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3" formatCode="0%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3" formatCode="0%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3" formatCode="0%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numFmt numFmtId="1" formatCode="0"/>
      <protection locked="0" hidden="0"/>
    </dxf>
    <dxf>
      <protection locked="0" hidden="0"/>
    </dxf>
    <dxf>
      <protection locked="0" hidden="0"/>
    </dxf>
    <dxf>
      <numFmt numFmtId="1" formatCode="0"/>
      <protection locked="0" hidden="0"/>
    </dxf>
    <dxf>
      <alignment horizontal="general" vertical="bottom" textRotation="0" wrapText="0" indent="0" justifyLastLine="0" shrinkToFit="0" readingOrder="0"/>
      <protection locked="0" hidden="0"/>
    </dxf>
    <dxf>
      <protection locked="0" hidden="0"/>
    </dxf>
    <dxf>
      <numFmt numFmtId="1" formatCode="0"/>
      <protection locked="0" hidden="0"/>
    </dxf>
    <dxf>
      <protection locked="0" hidden="0"/>
    </dxf>
    <dxf>
      <protection locked="0" hidden="0"/>
    </dxf>
    <dxf>
      <numFmt numFmtId="1" formatCode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" formatCode="0"/>
      <protection locked="0" hidden="0"/>
    </dxf>
    <dxf>
      <protection locked="0" hidden="0"/>
    </dxf>
    <dxf>
      <protection locked="0" hidden="0"/>
    </dxf>
    <dxf>
      <numFmt numFmtId="1" formatCode="0"/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B4C9F6-D990-4232-B3CD-468E0D2E545C}" name="Flour" displayName="Flour" ref="A1:D11" totalsRowShown="0" headerRowDxfId="38">
  <autoFilter ref="A1:D11" xr:uid="{BE9992C2-9604-4C45-80B9-8E58CFB60B95}"/>
  <tableColumns count="4">
    <tableColumn id="1" xr3:uid="{C10504A8-C4D6-4768-B8CC-B5CBA195199F}" name="Brand" dataDxfId="37"/>
    <tableColumn id="2" xr3:uid="{22F80E9A-5A25-4085-B412-3C937C811096}" name="Type" dataDxfId="36"/>
    <tableColumn id="3" xr3:uid="{B6A60233-296A-407E-B61C-441444EB9963}" name="Protein"/>
    <tableColumn id="4" xr3:uid="{A1123A30-54CC-47B3-AEB4-05DA898F374B}" name="Extraction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742A86-29A2-4834-8A5E-B844123A7B01}" name="Table10" displayName="Table10" ref="A13:G22" totalsRowCount="1" headerRowCellStyle="Normal">
  <tableColumns count="7">
    <tableColumn id="1" xr3:uid="{7AF40C21-82F8-4335-81FA-B924642D1A73}" name="White-Wheat Blend (Ode to Bourdon)" totalsRowLabel="Total Flour" dataDxfId="34" dataCellStyle="Normal"/>
    <tableColumn id="2" xr3:uid="{480078B6-5A79-446F-8038-AD963362B679}" name="Target Mass (g)" totalsRowFunction="custom" dataDxfId="33" totalsRowDxfId="13" dataCellStyle="Input">
      <totalsRowFormula>SUM(B14:B17)</totalsRowFormula>
    </tableColumn>
    <tableColumn id="3" xr3:uid="{ACA5D637-05BE-452E-ACF1-CADA6657092A}" name="Target Extraction" dataCellStyle="Normal"/>
    <tableColumn id="4" xr3:uid="{48BAC57F-FE78-46B8-9A98-2258DEB92B3D}" name="Selected Bread Flour" totalsRowFunction="custom" dataDxfId="32" totalsRowDxfId="12">
      <calculatedColumnFormula>-Eb*Table10[[#This Row],[Target Mass (g)]]*(Table10[[#This Row],[Target Extraction]]-Ea)/Table10[[#This Row],[Target Extraction]]/(Ea-Eb)</calculatedColumnFormula>
      <totalsRowFormula>IFERROR(SUBTOTAL(109,Table10[Selected Bread Flour])/Table10[[#Totals],[Target Mass (g)]],0)</totalsRowFormula>
    </tableColumn>
    <tableColumn id="5" xr3:uid="{E86DD56A-C986-4A03-9B38-9276E2ECC781}" name="Selected All-Purpose Flour" totalsRowFunction="custom" dataDxfId="31" totalsRowDxfId="11">
      <totalsRowFormula>IFERROR(SUBTOTAL(109,Table10[Selected All-Purpose Flour])/Table10[[#Totals],[Target Mass (g)]],0)</totalsRowFormula>
    </tableColumn>
    <tableColumn id="6" xr3:uid="{939B94D5-D35E-4511-B1ED-6F9DFE463288}" name="Protein" totalsRowFunction="custom" dataDxfId="30" totalsRowDxfId="10">
      <totalsRowFormula>IFERROR(Table10[[#Totals],[Protein (g)]]/Table10[[#Totals],[Target Mass (g)]],0)</totalsRowFormula>
    </tableColumn>
    <tableColumn id="7" xr3:uid="{255DF2D4-91D7-4185-8D95-C25BB4B4B645}" name="Protein (g)" totalsRowFunction="sum" dataDxfId="29" totalsRowDxfId="9">
      <calculatedColumnFormula>Table10[[#This Row],[Target Mass (g)]]*Table10[[#This Row],[Protein]]</calculatedColumnFormula>
    </tableColumn>
  </tableColumns>
  <tableStyleInfo name="TableStyleMedium6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4A1B36-8792-4ADE-BE0D-2D29BFDD459F}" name="TartineFlour" displayName="TartineFlour" ref="A1:D5" totalsRowShown="0" headerRowCellStyle="Normal" dataCellStyle="Normal">
  <tableColumns count="4">
    <tableColumn id="1" xr3:uid="{17B4C4E8-971F-4CA7-B456-57E46B24F4CB}" name="Type" dataDxfId="28" dataCellStyle="Normal"/>
    <tableColumn id="2" xr3:uid="{2FF8DEDB-EEF3-44A6-86E1-6E3A744EF988}" name="Extraction" dataDxfId="27" dataCellStyle="Percent"/>
    <tableColumn id="3" xr3:uid="{24C4CC9B-25E9-414A-869B-30D8096A1A10}" name="Protein" dataDxfId="26" dataCellStyle="Percent"/>
    <tableColumn id="4" xr3:uid="{39DE4E46-887F-4DF9-BFA0-B57B9610074C}" name="Grain" dataCellStyle="Norm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CC0844-D822-4BB4-B569-F70E52D597B1}" name="Table11" displayName="Table11" ref="A26:G35" totalsRowCount="1" headerRowCellStyle="Normal">
  <tableColumns count="7">
    <tableColumn id="1" xr3:uid="{345A4049-1DFA-4737-A889-D072DD2EFB95}" name="Wheat-Rye 20%" totalsRowLabel="Total Flour" dataDxfId="25" dataCellStyle="Normal"/>
    <tableColumn id="2" xr3:uid="{AB945506-84AE-46C6-B87D-F0BBE75ADE30}" name="Target Mass (g)" totalsRowFunction="custom" dataDxfId="24" dataCellStyle="Input">
      <totalsRowFormula>SUM(B27:B30)</totalsRowFormula>
    </tableColumn>
    <tableColumn id="3" xr3:uid="{E9547C1A-7E5B-450D-BD35-EB8B3213E711}" name="Target Extraction" dataCellStyle="Normal"/>
    <tableColumn id="4" xr3:uid="{FBA7D963-5369-45D2-BCC0-C89178469A3C}" name="Selected Bread Flour" totalsRowFunction="custom" dataDxfId="23" totalsRowDxfId="8">
      <calculatedColumnFormula>-Eb*Table11[[#This Row],[Target Mass (g)]]*(Table11[[#This Row],[Target Extraction]]-Ea)/Table11[[#This Row],[Target Extraction]]/(Ea-Eb)</calculatedColumnFormula>
      <totalsRowFormula>IFERROR(SUBTOTAL(109,Table11[Selected Bread Flour])/Table11[[#Totals],[Target Mass (g)]],0)</totalsRowFormula>
    </tableColumn>
    <tableColumn id="5" xr3:uid="{A3AA2EF8-9B29-4B56-9EDD-008B689A07F0}" name="Selected All-Purpose Flour" totalsRowFunction="custom" dataDxfId="22" totalsRowDxfId="7">
      <totalsRowFormula>IFERROR(SUBTOTAL(109,Table11[Selected All-Purpose Flour])/Table11[[#Totals],[Target Mass (g)]],0)</totalsRowFormula>
    </tableColumn>
    <tableColumn id="6" xr3:uid="{345D3F53-484E-4D22-B022-5CA34FD9A50D}" name="Protein" totalsRowFunction="custom" dataDxfId="21" totalsRowDxfId="6">
      <totalsRowFormula>IFERROR(Table11[[#Totals],[Protein (g)]]/Table11[[#Totals],[Target Mass (g)]],0)</totalsRowFormula>
    </tableColumn>
    <tableColumn id="7" xr3:uid="{E76008DB-7590-4422-97FC-1961F8DBFF0F}" name="Protein (g)" totalsRowFunction="sum" dataDxfId="20" totalsRowDxfId="5">
      <calculatedColumnFormula>Table11[[#This Row],[Target Mass (g)]]*Table11[[#This Row],[Protein]]</calculatedColumnFormula>
    </tableColumn>
  </tableColumns>
  <tableStyleInfo name="TableStyleMedium6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113D2F-A2F9-4A93-A5D0-5BFE78B5B645}" name="Table12" displayName="Table12" ref="A39:G48" totalsRowCount="1" headerRowCellStyle="Normal">
  <tableColumns count="7">
    <tableColumn id="1" xr3:uid="{9705E701-F245-4F5C-96C7-4EEAFB6A8419}" name="Emmer/Einkorn" totalsRowLabel="Total Flour" dataDxfId="19" dataCellStyle="Normal"/>
    <tableColumn id="2" xr3:uid="{CD766778-583C-47B9-8098-E258F41B9D85}" name="Target Mass (g)" totalsRowFunction="custom" dataDxfId="18" totalsRowDxfId="4" dataCellStyle="Input">
      <totalsRowFormula>SUM(B40:B43)</totalsRowFormula>
    </tableColumn>
    <tableColumn id="3" xr3:uid="{DF3C4FE4-0E18-42B7-98A8-CBF501AC3ADB}" name="Target Extraction"/>
    <tableColumn id="4" xr3:uid="{50C41924-D43A-4A3F-AC0C-4A7A87B89E2A}" name="Selected Bread Flour" totalsRowFunction="custom" dataDxfId="17" totalsRowDxfId="3">
      <calculatedColumnFormula>-Eb*Table12[[#This Row],[Target Mass (g)]]*(Table12[[#This Row],[Target Extraction]]-Ea)/Table12[[#This Row],[Target Extraction]]/(Ea-Eb)</calculatedColumnFormula>
      <totalsRowFormula>IFERROR(SUBTOTAL(109,Table12[Selected Bread Flour])/Table12[[#Totals],[Target Mass (g)]],0)</totalsRowFormula>
    </tableColumn>
    <tableColumn id="5" xr3:uid="{1CA44E05-749B-40A9-A213-170AD9BEC03E}" name="Selected All-Purpose Flour" totalsRowFunction="custom" dataDxfId="16" totalsRowDxfId="2">
      <totalsRowFormula>SUBTOTAL(109,Table12[Selected All-Purpose Flour])/Table12[[#Totals],[Target Mass (g)]]</totalsRowFormula>
    </tableColumn>
    <tableColumn id="6" xr3:uid="{C8E2BF6F-F472-4717-9E7B-5B884B7A3B93}" name="Protein" totalsRowFunction="custom" dataDxfId="15" totalsRowDxfId="1">
      <totalsRowFormula>Table12[[#Totals],[Protein (g)]]/Table12[[#Totals],[Target Mass (g)]]</totalsRowFormula>
    </tableColumn>
    <tableColumn id="7" xr3:uid="{EE8F56FF-0DF8-494B-BE71-B3D2AA464C82}" name="Protein (g)" totalsRowFunction="sum" dataDxfId="14" totalsRowDxfId="0">
      <calculatedColumnFormula>Table12[[#This Row],[Target Mass (g)]]*Table12[[#This Row],[Protein]]</calculatedColumnFormula>
    </tableColumn>
  </tableColumns>
  <tableStyleInfo name="TableStyleMedium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zurestandard.com/shop/product/food/flour/einkorn-flour/einkorn-flour-unifine-organic/15702?package=FL250" TargetMode="External"/><Relationship Id="rId2" Type="http://schemas.openxmlformats.org/officeDocument/2006/relationships/hyperlink" Target="https://www.azurestandard.com/shop/product/food/flour/emmer-flour/emmer-flour-unifine-organic/17586?package=FL333" TargetMode="External"/><Relationship Id="rId1" Type="http://schemas.openxmlformats.org/officeDocument/2006/relationships/hyperlink" Target="https://www.azurestandard.com/shop/product/food/flour/rye/dark-rye-flour-unifine-organic/10543?package=FL078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defaultColWidth="17.33203125" defaultRowHeight="15" customHeight="1" x14ac:dyDescent="0.25"/>
  <cols>
    <col min="1" max="6" width="10.88671875" customWidth="1"/>
    <col min="7" max="26" width="8.6640625" customWidth="1"/>
  </cols>
  <sheetData>
    <row r="1" spans="1:26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3" t="s">
        <v>2</v>
      </c>
      <c r="B2" s="5">
        <v>400</v>
      </c>
      <c r="C2" s="1" t="s">
        <v>10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3" t="s">
        <v>11</v>
      </c>
      <c r="B3" s="7">
        <v>0.85</v>
      </c>
      <c r="C3" s="1" t="s">
        <v>15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3" t="s">
        <v>16</v>
      </c>
      <c r="B4" s="7">
        <v>0.7</v>
      </c>
      <c r="C4" s="1" t="s">
        <v>17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3" t="s">
        <v>18</v>
      </c>
      <c r="B5" s="8">
        <f>Q*(R_1-R_2)/(R_1-R_1*R_2)</f>
        <v>235.29411764705884</v>
      </c>
      <c r="C5" s="1" t="s">
        <v>19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3" t="s">
        <v>20</v>
      </c>
      <c r="B6" s="8">
        <f>Q*(R_2-R_1*R_2)/(R_1-R_1*R_2)</f>
        <v>164.70588235294116</v>
      </c>
      <c r="C6" s="1" t="s">
        <v>22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3"/>
      <c r="B7" s="8">
        <f>SUM(B5:B6)</f>
        <v>400</v>
      </c>
      <c r="C7" s="1" t="s">
        <v>29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3" t="s">
        <v>30</v>
      </c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1"/>
      <c r="B9" s="1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43" t="s">
        <v>31</v>
      </c>
      <c r="B10" s="44"/>
      <c r="C10" s="44"/>
      <c r="D10" s="13"/>
      <c r="E10" s="13"/>
      <c r="F10" s="1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43" t="s">
        <v>33</v>
      </c>
      <c r="B11" s="44"/>
      <c r="C11" s="44"/>
      <c r="D11" s="13"/>
      <c r="E11" s="13"/>
      <c r="F11" s="1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4"/>
      <c r="B12" s="14"/>
      <c r="C12" s="13"/>
      <c r="D12" s="13"/>
      <c r="E12" s="13"/>
      <c r="F12" s="1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3.25" customHeight="1" x14ac:dyDescent="0.25">
      <c r="A13" s="43" t="s">
        <v>34</v>
      </c>
      <c r="B13" s="44"/>
      <c r="C13" s="44"/>
      <c r="D13" s="44"/>
      <c r="E13" s="13"/>
      <c r="F13" s="1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4"/>
      <c r="B14" s="14"/>
      <c r="C14" s="13"/>
      <c r="D14" s="13"/>
      <c r="E14" s="13"/>
      <c r="F14" s="1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43" t="s">
        <v>36</v>
      </c>
      <c r="B15" s="44"/>
      <c r="C15" s="44"/>
      <c r="D15" s="44"/>
      <c r="E15" s="44"/>
      <c r="F15" s="4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43" t="s">
        <v>37</v>
      </c>
      <c r="B16" s="44"/>
      <c r="C16" s="44"/>
      <c r="D16" s="4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6" t="str">
        <f>HYPERLINK("http://hamelmanchallenge.blogspot.com/2010/06/tech-note-high-extraction-flour.html","Tech. Note: High Extraction Flour")</f>
        <v>Tech. Note: High Extraction Flour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0:C10"/>
    <mergeCell ref="A11:C11"/>
    <mergeCell ref="A13:D13"/>
    <mergeCell ref="A15:F15"/>
    <mergeCell ref="A16:D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1"/>
  <sheetViews>
    <sheetView workbookViewId="0">
      <selection activeCell="B7" sqref="B7"/>
    </sheetView>
  </sheetViews>
  <sheetFormatPr defaultColWidth="17.33203125" defaultRowHeight="15" customHeight="1" x14ac:dyDescent="0.25"/>
  <cols>
    <col min="1" max="1" width="66.33203125" customWidth="1"/>
    <col min="2" max="2" width="28.109375" customWidth="1"/>
    <col min="3" max="3" width="9.21875" customWidth="1"/>
    <col min="4" max="4" width="11.88671875" customWidth="1"/>
  </cols>
  <sheetData>
    <row r="1" spans="1:4" ht="15" customHeight="1" x14ac:dyDescent="0.25">
      <c r="A1" s="2" t="s">
        <v>0</v>
      </c>
      <c r="B1" s="2" t="s">
        <v>1</v>
      </c>
      <c r="C1" s="2" t="s">
        <v>4</v>
      </c>
      <c r="D1" s="2" t="s">
        <v>3</v>
      </c>
    </row>
    <row r="2" spans="1:4" ht="15" customHeight="1" x14ac:dyDescent="0.25">
      <c r="A2" s="10" t="str">
        <f>HYPERLINK("https://www.azurestandard.com/shop/product/food/flour/white/wheat/unbleached-bread-flour-ultra-unifine-organic/20260?package=FL403","Azure Market Organics Unbleached Bread Flour (Ultra Unifine), Organic")</f>
        <v>Azure Market Organics Unbleached Bread Flour (Ultra Unifine), Organic</v>
      </c>
      <c r="B2" s="1" t="s">
        <v>26</v>
      </c>
      <c r="C2" s="4">
        <v>0.16</v>
      </c>
      <c r="D2" s="4">
        <v>0.9</v>
      </c>
    </row>
    <row r="3" spans="1:4" ht="15" customHeight="1" x14ac:dyDescent="0.25">
      <c r="A3" s="12" t="str">
        <f>HYPERLINK("https://www.azurestandard.com/shop/product/food/flour/unbleached-flour/all-purpose-flour-unbleached-organic/11444?package=FL080","Azure Market Organics All Purpose Flour Unbleached, Organic")</f>
        <v>Azure Market Organics All Purpose Flour Unbleached, Organic</v>
      </c>
      <c r="B3" s="1" t="s">
        <v>27</v>
      </c>
      <c r="C3" s="9">
        <v>0.115</v>
      </c>
      <c r="D3" s="4">
        <v>0.72</v>
      </c>
    </row>
    <row r="4" spans="1:4" ht="15" customHeight="1" x14ac:dyDescent="0.25">
      <c r="A4" s="12" t="str">
        <f>HYPERLINK("https://www.azurestandard.com/shop/product/food/flour/whole-wheat/hard-red/bread-flour-100-whole-red-wheat-unifine-organic/8428?package=FL123","Azure Market Organics Bread Flour 100% Whole Red Wheat (Unifine), Organic")</f>
        <v>Azure Market Organics Bread Flour 100% Whole Red Wheat (Unifine), Organic</v>
      </c>
      <c r="B4" s="6" t="s">
        <v>9</v>
      </c>
      <c r="C4" s="4">
        <v>0.14000000000000001</v>
      </c>
      <c r="D4" s="4">
        <v>1</v>
      </c>
    </row>
    <row r="5" spans="1:4" ht="15" customHeight="1" x14ac:dyDescent="0.25">
      <c r="A5" s="10" t="str">
        <f>HYPERLINK("https://www.azurestandard.com/shop/product/food/flour/whole-wheat/hard-white/bread-flour-100-whole-white-wheat-unifine-organic/8434?package=FL034","Azure Market Organics Bread Flour 100% Whole White Wheat (Unifine), Organic")</f>
        <v>Azure Market Organics Bread Flour 100% Whole White Wheat (Unifine), Organic</v>
      </c>
      <c r="B5" s="2" t="s">
        <v>12</v>
      </c>
      <c r="C5" s="15">
        <f>4/32</f>
        <v>0.125</v>
      </c>
      <c r="D5" s="4">
        <v>1</v>
      </c>
    </row>
    <row r="6" spans="1:4" ht="15" customHeight="1" x14ac:dyDescent="0.25">
      <c r="A6" s="10" t="str">
        <f>HYPERLINK("https://www.kingarthurflour.com/products/organic-bread-flour/","King Arthur ORGANIC BREAD FLOUR")</f>
        <v>King Arthur ORGANIC BREAD FLOUR</v>
      </c>
      <c r="B6" s="2" t="s">
        <v>24</v>
      </c>
      <c r="C6" s="9">
        <v>0.127</v>
      </c>
      <c r="D6" s="4">
        <v>0.75</v>
      </c>
    </row>
    <row r="7" spans="1:4" ht="15" customHeight="1" x14ac:dyDescent="0.25">
      <c r="A7" s="10" t="str">
        <f>HYPERLINK("https://www.kingarthurflour.com/products/organic-whole-wheat-flour/","King Arthur ORGANIC Whole Wheat FLOUR")</f>
        <v>King Arthur ORGANIC Whole Wheat FLOUR</v>
      </c>
      <c r="B7" s="2" t="s">
        <v>35</v>
      </c>
      <c r="C7" s="4">
        <v>0.14000000000000001</v>
      </c>
      <c r="D7" s="4">
        <v>1</v>
      </c>
    </row>
    <row r="8" spans="1:4" ht="15" customHeight="1" x14ac:dyDescent="0.25">
      <c r="A8" s="10" t="str">
        <f>HYPERLINK("https://www.kingarthurflour.com/products/organic-all-purpose-flour/","King Arthur Organic All-Purpose Flour")</f>
        <v>King Arthur Organic All-Purpose Flour</v>
      </c>
      <c r="B8" s="2" t="s">
        <v>32</v>
      </c>
      <c r="C8" s="4"/>
      <c r="D8" s="4"/>
    </row>
    <row r="9" spans="1:4" ht="15" customHeight="1" x14ac:dyDescent="0.25">
      <c r="A9" s="19" t="s">
        <v>49</v>
      </c>
      <c r="B9" s="2" t="s">
        <v>44</v>
      </c>
      <c r="C9" s="20">
        <f>5/737</f>
        <v>6.7842605156037995E-3</v>
      </c>
      <c r="D9" s="18">
        <v>1</v>
      </c>
    </row>
    <row r="10" spans="1:4" ht="15" customHeight="1" x14ac:dyDescent="0.25">
      <c r="A10" s="21" t="s">
        <v>50</v>
      </c>
      <c r="B10" s="1" t="s">
        <v>51</v>
      </c>
      <c r="C10" s="20">
        <f>6/170</f>
        <v>3.5294117647058823E-2</v>
      </c>
      <c r="D10" s="22">
        <v>1</v>
      </c>
    </row>
    <row r="11" spans="1:4" ht="15" customHeight="1" x14ac:dyDescent="0.25">
      <c r="A11" s="21" t="s">
        <v>52</v>
      </c>
      <c r="B11" s="1" t="s">
        <v>53</v>
      </c>
      <c r="C11" s="20">
        <f>4/43</f>
        <v>9.3023255813953487E-2</v>
      </c>
      <c r="D11" s="22">
        <v>1</v>
      </c>
    </row>
  </sheetData>
  <sheetProtection sheet="1" objects="1" scenarios="1"/>
  <hyperlinks>
    <hyperlink ref="A9" r:id="rId1" xr:uid="{4B6D48D6-C281-4EE1-8C64-78869E709192}"/>
    <hyperlink ref="A10" r:id="rId2" xr:uid="{B1CFC102-888E-4545-825B-738A221D0F70}"/>
    <hyperlink ref="A11" r:id="rId3" xr:uid="{73BA20E9-A8E9-4451-B900-D1A313B2AB58}"/>
  </hyperlinks>
  <pageMargins left="0.7" right="0.7" top="0.75" bottom="0.75" header="0.3" footer="0.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G50"/>
  <sheetViews>
    <sheetView tabSelected="1" workbookViewId="0">
      <selection activeCell="D10" sqref="D10"/>
    </sheetView>
  </sheetViews>
  <sheetFormatPr defaultColWidth="17.33203125" defaultRowHeight="15" customHeight="1" x14ac:dyDescent="0.25"/>
  <cols>
    <col min="1" max="1" width="35.88671875" customWidth="1"/>
    <col min="4" max="4" width="21.109375" bestFit="1" customWidth="1"/>
    <col min="5" max="5" width="24.5546875" bestFit="1" customWidth="1"/>
  </cols>
  <sheetData>
    <row r="1" spans="1:7" ht="15" customHeight="1" x14ac:dyDescent="0.25">
      <c r="A1" s="17" t="s">
        <v>1</v>
      </c>
      <c r="B1" s="17" t="s">
        <v>3</v>
      </c>
      <c r="C1" s="17" t="s">
        <v>4</v>
      </c>
      <c r="D1" s="17" t="s">
        <v>5</v>
      </c>
    </row>
    <row r="2" spans="1:7" ht="15" customHeight="1" x14ac:dyDescent="0.25">
      <c r="A2" s="25" t="s">
        <v>6</v>
      </c>
      <c r="B2" s="26">
        <v>0.85</v>
      </c>
      <c r="C2" s="26"/>
      <c r="D2" s="17" t="s">
        <v>7</v>
      </c>
    </row>
    <row r="3" spans="1:7" ht="15" customHeight="1" x14ac:dyDescent="0.25">
      <c r="A3" s="25" t="s">
        <v>8</v>
      </c>
      <c r="B3" s="26">
        <v>0.75</v>
      </c>
      <c r="C3" s="26">
        <v>0.12</v>
      </c>
      <c r="D3" s="17" t="s">
        <v>7</v>
      </c>
    </row>
    <row r="4" spans="1:7" ht="15" customHeight="1" x14ac:dyDescent="0.25">
      <c r="A4" s="25" t="s">
        <v>9</v>
      </c>
      <c r="B4" s="26">
        <v>1</v>
      </c>
      <c r="C4" s="26">
        <v>0.12</v>
      </c>
      <c r="D4" s="17" t="s">
        <v>7</v>
      </c>
    </row>
    <row r="5" spans="1:7" ht="15" customHeight="1" x14ac:dyDescent="0.25">
      <c r="A5" s="25" t="s">
        <v>12</v>
      </c>
      <c r="B5" s="26">
        <v>1</v>
      </c>
      <c r="C5" s="26">
        <v>0.12</v>
      </c>
      <c r="D5" s="17" t="s">
        <v>13</v>
      </c>
    </row>
    <row r="6" spans="1:7" s="24" customFormat="1" ht="15" customHeight="1" x14ac:dyDescent="0.25">
      <c r="A6" s="25"/>
      <c r="B6" s="26"/>
      <c r="C6" s="26"/>
      <c r="D6" s="17"/>
    </row>
    <row r="7" spans="1:7" s="24" customFormat="1" ht="15" customHeight="1" x14ac:dyDescent="0.25">
      <c r="A7" s="45" t="s">
        <v>56</v>
      </c>
      <c r="B7" s="46"/>
      <c r="C7" s="46"/>
      <c r="D7" s="46"/>
      <c r="E7" s="46"/>
      <c r="F7" s="46"/>
      <c r="G7" s="46"/>
    </row>
    <row r="8" spans="1:7" s="24" customFormat="1" ht="15" customHeight="1" x14ac:dyDescent="0.25">
      <c r="A8" s="1"/>
      <c r="B8" s="26"/>
      <c r="C8" s="26"/>
      <c r="D8" s="17"/>
    </row>
    <row r="9" spans="1:7" ht="15" customHeight="1" x14ac:dyDescent="0.3">
      <c r="D9" s="41" t="s">
        <v>60</v>
      </c>
      <c r="E9" s="41" t="s">
        <v>61</v>
      </c>
    </row>
    <row r="10" spans="1:7" s="24" customFormat="1" ht="15" customHeight="1" x14ac:dyDescent="0.3">
      <c r="C10" s="40" t="s">
        <v>59</v>
      </c>
      <c r="D10" s="42" t="s">
        <v>26</v>
      </c>
      <c r="E10" s="42" t="s">
        <v>27</v>
      </c>
    </row>
    <row r="11" spans="1:7" ht="15" customHeight="1" x14ac:dyDescent="0.3">
      <c r="A11" s="2"/>
      <c r="C11" s="40" t="s">
        <v>14</v>
      </c>
      <c r="D11" s="4">
        <f>VLOOKUP(D$10,Flour[[Type]:[Extraction]],2,FALSE)</f>
        <v>0.16</v>
      </c>
      <c r="E11" s="4">
        <f>VLOOKUP(E$10,Flour[[Type]:[Extraction]],2,FALSE)</f>
        <v>0.115</v>
      </c>
    </row>
    <row r="12" spans="1:7" ht="15" customHeight="1" x14ac:dyDescent="0.3">
      <c r="A12" s="2"/>
      <c r="C12" s="40" t="s">
        <v>21</v>
      </c>
      <c r="D12" s="4">
        <f>VLOOKUP(D$10,Flour[[Type]:[Extraction]],3,FALSE)</f>
        <v>0.9</v>
      </c>
      <c r="E12" s="4">
        <f>VLOOKUP(E$10,Flour[[Type]:[Extraction]],3,FALSE)</f>
        <v>0.72</v>
      </c>
    </row>
    <row r="13" spans="1:7" ht="15" customHeight="1" x14ac:dyDescent="0.25">
      <c r="A13" s="17" t="s">
        <v>23</v>
      </c>
      <c r="B13" s="17" t="s">
        <v>25</v>
      </c>
      <c r="C13" s="17" t="s">
        <v>48</v>
      </c>
      <c r="D13" s="36" t="s">
        <v>57</v>
      </c>
      <c r="E13" s="36" t="s">
        <v>58</v>
      </c>
      <c r="F13" s="25" t="s">
        <v>4</v>
      </c>
      <c r="G13" s="25" t="s">
        <v>28</v>
      </c>
    </row>
    <row r="14" spans="1:7" ht="15" customHeight="1" x14ac:dyDescent="0.3">
      <c r="A14" s="27" t="s">
        <v>6</v>
      </c>
      <c r="B14" s="27"/>
      <c r="C14" s="23">
        <f>VLOOKUP(A14,TartineFlour[],2,FALSE)</f>
        <v>0.85</v>
      </c>
      <c r="D14" s="31">
        <f>-Eb*Table10[[#This Row],[Target Mass (g)]]*(Table10[[#This Row],[Target Extraction]]-Ea)/Table10[[#This Row],[Target Extraction]]/(Ea-Eb)</f>
        <v>0</v>
      </c>
      <c r="E14" s="31">
        <f>Ea*Table10[[#This Row],[Target Mass (g)]]*(Table10[[#This Row],[Target Extraction]]-Eb)/Table10[[#This Row],[Target Extraction]]/(Ea-Eb)</f>
        <v>0</v>
      </c>
      <c r="F14" s="32">
        <f>IFERROR((Table10[[#This Row],[Selected Bread Flour]]*Pb+Table10[[#This Row],[Selected All-Purpose Flour]]*Pa)/Table10[[#This Row],[Target Mass (g)]],0)</f>
        <v>0</v>
      </c>
      <c r="G14" s="31">
        <f>Table10[[#This Row],[Target Mass (g)]]*Table10[[#This Row],[Protein]]</f>
        <v>0</v>
      </c>
    </row>
    <row r="15" spans="1:7" ht="15" customHeight="1" x14ac:dyDescent="0.3">
      <c r="A15" s="28" t="s">
        <v>8</v>
      </c>
      <c r="B15" s="27"/>
      <c r="C15" s="23">
        <f>VLOOKUP(A15,TartineFlour[],2,FALSE)</f>
        <v>0.75</v>
      </c>
      <c r="D15" s="31">
        <f>-Eb*Table10[[#This Row],[Target Mass (g)]]*(Table10[[#This Row],[Target Extraction]]-Ea)/Table10[[#This Row],[Target Extraction]]/(Ea-Eb)</f>
        <v>0</v>
      </c>
      <c r="E15" s="31">
        <f>Ea*Table10[[#This Row],[Target Mass (g)]]*(Table10[[#This Row],[Target Extraction]]-Eb)/Table10[[#This Row],[Target Extraction]]/(Ea-Eb)</f>
        <v>0</v>
      </c>
      <c r="F15" s="32">
        <f>IFERROR((Table10[[#This Row],[Selected Bread Flour]]*Pb+Table10[[#This Row],[Selected All-Purpose Flour]]*Pa)/Table10[[#This Row],[Target Mass (g)]],0)</f>
        <v>0</v>
      </c>
      <c r="G15" s="31">
        <f>Table10[[#This Row],[Target Mass (g)]]*Table10[[#This Row],[Protein]]</f>
        <v>0</v>
      </c>
    </row>
    <row r="16" spans="1:7" ht="15" customHeight="1" x14ac:dyDescent="0.3">
      <c r="A16" s="27" t="s">
        <v>9</v>
      </c>
      <c r="B16" s="27"/>
      <c r="C16" s="23">
        <f>VLOOKUP(A16,Flour[[Type]:[Extraction]],3,FALSE)</f>
        <v>1</v>
      </c>
      <c r="D16" s="33"/>
      <c r="E16" s="29"/>
      <c r="F16" s="32">
        <f>VLOOKUP(A16,Flour[[Type]:[Extraction]],2,FALSE)</f>
        <v>0.14000000000000001</v>
      </c>
      <c r="G16" s="31">
        <f>Table10[[#This Row],[Target Mass (g)]]*Table10[[#This Row],[Protein]]</f>
        <v>0</v>
      </c>
    </row>
    <row r="17" spans="1:7" ht="15" customHeight="1" x14ac:dyDescent="0.3">
      <c r="A17" s="27" t="s">
        <v>12</v>
      </c>
      <c r="B17" s="27"/>
      <c r="C17" s="23">
        <f>VLOOKUP(A17,Flour[[Type]:[Extraction]],3,FALSE)</f>
        <v>1</v>
      </c>
      <c r="D17" s="33"/>
      <c r="E17" s="29"/>
      <c r="F17" s="32">
        <f>VLOOKUP(A17,Flour[[Type]:[Extraction]],2,FALSE)</f>
        <v>0.125</v>
      </c>
      <c r="G17" s="31">
        <f>Table10[[#This Row],[Target Mass (g)]]*Table10[[#This Row],[Protein]]</f>
        <v>0</v>
      </c>
    </row>
    <row r="18" spans="1:7" ht="15" customHeight="1" x14ac:dyDescent="0.3">
      <c r="A18" s="25" t="s">
        <v>38</v>
      </c>
      <c r="B18" s="27"/>
      <c r="C18" s="17"/>
      <c r="D18" s="33"/>
      <c r="E18" s="29"/>
      <c r="F18" s="29"/>
      <c r="G18" s="33"/>
    </row>
    <row r="19" spans="1:7" ht="15" customHeight="1" x14ac:dyDescent="0.3">
      <c r="A19" s="25" t="s">
        <v>39</v>
      </c>
      <c r="B19" s="27"/>
      <c r="C19" s="30">
        <f>IFERROR(Table10[[#This Row],[Target Mass (g)]]/Table10[[#Totals],[Target Mass (g)]],0)</f>
        <v>0</v>
      </c>
      <c r="D19" s="34" t="s">
        <v>55</v>
      </c>
      <c r="E19" s="29"/>
      <c r="F19" s="29"/>
      <c r="G19" s="33"/>
    </row>
    <row r="20" spans="1:7" ht="15" customHeight="1" x14ac:dyDescent="0.3">
      <c r="A20" s="25" t="s">
        <v>40</v>
      </c>
      <c r="B20" s="27"/>
      <c r="C20" s="17"/>
      <c r="D20" s="33"/>
      <c r="E20" s="29"/>
      <c r="F20" s="29"/>
      <c r="G20" s="33"/>
    </row>
    <row r="21" spans="1:7" ht="15" customHeight="1" x14ac:dyDescent="0.3">
      <c r="A21" s="25" t="s">
        <v>41</v>
      </c>
      <c r="B21" s="27"/>
      <c r="C21" s="17"/>
      <c r="D21" s="33"/>
      <c r="E21" s="29"/>
      <c r="F21" s="29"/>
      <c r="G21" s="33"/>
    </row>
    <row r="22" spans="1:7" ht="15" customHeight="1" x14ac:dyDescent="0.25">
      <c r="A22" s="17" t="s">
        <v>54</v>
      </c>
      <c r="B22" s="1">
        <f>SUM(B14:B17)</f>
        <v>0</v>
      </c>
      <c r="D22" s="35">
        <f>IFERROR(SUBTOTAL(109,Table10[Selected Bread Flour])/Table10[[#Totals],[Target Mass (g)]],0)</f>
        <v>0</v>
      </c>
      <c r="E22" s="35">
        <f>IFERROR(SUBTOTAL(109,Table10[Selected All-Purpose Flour])/Table10[[#Totals],[Target Mass (g)]],0)</f>
        <v>0</v>
      </c>
      <c r="F22" s="35">
        <f>IFERROR(Table10[[#Totals],[Protein (g)]]/Table10[[#Totals],[Target Mass (g)]],0)</f>
        <v>0</v>
      </c>
      <c r="G22" s="33">
        <f>SUBTOTAL(109,Table10[Protein (g)])</f>
        <v>0</v>
      </c>
    </row>
    <row r="23" spans="1:7" ht="15" customHeight="1" x14ac:dyDescent="0.25">
      <c r="D23" s="29"/>
      <c r="E23" s="29"/>
      <c r="F23" s="29"/>
      <c r="G23" s="29"/>
    </row>
    <row r="24" spans="1:7" ht="15" customHeight="1" x14ac:dyDescent="0.25">
      <c r="A24" s="47" t="s">
        <v>42</v>
      </c>
      <c r="B24" s="47"/>
      <c r="C24" s="47"/>
      <c r="D24" s="47"/>
      <c r="E24" s="47"/>
      <c r="F24" s="47"/>
      <c r="G24" s="47"/>
    </row>
    <row r="25" spans="1:7" ht="15" customHeight="1" x14ac:dyDescent="0.25">
      <c r="D25" s="29"/>
      <c r="E25" s="29"/>
      <c r="F25" s="29"/>
      <c r="G25" s="29"/>
    </row>
    <row r="26" spans="1:7" ht="13.2" x14ac:dyDescent="0.25">
      <c r="A26" s="29" t="s">
        <v>43</v>
      </c>
      <c r="B26" t="s">
        <v>25</v>
      </c>
      <c r="C26" t="s">
        <v>48</v>
      </c>
      <c r="D26" s="36" t="s">
        <v>57</v>
      </c>
      <c r="E26" s="36" t="s">
        <v>58</v>
      </c>
      <c r="F26" s="29" t="s">
        <v>4</v>
      </c>
      <c r="G26" s="29" t="s">
        <v>28</v>
      </c>
    </row>
    <row r="27" spans="1:7" ht="15" customHeight="1" x14ac:dyDescent="0.3">
      <c r="A27" s="27" t="s">
        <v>8</v>
      </c>
      <c r="B27" s="27"/>
      <c r="C27" s="23">
        <f>VLOOKUP(A27,TartineFlour[],2,FALSE)</f>
        <v>0.75</v>
      </c>
      <c r="D27" s="31">
        <f>-Eb*Table11[[#This Row],[Target Mass (g)]]*(Table11[[#This Row],[Target Extraction]]-Ea)/Table11[[#This Row],[Target Extraction]]/(Ea-Eb)</f>
        <v>0</v>
      </c>
      <c r="E27" s="31">
        <f>Ea*Table11[[#This Row],[Target Mass (g)]]*(Table11[[#This Row],[Target Extraction]]-Eb)/Table11[[#This Row],[Target Extraction]]/(Ea-Eb)</f>
        <v>0</v>
      </c>
      <c r="F27" s="32">
        <f>IFERROR((Table11[[#This Row],[Selected Bread Flour]]*Pb+Table11[[#This Row],[Selected All-Purpose Flour]]*Pa)/Table11[[#This Row],[Target Mass (g)]],0)</f>
        <v>0</v>
      </c>
      <c r="G27" s="31">
        <f>Table11[[#This Row],[Target Mass (g)]]*Table11[[#This Row],[Protein]]</f>
        <v>0</v>
      </c>
    </row>
    <row r="28" spans="1:7" ht="14.4" x14ac:dyDescent="0.3">
      <c r="A28" s="28" t="s">
        <v>8</v>
      </c>
      <c r="B28" s="27"/>
      <c r="C28" s="23">
        <f>VLOOKUP(A28,TartineFlour[],2,FALSE)</f>
        <v>0.75</v>
      </c>
      <c r="D28" s="31">
        <f>-Eb*Table11[[#This Row],[Target Mass (g)]]*(Table11[[#This Row],[Target Extraction]]-Ea)/Table11[[#This Row],[Target Extraction]]/(Ea-Eb)</f>
        <v>0</v>
      </c>
      <c r="E28" s="31">
        <f>Ea*Table11[[#This Row],[Target Mass (g)]]*(Table11[[#This Row],[Target Extraction]]-Eb)/Table11[[#This Row],[Target Extraction]]/(Ea-Eb)</f>
        <v>0</v>
      </c>
      <c r="F28" s="32">
        <f>IFERROR((Table11[[#This Row],[Selected Bread Flour]]*Pb+Table11[[#This Row],[Selected All-Purpose Flour]]*Pa)/Table11[[#This Row],[Target Mass (g)]],0)</f>
        <v>0</v>
      </c>
      <c r="G28" s="31">
        <f>Table11[[#This Row],[Target Mass (g)]]*Table11[[#This Row],[Protein]]</f>
        <v>0</v>
      </c>
    </row>
    <row r="29" spans="1:7" ht="14.4" x14ac:dyDescent="0.3">
      <c r="A29" s="27" t="s">
        <v>9</v>
      </c>
      <c r="B29" s="27"/>
      <c r="C29" s="23">
        <f>VLOOKUP(A29,Flour[[Type]:[Extraction]],3,FALSE)</f>
        <v>1</v>
      </c>
      <c r="D29" s="33"/>
      <c r="E29" s="29"/>
      <c r="F29" s="32">
        <f>VLOOKUP(A29,Flour[[Type]:[Extraction]],2,FALSE)</f>
        <v>0.14000000000000001</v>
      </c>
      <c r="G29" s="31">
        <f>Table11[[#This Row],[Target Mass (g)]]*Table11[[#This Row],[Protein]]</f>
        <v>0</v>
      </c>
    </row>
    <row r="30" spans="1:7" ht="14.4" x14ac:dyDescent="0.3">
      <c r="A30" s="28" t="s">
        <v>44</v>
      </c>
      <c r="B30" s="27"/>
      <c r="C30" s="23">
        <f>VLOOKUP(A30,Flour[[Type]:[Extraction]],3,FALSE)</f>
        <v>1</v>
      </c>
      <c r="D30" s="33"/>
      <c r="E30" s="29"/>
      <c r="F30" s="32">
        <f>VLOOKUP(A30,Flour[[Type]:[Extraction]],2,FALSE)</f>
        <v>6.7842605156037995E-3</v>
      </c>
      <c r="G30" s="31">
        <f>Table11[[#This Row],[Target Mass (g)]]*Table11[[#This Row],[Protein]]</f>
        <v>0</v>
      </c>
    </row>
    <row r="31" spans="1:7" ht="14.4" x14ac:dyDescent="0.3">
      <c r="A31" s="25" t="s">
        <v>38</v>
      </c>
      <c r="B31" s="27"/>
      <c r="C31" s="17"/>
      <c r="D31" s="33"/>
      <c r="E31" s="29"/>
      <c r="F31" s="29"/>
      <c r="G31" s="33"/>
    </row>
    <row r="32" spans="1:7" ht="14.4" x14ac:dyDescent="0.3">
      <c r="A32" s="25" t="s">
        <v>39</v>
      </c>
      <c r="B32" s="27"/>
      <c r="C32" s="30">
        <f>IFERROR(Table11[[#This Row],[Target Mass (g)]]/Table11[[#Totals],[Target Mass (g)]],0)</f>
        <v>0</v>
      </c>
      <c r="D32" s="34" t="s">
        <v>55</v>
      </c>
      <c r="E32" s="29"/>
      <c r="F32" s="29"/>
      <c r="G32" s="33"/>
    </row>
    <row r="33" spans="1:7" ht="14.4" x14ac:dyDescent="0.3">
      <c r="A33" s="25" t="s">
        <v>40</v>
      </c>
      <c r="B33" s="27"/>
      <c r="C33" s="17"/>
      <c r="D33" s="33"/>
      <c r="E33" s="29"/>
      <c r="F33" s="29"/>
      <c r="G33" s="33"/>
    </row>
    <row r="34" spans="1:7" ht="14.4" x14ac:dyDescent="0.3">
      <c r="A34" s="25" t="s">
        <v>41</v>
      </c>
      <c r="B34" s="27"/>
      <c r="C34" s="17"/>
      <c r="D34" s="33"/>
      <c r="E34" s="29"/>
      <c r="F34" s="29"/>
      <c r="G34" s="33"/>
    </row>
    <row r="35" spans="1:7" ht="13.2" x14ac:dyDescent="0.25">
      <c r="A35" s="17" t="s">
        <v>54</v>
      </c>
      <c r="B35" s="17">
        <f>SUM(B27:B30)</f>
        <v>0</v>
      </c>
      <c r="D35" s="37">
        <f>IFERROR(SUBTOTAL(109,Table11[Selected Bread Flour])/Table11[[#Totals],[Target Mass (g)]],0)</f>
        <v>0</v>
      </c>
      <c r="E35" s="37">
        <f>IFERROR(SUBTOTAL(109,Table11[Selected All-Purpose Flour])/Table11[[#Totals],[Target Mass (g)]],0)</f>
        <v>0</v>
      </c>
      <c r="F35" s="37">
        <f>IFERROR(Table11[[#Totals],[Protein (g)]]/Table11[[#Totals],[Target Mass (g)]],0)</f>
        <v>0</v>
      </c>
      <c r="G35" s="38">
        <f>SUBTOTAL(109,Table11[Protein (g)])</f>
        <v>0</v>
      </c>
    </row>
    <row r="36" spans="1:7" ht="15" customHeight="1" x14ac:dyDescent="0.25">
      <c r="D36" s="29"/>
      <c r="E36" s="29"/>
      <c r="F36" s="29"/>
      <c r="G36" s="29"/>
    </row>
    <row r="37" spans="1:7" ht="15" customHeight="1" x14ac:dyDescent="0.25">
      <c r="A37" s="47" t="s">
        <v>45</v>
      </c>
      <c r="B37" s="47"/>
      <c r="C37" s="47"/>
      <c r="D37" s="47"/>
      <c r="E37" s="47"/>
      <c r="F37" s="47"/>
      <c r="G37" s="47"/>
    </row>
    <row r="38" spans="1:7" ht="15" customHeight="1" x14ac:dyDescent="0.25">
      <c r="D38" s="29"/>
      <c r="E38" s="29"/>
      <c r="F38" s="29"/>
      <c r="G38" s="29"/>
    </row>
    <row r="39" spans="1:7" ht="15" customHeight="1" x14ac:dyDescent="0.25">
      <c r="A39" s="25" t="s">
        <v>46</v>
      </c>
      <c r="B39" s="17" t="s">
        <v>25</v>
      </c>
      <c r="C39" s="17" t="s">
        <v>48</v>
      </c>
      <c r="D39" s="36" t="s">
        <v>57</v>
      </c>
      <c r="E39" s="36" t="s">
        <v>58</v>
      </c>
      <c r="F39" s="25" t="s">
        <v>4</v>
      </c>
      <c r="G39" s="25" t="s">
        <v>28</v>
      </c>
    </row>
    <row r="40" spans="1:7" ht="15" customHeight="1" x14ac:dyDescent="0.3">
      <c r="A40" s="27" t="s">
        <v>6</v>
      </c>
      <c r="B40" s="27"/>
      <c r="C40" s="23">
        <f>VLOOKUP(A40,TartineFlour[],2,FALSE)</f>
        <v>0.85</v>
      </c>
      <c r="D40" s="31">
        <f>-Eb*Table12[[#This Row],[Target Mass (g)]]*(Table12[[#This Row],[Target Extraction]]-Ea)/Table12[[#This Row],[Target Extraction]]/(Ea-Eb)</f>
        <v>0</v>
      </c>
      <c r="E40" s="31">
        <f>Ea*Table12[[#This Row],[Target Mass (g)]]*(Table12[[#This Row],[Target Extraction]]-Eb)/Table12[[#This Row],[Target Extraction]]/(Ea-Eb)</f>
        <v>0</v>
      </c>
      <c r="F40" s="32">
        <f>IFERROR((Table12[[#This Row],[Selected Bread Flour]]*Pb+Table12[[#This Row],[Selected All-Purpose Flour]]*Pa)/Table12[[#This Row],[Target Mass (g)]],0)</f>
        <v>0</v>
      </c>
      <c r="G40" s="31">
        <f>Table12[[#This Row],[Target Mass (g)]]*Table12[[#This Row],[Protein]]</f>
        <v>0</v>
      </c>
    </row>
    <row r="41" spans="1:7" ht="15" customHeight="1" x14ac:dyDescent="0.3">
      <c r="A41" s="28" t="s">
        <v>8</v>
      </c>
      <c r="B41" s="27"/>
      <c r="C41" s="23">
        <f>VLOOKUP(A41,TartineFlour[],2,FALSE)</f>
        <v>0.75</v>
      </c>
      <c r="D41" s="31">
        <f>-Eb*Table12[[#This Row],[Target Mass (g)]]*(Table12[[#This Row],[Target Extraction]]-Ea)/Table12[[#This Row],[Target Extraction]]/(Ea-Eb)</f>
        <v>0</v>
      </c>
      <c r="E41" s="31">
        <f>Ea*Table12[[#This Row],[Target Mass (g)]]*(Table12[[#This Row],[Target Extraction]]-Eb)/Table12[[#This Row],[Target Extraction]]/(Ea-Eb)</f>
        <v>0</v>
      </c>
      <c r="F41" s="32">
        <f>IFERROR((Table12[[#This Row],[Selected Bread Flour]]*Pb+Table12[[#This Row],[Selected All-Purpose Flour]]*Pa)/Table12[[#This Row],[Target Mass (g)]],0)</f>
        <v>0</v>
      </c>
      <c r="G41" s="31">
        <f>Table12[[#This Row],[Target Mass (g)]]*Table12[[#This Row],[Protein]]</f>
        <v>0</v>
      </c>
    </row>
    <row r="42" spans="1:7" ht="15" customHeight="1" x14ac:dyDescent="0.3">
      <c r="A42" s="27" t="s">
        <v>9</v>
      </c>
      <c r="B42" s="27"/>
      <c r="C42" s="23">
        <f>VLOOKUP(A42,Flour[[Type]:[Extraction]],3,FALSE)</f>
        <v>1</v>
      </c>
      <c r="D42" s="33"/>
      <c r="E42" s="29"/>
      <c r="F42" s="32">
        <f>VLOOKUP(A42,Flour[[Type]:[Extraction]],2,FALSE)</f>
        <v>0.14000000000000001</v>
      </c>
      <c r="G42" s="31">
        <f>Table12[[#This Row],[Target Mass (g)]]*Table12[[#This Row],[Protein]]</f>
        <v>0</v>
      </c>
    </row>
    <row r="43" spans="1:7" ht="15" customHeight="1" x14ac:dyDescent="0.3">
      <c r="A43" s="28" t="s">
        <v>53</v>
      </c>
      <c r="B43" s="27"/>
      <c r="C43" s="23">
        <f>VLOOKUP(A43,Flour[[Type]:[Extraction]],3,FALSE)</f>
        <v>1</v>
      </c>
      <c r="D43" s="33"/>
      <c r="E43" s="29"/>
      <c r="F43" s="32">
        <f>VLOOKUP(A43,Flour[[Type]:[Extraction]],2,FALSE)</f>
        <v>9.3023255813953487E-2</v>
      </c>
      <c r="G43" s="31">
        <f>Table12[[#This Row],[Target Mass (g)]]*Table12[[#This Row],[Protein]]</f>
        <v>0</v>
      </c>
    </row>
    <row r="44" spans="1:7" ht="15" customHeight="1" x14ac:dyDescent="0.3">
      <c r="A44" s="25" t="s">
        <v>38</v>
      </c>
      <c r="B44" s="28"/>
      <c r="D44" s="33"/>
      <c r="E44" s="29"/>
      <c r="F44" s="29"/>
      <c r="G44" s="33"/>
    </row>
    <row r="45" spans="1:7" ht="15" customHeight="1" x14ac:dyDescent="0.3">
      <c r="A45" s="25" t="s">
        <v>39</v>
      </c>
      <c r="B45" s="28"/>
      <c r="C45" s="30">
        <f>IFERROR(Table12[[#This Row],[Target Mass (g)]]/Table12[[#Totals],[Target Mass (g)]],0)</f>
        <v>0</v>
      </c>
      <c r="D45" s="34" t="s">
        <v>55</v>
      </c>
      <c r="E45" s="29"/>
      <c r="F45" s="29"/>
      <c r="G45" s="33"/>
    </row>
    <row r="46" spans="1:7" ht="15" customHeight="1" x14ac:dyDescent="0.3">
      <c r="A46" s="25" t="s">
        <v>40</v>
      </c>
      <c r="B46" s="28"/>
      <c r="D46" s="33"/>
      <c r="E46" s="29"/>
      <c r="F46" s="29"/>
      <c r="G46" s="33"/>
    </row>
    <row r="47" spans="1:7" ht="15" customHeight="1" x14ac:dyDescent="0.3">
      <c r="A47" s="25" t="s">
        <v>41</v>
      </c>
      <c r="B47" s="28"/>
      <c r="D47" s="33"/>
      <c r="E47" s="29"/>
      <c r="F47" s="29"/>
      <c r="G47" s="33"/>
    </row>
    <row r="48" spans="1:7" ht="15" customHeight="1" x14ac:dyDescent="0.25">
      <c r="A48" s="17" t="s">
        <v>54</v>
      </c>
      <c r="B48" s="39">
        <f>SUM(B40:B43)</f>
        <v>0</v>
      </c>
      <c r="D48" s="37">
        <f>IFERROR(SUBTOTAL(109,Table12[Selected Bread Flour])/Table12[[#Totals],[Target Mass (g)]],0)</f>
        <v>0</v>
      </c>
      <c r="E48" s="37" t="e">
        <f>SUBTOTAL(109,Table12[Selected All-Purpose Flour])/Table12[[#Totals],[Target Mass (g)]]</f>
        <v>#DIV/0!</v>
      </c>
      <c r="F48" s="37" t="e">
        <f>Table12[[#Totals],[Protein (g)]]/Table12[[#Totals],[Target Mass (g)]]</f>
        <v>#DIV/0!</v>
      </c>
      <c r="G48" s="38">
        <f>SUBTOTAL(109,Table12[Protein (g)])</f>
        <v>0</v>
      </c>
    </row>
    <row r="49" spans="1:7" ht="15" customHeight="1" x14ac:dyDescent="0.25">
      <c r="D49" s="29"/>
      <c r="E49" s="29"/>
      <c r="F49" s="29"/>
      <c r="G49" s="29"/>
    </row>
    <row r="50" spans="1:7" ht="15" customHeight="1" x14ac:dyDescent="0.25">
      <c r="A50" s="47" t="s">
        <v>47</v>
      </c>
      <c r="B50" s="47"/>
      <c r="C50" s="47"/>
      <c r="D50" s="47"/>
      <c r="E50" s="47"/>
      <c r="F50" s="47"/>
      <c r="G50" s="47"/>
    </row>
  </sheetData>
  <sheetProtection sheet="1" objects="1" scenarios="1"/>
  <mergeCells count="4">
    <mergeCell ref="A7:G7"/>
    <mergeCell ref="A24:G24"/>
    <mergeCell ref="A37:G37"/>
    <mergeCell ref="A50:G50"/>
  </mergeCells>
  <dataValidations count="1">
    <dataValidation type="list" showInputMessage="1" showErrorMessage="1" sqref="A14:A15 A27:A28 A40:A41" xr:uid="{CEBCB595-F737-41CA-8EE1-2995C3C64CE2}">
      <formula1>$A$2:$A$3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  <tableParts count="4"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9727022F-C658-4A52-838C-2FEAC70BEA9A}">
          <x14:formula1>
            <xm:f>FlourData!$B:$B</xm:f>
          </x14:formula1>
          <xm:sqref>A42:A43 A29:A30 A16:A17 D10:E10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ExtractionCalc</vt:lpstr>
      <vt:lpstr>FlourData</vt:lpstr>
      <vt:lpstr>Tartine</vt:lpstr>
      <vt:lpstr>Ea</vt:lpstr>
      <vt:lpstr>Eb</vt:lpstr>
      <vt:lpstr>Pa</vt:lpstr>
      <vt:lpstr>Pb</vt:lpstr>
      <vt:lpstr>Q</vt:lpstr>
      <vt:lpstr>R_1</vt:lpstr>
      <vt:lpstr>R_2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Fisher</cp:lastModifiedBy>
  <dcterms:modified xsi:type="dcterms:W3CDTF">2018-10-07T00:38:23Z</dcterms:modified>
</cp:coreProperties>
</file>