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dfr1\Documents\repositorios\Segmentaci-n_inteligente_abogados\"/>
    </mc:Choice>
  </mc:AlternateContent>
  <xr:revisionPtr revIDLastSave="0" documentId="13_ncr:1_{5C508173-8153-4804-B9A8-6398413C2825}" xr6:coauthVersionLast="47" xr6:coauthVersionMax="47" xr10:uidLastSave="{00000000-0000-0000-0000-000000000000}"/>
  <bookViews>
    <workbookView xWindow="-108" yWindow="-108" windowWidth="23256" windowHeight="12456" xr2:uid="{3ADF6A8E-6DFF-4785-8DDB-783894C6B546}"/>
  </bookViews>
  <sheets>
    <sheet name="Terminados" sheetId="5" r:id="rId1"/>
  </sheets>
  <definedNames>
    <definedName name="_xlnm._FilterDatabase" localSheetId="0" hidden="1">Terminados!$A$1:$AL$1695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683" i="5" l="1"/>
  <c r="Z1683" i="5" s="1"/>
  <c r="AF1682" i="5"/>
  <c r="Y1682" i="5"/>
  <c r="Z1682" i="5" s="1"/>
  <c r="AF1681" i="5"/>
  <c r="Y1681" i="5"/>
  <c r="Z1681" i="5" s="1"/>
  <c r="AF1680" i="5"/>
  <c r="Y1680" i="5"/>
  <c r="Z1680" i="5" s="1"/>
  <c r="AF1679" i="5"/>
  <c r="Y1679" i="5"/>
  <c r="Z1679" i="5" s="1"/>
  <c r="AF1678" i="5"/>
  <c r="Y1678" i="5"/>
  <c r="Z1678" i="5" s="1"/>
  <c r="AF1677" i="5"/>
  <c r="Y1677" i="5"/>
  <c r="X1677" i="5"/>
  <c r="AF1676" i="5"/>
  <c r="Y1676" i="5"/>
  <c r="X1676" i="5"/>
  <c r="Y1675" i="5"/>
  <c r="Z1675" i="5" s="1"/>
  <c r="AF1674" i="5"/>
  <c r="Y1674" i="5"/>
  <c r="Z1674" i="5" s="1"/>
  <c r="AF1673" i="5"/>
  <c r="Y1673" i="5"/>
  <c r="Z1673" i="5" s="1"/>
  <c r="AF1672" i="5"/>
  <c r="Y1672" i="5"/>
  <c r="Z1672" i="5" s="1"/>
  <c r="AF1671" i="5"/>
  <c r="Y1671" i="5"/>
  <c r="Z1671" i="5" s="1"/>
  <c r="AF1670" i="5"/>
  <c r="Y1670" i="5"/>
  <c r="X1670" i="5"/>
  <c r="AF1669" i="5"/>
  <c r="Y1669" i="5"/>
  <c r="X1669" i="5"/>
  <c r="AF1668" i="5"/>
  <c r="Y1668" i="5"/>
  <c r="Z1668" i="5" s="1"/>
  <c r="AF1667" i="5"/>
  <c r="Z1667" i="5"/>
  <c r="Y1667" i="5"/>
  <c r="AF1666" i="5"/>
  <c r="Y1666" i="5"/>
  <c r="X1666" i="5"/>
  <c r="AF1665" i="5"/>
  <c r="Y1665" i="5"/>
  <c r="X1665" i="5"/>
  <c r="AF1664" i="5"/>
  <c r="Y1664" i="5"/>
  <c r="Z1664" i="5" s="1"/>
  <c r="AF1663" i="5"/>
  <c r="Y1663" i="5"/>
  <c r="X1663" i="5"/>
  <c r="AF1662" i="5"/>
  <c r="Y1662" i="5"/>
  <c r="Z1662" i="5" s="1"/>
  <c r="AF1661" i="5"/>
  <c r="Y1661" i="5"/>
  <c r="Z1661" i="5" s="1"/>
  <c r="AF1660" i="5"/>
  <c r="Y1660" i="5"/>
  <c r="X1660" i="5"/>
  <c r="AF1659" i="5"/>
  <c r="Y1659" i="5"/>
  <c r="Z1659" i="5" s="1"/>
  <c r="AF1658" i="5"/>
  <c r="Y1658" i="5"/>
  <c r="Z1658" i="5" s="1"/>
  <c r="AF1657" i="5"/>
  <c r="Y1657" i="5"/>
  <c r="Z1657" i="5" s="1"/>
  <c r="AF1656" i="5"/>
  <c r="Y1656" i="5"/>
  <c r="X1656" i="5"/>
  <c r="AF1655" i="5"/>
  <c r="Y1655" i="5"/>
  <c r="X1655" i="5"/>
  <c r="AF1654" i="5"/>
  <c r="Y1654" i="5"/>
  <c r="Z1654" i="5" s="1"/>
  <c r="AF1653" i="5"/>
  <c r="Y1653" i="5"/>
  <c r="Z1653" i="5" s="1"/>
  <c r="AF1652" i="5"/>
  <c r="Y1652" i="5"/>
  <c r="Z1652" i="5" s="1"/>
  <c r="AF1651" i="5"/>
  <c r="Y1651" i="5"/>
  <c r="Z1651" i="5" s="1"/>
  <c r="AF1650" i="5"/>
  <c r="Y1650" i="5"/>
  <c r="Z1650" i="5" s="1"/>
  <c r="AF1649" i="5"/>
  <c r="Y1649" i="5"/>
  <c r="Z1649" i="5" s="1"/>
  <c r="AF1648" i="5"/>
  <c r="Y1648" i="5"/>
  <c r="Z1648" i="5" s="1"/>
  <c r="AF1647" i="5"/>
  <c r="Y1647" i="5"/>
  <c r="Z1647" i="5" s="1"/>
  <c r="AF1646" i="5"/>
  <c r="Y1646" i="5"/>
  <c r="Z1646" i="5" s="1"/>
  <c r="AF1645" i="5"/>
  <c r="Y1645" i="5"/>
  <c r="Z1645" i="5" s="1"/>
  <c r="AF1644" i="5"/>
  <c r="Y1644" i="5"/>
  <c r="Z1644" i="5" s="1"/>
  <c r="AF1643" i="5"/>
  <c r="Y1643" i="5"/>
  <c r="X1643" i="5"/>
  <c r="Z1643" i="5" s="1"/>
  <c r="AF1642" i="5"/>
  <c r="Y1642" i="5"/>
  <c r="Z1642" i="5" s="1"/>
  <c r="AF1641" i="5"/>
  <c r="Y1641" i="5"/>
  <c r="Z1641" i="5" s="1"/>
  <c r="X1641" i="5"/>
  <c r="AF1640" i="5"/>
  <c r="Y1640" i="5"/>
  <c r="Z1640" i="5" s="1"/>
  <c r="AF1639" i="5"/>
  <c r="Y1639" i="5"/>
  <c r="Z1639" i="5" s="1"/>
  <c r="AF1638" i="5"/>
  <c r="Y1638" i="5"/>
  <c r="Z1638" i="5" s="1"/>
  <c r="AF1637" i="5"/>
  <c r="Y1637" i="5"/>
  <c r="Z1637" i="5" s="1"/>
  <c r="AF1636" i="5"/>
  <c r="Y1636" i="5"/>
  <c r="Z1636" i="5" s="1"/>
  <c r="AF1635" i="5"/>
  <c r="Y1635" i="5"/>
  <c r="Z1635" i="5" s="1"/>
  <c r="AF1634" i="5"/>
  <c r="Y1634" i="5"/>
  <c r="Z1634" i="5" s="1"/>
  <c r="AF1633" i="5"/>
  <c r="Y1633" i="5"/>
  <c r="Z1633" i="5" s="1"/>
  <c r="AF1632" i="5"/>
  <c r="Y1632" i="5"/>
  <c r="Z1632" i="5" s="1"/>
  <c r="AF1631" i="5"/>
  <c r="Y1631" i="5"/>
  <c r="Z1631" i="5" s="1"/>
  <c r="AF1630" i="5"/>
  <c r="Y1630" i="5"/>
  <c r="Z1630" i="5" s="1"/>
  <c r="AF1629" i="5"/>
  <c r="Y1629" i="5"/>
  <c r="Z1629" i="5" s="1"/>
  <c r="AF1628" i="5"/>
  <c r="Y1628" i="5"/>
  <c r="Z1628" i="5" s="1"/>
  <c r="AF1627" i="5"/>
  <c r="Y1627" i="5"/>
  <c r="Z1627" i="5" s="1"/>
  <c r="AF1626" i="5"/>
  <c r="Y1626" i="5"/>
  <c r="X1626" i="5"/>
  <c r="AF1625" i="5"/>
  <c r="Y1625" i="5"/>
  <c r="Z1625" i="5" s="1"/>
  <c r="AF1624" i="5"/>
  <c r="Y1624" i="5"/>
  <c r="Z1624" i="5" s="1"/>
  <c r="AF1623" i="5"/>
  <c r="Y1623" i="5"/>
  <c r="Z1623" i="5" s="1"/>
  <c r="AF1622" i="5"/>
  <c r="Y1622" i="5"/>
  <c r="X1622" i="5"/>
  <c r="AF1621" i="5"/>
  <c r="Y1621" i="5"/>
  <c r="Z1621" i="5" s="1"/>
  <c r="AF1620" i="5"/>
  <c r="Y1620" i="5"/>
  <c r="Z1620" i="5" s="1"/>
  <c r="AF1619" i="5"/>
  <c r="Y1619" i="5"/>
  <c r="Z1619" i="5" s="1"/>
  <c r="AF1618" i="5"/>
  <c r="Y1618" i="5"/>
  <c r="Z1618" i="5" s="1"/>
  <c r="Y1617" i="5"/>
  <c r="Z1617" i="5" s="1"/>
  <c r="AF1616" i="5"/>
  <c r="Y1616" i="5"/>
  <c r="Z1616" i="5" s="1"/>
  <c r="AF1615" i="5"/>
  <c r="Y1615" i="5"/>
  <c r="Z1615" i="5" s="1"/>
  <c r="AF1614" i="5"/>
  <c r="Y1614" i="5"/>
  <c r="Z1614" i="5" s="1"/>
  <c r="AF1613" i="5"/>
  <c r="Y1613" i="5"/>
  <c r="Z1613" i="5" s="1"/>
  <c r="AF1612" i="5"/>
  <c r="Y1612" i="5"/>
  <c r="Z1612" i="5" s="1"/>
  <c r="AF1611" i="5"/>
  <c r="Y1611" i="5"/>
  <c r="Z1611" i="5" s="1"/>
  <c r="AF1610" i="5"/>
  <c r="Y1610" i="5"/>
  <c r="Z1610" i="5" s="1"/>
  <c r="AF1609" i="5"/>
  <c r="Y1609" i="5"/>
  <c r="X1609" i="5"/>
  <c r="AF1608" i="5"/>
  <c r="Y1608" i="5"/>
  <c r="Z1608" i="5" s="1"/>
  <c r="AF1607" i="5"/>
  <c r="Y1607" i="5"/>
  <c r="Z1607" i="5" s="1"/>
  <c r="AF1606" i="5"/>
  <c r="Y1606" i="5"/>
  <c r="Z1606" i="5" s="1"/>
  <c r="AF1605" i="5"/>
  <c r="Y1605" i="5"/>
  <c r="Z1605" i="5" s="1"/>
  <c r="AF1604" i="5"/>
  <c r="Y1604" i="5"/>
  <c r="Z1604" i="5" s="1"/>
  <c r="AF1603" i="5"/>
  <c r="Y1603" i="5"/>
  <c r="Z1603" i="5" s="1"/>
  <c r="AF1602" i="5"/>
  <c r="Y1602" i="5"/>
  <c r="X1602" i="5"/>
  <c r="AF1601" i="5"/>
  <c r="Y1601" i="5"/>
  <c r="Z1601" i="5" s="1"/>
  <c r="AF1600" i="5"/>
  <c r="Y1600" i="5"/>
  <c r="Z1600" i="5" s="1"/>
  <c r="AF1599" i="5"/>
  <c r="Y1599" i="5"/>
  <c r="Z1599" i="5" s="1"/>
  <c r="AF1598" i="5"/>
  <c r="Y1598" i="5"/>
  <c r="Z1598" i="5" s="1"/>
  <c r="AF1597" i="5"/>
  <c r="Y1597" i="5"/>
  <c r="Z1597" i="5" s="1"/>
  <c r="AF1596" i="5"/>
  <c r="Y1596" i="5"/>
  <c r="Z1596" i="5" s="1"/>
  <c r="AF1595" i="5"/>
  <c r="Y1595" i="5"/>
  <c r="X1595" i="5"/>
  <c r="AF1594" i="5"/>
  <c r="Y1594" i="5"/>
  <c r="Z1594" i="5" s="1"/>
  <c r="AF1593" i="5"/>
  <c r="Y1593" i="5"/>
  <c r="Z1593" i="5" s="1"/>
  <c r="AF1592" i="5"/>
  <c r="Y1592" i="5"/>
  <c r="Z1592" i="5" s="1"/>
  <c r="AF1591" i="5"/>
  <c r="Y1591" i="5"/>
  <c r="Z1591" i="5" s="1"/>
  <c r="AF1590" i="5"/>
  <c r="Y1590" i="5"/>
  <c r="Z1590" i="5" s="1"/>
  <c r="AF1589" i="5"/>
  <c r="Y1589" i="5"/>
  <c r="Z1589" i="5" s="1"/>
  <c r="AF1588" i="5"/>
  <c r="Y1588" i="5"/>
  <c r="Z1588" i="5" s="1"/>
  <c r="AF1587" i="5"/>
  <c r="AF1586" i="5"/>
  <c r="Y1586" i="5"/>
  <c r="Z1586" i="5" s="1"/>
  <c r="AF1585" i="5"/>
  <c r="Y1585" i="5"/>
  <c r="Z1585" i="5" s="1"/>
  <c r="AF1584" i="5"/>
  <c r="Y1584" i="5"/>
  <c r="Z1584" i="5" s="1"/>
  <c r="AF1583" i="5"/>
  <c r="Y1583" i="5"/>
  <c r="Z1583" i="5" s="1"/>
  <c r="AF1582" i="5"/>
  <c r="Y1582" i="5"/>
  <c r="Z1582" i="5" s="1"/>
  <c r="AF1581" i="5"/>
  <c r="Y1581" i="5"/>
  <c r="Z1581" i="5" s="1"/>
  <c r="AF1580" i="5"/>
  <c r="Y1580" i="5"/>
  <c r="Z1580" i="5" s="1"/>
  <c r="AF1579" i="5"/>
  <c r="Y1579" i="5"/>
  <c r="X1579" i="5"/>
  <c r="AF1578" i="5"/>
  <c r="Y1578" i="5"/>
  <c r="Z1578" i="5" s="1"/>
  <c r="AF1577" i="5"/>
  <c r="Y1577" i="5"/>
  <c r="Z1577" i="5" s="1"/>
  <c r="AF1576" i="5"/>
  <c r="Y1576" i="5"/>
  <c r="Z1576" i="5" s="1"/>
  <c r="AF1575" i="5"/>
  <c r="Y1575" i="5"/>
  <c r="Z1575" i="5" s="1"/>
  <c r="AF1574" i="5"/>
  <c r="Y1574" i="5"/>
  <c r="Z1574" i="5" s="1"/>
  <c r="AF1573" i="5"/>
  <c r="Y1573" i="5"/>
  <c r="X1573" i="5"/>
  <c r="AF1572" i="5"/>
  <c r="Y1572" i="5"/>
  <c r="Z1572" i="5" s="1"/>
  <c r="X1572" i="5"/>
  <c r="AF1571" i="5"/>
  <c r="Y1571" i="5"/>
  <c r="Z1571" i="5" s="1"/>
  <c r="AF1570" i="5"/>
  <c r="Y1570" i="5"/>
  <c r="Z1570" i="5" s="1"/>
  <c r="AF1569" i="5"/>
  <c r="Y1569" i="5"/>
  <c r="Z1569" i="5" s="1"/>
  <c r="AF1568" i="5"/>
  <c r="Y1568" i="5"/>
  <c r="Z1568" i="5" s="1"/>
  <c r="AF1567" i="5"/>
  <c r="Y1567" i="5"/>
  <c r="Z1567" i="5" s="1"/>
  <c r="AF1566" i="5"/>
  <c r="Y1566" i="5"/>
  <c r="Z1566" i="5" s="1"/>
  <c r="AF1565" i="5"/>
  <c r="Y1565" i="5"/>
  <c r="Z1565" i="5" s="1"/>
  <c r="AF1564" i="5"/>
  <c r="Y1564" i="5"/>
  <c r="X1564" i="5"/>
  <c r="AF1563" i="5"/>
  <c r="Y1563" i="5"/>
  <c r="Z1563" i="5" s="1"/>
  <c r="AF1562" i="5"/>
  <c r="Y1562" i="5"/>
  <c r="X1562" i="5"/>
  <c r="AF1561" i="5"/>
  <c r="Y1561" i="5"/>
  <c r="X1561" i="5"/>
  <c r="AF1560" i="5"/>
  <c r="Y1560" i="5"/>
  <c r="Z1560" i="5" s="1"/>
  <c r="AF1559" i="5"/>
  <c r="Y1559" i="5"/>
  <c r="Z1559" i="5" s="1"/>
  <c r="AF1558" i="5"/>
  <c r="Y1558" i="5"/>
  <c r="Z1558" i="5" s="1"/>
  <c r="AF1557" i="5"/>
  <c r="Y1557" i="5"/>
  <c r="Z1557" i="5" s="1"/>
  <c r="AF1556" i="5"/>
  <c r="Y1556" i="5"/>
  <c r="Z1556" i="5" s="1"/>
  <c r="X1556" i="5"/>
  <c r="AF1555" i="5"/>
  <c r="Y1555" i="5"/>
  <c r="X1555" i="5"/>
  <c r="AF1554" i="5"/>
  <c r="Y1554" i="5"/>
  <c r="Z1554" i="5" s="1"/>
  <c r="AF1553" i="5"/>
  <c r="Y1553" i="5"/>
  <c r="Z1553" i="5" s="1"/>
  <c r="AF1552" i="5"/>
  <c r="Y1552" i="5"/>
  <c r="Z1552" i="5" s="1"/>
  <c r="AF1551" i="5"/>
  <c r="Y1551" i="5"/>
  <c r="Z1551" i="5" s="1"/>
  <c r="AF1550" i="5"/>
  <c r="Y1550" i="5"/>
  <c r="Z1550" i="5" s="1"/>
  <c r="AF1549" i="5"/>
  <c r="Y1549" i="5"/>
  <c r="Z1549" i="5" s="1"/>
  <c r="AF1548" i="5"/>
  <c r="Y1548" i="5"/>
  <c r="Z1548" i="5" s="1"/>
  <c r="AF1547" i="5"/>
  <c r="Y1547" i="5"/>
  <c r="Z1547" i="5" s="1"/>
  <c r="AF1546" i="5"/>
  <c r="Y1546" i="5"/>
  <c r="Z1546" i="5" s="1"/>
  <c r="AF1545" i="5"/>
  <c r="Y1545" i="5"/>
  <c r="Z1545" i="5" s="1"/>
  <c r="AF1544" i="5"/>
  <c r="Y1544" i="5"/>
  <c r="X1544" i="5"/>
  <c r="AF1543" i="5"/>
  <c r="Y1543" i="5"/>
  <c r="X1543" i="5"/>
  <c r="AF1542" i="5"/>
  <c r="Y1542" i="5"/>
  <c r="Z1542" i="5" s="1"/>
  <c r="Y1541" i="5"/>
  <c r="X1541" i="5"/>
  <c r="AF1540" i="5"/>
  <c r="Y1540" i="5"/>
  <c r="Z1540" i="5" s="1"/>
  <c r="X1540" i="5"/>
  <c r="AF1539" i="5"/>
  <c r="Y1539" i="5"/>
  <c r="X1539" i="5"/>
  <c r="AF1538" i="5"/>
  <c r="Y1538" i="5"/>
  <c r="Z1538" i="5" s="1"/>
  <c r="AF1537" i="5"/>
  <c r="Y1537" i="5"/>
  <c r="Z1537" i="5" s="1"/>
  <c r="AF1536" i="5"/>
  <c r="Y1536" i="5"/>
  <c r="Z1536" i="5" s="1"/>
  <c r="AF1535" i="5"/>
  <c r="Y1535" i="5"/>
  <c r="Z1535" i="5" s="1"/>
  <c r="AF1534" i="5"/>
  <c r="Y1534" i="5"/>
  <c r="X1534" i="5"/>
  <c r="AF1533" i="5"/>
  <c r="Y1533" i="5"/>
  <c r="Z1533" i="5" s="1"/>
  <c r="AF1532" i="5"/>
  <c r="Y1532" i="5"/>
  <c r="X1532" i="5"/>
  <c r="AF1531" i="5"/>
  <c r="Y1531" i="5"/>
  <c r="Z1531" i="5" s="1"/>
  <c r="Y1530" i="5"/>
  <c r="Z1530" i="5" s="1"/>
  <c r="AF1529" i="5"/>
  <c r="Y1529" i="5"/>
  <c r="Z1529" i="5" s="1"/>
  <c r="AF1528" i="5"/>
  <c r="Y1528" i="5"/>
  <c r="X1528" i="5"/>
  <c r="AF1527" i="5"/>
  <c r="Y1527" i="5"/>
  <c r="X1527" i="5"/>
  <c r="AF1526" i="5"/>
  <c r="Y1526" i="5"/>
  <c r="X1526" i="5"/>
  <c r="Y1525" i="5"/>
  <c r="X1525" i="5"/>
  <c r="AF1524" i="5"/>
  <c r="Y1524" i="5"/>
  <c r="Z1524" i="5" s="1"/>
  <c r="AF1523" i="5"/>
  <c r="Y1523" i="5"/>
  <c r="X1523" i="5"/>
  <c r="AF1522" i="5"/>
  <c r="Y1522" i="5"/>
  <c r="Z1522" i="5" s="1"/>
  <c r="Y1521" i="5"/>
  <c r="Z1521" i="5" s="1"/>
  <c r="AF1520" i="5"/>
  <c r="Y1520" i="5"/>
  <c r="Z1520" i="5" s="1"/>
  <c r="AF1519" i="5"/>
  <c r="Y1519" i="5"/>
  <c r="Z1519" i="5" s="1"/>
  <c r="AF1518" i="5"/>
  <c r="Y1518" i="5"/>
  <c r="Z1518" i="5" s="1"/>
  <c r="AF1517" i="5"/>
  <c r="Y1517" i="5"/>
  <c r="Z1517" i="5" s="1"/>
  <c r="AF1516" i="5"/>
  <c r="Y1516" i="5"/>
  <c r="Z1516" i="5" s="1"/>
  <c r="AF1515" i="5"/>
  <c r="Y1515" i="5"/>
  <c r="Z1515" i="5" s="1"/>
  <c r="Y1514" i="5"/>
  <c r="Z1514" i="5" s="1"/>
  <c r="Y1513" i="5"/>
  <c r="Z1513" i="5" s="1"/>
  <c r="Y1512" i="5"/>
  <c r="Z1512" i="5" s="1"/>
  <c r="AF1511" i="5"/>
  <c r="Y1511" i="5"/>
  <c r="Z1511" i="5" s="1"/>
  <c r="AF1510" i="5"/>
  <c r="Y1510" i="5"/>
  <c r="Z1510" i="5" s="1"/>
  <c r="AF1509" i="5"/>
  <c r="Y1509" i="5"/>
  <c r="X1509" i="5"/>
  <c r="AF1508" i="5"/>
  <c r="Y1508" i="5"/>
  <c r="X1508" i="5"/>
  <c r="AF1507" i="5"/>
  <c r="Y1507" i="5"/>
  <c r="Z1507" i="5" s="1"/>
  <c r="AF1506" i="5"/>
  <c r="Y1506" i="5"/>
  <c r="Z1506" i="5" s="1"/>
  <c r="AF1505" i="5"/>
  <c r="Y1505" i="5"/>
  <c r="Z1505" i="5" s="1"/>
  <c r="AF1504" i="5"/>
  <c r="Y1504" i="5"/>
  <c r="Z1504" i="5" s="1"/>
  <c r="AF1503" i="5"/>
  <c r="Y1503" i="5"/>
  <c r="X1503" i="5"/>
  <c r="AF1502" i="5"/>
  <c r="Y1502" i="5"/>
  <c r="Z1502" i="5" s="1"/>
  <c r="AF1501" i="5"/>
  <c r="Y1501" i="5"/>
  <c r="Z1501" i="5" s="1"/>
  <c r="AF1500" i="5"/>
  <c r="Y1500" i="5"/>
  <c r="Z1500" i="5" s="1"/>
  <c r="AF1499" i="5"/>
  <c r="Y1499" i="5"/>
  <c r="X1499" i="5"/>
  <c r="AF1498" i="5"/>
  <c r="Y1498" i="5"/>
  <c r="X1498" i="5"/>
  <c r="Y1497" i="5"/>
  <c r="X1497" i="5"/>
  <c r="AF1496" i="5"/>
  <c r="Y1496" i="5"/>
  <c r="Z1496" i="5" s="1"/>
  <c r="Y1495" i="5"/>
  <c r="Z1495" i="5" s="1"/>
  <c r="AF1494" i="5"/>
  <c r="Y1494" i="5"/>
  <c r="Z1494" i="5" s="1"/>
  <c r="AF1493" i="5"/>
  <c r="X1493" i="5"/>
  <c r="Z1493" i="5" s="1"/>
  <c r="AF1492" i="5"/>
  <c r="Y1492" i="5"/>
  <c r="Z1492" i="5" s="1"/>
  <c r="AF1491" i="5"/>
  <c r="X1491" i="5"/>
  <c r="Z1491" i="5" s="1"/>
  <c r="AF1490" i="5"/>
  <c r="Y1490" i="5"/>
  <c r="Z1490" i="5" s="1"/>
  <c r="AF1489" i="5"/>
  <c r="Y1489" i="5"/>
  <c r="Z1489" i="5" s="1"/>
  <c r="AF1488" i="5"/>
  <c r="Y1488" i="5"/>
  <c r="Z1488" i="5" s="1"/>
  <c r="AF1487" i="5"/>
  <c r="Y1487" i="5"/>
  <c r="Z1487" i="5" s="1"/>
  <c r="AF1486" i="5"/>
  <c r="Y1486" i="5"/>
  <c r="Z1486" i="5" s="1"/>
  <c r="AF1485" i="5"/>
  <c r="Y1485" i="5"/>
  <c r="Z1485" i="5" s="1"/>
  <c r="AF1484" i="5"/>
  <c r="Z1484" i="5"/>
  <c r="Y1483" i="5"/>
  <c r="Z1483" i="5" s="1"/>
  <c r="AF1482" i="5"/>
  <c r="Y1482" i="5"/>
  <c r="Z1482" i="5" s="1"/>
  <c r="AF1481" i="5"/>
  <c r="Z1481" i="5"/>
  <c r="AF1480" i="5"/>
  <c r="Z1480" i="5"/>
  <c r="AF1479" i="5"/>
  <c r="Z1479" i="5"/>
  <c r="AF1478" i="5"/>
  <c r="Z1478" i="5"/>
  <c r="AF1477" i="5"/>
  <c r="Y1477" i="5"/>
  <c r="Z1477" i="5" s="1"/>
  <c r="AF1476" i="5"/>
  <c r="Z1476" i="5"/>
  <c r="AF1475" i="5"/>
  <c r="Y1475" i="5"/>
  <c r="Z1475" i="5" s="1"/>
  <c r="AF1474" i="5"/>
  <c r="Y1474" i="5"/>
  <c r="Z1474" i="5" s="1"/>
  <c r="AF1473" i="5"/>
  <c r="Y1473" i="5"/>
  <c r="Z1473" i="5" s="1"/>
  <c r="AF1472" i="5"/>
  <c r="Z1472" i="5"/>
  <c r="AF1471" i="5"/>
  <c r="Z1471" i="5"/>
  <c r="AF1470" i="5"/>
  <c r="Y1470" i="5"/>
  <c r="Z1470" i="5" s="1"/>
  <c r="AF1469" i="5"/>
  <c r="Y1469" i="5"/>
  <c r="Z1469" i="5" s="1"/>
  <c r="AF1468" i="5"/>
  <c r="Y1468" i="5"/>
  <c r="Z1468" i="5" s="1"/>
  <c r="Y1467" i="5"/>
  <c r="Z1467" i="5" s="1"/>
  <c r="AF1466" i="5"/>
  <c r="Y1466" i="5"/>
  <c r="Z1466" i="5" s="1"/>
  <c r="AF1465" i="5"/>
  <c r="Y1465" i="5"/>
  <c r="Z1465" i="5" s="1"/>
  <c r="AF1464" i="5"/>
  <c r="Y1464" i="5"/>
  <c r="Z1464" i="5" s="1"/>
  <c r="AF1463" i="5"/>
  <c r="Y1463" i="5"/>
  <c r="Z1463" i="5" s="1"/>
  <c r="AF1462" i="5"/>
  <c r="Y1462" i="5"/>
  <c r="Z1462" i="5" s="1"/>
  <c r="AF1461" i="5"/>
  <c r="Y1461" i="5"/>
  <c r="Z1461" i="5" s="1"/>
  <c r="AF1460" i="5"/>
  <c r="Y1460" i="5"/>
  <c r="Z1460" i="5" s="1"/>
  <c r="AF1459" i="5"/>
  <c r="Y1459" i="5"/>
  <c r="Z1459" i="5" s="1"/>
  <c r="AF1458" i="5"/>
  <c r="Y1458" i="5"/>
  <c r="Z1458" i="5" s="1"/>
  <c r="AF1457" i="5"/>
  <c r="Y1457" i="5"/>
  <c r="Z1457" i="5" s="1"/>
  <c r="AF1456" i="5"/>
  <c r="Y1456" i="5"/>
  <c r="Z1456" i="5" s="1"/>
  <c r="AF1455" i="5"/>
  <c r="Y1455" i="5"/>
  <c r="Z1455" i="5" s="1"/>
  <c r="AF1454" i="5"/>
  <c r="Z1454" i="5"/>
  <c r="AF1453" i="5"/>
  <c r="Y1453" i="5"/>
  <c r="Z1453" i="5" s="1"/>
  <c r="Z1452" i="5"/>
  <c r="AF1451" i="5"/>
  <c r="Y1451" i="5"/>
  <c r="Z1451" i="5" s="1"/>
  <c r="AF1450" i="5"/>
  <c r="Z1450" i="5"/>
  <c r="AF1449" i="5"/>
  <c r="Y1449" i="5"/>
  <c r="Z1449" i="5" s="1"/>
  <c r="AF1448" i="5"/>
  <c r="Y1448" i="5"/>
  <c r="Z1448" i="5" s="1"/>
  <c r="AF1447" i="5"/>
  <c r="Y1447" i="5"/>
  <c r="Z1447" i="5" s="1"/>
  <c r="AF1446" i="5"/>
  <c r="Y1446" i="5"/>
  <c r="Z1446" i="5" s="1"/>
  <c r="AF1445" i="5"/>
  <c r="Y1445" i="5"/>
  <c r="Z1445" i="5" s="1"/>
  <c r="AF1444" i="5"/>
  <c r="Z1444" i="5"/>
  <c r="AF1443" i="5"/>
  <c r="Z1443" i="5"/>
  <c r="AF1442" i="5"/>
  <c r="Y1442" i="5"/>
  <c r="Z1442" i="5" s="1"/>
  <c r="AF1441" i="5"/>
  <c r="Z1441" i="5"/>
  <c r="AF1440" i="5"/>
  <c r="Z1440" i="5"/>
  <c r="AF1439" i="5"/>
  <c r="Z1439" i="5"/>
  <c r="AF1438" i="5"/>
  <c r="Y1438" i="5"/>
  <c r="Z1438" i="5" s="1"/>
  <c r="AF1437" i="5"/>
  <c r="Y1437" i="5"/>
  <c r="Z1437" i="5" s="1"/>
  <c r="AF1436" i="5"/>
  <c r="Y1436" i="5"/>
  <c r="Z1436" i="5" s="1"/>
  <c r="AF1435" i="5"/>
  <c r="Y1435" i="5"/>
  <c r="Z1435" i="5" s="1"/>
  <c r="Y1434" i="5"/>
  <c r="Z1434" i="5" s="1"/>
  <c r="AF1433" i="5"/>
  <c r="Y1433" i="5"/>
  <c r="Z1433" i="5" s="1"/>
  <c r="AF1432" i="5"/>
  <c r="Y1432" i="5"/>
  <c r="Z1432" i="5" s="1"/>
  <c r="AF1431" i="5"/>
  <c r="Y1431" i="5"/>
  <c r="Z1431" i="5" s="1"/>
  <c r="AF1430" i="5"/>
  <c r="Y1430" i="5"/>
  <c r="Z1430" i="5" s="1"/>
  <c r="AF1429" i="5"/>
  <c r="Y1429" i="5"/>
  <c r="Z1429" i="5" s="1"/>
  <c r="AF1428" i="5"/>
  <c r="Y1428" i="5"/>
  <c r="Z1428" i="5" s="1"/>
  <c r="AF1427" i="5"/>
  <c r="Y1427" i="5"/>
  <c r="Z1427" i="5" s="1"/>
  <c r="AF1426" i="5"/>
  <c r="Y1426" i="5"/>
  <c r="Z1426" i="5" s="1"/>
  <c r="AF1425" i="5"/>
  <c r="Z1425" i="5"/>
  <c r="AF1424" i="5"/>
  <c r="Y1424" i="5"/>
  <c r="Z1424" i="5" s="1"/>
  <c r="AF1423" i="5"/>
  <c r="Y1423" i="5"/>
  <c r="Z1423" i="5" s="1"/>
  <c r="AF1422" i="5"/>
  <c r="Y1422" i="5"/>
  <c r="Z1422" i="5" s="1"/>
  <c r="AF1421" i="5"/>
  <c r="Y1421" i="5"/>
  <c r="Z1421" i="5" s="1"/>
  <c r="AF1420" i="5"/>
  <c r="Y1420" i="5"/>
  <c r="Z1420" i="5" s="1"/>
  <c r="AF1419" i="5"/>
  <c r="Y1419" i="5"/>
  <c r="Z1419" i="5" s="1"/>
  <c r="AF1418" i="5"/>
  <c r="Y1418" i="5"/>
  <c r="Z1418" i="5" s="1"/>
  <c r="AF1417" i="5"/>
  <c r="Y1417" i="5"/>
  <c r="Z1417" i="5" s="1"/>
  <c r="AF1416" i="5"/>
  <c r="Y1416" i="5"/>
  <c r="Z1416" i="5" s="1"/>
  <c r="AF1415" i="5"/>
  <c r="Z1415" i="5"/>
  <c r="AF1414" i="5"/>
  <c r="Y1414" i="5"/>
  <c r="Z1414" i="5" s="1"/>
  <c r="AF1413" i="5"/>
  <c r="Y1413" i="5"/>
  <c r="Z1413" i="5" s="1"/>
  <c r="AF1412" i="5"/>
  <c r="Y1412" i="5"/>
  <c r="Z1412" i="5" s="1"/>
  <c r="AF1411" i="5"/>
  <c r="Y1411" i="5"/>
  <c r="Z1411" i="5" s="1"/>
  <c r="AF1410" i="5"/>
  <c r="Y1410" i="5"/>
  <c r="Z1410" i="5" s="1"/>
  <c r="AF1409" i="5"/>
  <c r="Y1409" i="5"/>
  <c r="Z1409" i="5" s="1"/>
  <c r="AF1408" i="5"/>
  <c r="Y1408" i="5"/>
  <c r="Z1408" i="5" s="1"/>
  <c r="AF1407" i="5"/>
  <c r="Y1407" i="5"/>
  <c r="Z1407" i="5" s="1"/>
  <c r="AF1406" i="5"/>
  <c r="Y1406" i="5"/>
  <c r="Z1406" i="5" s="1"/>
  <c r="AF1405" i="5"/>
  <c r="Y1405" i="5"/>
  <c r="Z1405" i="5" s="1"/>
  <c r="AF1404" i="5"/>
  <c r="Z1404" i="5"/>
  <c r="AF1403" i="5"/>
  <c r="Z1403" i="5"/>
  <c r="AF1402" i="5"/>
  <c r="Y1402" i="5"/>
  <c r="Z1402" i="5" s="1"/>
  <c r="AF1401" i="5"/>
  <c r="Y1401" i="5"/>
  <c r="Z1401" i="5" s="1"/>
  <c r="AF1400" i="5"/>
  <c r="Y1400" i="5"/>
  <c r="Z1400" i="5" s="1"/>
  <c r="AF1399" i="5"/>
  <c r="Z1399" i="5"/>
  <c r="AF1398" i="5"/>
  <c r="Z1398" i="5"/>
  <c r="AF1397" i="5"/>
  <c r="Y1397" i="5"/>
  <c r="Z1397" i="5" s="1"/>
  <c r="AF1396" i="5"/>
  <c r="Y1396" i="5"/>
  <c r="Z1396" i="5" s="1"/>
  <c r="AF1395" i="5"/>
  <c r="Y1395" i="5"/>
  <c r="Z1395" i="5" s="1"/>
  <c r="AF1394" i="5"/>
  <c r="Y1394" i="5"/>
  <c r="Z1394" i="5" s="1"/>
  <c r="AF1393" i="5"/>
  <c r="Y1393" i="5"/>
  <c r="Z1393" i="5" s="1"/>
  <c r="AF1392" i="5"/>
  <c r="Y1392" i="5"/>
  <c r="Z1392" i="5" s="1"/>
  <c r="AF1391" i="5"/>
  <c r="Y1391" i="5"/>
  <c r="Z1391" i="5" s="1"/>
  <c r="AF1390" i="5"/>
  <c r="Y1390" i="5"/>
  <c r="Z1390" i="5" s="1"/>
  <c r="AF1389" i="5"/>
  <c r="Y1389" i="5"/>
  <c r="Z1389" i="5" s="1"/>
  <c r="AF1388" i="5"/>
  <c r="Y1388" i="5"/>
  <c r="Z1388" i="5" s="1"/>
  <c r="AF1387" i="5"/>
  <c r="Y1387" i="5"/>
  <c r="Z1387" i="5" s="1"/>
  <c r="AF1386" i="5"/>
  <c r="Y1386" i="5"/>
  <c r="Z1386" i="5" s="1"/>
  <c r="AF1385" i="5"/>
  <c r="Y1385" i="5"/>
  <c r="Z1385" i="5" s="1"/>
  <c r="AF1384" i="5"/>
  <c r="Y1384" i="5"/>
  <c r="Z1384" i="5" s="1"/>
  <c r="AF1383" i="5"/>
  <c r="Y1383" i="5"/>
  <c r="Z1383" i="5" s="1"/>
  <c r="AF1382" i="5"/>
  <c r="Y1382" i="5"/>
  <c r="Z1382" i="5" s="1"/>
  <c r="AF1381" i="5"/>
  <c r="Y1381" i="5"/>
  <c r="Z1381" i="5" s="1"/>
  <c r="AF1380" i="5"/>
  <c r="Y1380" i="5"/>
  <c r="Z1380" i="5" s="1"/>
  <c r="AF1379" i="5"/>
  <c r="Z1379" i="5"/>
  <c r="AF1378" i="5"/>
  <c r="Z1378" i="5"/>
  <c r="AF1377" i="5"/>
  <c r="Y1377" i="5"/>
  <c r="Z1377" i="5" s="1"/>
  <c r="AF1376" i="5"/>
  <c r="Y1376" i="5"/>
  <c r="Z1376" i="5" s="1"/>
  <c r="AF1375" i="5"/>
  <c r="Y1375" i="5"/>
  <c r="Z1375" i="5" s="1"/>
  <c r="AF1374" i="5"/>
  <c r="Y1374" i="5"/>
  <c r="Z1374" i="5" s="1"/>
  <c r="AF1373" i="5"/>
  <c r="Y1373" i="5"/>
  <c r="Z1373" i="5" s="1"/>
  <c r="AF1372" i="5"/>
  <c r="Y1372" i="5"/>
  <c r="Z1372" i="5" s="1"/>
  <c r="AF1371" i="5"/>
  <c r="Y1371" i="5"/>
  <c r="Z1371" i="5" s="1"/>
  <c r="AF1370" i="5"/>
  <c r="Y1370" i="5"/>
  <c r="Z1370" i="5" s="1"/>
  <c r="AF1369" i="5"/>
  <c r="Y1369" i="5"/>
  <c r="Z1369" i="5" s="1"/>
  <c r="AF1368" i="5"/>
  <c r="Y1368" i="5"/>
  <c r="Z1368" i="5" s="1"/>
  <c r="AF1367" i="5"/>
  <c r="Y1367" i="5"/>
  <c r="Z1367" i="5" s="1"/>
  <c r="AF1366" i="5"/>
  <c r="Y1366" i="5"/>
  <c r="Z1366" i="5" s="1"/>
  <c r="AF1365" i="5"/>
  <c r="Y1365" i="5"/>
  <c r="Z1365" i="5" s="1"/>
  <c r="AF1364" i="5"/>
  <c r="Y1364" i="5"/>
  <c r="Z1364" i="5" s="1"/>
  <c r="AF1363" i="5"/>
  <c r="Y1363" i="5"/>
  <c r="Z1363" i="5" s="1"/>
  <c r="AF1362" i="5"/>
  <c r="Y1362" i="5"/>
  <c r="Z1362" i="5" s="1"/>
  <c r="AF1361" i="5"/>
  <c r="Y1361" i="5"/>
  <c r="Z1361" i="5" s="1"/>
  <c r="AF1360" i="5"/>
  <c r="Y1360" i="5"/>
  <c r="Z1360" i="5" s="1"/>
  <c r="AF1359" i="5"/>
  <c r="Y1359" i="5"/>
  <c r="Z1359" i="5" s="1"/>
  <c r="AF1358" i="5"/>
  <c r="Y1358" i="5"/>
  <c r="Z1358" i="5" s="1"/>
  <c r="AF1357" i="5"/>
  <c r="Y1357" i="5"/>
  <c r="Z1357" i="5" s="1"/>
  <c r="AF1356" i="5"/>
  <c r="Y1356" i="5"/>
  <c r="Z1356" i="5" s="1"/>
  <c r="AF1355" i="5"/>
  <c r="Y1355" i="5"/>
  <c r="Z1355" i="5" s="1"/>
  <c r="AF1354" i="5"/>
  <c r="Y1354" i="5"/>
  <c r="Z1354" i="5" s="1"/>
  <c r="AF1353" i="5"/>
  <c r="Y1353" i="5"/>
  <c r="Z1353" i="5" s="1"/>
  <c r="AF1352" i="5"/>
  <c r="Y1352" i="5"/>
  <c r="Z1352" i="5" s="1"/>
  <c r="AF1351" i="5"/>
  <c r="Y1351" i="5"/>
  <c r="Z1351" i="5" s="1"/>
  <c r="AF1350" i="5"/>
  <c r="Y1350" i="5"/>
  <c r="Z1350" i="5" s="1"/>
  <c r="AF1349" i="5"/>
  <c r="Y1349" i="5"/>
  <c r="Z1349" i="5" s="1"/>
  <c r="AF1348" i="5"/>
  <c r="Y1348" i="5"/>
  <c r="Z1348" i="5" s="1"/>
  <c r="AF1347" i="5"/>
  <c r="Y1347" i="5"/>
  <c r="Z1347" i="5" s="1"/>
  <c r="AF1346" i="5"/>
  <c r="Y1346" i="5"/>
  <c r="Z1346" i="5" s="1"/>
  <c r="AF1345" i="5"/>
  <c r="Y1345" i="5"/>
  <c r="Z1345" i="5" s="1"/>
  <c r="AF1344" i="5"/>
  <c r="Y1344" i="5"/>
  <c r="Z1344" i="5" s="1"/>
  <c r="AF1343" i="5"/>
  <c r="Y1343" i="5"/>
  <c r="Z1343" i="5" s="1"/>
  <c r="AF1342" i="5"/>
  <c r="Y1342" i="5"/>
  <c r="Z1342" i="5" s="1"/>
  <c r="AF1341" i="5"/>
  <c r="Y1341" i="5"/>
  <c r="Z1341" i="5" s="1"/>
  <c r="AF1340" i="5"/>
  <c r="Y1340" i="5"/>
  <c r="Z1340" i="5" s="1"/>
  <c r="AF1339" i="5"/>
  <c r="Y1339" i="5"/>
  <c r="Z1339" i="5" s="1"/>
  <c r="AF1338" i="5"/>
  <c r="Y1338" i="5"/>
  <c r="Z1338" i="5" s="1"/>
  <c r="AF1337" i="5"/>
  <c r="Z1337" i="5"/>
  <c r="AF1336" i="5"/>
  <c r="Y1336" i="5"/>
  <c r="Z1336" i="5" s="1"/>
  <c r="AF1335" i="5"/>
  <c r="Y1335" i="5"/>
  <c r="Z1335" i="5" s="1"/>
  <c r="AF1334" i="5"/>
  <c r="Y1334" i="5"/>
  <c r="Z1334" i="5" s="1"/>
  <c r="AF1333" i="5"/>
  <c r="Y1333" i="5"/>
  <c r="Z1333" i="5" s="1"/>
  <c r="AF1332" i="5"/>
  <c r="Y1332" i="5"/>
  <c r="Z1332" i="5" s="1"/>
  <c r="AF1331" i="5"/>
  <c r="Y1331" i="5"/>
  <c r="Z1331" i="5" s="1"/>
  <c r="AF1330" i="5"/>
  <c r="Y1330" i="5"/>
  <c r="Z1330" i="5" s="1"/>
  <c r="AF1329" i="5"/>
  <c r="Y1329" i="5"/>
  <c r="Z1329" i="5" s="1"/>
  <c r="AF1328" i="5"/>
  <c r="Y1328" i="5"/>
  <c r="Z1328" i="5" s="1"/>
  <c r="AF1327" i="5"/>
  <c r="Y1327" i="5"/>
  <c r="Z1327" i="5" s="1"/>
  <c r="AF1326" i="5"/>
  <c r="Y1326" i="5"/>
  <c r="Z1326" i="5" s="1"/>
  <c r="AF1325" i="5"/>
  <c r="Y1325" i="5"/>
  <c r="Z1325" i="5" s="1"/>
  <c r="AF1324" i="5"/>
  <c r="Y1324" i="5"/>
  <c r="Z1324" i="5" s="1"/>
  <c r="AF1323" i="5"/>
  <c r="Y1323" i="5"/>
  <c r="Z1323" i="5" s="1"/>
  <c r="AF1322" i="5"/>
  <c r="Y1322" i="5"/>
  <c r="Z1322" i="5" s="1"/>
  <c r="AF1321" i="5"/>
  <c r="Y1321" i="5"/>
  <c r="Z1321" i="5" s="1"/>
  <c r="AF1320" i="5"/>
  <c r="Y1320" i="5"/>
  <c r="Z1320" i="5" s="1"/>
  <c r="AF1319" i="5"/>
  <c r="Y1319" i="5"/>
  <c r="Z1319" i="5" s="1"/>
  <c r="AF1318" i="5"/>
  <c r="Y1318" i="5"/>
  <c r="Z1318" i="5" s="1"/>
  <c r="AF1317" i="5"/>
  <c r="Y1317" i="5"/>
  <c r="Z1317" i="5" s="1"/>
  <c r="AF1316" i="5"/>
  <c r="Y1316" i="5"/>
  <c r="Z1316" i="5" s="1"/>
  <c r="AF1315" i="5"/>
  <c r="Y1315" i="5"/>
  <c r="Z1315" i="5" s="1"/>
  <c r="AF1314" i="5"/>
  <c r="Y1314" i="5"/>
  <c r="Z1314" i="5" s="1"/>
  <c r="AF1313" i="5"/>
  <c r="Y1313" i="5"/>
  <c r="Z1313" i="5" s="1"/>
  <c r="AF1312" i="5"/>
  <c r="Y1312" i="5"/>
  <c r="Z1312" i="5" s="1"/>
  <c r="AF1311" i="5"/>
  <c r="Y1311" i="5"/>
  <c r="Z1311" i="5" s="1"/>
  <c r="AF1310" i="5"/>
  <c r="Y1310" i="5"/>
  <c r="Z1310" i="5" s="1"/>
  <c r="AF1309" i="5"/>
  <c r="Z1309" i="5"/>
  <c r="AF1308" i="5"/>
  <c r="Z1308" i="5"/>
  <c r="AF1307" i="5"/>
  <c r="Z1307" i="5"/>
  <c r="AF1306" i="5"/>
  <c r="Y1306" i="5"/>
  <c r="Z1306" i="5" s="1"/>
  <c r="AF1305" i="5"/>
  <c r="Y1305" i="5"/>
  <c r="Z1305" i="5" s="1"/>
  <c r="AF1304" i="5"/>
  <c r="Y1304" i="5"/>
  <c r="Z1304" i="5" s="1"/>
  <c r="AF1303" i="5"/>
  <c r="Z1303" i="5"/>
  <c r="AF1302" i="5"/>
  <c r="Y1302" i="5"/>
  <c r="Z1302" i="5" s="1"/>
  <c r="AF1301" i="5"/>
  <c r="Y1301" i="5"/>
  <c r="Z1301" i="5" s="1"/>
  <c r="AF1300" i="5"/>
  <c r="Y1300" i="5"/>
  <c r="Z1300" i="5" s="1"/>
  <c r="AF1299" i="5"/>
  <c r="Y1299" i="5"/>
  <c r="Z1299" i="5" s="1"/>
  <c r="AF1298" i="5"/>
  <c r="Y1298" i="5"/>
  <c r="Z1298" i="5" s="1"/>
  <c r="AF1297" i="5"/>
  <c r="Y1297" i="5"/>
  <c r="Z1297" i="5" s="1"/>
  <c r="AF1296" i="5"/>
  <c r="Y1296" i="5"/>
  <c r="Z1296" i="5" s="1"/>
  <c r="AF1295" i="5"/>
  <c r="Y1295" i="5"/>
  <c r="Z1295" i="5" s="1"/>
  <c r="AF1294" i="5"/>
  <c r="Y1294" i="5"/>
  <c r="Z1294" i="5" s="1"/>
  <c r="AF1293" i="5"/>
  <c r="Y1293" i="5"/>
  <c r="Z1293" i="5" s="1"/>
  <c r="AF1292" i="5"/>
  <c r="Y1292" i="5"/>
  <c r="Z1292" i="5" s="1"/>
  <c r="AF1291" i="5"/>
  <c r="Y1291" i="5"/>
  <c r="Z1291" i="5" s="1"/>
  <c r="AF1290" i="5"/>
  <c r="Y1290" i="5"/>
  <c r="Z1290" i="5" s="1"/>
  <c r="AF1289" i="5"/>
  <c r="Y1289" i="5"/>
  <c r="Z1289" i="5" s="1"/>
  <c r="AF1288" i="5"/>
  <c r="Y1288" i="5"/>
  <c r="Z1288" i="5" s="1"/>
  <c r="AF1287" i="5"/>
  <c r="Y1287" i="5"/>
  <c r="Z1287" i="5" s="1"/>
  <c r="AF1286" i="5"/>
  <c r="Y1286" i="5"/>
  <c r="Z1286" i="5" s="1"/>
  <c r="AF1285" i="5"/>
  <c r="Y1285" i="5"/>
  <c r="Z1285" i="5" s="1"/>
  <c r="AF1284" i="5"/>
  <c r="Y1284" i="5"/>
  <c r="Z1284" i="5" s="1"/>
  <c r="AF1283" i="5"/>
  <c r="Y1283" i="5"/>
  <c r="Z1283" i="5" s="1"/>
  <c r="AF1282" i="5"/>
  <c r="Y1282" i="5"/>
  <c r="Z1282" i="5" s="1"/>
  <c r="AF1281" i="5"/>
  <c r="Y1281" i="5"/>
  <c r="Z1281" i="5" s="1"/>
  <c r="AF1280" i="5"/>
  <c r="Y1280" i="5"/>
  <c r="Z1280" i="5" s="1"/>
  <c r="AF1279" i="5"/>
  <c r="Y1279" i="5"/>
  <c r="Z1279" i="5" s="1"/>
  <c r="AF1278" i="5"/>
  <c r="Y1278" i="5"/>
  <c r="Z1278" i="5" s="1"/>
  <c r="AF1277" i="5"/>
  <c r="Y1277" i="5"/>
  <c r="Z1277" i="5" s="1"/>
  <c r="AF1276" i="5"/>
  <c r="Z1276" i="5"/>
  <c r="AF1275" i="5"/>
  <c r="Y1275" i="5"/>
  <c r="Z1275" i="5" s="1"/>
  <c r="AF1274" i="5"/>
  <c r="Y1274" i="5"/>
  <c r="Z1274" i="5" s="1"/>
  <c r="AF1273" i="5"/>
  <c r="Y1273" i="5"/>
  <c r="Z1273" i="5" s="1"/>
  <c r="AF1272" i="5"/>
  <c r="Y1272" i="5"/>
  <c r="Z1272" i="5" s="1"/>
  <c r="AF1271" i="5"/>
  <c r="Y1271" i="5"/>
  <c r="Z1271" i="5" s="1"/>
  <c r="AF1270" i="5"/>
  <c r="Y1270" i="5"/>
  <c r="Z1270" i="5" s="1"/>
  <c r="AF1269" i="5"/>
  <c r="Y1269" i="5"/>
  <c r="Z1269" i="5" s="1"/>
  <c r="AF1268" i="5"/>
  <c r="Y1268" i="5"/>
  <c r="Z1268" i="5" s="1"/>
  <c r="AF1267" i="5"/>
  <c r="Y1267" i="5"/>
  <c r="Z1267" i="5" s="1"/>
  <c r="AF1266" i="5"/>
  <c r="Y1266" i="5"/>
  <c r="Z1266" i="5" s="1"/>
  <c r="AF1265" i="5"/>
  <c r="Y1265" i="5"/>
  <c r="Z1265" i="5" s="1"/>
  <c r="AF1264" i="5"/>
  <c r="Y1264" i="5"/>
  <c r="Z1264" i="5" s="1"/>
  <c r="AF1263" i="5"/>
  <c r="Y1263" i="5"/>
  <c r="Z1263" i="5" s="1"/>
  <c r="AF1262" i="5"/>
  <c r="Y1262" i="5"/>
  <c r="Z1262" i="5" s="1"/>
  <c r="AF1261" i="5"/>
  <c r="Y1261" i="5"/>
  <c r="Z1261" i="5" s="1"/>
  <c r="AF1260" i="5"/>
  <c r="Y1260" i="5"/>
  <c r="Z1260" i="5" s="1"/>
  <c r="AF1259" i="5"/>
  <c r="Y1259" i="5"/>
  <c r="Z1259" i="5" s="1"/>
  <c r="AF1258" i="5"/>
  <c r="Y1258" i="5"/>
  <c r="Z1258" i="5" s="1"/>
  <c r="AF1257" i="5"/>
  <c r="Y1257" i="5"/>
  <c r="Z1257" i="5" s="1"/>
  <c r="AF1256" i="5"/>
  <c r="Y1256" i="5"/>
  <c r="Z1256" i="5" s="1"/>
  <c r="AF1255" i="5"/>
  <c r="Y1255" i="5"/>
  <c r="Z1255" i="5" s="1"/>
  <c r="AF1254" i="5"/>
  <c r="Y1254" i="5"/>
  <c r="Z1254" i="5" s="1"/>
  <c r="AF1253" i="5"/>
  <c r="Y1253" i="5"/>
  <c r="Z1253" i="5" s="1"/>
  <c r="AF1252" i="5"/>
  <c r="Y1252" i="5"/>
  <c r="Z1252" i="5" s="1"/>
  <c r="AF1251" i="5"/>
  <c r="Y1251" i="5"/>
  <c r="Z1251" i="5" s="1"/>
  <c r="AF1250" i="5"/>
  <c r="Y1250" i="5"/>
  <c r="Z1250" i="5" s="1"/>
  <c r="AF1249" i="5"/>
  <c r="Y1249" i="5"/>
  <c r="Z1249" i="5" s="1"/>
  <c r="AF1248" i="5"/>
  <c r="Y1248" i="5"/>
  <c r="Z1248" i="5" s="1"/>
  <c r="AF1247" i="5"/>
  <c r="Y1247" i="5"/>
  <c r="Z1247" i="5" s="1"/>
  <c r="AF1246" i="5"/>
  <c r="Y1246" i="5"/>
  <c r="Z1246" i="5" s="1"/>
  <c r="AF1245" i="5"/>
  <c r="Y1245" i="5"/>
  <c r="Z1245" i="5" s="1"/>
  <c r="AF1244" i="5"/>
  <c r="Y1244" i="5"/>
  <c r="Z1244" i="5" s="1"/>
  <c r="AF1243" i="5"/>
  <c r="Y1243" i="5"/>
  <c r="Z1243" i="5" s="1"/>
  <c r="AF1242" i="5"/>
  <c r="Y1242" i="5"/>
  <c r="Z1242" i="5" s="1"/>
  <c r="AF1241" i="5"/>
  <c r="Y1241" i="5"/>
  <c r="Z1241" i="5" s="1"/>
  <c r="AF1240" i="5"/>
  <c r="Z1240" i="5"/>
  <c r="AF1239" i="5"/>
  <c r="Y1239" i="5"/>
  <c r="Z1239" i="5" s="1"/>
  <c r="AF1238" i="5"/>
  <c r="Y1238" i="5"/>
  <c r="Z1238" i="5" s="1"/>
  <c r="AF1237" i="5"/>
  <c r="Y1237" i="5"/>
  <c r="Z1237" i="5" s="1"/>
  <c r="AF1236" i="5"/>
  <c r="Y1236" i="5"/>
  <c r="Z1236" i="5" s="1"/>
  <c r="AF1235" i="5"/>
  <c r="Y1235" i="5"/>
  <c r="Z1235" i="5" s="1"/>
  <c r="AF1234" i="5"/>
  <c r="Y1234" i="5"/>
  <c r="Z1234" i="5" s="1"/>
  <c r="AF1233" i="5"/>
  <c r="Y1233" i="5"/>
  <c r="Z1233" i="5" s="1"/>
  <c r="AF1232" i="5"/>
  <c r="Y1232" i="5"/>
  <c r="Z1232" i="5" s="1"/>
  <c r="AF1231" i="5"/>
  <c r="Y1231" i="5"/>
  <c r="Z1231" i="5" s="1"/>
  <c r="AF1230" i="5"/>
  <c r="Y1230" i="5"/>
  <c r="Z1230" i="5" s="1"/>
  <c r="AF1229" i="5"/>
  <c r="Y1229" i="5"/>
  <c r="Z1229" i="5" s="1"/>
  <c r="AF1228" i="5"/>
  <c r="Y1228" i="5"/>
  <c r="Z1228" i="5" s="1"/>
  <c r="AF1227" i="5"/>
  <c r="Y1227" i="5"/>
  <c r="Z1227" i="5" s="1"/>
  <c r="AF1226" i="5"/>
  <c r="Y1226" i="5"/>
  <c r="Z1226" i="5" s="1"/>
  <c r="AF1225" i="5"/>
  <c r="Y1225" i="5"/>
  <c r="Z1225" i="5" s="1"/>
  <c r="AF1224" i="5"/>
  <c r="Y1224" i="5"/>
  <c r="Z1224" i="5" s="1"/>
  <c r="AF1223" i="5"/>
  <c r="Y1223" i="5"/>
  <c r="Z1223" i="5" s="1"/>
  <c r="AF1222" i="5"/>
  <c r="Y1222" i="5"/>
  <c r="Z1222" i="5" s="1"/>
  <c r="AF1221" i="5"/>
  <c r="Y1221" i="5"/>
  <c r="Z1221" i="5" s="1"/>
  <c r="AF1220" i="5"/>
  <c r="Y1220" i="5"/>
  <c r="Z1220" i="5" s="1"/>
  <c r="AF1219" i="5"/>
  <c r="Y1219" i="5"/>
  <c r="Z1219" i="5" s="1"/>
  <c r="AF1218" i="5"/>
  <c r="Y1218" i="5"/>
  <c r="Z1218" i="5" s="1"/>
  <c r="AF1217" i="5"/>
  <c r="Y1217" i="5"/>
  <c r="Z1217" i="5" s="1"/>
  <c r="AF1216" i="5"/>
  <c r="Y1216" i="5"/>
  <c r="Z1216" i="5" s="1"/>
  <c r="AF1215" i="5"/>
  <c r="Y1215" i="5"/>
  <c r="Z1215" i="5" s="1"/>
  <c r="AF1214" i="5"/>
  <c r="Y1214" i="5"/>
  <c r="Z1214" i="5" s="1"/>
  <c r="AF1213" i="5"/>
  <c r="Y1213" i="5"/>
  <c r="Z1213" i="5" s="1"/>
  <c r="AF1212" i="5"/>
  <c r="Y1212" i="5"/>
  <c r="Z1212" i="5" s="1"/>
  <c r="AF1211" i="5"/>
  <c r="Y1211" i="5"/>
  <c r="Z1211" i="5" s="1"/>
  <c r="AF1210" i="5"/>
  <c r="Y1210" i="5"/>
  <c r="Z1210" i="5" s="1"/>
  <c r="AF1209" i="5"/>
  <c r="Y1209" i="5"/>
  <c r="Z1209" i="5" s="1"/>
  <c r="AF1208" i="5"/>
  <c r="Y1208" i="5"/>
  <c r="Z1208" i="5" s="1"/>
  <c r="AF1207" i="5"/>
  <c r="Y1207" i="5"/>
  <c r="Z1207" i="5" s="1"/>
  <c r="AF1206" i="5"/>
  <c r="Y1206" i="5"/>
  <c r="Z1206" i="5" s="1"/>
  <c r="AF1205" i="5"/>
  <c r="Y1205" i="5"/>
  <c r="Z1205" i="5" s="1"/>
  <c r="AF1204" i="5"/>
  <c r="Y1204" i="5"/>
  <c r="Z1204" i="5" s="1"/>
  <c r="AF1203" i="5"/>
  <c r="Y1203" i="5"/>
  <c r="Z1203" i="5" s="1"/>
  <c r="AF1202" i="5"/>
  <c r="Y1202" i="5"/>
  <c r="Z1202" i="5" s="1"/>
  <c r="AF1201" i="5"/>
  <c r="Y1201" i="5"/>
  <c r="Z1201" i="5" s="1"/>
  <c r="AF1200" i="5"/>
  <c r="Y1200" i="5"/>
  <c r="Z1200" i="5" s="1"/>
  <c r="AF1199" i="5"/>
  <c r="Y1199" i="5"/>
  <c r="Z1199" i="5" s="1"/>
  <c r="AF1198" i="5"/>
  <c r="Y1198" i="5"/>
  <c r="Z1198" i="5" s="1"/>
  <c r="AF1197" i="5"/>
  <c r="Y1197" i="5"/>
  <c r="Z1197" i="5" s="1"/>
  <c r="AF1196" i="5"/>
  <c r="Y1196" i="5"/>
  <c r="AF1195" i="5"/>
  <c r="Y1195" i="5"/>
  <c r="Z1195" i="5" s="1"/>
  <c r="AF1194" i="5"/>
  <c r="Y1194" i="5"/>
  <c r="Z1194" i="5" s="1"/>
  <c r="AF1193" i="5"/>
  <c r="Y1193" i="5"/>
  <c r="Z1193" i="5" s="1"/>
  <c r="AF1192" i="5"/>
  <c r="Y1192" i="5"/>
  <c r="Z1192" i="5" s="1"/>
  <c r="AF1191" i="5"/>
  <c r="Y1191" i="5"/>
  <c r="Z1191" i="5" s="1"/>
  <c r="AF1190" i="5"/>
  <c r="Y1190" i="5"/>
  <c r="AF1189" i="5"/>
  <c r="Y1189" i="5"/>
  <c r="AF1188" i="5"/>
  <c r="Y1188" i="5"/>
  <c r="Z1188" i="5" s="1"/>
  <c r="AF1187" i="5"/>
  <c r="Y1187" i="5"/>
  <c r="Z1187" i="5" s="1"/>
  <c r="AF1186" i="5"/>
  <c r="Y1186" i="5"/>
  <c r="Z1186" i="5" s="1"/>
  <c r="AF1185" i="5"/>
  <c r="Y1185" i="5"/>
  <c r="Z1185" i="5" s="1"/>
  <c r="AF1184" i="5"/>
  <c r="Y1184" i="5"/>
  <c r="Z1184" i="5" s="1"/>
  <c r="AF1183" i="5"/>
  <c r="Y1183" i="5"/>
  <c r="Z1183" i="5" s="1"/>
  <c r="AF1182" i="5"/>
  <c r="Y1182" i="5"/>
  <c r="Z1182" i="5" s="1"/>
  <c r="AF1181" i="5"/>
  <c r="Y1181" i="5"/>
  <c r="Z1181" i="5" s="1"/>
  <c r="AF1180" i="5"/>
  <c r="Y1180" i="5"/>
  <c r="Z1180" i="5" s="1"/>
  <c r="AF1179" i="5"/>
  <c r="Y1179" i="5"/>
  <c r="Z1179" i="5" s="1"/>
  <c r="AF1178" i="5"/>
  <c r="Y1178" i="5"/>
  <c r="Z1178" i="5" s="1"/>
  <c r="AF1177" i="5"/>
  <c r="Y1177" i="5"/>
  <c r="Z1177" i="5" s="1"/>
  <c r="AF1176" i="5"/>
  <c r="Y1176" i="5"/>
  <c r="Z1176" i="5" s="1"/>
  <c r="AF1175" i="5"/>
  <c r="Y1175" i="5"/>
  <c r="Z1175" i="5" s="1"/>
  <c r="AF1174" i="5"/>
  <c r="Y1174" i="5"/>
  <c r="Z1174" i="5" s="1"/>
  <c r="AF1173" i="5"/>
  <c r="Y1173" i="5"/>
  <c r="Z1173" i="5" s="1"/>
  <c r="AF1172" i="5"/>
  <c r="Y1172" i="5"/>
  <c r="Z1172" i="5" s="1"/>
  <c r="AF1171" i="5"/>
  <c r="Y1171" i="5"/>
  <c r="Z1171" i="5" s="1"/>
  <c r="AF1170" i="5"/>
  <c r="Y1170" i="5"/>
  <c r="Z1170" i="5" s="1"/>
  <c r="AF1169" i="5"/>
  <c r="Y1169" i="5"/>
  <c r="Z1169" i="5" s="1"/>
  <c r="AF1168" i="5"/>
  <c r="Y1168" i="5"/>
  <c r="Z1168" i="5" s="1"/>
  <c r="AF1167" i="5"/>
  <c r="Y1167" i="5"/>
  <c r="Z1167" i="5" s="1"/>
  <c r="AF1166" i="5"/>
  <c r="Y1166" i="5"/>
  <c r="Z1166" i="5" s="1"/>
  <c r="AF1165" i="5"/>
  <c r="Y1165" i="5"/>
  <c r="Z1165" i="5" s="1"/>
  <c r="AF1164" i="5"/>
  <c r="Y1164" i="5"/>
  <c r="Z1164" i="5" s="1"/>
  <c r="AF1163" i="5"/>
  <c r="Y1163" i="5"/>
  <c r="Z1163" i="5" s="1"/>
  <c r="AF1162" i="5"/>
  <c r="Y1162" i="5"/>
  <c r="Z1162" i="5" s="1"/>
  <c r="AF1161" i="5"/>
  <c r="Y1161" i="5"/>
  <c r="Z1161" i="5" s="1"/>
  <c r="AF1160" i="5"/>
  <c r="Y1160" i="5"/>
  <c r="Z1160" i="5" s="1"/>
  <c r="AF1159" i="5"/>
  <c r="Y1159" i="5"/>
  <c r="Z1159" i="5" s="1"/>
  <c r="AF1158" i="5"/>
  <c r="Y1158" i="5"/>
  <c r="Z1158" i="5" s="1"/>
  <c r="AF1157" i="5"/>
  <c r="Y1157" i="5"/>
  <c r="Z1157" i="5" s="1"/>
  <c r="AF1156" i="5"/>
  <c r="Y1156" i="5"/>
  <c r="Z1156" i="5" s="1"/>
  <c r="AF1155" i="5"/>
  <c r="Y1155" i="5"/>
  <c r="Z1155" i="5" s="1"/>
  <c r="AF1154" i="5"/>
  <c r="Y1154" i="5"/>
  <c r="Z1154" i="5" s="1"/>
  <c r="AF1153" i="5"/>
  <c r="Y1153" i="5"/>
  <c r="Z1153" i="5" s="1"/>
  <c r="AF1152" i="5"/>
  <c r="Y1152" i="5"/>
  <c r="Z1152" i="5" s="1"/>
  <c r="AF1151" i="5"/>
  <c r="Y1151" i="5"/>
  <c r="Z1151" i="5" s="1"/>
  <c r="AF1150" i="5"/>
  <c r="Y1150" i="5"/>
  <c r="Z1150" i="5" s="1"/>
  <c r="AF1149" i="5"/>
  <c r="Y1149" i="5"/>
  <c r="Z1149" i="5" s="1"/>
  <c r="AF1148" i="5"/>
  <c r="Y1148" i="5"/>
  <c r="Z1148" i="5" s="1"/>
  <c r="AF1147" i="5"/>
  <c r="Y1147" i="5"/>
  <c r="Z1147" i="5" s="1"/>
  <c r="AF1146" i="5"/>
  <c r="Y1146" i="5"/>
  <c r="AF1145" i="5"/>
  <c r="Y1145" i="5"/>
  <c r="Z1145" i="5" s="1"/>
  <c r="AF1144" i="5"/>
  <c r="Y1144" i="5"/>
  <c r="Z1144" i="5" s="1"/>
  <c r="AF1143" i="5"/>
  <c r="Y1143" i="5"/>
  <c r="Z1143" i="5" s="1"/>
  <c r="AF1142" i="5"/>
  <c r="Y1142" i="5"/>
  <c r="Z1142" i="5" s="1"/>
  <c r="AF1141" i="5"/>
  <c r="Y1141" i="5"/>
  <c r="Z1141" i="5" s="1"/>
  <c r="AF1140" i="5"/>
  <c r="Y1140" i="5"/>
  <c r="Z1140" i="5" s="1"/>
  <c r="AF1139" i="5"/>
  <c r="Y1139" i="5"/>
  <c r="Z1139" i="5" s="1"/>
  <c r="AF1138" i="5"/>
  <c r="Y1138" i="5"/>
  <c r="Z1138" i="5" s="1"/>
  <c r="AF1137" i="5"/>
  <c r="Y1137" i="5"/>
  <c r="Z1137" i="5" s="1"/>
  <c r="AF1136" i="5"/>
  <c r="Y1136" i="5"/>
  <c r="Z1136" i="5" s="1"/>
  <c r="AF1135" i="5"/>
  <c r="Y1135" i="5"/>
  <c r="Z1135" i="5" s="1"/>
  <c r="AF1134" i="5"/>
  <c r="Y1134" i="5"/>
  <c r="Z1134" i="5" s="1"/>
  <c r="AF1133" i="5"/>
  <c r="Y1133" i="5"/>
  <c r="Z1133" i="5" s="1"/>
  <c r="AF1132" i="5"/>
  <c r="Y1132" i="5"/>
  <c r="Z1132" i="5" s="1"/>
  <c r="AF1131" i="5"/>
  <c r="Y1131" i="5"/>
  <c r="Z1131" i="5" s="1"/>
  <c r="AF1130" i="5"/>
  <c r="Y1130" i="5"/>
  <c r="Z1130" i="5" s="1"/>
  <c r="AF1129" i="5"/>
  <c r="Y1129" i="5"/>
  <c r="Z1129" i="5" s="1"/>
  <c r="AF1128" i="5"/>
  <c r="Y1128" i="5"/>
  <c r="Z1128" i="5" s="1"/>
  <c r="AF1127" i="5"/>
  <c r="Y1127" i="5"/>
  <c r="Z1127" i="5" s="1"/>
  <c r="AF1126" i="5"/>
  <c r="Y1126" i="5"/>
  <c r="Z1126" i="5" s="1"/>
  <c r="AF1125" i="5"/>
  <c r="Y1125" i="5"/>
  <c r="Z1125" i="5" s="1"/>
  <c r="AF1124" i="5"/>
  <c r="Y1124" i="5"/>
  <c r="Z1124" i="5" s="1"/>
  <c r="AF1123" i="5"/>
  <c r="Y1123" i="5"/>
  <c r="Z1123" i="5" s="1"/>
  <c r="AF1122" i="5"/>
  <c r="Y1122" i="5"/>
  <c r="Z1122" i="5" s="1"/>
  <c r="AF1121" i="5"/>
  <c r="Y1121" i="5"/>
  <c r="Z1121" i="5" s="1"/>
  <c r="AF1120" i="5"/>
  <c r="Y1120" i="5"/>
  <c r="Z1120" i="5" s="1"/>
  <c r="AF1119" i="5"/>
  <c r="Y1119" i="5"/>
  <c r="Z1119" i="5" s="1"/>
  <c r="AF1118" i="5"/>
  <c r="Y1118" i="5"/>
  <c r="Z1118" i="5" s="1"/>
  <c r="AF1117" i="5"/>
  <c r="Y1117" i="5"/>
  <c r="Z1117" i="5" s="1"/>
  <c r="AF1116" i="5"/>
  <c r="Y1116" i="5"/>
  <c r="Z1116" i="5" s="1"/>
  <c r="AF1115" i="5"/>
  <c r="Y1115" i="5"/>
  <c r="Z1115" i="5" s="1"/>
  <c r="AF1114" i="5"/>
  <c r="Y1114" i="5"/>
  <c r="Z1114" i="5" s="1"/>
  <c r="AF1113" i="5"/>
  <c r="Y1113" i="5"/>
  <c r="Z1113" i="5" s="1"/>
  <c r="AF1112" i="5"/>
  <c r="Y1112" i="5"/>
  <c r="Z1112" i="5" s="1"/>
  <c r="AF1111" i="5"/>
  <c r="Y1111" i="5"/>
  <c r="Z1111" i="5" s="1"/>
  <c r="AF1110" i="5"/>
  <c r="Y1110" i="5"/>
  <c r="Z1110" i="5" s="1"/>
  <c r="AF1109" i="5"/>
  <c r="Y1109" i="5"/>
  <c r="Z1109" i="5" s="1"/>
  <c r="AF1108" i="5"/>
  <c r="Y1108" i="5"/>
  <c r="Z1108" i="5" s="1"/>
  <c r="AF1107" i="5"/>
  <c r="Y1107" i="5"/>
  <c r="Z1107" i="5" s="1"/>
  <c r="AF1106" i="5"/>
  <c r="Y1106" i="5"/>
  <c r="Z1106" i="5" s="1"/>
  <c r="AF1105" i="5"/>
  <c r="Y1105" i="5"/>
  <c r="Z1105" i="5" s="1"/>
  <c r="AF1104" i="5"/>
  <c r="Y1104" i="5"/>
  <c r="Z1104" i="5" s="1"/>
  <c r="AF1103" i="5"/>
  <c r="Y1103" i="5"/>
  <c r="Z1103" i="5" s="1"/>
  <c r="AF1102" i="5"/>
  <c r="Y1102" i="5"/>
  <c r="Z1102" i="5" s="1"/>
  <c r="AF1101" i="5"/>
  <c r="Y1101" i="5"/>
  <c r="Z1101" i="5" s="1"/>
  <c r="AF1100" i="5"/>
  <c r="Y1100" i="5"/>
  <c r="Z1100" i="5" s="1"/>
  <c r="AF1099" i="5"/>
  <c r="Y1099" i="5"/>
  <c r="Z1099" i="5" s="1"/>
  <c r="AF1098" i="5"/>
  <c r="Y1098" i="5"/>
  <c r="Z1098" i="5" s="1"/>
  <c r="AF1097" i="5"/>
  <c r="Y1097" i="5"/>
  <c r="Z1097" i="5" s="1"/>
  <c r="AF1096" i="5"/>
  <c r="Y1096" i="5"/>
  <c r="Z1096" i="5" s="1"/>
  <c r="AF1095" i="5"/>
  <c r="Y1095" i="5"/>
  <c r="Z1095" i="5" s="1"/>
  <c r="AF1094" i="5"/>
  <c r="Y1094" i="5"/>
  <c r="Z1094" i="5" s="1"/>
  <c r="AF1093" i="5"/>
  <c r="Y1093" i="5"/>
  <c r="Z1093" i="5" s="1"/>
  <c r="AF1092" i="5"/>
  <c r="Y1092" i="5"/>
  <c r="Z1092" i="5" s="1"/>
  <c r="AF1091" i="5"/>
  <c r="Y1091" i="5"/>
  <c r="Z1091" i="5" s="1"/>
  <c r="AF1090" i="5"/>
  <c r="Y1090" i="5"/>
  <c r="Z1090" i="5" s="1"/>
  <c r="AF1089" i="5"/>
  <c r="Y1089" i="5"/>
  <c r="Z1089" i="5" s="1"/>
  <c r="AF1088" i="5"/>
  <c r="Y1088" i="5"/>
  <c r="Z1088" i="5" s="1"/>
  <c r="AF1087" i="5"/>
  <c r="Y1087" i="5"/>
  <c r="Z1087" i="5" s="1"/>
  <c r="AF1086" i="5"/>
  <c r="Y1086" i="5"/>
  <c r="Z1086" i="5" s="1"/>
  <c r="AF1085" i="5"/>
  <c r="Y1085" i="5"/>
  <c r="Z1085" i="5" s="1"/>
  <c r="AF1084" i="5"/>
  <c r="Y1084" i="5"/>
  <c r="Z1084" i="5" s="1"/>
  <c r="AF1083" i="5"/>
  <c r="Y1083" i="5"/>
  <c r="Z1083" i="5" s="1"/>
  <c r="AF1082" i="5"/>
  <c r="Y1082" i="5"/>
  <c r="Z1082" i="5" s="1"/>
  <c r="AF1081" i="5"/>
  <c r="Y1081" i="5"/>
  <c r="Z1081" i="5" s="1"/>
  <c r="AF1080" i="5"/>
  <c r="Y1080" i="5"/>
  <c r="Z1080" i="5" s="1"/>
  <c r="AF1079" i="5"/>
  <c r="Y1079" i="5"/>
  <c r="Z1079" i="5" s="1"/>
  <c r="AF1078" i="5"/>
  <c r="Y1078" i="5"/>
  <c r="Z1078" i="5" s="1"/>
  <c r="AF1077" i="5"/>
  <c r="Y1077" i="5"/>
  <c r="Z1077" i="5" s="1"/>
  <c r="AF1076" i="5"/>
  <c r="Y1076" i="5"/>
  <c r="Z1076" i="5" s="1"/>
  <c r="AF1075" i="5"/>
  <c r="Y1075" i="5"/>
  <c r="Z1075" i="5" s="1"/>
  <c r="AF1074" i="5"/>
  <c r="Y1074" i="5"/>
  <c r="Z1074" i="5" s="1"/>
  <c r="AF1073" i="5"/>
  <c r="Y1073" i="5"/>
  <c r="Z1073" i="5" s="1"/>
  <c r="AF1072" i="5"/>
  <c r="Y1072" i="5"/>
  <c r="Z1072" i="5" s="1"/>
  <c r="AF1071" i="5"/>
  <c r="Y1071" i="5"/>
  <c r="Z1071" i="5" s="1"/>
  <c r="AF1070" i="5"/>
  <c r="Y1070" i="5"/>
  <c r="Z1070" i="5" s="1"/>
  <c r="AF1069" i="5"/>
  <c r="Y1069" i="5"/>
  <c r="Z1069" i="5" s="1"/>
  <c r="AF1068" i="5"/>
  <c r="Y1068" i="5"/>
  <c r="Z1068" i="5" s="1"/>
  <c r="AF1067" i="5"/>
  <c r="Y1067" i="5"/>
  <c r="Z1067" i="5" s="1"/>
  <c r="AF1066" i="5"/>
  <c r="Y1066" i="5"/>
  <c r="Z1066" i="5" s="1"/>
  <c r="AF1065" i="5"/>
  <c r="Y1065" i="5"/>
  <c r="Z1065" i="5" s="1"/>
  <c r="AF1064" i="5"/>
  <c r="Y1064" i="5"/>
  <c r="Z1064" i="5" s="1"/>
  <c r="AF1063" i="5"/>
  <c r="Y1063" i="5"/>
  <c r="Z1063" i="5" s="1"/>
  <c r="AF1062" i="5"/>
  <c r="Y1062" i="5"/>
  <c r="Z1062" i="5" s="1"/>
  <c r="AF1061" i="5"/>
  <c r="Y1061" i="5"/>
  <c r="Z1061" i="5" s="1"/>
  <c r="AF1060" i="5"/>
  <c r="Y1060" i="5"/>
  <c r="Z1060" i="5" s="1"/>
  <c r="AF1059" i="5"/>
  <c r="Y1059" i="5"/>
  <c r="Z1059" i="5" s="1"/>
  <c r="AF1058" i="5"/>
  <c r="Y1058" i="5"/>
  <c r="Z1058" i="5" s="1"/>
  <c r="AF1057" i="5"/>
  <c r="Y1057" i="5"/>
  <c r="Z1057" i="5" s="1"/>
  <c r="AF1056" i="5"/>
  <c r="Y1056" i="5"/>
  <c r="Z1056" i="5" s="1"/>
  <c r="AF1055" i="5"/>
  <c r="Y1055" i="5"/>
  <c r="Z1055" i="5" s="1"/>
  <c r="AF1054" i="5"/>
  <c r="Y1054" i="5"/>
  <c r="Z1054" i="5" s="1"/>
  <c r="AF1053" i="5"/>
  <c r="Y1053" i="5"/>
  <c r="Z1053" i="5" s="1"/>
  <c r="AF1052" i="5"/>
  <c r="Y1052" i="5"/>
  <c r="Z1052" i="5" s="1"/>
  <c r="AF1051" i="5"/>
  <c r="Y1051" i="5"/>
  <c r="Z1051" i="5" s="1"/>
  <c r="AF1050" i="5"/>
  <c r="Y1050" i="5"/>
  <c r="Z1050" i="5" s="1"/>
  <c r="AF1049" i="5"/>
  <c r="Y1049" i="5"/>
  <c r="Z1049" i="5" s="1"/>
  <c r="AF1048" i="5"/>
  <c r="Y1048" i="5"/>
  <c r="Z1048" i="5" s="1"/>
  <c r="AF1047" i="5"/>
  <c r="Y1047" i="5"/>
  <c r="Z1047" i="5" s="1"/>
  <c r="AF1046" i="5"/>
  <c r="Y1046" i="5"/>
  <c r="Z1046" i="5" s="1"/>
  <c r="AF1045" i="5"/>
  <c r="Y1045" i="5"/>
  <c r="Z1045" i="5" s="1"/>
  <c r="AF1044" i="5"/>
  <c r="Y1044" i="5"/>
  <c r="Z1044" i="5" s="1"/>
  <c r="AF1043" i="5"/>
  <c r="Y1043" i="5"/>
  <c r="Z1043" i="5" s="1"/>
  <c r="AF1042" i="5"/>
  <c r="Y1042" i="5"/>
  <c r="Z1042" i="5" s="1"/>
  <c r="AF1041" i="5"/>
  <c r="Y1041" i="5"/>
  <c r="Z1041" i="5" s="1"/>
  <c r="AF1040" i="5"/>
  <c r="Y1040" i="5"/>
  <c r="Z1040" i="5" s="1"/>
  <c r="AF1039" i="5"/>
  <c r="Y1039" i="5"/>
  <c r="Z1039" i="5" s="1"/>
  <c r="AF1038" i="5"/>
  <c r="Y1038" i="5"/>
  <c r="Z1038" i="5" s="1"/>
  <c r="AF1037" i="5"/>
  <c r="Y1037" i="5"/>
  <c r="Z1037" i="5" s="1"/>
  <c r="AF1036" i="5"/>
  <c r="Y1036" i="5"/>
  <c r="Z1036" i="5" s="1"/>
  <c r="AF1035" i="5"/>
  <c r="Y1035" i="5"/>
  <c r="Z1035" i="5" s="1"/>
  <c r="AF1034" i="5"/>
  <c r="Y1034" i="5"/>
  <c r="Z1034" i="5" s="1"/>
  <c r="AF1033" i="5"/>
  <c r="Y1033" i="5"/>
  <c r="Z1033" i="5" s="1"/>
  <c r="AF1032" i="5"/>
  <c r="Y1032" i="5"/>
  <c r="Z1032" i="5" s="1"/>
  <c r="AF1031" i="5"/>
  <c r="Y1031" i="5"/>
  <c r="Z1031" i="5" s="1"/>
  <c r="AF1030" i="5"/>
  <c r="Y1030" i="5"/>
  <c r="Z1030" i="5" s="1"/>
  <c r="AF1029" i="5"/>
  <c r="Y1029" i="5"/>
  <c r="Z1029" i="5" s="1"/>
  <c r="AF1028" i="5"/>
  <c r="Y1028" i="5"/>
  <c r="Z1028" i="5" s="1"/>
  <c r="AF1027" i="5"/>
  <c r="Y1027" i="5"/>
  <c r="Z1027" i="5" s="1"/>
  <c r="AF1026" i="5"/>
  <c r="Y1026" i="5"/>
  <c r="Z1026" i="5" s="1"/>
  <c r="AF1025" i="5"/>
  <c r="Y1025" i="5"/>
  <c r="Z1025" i="5" s="1"/>
  <c r="AF1024" i="5"/>
  <c r="Y1024" i="5"/>
  <c r="Z1024" i="5" s="1"/>
  <c r="AF1023" i="5"/>
  <c r="Y1023" i="5"/>
  <c r="Z1023" i="5" s="1"/>
  <c r="AF1022" i="5"/>
  <c r="Y1022" i="5"/>
  <c r="Z1022" i="5" s="1"/>
  <c r="AF1021" i="5"/>
  <c r="Y1021" i="5"/>
  <c r="Z1021" i="5" s="1"/>
  <c r="AF1020" i="5"/>
  <c r="Y1020" i="5"/>
  <c r="Z1020" i="5" s="1"/>
  <c r="AF1019" i="5"/>
  <c r="Y1019" i="5"/>
  <c r="Z1019" i="5" s="1"/>
  <c r="AF1018" i="5"/>
  <c r="Y1018" i="5"/>
  <c r="Z1018" i="5" s="1"/>
  <c r="AF1017" i="5"/>
  <c r="Y1017" i="5"/>
  <c r="Z1017" i="5" s="1"/>
  <c r="AF1016" i="5"/>
  <c r="Y1016" i="5"/>
  <c r="Z1016" i="5" s="1"/>
  <c r="AF1015" i="5"/>
  <c r="Y1015" i="5"/>
  <c r="Z1015" i="5" s="1"/>
  <c r="AF1014" i="5"/>
  <c r="Y1014" i="5"/>
  <c r="Z1014" i="5" s="1"/>
  <c r="AF1013" i="5"/>
  <c r="Y1013" i="5"/>
  <c r="Z1013" i="5" s="1"/>
  <c r="AF1012" i="5"/>
  <c r="Y1012" i="5"/>
  <c r="Z1012" i="5" s="1"/>
  <c r="AF1011" i="5"/>
  <c r="Y1011" i="5"/>
  <c r="Z1011" i="5" s="1"/>
  <c r="AF1010" i="5"/>
  <c r="Y1010" i="5"/>
  <c r="Z1010" i="5" s="1"/>
  <c r="AF1009" i="5"/>
  <c r="Y1009" i="5"/>
  <c r="Z1009" i="5" s="1"/>
  <c r="AF1008" i="5"/>
  <c r="Y1008" i="5"/>
  <c r="Z1008" i="5" s="1"/>
  <c r="AF1007" i="5"/>
  <c r="Y1007" i="5"/>
  <c r="Z1007" i="5" s="1"/>
  <c r="AF1006" i="5"/>
  <c r="Y1006" i="5"/>
  <c r="Z1006" i="5" s="1"/>
  <c r="AF1005" i="5"/>
  <c r="Y1005" i="5"/>
  <c r="Z1005" i="5" s="1"/>
  <c r="AF1004" i="5"/>
  <c r="Y1004" i="5"/>
  <c r="Z1004" i="5" s="1"/>
  <c r="AF1003" i="5"/>
  <c r="Y1003" i="5"/>
  <c r="Z1003" i="5" s="1"/>
  <c r="AF1002" i="5"/>
  <c r="Y1002" i="5"/>
  <c r="Z1002" i="5" s="1"/>
  <c r="AF1001" i="5"/>
  <c r="Y1001" i="5"/>
  <c r="Z1001" i="5" s="1"/>
  <c r="AF1000" i="5"/>
  <c r="Y1000" i="5"/>
  <c r="Z1000" i="5" s="1"/>
  <c r="AF999" i="5"/>
  <c r="Y999" i="5"/>
  <c r="Z999" i="5" s="1"/>
  <c r="AF998" i="5"/>
  <c r="Y998" i="5"/>
  <c r="Z998" i="5" s="1"/>
  <c r="AF997" i="5"/>
  <c r="Y997" i="5"/>
  <c r="Z997" i="5" s="1"/>
  <c r="AF996" i="5"/>
  <c r="Y996" i="5"/>
  <c r="Z996" i="5" s="1"/>
  <c r="AF995" i="5"/>
  <c r="Y995" i="5"/>
  <c r="Z995" i="5" s="1"/>
  <c r="AF994" i="5"/>
  <c r="Y994" i="5"/>
  <c r="Z994" i="5" s="1"/>
  <c r="AF993" i="5"/>
  <c r="Y993" i="5"/>
  <c r="Z993" i="5" s="1"/>
  <c r="AF992" i="5"/>
  <c r="Y992" i="5"/>
  <c r="Z992" i="5" s="1"/>
  <c r="AF991" i="5"/>
  <c r="Y991" i="5"/>
  <c r="Z991" i="5" s="1"/>
  <c r="AF990" i="5"/>
  <c r="Y990" i="5"/>
  <c r="Z990" i="5" s="1"/>
  <c r="AF989" i="5"/>
  <c r="Y989" i="5"/>
  <c r="Z989" i="5" s="1"/>
  <c r="AF988" i="5"/>
  <c r="Y988" i="5"/>
  <c r="Z988" i="5" s="1"/>
  <c r="AF987" i="5"/>
  <c r="Y987" i="5"/>
  <c r="Z987" i="5" s="1"/>
  <c r="AF986" i="5"/>
  <c r="Y986" i="5"/>
  <c r="Z986" i="5" s="1"/>
  <c r="AF985" i="5"/>
  <c r="Y985" i="5"/>
  <c r="Z985" i="5" s="1"/>
  <c r="AF984" i="5"/>
  <c r="Y984" i="5"/>
  <c r="Z984" i="5" s="1"/>
  <c r="AF983" i="5"/>
  <c r="Y983" i="5"/>
  <c r="Z983" i="5" s="1"/>
  <c r="AF982" i="5"/>
  <c r="Y982" i="5"/>
  <c r="Z982" i="5" s="1"/>
  <c r="AF981" i="5"/>
  <c r="Y981" i="5"/>
  <c r="Z981" i="5" s="1"/>
  <c r="AF980" i="5"/>
  <c r="Y980" i="5"/>
  <c r="Z980" i="5" s="1"/>
  <c r="AF979" i="5"/>
  <c r="Y979" i="5"/>
  <c r="Z979" i="5" s="1"/>
  <c r="AF978" i="5"/>
  <c r="Y978" i="5"/>
  <c r="Z978" i="5" s="1"/>
  <c r="AF977" i="5"/>
  <c r="Y977" i="5"/>
  <c r="Z977" i="5" s="1"/>
  <c r="AF976" i="5"/>
  <c r="Y976" i="5"/>
  <c r="Z976" i="5" s="1"/>
  <c r="AF975" i="5"/>
  <c r="Y975" i="5"/>
  <c r="Z975" i="5" s="1"/>
  <c r="AF974" i="5"/>
  <c r="Y974" i="5"/>
  <c r="Z974" i="5" s="1"/>
  <c r="AF973" i="5"/>
  <c r="Y973" i="5"/>
  <c r="Z973" i="5" s="1"/>
  <c r="AF972" i="5"/>
  <c r="Y972" i="5"/>
  <c r="Z972" i="5" s="1"/>
  <c r="AF971" i="5"/>
  <c r="Y971" i="5"/>
  <c r="Z971" i="5" s="1"/>
  <c r="AF970" i="5"/>
  <c r="Y970" i="5"/>
  <c r="Z970" i="5" s="1"/>
  <c r="AF969" i="5"/>
  <c r="Y969" i="5"/>
  <c r="Z969" i="5" s="1"/>
  <c r="AF968" i="5"/>
  <c r="Y968" i="5"/>
  <c r="Z968" i="5" s="1"/>
  <c r="AF967" i="5"/>
  <c r="Y967" i="5"/>
  <c r="Z967" i="5" s="1"/>
  <c r="AF966" i="5"/>
  <c r="Y966" i="5"/>
  <c r="Z966" i="5" s="1"/>
  <c r="AF965" i="5"/>
  <c r="Y965" i="5"/>
  <c r="Z965" i="5" s="1"/>
  <c r="AF964" i="5"/>
  <c r="Y964" i="5"/>
  <c r="Z964" i="5" s="1"/>
  <c r="AF963" i="5"/>
  <c r="Y963" i="5"/>
  <c r="Z963" i="5" s="1"/>
  <c r="AF962" i="5"/>
  <c r="Y962" i="5"/>
  <c r="Z962" i="5" s="1"/>
  <c r="AF961" i="5"/>
  <c r="Y961" i="5"/>
  <c r="Z961" i="5" s="1"/>
  <c r="AF960" i="5"/>
  <c r="Y960" i="5"/>
  <c r="Z960" i="5" s="1"/>
  <c r="AF959" i="5"/>
  <c r="Y959" i="5"/>
  <c r="Z959" i="5" s="1"/>
  <c r="AF958" i="5"/>
  <c r="Y958" i="5"/>
  <c r="Z958" i="5" s="1"/>
  <c r="AF957" i="5"/>
  <c r="Y957" i="5"/>
  <c r="Z957" i="5" s="1"/>
  <c r="AF956" i="5"/>
  <c r="Y956" i="5"/>
  <c r="Z956" i="5" s="1"/>
  <c r="AF955" i="5"/>
  <c r="Y955" i="5"/>
  <c r="Z955" i="5" s="1"/>
  <c r="AF954" i="5"/>
  <c r="Y954" i="5"/>
  <c r="Z954" i="5" s="1"/>
  <c r="AF953" i="5"/>
  <c r="Y953" i="5"/>
  <c r="Z953" i="5" s="1"/>
  <c r="AF952" i="5"/>
  <c r="Y952" i="5"/>
  <c r="Z952" i="5" s="1"/>
  <c r="AF951" i="5"/>
  <c r="Y951" i="5"/>
  <c r="Z951" i="5" s="1"/>
  <c r="AF950" i="5"/>
  <c r="Y950" i="5"/>
  <c r="Z950" i="5" s="1"/>
  <c r="AF949" i="5"/>
  <c r="Y949" i="5"/>
  <c r="Z949" i="5" s="1"/>
  <c r="AF948" i="5"/>
  <c r="Y948" i="5"/>
  <c r="Z948" i="5" s="1"/>
  <c r="AF947" i="5"/>
  <c r="Y947" i="5"/>
  <c r="Z947" i="5" s="1"/>
  <c r="AF946" i="5"/>
  <c r="Y946" i="5"/>
  <c r="Z946" i="5" s="1"/>
  <c r="AF945" i="5"/>
  <c r="Y945" i="5"/>
  <c r="Z945" i="5" s="1"/>
  <c r="AF944" i="5"/>
  <c r="Y944" i="5"/>
  <c r="Z944" i="5" s="1"/>
  <c r="AF943" i="5"/>
  <c r="Y943" i="5"/>
  <c r="Z943" i="5" s="1"/>
  <c r="AF942" i="5"/>
  <c r="Y942" i="5"/>
  <c r="Z942" i="5" s="1"/>
  <c r="AF941" i="5"/>
  <c r="Y941" i="5"/>
  <c r="Z941" i="5" s="1"/>
  <c r="AF940" i="5"/>
  <c r="Y940" i="5"/>
  <c r="Z940" i="5" s="1"/>
  <c r="AF939" i="5"/>
  <c r="Y939" i="5"/>
  <c r="Z939" i="5" s="1"/>
  <c r="AF938" i="5"/>
  <c r="Y938" i="5"/>
  <c r="Z938" i="5" s="1"/>
  <c r="AF937" i="5"/>
  <c r="Y937" i="5"/>
  <c r="Z937" i="5" s="1"/>
  <c r="AF936" i="5"/>
  <c r="Y936" i="5"/>
  <c r="Z936" i="5" s="1"/>
  <c r="AF935" i="5"/>
  <c r="Y935" i="5"/>
  <c r="Z935" i="5" s="1"/>
  <c r="AF934" i="5"/>
  <c r="Y934" i="5"/>
  <c r="Z934" i="5" s="1"/>
  <c r="AF933" i="5"/>
  <c r="Y933" i="5"/>
  <c r="Z933" i="5" s="1"/>
  <c r="AF932" i="5"/>
  <c r="Y932" i="5"/>
  <c r="Z932" i="5" s="1"/>
  <c r="AF931" i="5"/>
  <c r="Y931" i="5"/>
  <c r="Z931" i="5" s="1"/>
  <c r="AF930" i="5"/>
  <c r="Y930" i="5"/>
  <c r="Z930" i="5" s="1"/>
  <c r="AF929" i="5"/>
  <c r="Y929" i="5"/>
  <c r="Z929" i="5" s="1"/>
  <c r="AF928" i="5"/>
  <c r="Y928" i="5"/>
  <c r="Z928" i="5" s="1"/>
  <c r="AF927" i="5"/>
  <c r="Y927" i="5"/>
  <c r="Z927" i="5" s="1"/>
  <c r="AF926" i="5"/>
  <c r="Y926" i="5"/>
  <c r="Z926" i="5" s="1"/>
  <c r="AF925" i="5"/>
  <c r="Y925" i="5"/>
  <c r="Z925" i="5" s="1"/>
  <c r="AF924" i="5"/>
  <c r="Y924" i="5"/>
  <c r="Z924" i="5" s="1"/>
  <c r="AF923" i="5"/>
  <c r="Y923" i="5"/>
  <c r="Z923" i="5" s="1"/>
  <c r="AF922" i="5"/>
  <c r="Y922" i="5"/>
  <c r="Z922" i="5" s="1"/>
  <c r="AF921" i="5"/>
  <c r="Y921" i="5"/>
  <c r="Z921" i="5" s="1"/>
  <c r="AF920" i="5"/>
  <c r="Y920" i="5"/>
  <c r="Z920" i="5" s="1"/>
  <c r="AF919" i="5"/>
  <c r="Y919" i="5"/>
  <c r="Z919" i="5" s="1"/>
  <c r="AF918" i="5"/>
  <c r="Y918" i="5"/>
  <c r="Z918" i="5" s="1"/>
  <c r="AF917" i="5"/>
  <c r="Y917" i="5"/>
  <c r="Z917" i="5" s="1"/>
  <c r="AF916" i="5"/>
  <c r="Y916" i="5"/>
  <c r="Z916" i="5" s="1"/>
  <c r="AF915" i="5"/>
  <c r="Y915" i="5"/>
  <c r="Z915" i="5" s="1"/>
  <c r="AF914" i="5"/>
  <c r="Y914" i="5"/>
  <c r="Z914" i="5" s="1"/>
  <c r="AF913" i="5"/>
  <c r="Y913" i="5"/>
  <c r="Z913" i="5" s="1"/>
  <c r="AF912" i="5"/>
  <c r="Y912" i="5"/>
  <c r="Z912" i="5" s="1"/>
  <c r="AF911" i="5"/>
  <c r="Y911" i="5"/>
  <c r="Z911" i="5" s="1"/>
  <c r="AF910" i="5"/>
  <c r="Y910" i="5"/>
  <c r="Z910" i="5" s="1"/>
  <c r="AF909" i="5"/>
  <c r="Y909" i="5"/>
  <c r="Z909" i="5" s="1"/>
  <c r="AF908" i="5"/>
  <c r="Y908" i="5"/>
  <c r="Z908" i="5" s="1"/>
  <c r="AF907" i="5"/>
  <c r="Y907" i="5"/>
  <c r="Z907" i="5" s="1"/>
  <c r="AF906" i="5"/>
  <c r="Y906" i="5"/>
  <c r="Z906" i="5" s="1"/>
  <c r="AF905" i="5"/>
  <c r="Y905" i="5"/>
  <c r="Z905" i="5" s="1"/>
  <c r="AF904" i="5"/>
  <c r="Y904" i="5"/>
  <c r="Z904" i="5" s="1"/>
  <c r="AF903" i="5"/>
  <c r="Y903" i="5"/>
  <c r="Z903" i="5" s="1"/>
  <c r="AF902" i="5"/>
  <c r="Y902" i="5"/>
  <c r="Z902" i="5" s="1"/>
  <c r="AF901" i="5"/>
  <c r="Y901" i="5"/>
  <c r="Z901" i="5" s="1"/>
  <c r="AF900" i="5"/>
  <c r="Y900" i="5"/>
  <c r="Z900" i="5" s="1"/>
  <c r="AF899" i="5"/>
  <c r="Y899" i="5"/>
  <c r="Z899" i="5" s="1"/>
  <c r="AF898" i="5"/>
  <c r="Y898" i="5"/>
  <c r="Z898" i="5" s="1"/>
  <c r="AF897" i="5"/>
  <c r="Y897" i="5"/>
  <c r="Z897" i="5" s="1"/>
  <c r="AF896" i="5"/>
  <c r="Y896" i="5"/>
  <c r="Z896" i="5" s="1"/>
  <c r="AF895" i="5"/>
  <c r="Y895" i="5"/>
  <c r="Z895" i="5" s="1"/>
  <c r="AF894" i="5"/>
  <c r="Y894" i="5"/>
  <c r="Z894" i="5" s="1"/>
  <c r="AF893" i="5"/>
  <c r="Y893" i="5"/>
  <c r="Z893" i="5" s="1"/>
  <c r="AF892" i="5"/>
  <c r="Y892" i="5"/>
  <c r="Z892" i="5" s="1"/>
  <c r="AF891" i="5"/>
  <c r="Y891" i="5"/>
  <c r="Z891" i="5" s="1"/>
  <c r="AF890" i="5"/>
  <c r="Y890" i="5"/>
  <c r="Z890" i="5" s="1"/>
  <c r="AF889" i="5"/>
  <c r="Y889" i="5"/>
  <c r="Z889" i="5" s="1"/>
  <c r="AF888" i="5"/>
  <c r="Y888" i="5"/>
  <c r="Z888" i="5" s="1"/>
  <c r="AF887" i="5"/>
  <c r="Y887" i="5"/>
  <c r="Z887" i="5" s="1"/>
  <c r="AF886" i="5"/>
  <c r="Y886" i="5"/>
  <c r="Z886" i="5" s="1"/>
  <c r="AF885" i="5"/>
  <c r="Y885" i="5"/>
  <c r="Z885" i="5" s="1"/>
  <c r="AF884" i="5"/>
  <c r="Y884" i="5"/>
  <c r="Z884" i="5" s="1"/>
  <c r="AF883" i="5"/>
  <c r="Y883" i="5"/>
  <c r="Z883" i="5" s="1"/>
  <c r="AF882" i="5"/>
  <c r="Y882" i="5"/>
  <c r="Z882" i="5" s="1"/>
  <c r="AF881" i="5"/>
  <c r="Y881" i="5"/>
  <c r="Z881" i="5" s="1"/>
  <c r="AF880" i="5"/>
  <c r="Y880" i="5"/>
  <c r="Z880" i="5" s="1"/>
  <c r="AF879" i="5"/>
  <c r="Y879" i="5"/>
  <c r="Z879" i="5" s="1"/>
  <c r="AF878" i="5"/>
  <c r="Y878" i="5"/>
  <c r="Z878" i="5" s="1"/>
  <c r="AF877" i="5"/>
  <c r="Y877" i="5"/>
  <c r="Z877" i="5" s="1"/>
  <c r="AF876" i="5"/>
  <c r="Y876" i="5"/>
  <c r="Z876" i="5" s="1"/>
  <c r="AF875" i="5"/>
  <c r="Y875" i="5"/>
  <c r="Z875" i="5" s="1"/>
  <c r="AF874" i="5"/>
  <c r="Y874" i="5"/>
  <c r="Z874" i="5" s="1"/>
  <c r="AF873" i="5"/>
  <c r="Y873" i="5"/>
  <c r="Z873" i="5" s="1"/>
  <c r="AF872" i="5"/>
  <c r="Y872" i="5"/>
  <c r="Z872" i="5" s="1"/>
  <c r="AF871" i="5"/>
  <c r="Y871" i="5"/>
  <c r="Z871" i="5" s="1"/>
  <c r="AF870" i="5"/>
  <c r="Y870" i="5"/>
  <c r="Z870" i="5" s="1"/>
  <c r="AF869" i="5"/>
  <c r="Y869" i="5"/>
  <c r="Z869" i="5" s="1"/>
  <c r="AF868" i="5"/>
  <c r="Y868" i="5"/>
  <c r="Z868" i="5" s="1"/>
  <c r="AF867" i="5"/>
  <c r="Y867" i="5"/>
  <c r="Z867" i="5" s="1"/>
  <c r="AF866" i="5"/>
  <c r="Y866" i="5"/>
  <c r="Z866" i="5" s="1"/>
  <c r="AF865" i="5"/>
  <c r="Y865" i="5"/>
  <c r="Z865" i="5" s="1"/>
  <c r="AF864" i="5"/>
  <c r="Y864" i="5"/>
  <c r="Z864" i="5" s="1"/>
  <c r="AF863" i="5"/>
  <c r="Y863" i="5"/>
  <c r="Z863" i="5" s="1"/>
  <c r="AF862" i="5"/>
  <c r="Y862" i="5"/>
  <c r="Z862" i="5" s="1"/>
  <c r="AF861" i="5"/>
  <c r="Y861" i="5"/>
  <c r="Z861" i="5" s="1"/>
  <c r="AF860" i="5"/>
  <c r="Y860" i="5"/>
  <c r="Z860" i="5" s="1"/>
  <c r="AF859" i="5"/>
  <c r="Y859" i="5"/>
  <c r="Z859" i="5" s="1"/>
  <c r="AF858" i="5"/>
  <c r="Y858" i="5"/>
  <c r="Z858" i="5" s="1"/>
  <c r="AF857" i="5"/>
  <c r="Y857" i="5"/>
  <c r="Z857" i="5" s="1"/>
  <c r="AF856" i="5"/>
  <c r="Y856" i="5"/>
  <c r="Z856" i="5" s="1"/>
  <c r="AF855" i="5"/>
  <c r="Y855" i="5"/>
  <c r="Z855" i="5" s="1"/>
  <c r="AF854" i="5"/>
  <c r="Y854" i="5"/>
  <c r="Z854" i="5" s="1"/>
  <c r="AF853" i="5"/>
  <c r="Y853" i="5"/>
  <c r="Z853" i="5" s="1"/>
  <c r="AF852" i="5"/>
  <c r="Y852" i="5"/>
  <c r="Z852" i="5" s="1"/>
  <c r="AF851" i="5"/>
  <c r="Y851" i="5"/>
  <c r="Z851" i="5" s="1"/>
  <c r="AF850" i="5"/>
  <c r="Y850" i="5"/>
  <c r="Z850" i="5" s="1"/>
  <c r="AF849" i="5"/>
  <c r="Y849" i="5"/>
  <c r="Z849" i="5" s="1"/>
  <c r="AF848" i="5"/>
  <c r="Y848" i="5"/>
  <c r="Z848" i="5" s="1"/>
  <c r="AF847" i="5"/>
  <c r="Y847" i="5"/>
  <c r="Z847" i="5" s="1"/>
  <c r="AF846" i="5"/>
  <c r="Y846" i="5"/>
  <c r="Z846" i="5" s="1"/>
  <c r="AF845" i="5"/>
  <c r="Y845" i="5"/>
  <c r="Z845" i="5" s="1"/>
  <c r="AF844" i="5"/>
  <c r="Y844" i="5"/>
  <c r="Z844" i="5" s="1"/>
  <c r="AF843" i="5"/>
  <c r="Y843" i="5"/>
  <c r="Z843" i="5" s="1"/>
  <c r="AF842" i="5"/>
  <c r="Y842" i="5"/>
  <c r="Z842" i="5" s="1"/>
  <c r="AF841" i="5"/>
  <c r="Y841" i="5"/>
  <c r="Z841" i="5" s="1"/>
  <c r="AF840" i="5"/>
  <c r="Y840" i="5"/>
  <c r="Z840" i="5" s="1"/>
  <c r="AF839" i="5"/>
  <c r="Y839" i="5"/>
  <c r="Z839" i="5" s="1"/>
  <c r="AF838" i="5"/>
  <c r="Y838" i="5"/>
  <c r="Z838" i="5" s="1"/>
  <c r="AF837" i="5"/>
  <c r="Y837" i="5"/>
  <c r="Z837" i="5" s="1"/>
  <c r="AF836" i="5"/>
  <c r="Y836" i="5"/>
  <c r="Z836" i="5" s="1"/>
  <c r="AF835" i="5"/>
  <c r="Y835" i="5"/>
  <c r="Z835" i="5" s="1"/>
  <c r="AF834" i="5"/>
  <c r="Y834" i="5"/>
  <c r="Z834" i="5" s="1"/>
  <c r="AF833" i="5"/>
  <c r="Y833" i="5"/>
  <c r="Z833" i="5" s="1"/>
  <c r="AF832" i="5"/>
  <c r="Y832" i="5"/>
  <c r="Z832" i="5" s="1"/>
  <c r="AF831" i="5"/>
  <c r="Y831" i="5"/>
  <c r="Z831" i="5" s="1"/>
  <c r="AF830" i="5"/>
  <c r="Y830" i="5"/>
  <c r="Z830" i="5" s="1"/>
  <c r="AF829" i="5"/>
  <c r="Y829" i="5"/>
  <c r="Z829" i="5" s="1"/>
  <c r="AF828" i="5"/>
  <c r="Y828" i="5"/>
  <c r="Z828" i="5" s="1"/>
  <c r="AF827" i="5"/>
  <c r="Y827" i="5"/>
  <c r="Z827" i="5" s="1"/>
  <c r="AF826" i="5"/>
  <c r="Y826" i="5"/>
  <c r="Z826" i="5" s="1"/>
  <c r="AF825" i="5"/>
  <c r="Y825" i="5"/>
  <c r="Z825" i="5" s="1"/>
  <c r="AF824" i="5"/>
  <c r="Y824" i="5"/>
  <c r="Z824" i="5" s="1"/>
  <c r="AF823" i="5"/>
  <c r="Y823" i="5"/>
  <c r="Z823" i="5" s="1"/>
  <c r="AF822" i="5"/>
  <c r="Y822" i="5"/>
  <c r="Z822" i="5" s="1"/>
  <c r="AF821" i="5"/>
  <c r="Y821" i="5"/>
  <c r="Z821" i="5" s="1"/>
  <c r="AF820" i="5"/>
  <c r="Y820" i="5"/>
  <c r="Z820" i="5" s="1"/>
  <c r="AF819" i="5"/>
  <c r="Y819" i="5"/>
  <c r="Z819" i="5" s="1"/>
  <c r="AF818" i="5"/>
  <c r="Y818" i="5"/>
  <c r="Z818" i="5" s="1"/>
  <c r="AF817" i="5"/>
  <c r="Y817" i="5"/>
  <c r="Z817" i="5" s="1"/>
  <c r="AF816" i="5"/>
  <c r="Y816" i="5"/>
  <c r="Z816" i="5" s="1"/>
  <c r="AF815" i="5"/>
  <c r="Y815" i="5"/>
  <c r="Z815" i="5" s="1"/>
  <c r="AF814" i="5"/>
  <c r="Y814" i="5"/>
  <c r="Z814" i="5" s="1"/>
  <c r="AF813" i="5"/>
  <c r="Y813" i="5"/>
  <c r="Z813" i="5" s="1"/>
  <c r="AF812" i="5"/>
  <c r="Y812" i="5"/>
  <c r="Z812" i="5" s="1"/>
  <c r="AF811" i="5"/>
  <c r="Y811" i="5"/>
  <c r="Z811" i="5" s="1"/>
  <c r="AF810" i="5"/>
  <c r="Y810" i="5"/>
  <c r="Z810" i="5" s="1"/>
  <c r="AF809" i="5"/>
  <c r="Y809" i="5"/>
  <c r="Z809" i="5" s="1"/>
  <c r="AF808" i="5"/>
  <c r="Y808" i="5"/>
  <c r="Z808" i="5" s="1"/>
  <c r="AF807" i="5"/>
  <c r="Y807" i="5"/>
  <c r="Z807" i="5" s="1"/>
  <c r="AF806" i="5"/>
  <c r="Y806" i="5"/>
  <c r="Z806" i="5" s="1"/>
  <c r="AF805" i="5"/>
  <c r="Y805" i="5"/>
  <c r="Z805" i="5" s="1"/>
  <c r="AF804" i="5"/>
  <c r="Y804" i="5"/>
  <c r="Z804" i="5" s="1"/>
  <c r="AF803" i="5"/>
  <c r="Y803" i="5"/>
  <c r="Z803" i="5" s="1"/>
  <c r="AF802" i="5"/>
  <c r="Y802" i="5"/>
  <c r="Z802" i="5" s="1"/>
  <c r="AF801" i="5"/>
  <c r="Y801" i="5"/>
  <c r="Z801" i="5" s="1"/>
  <c r="AF800" i="5"/>
  <c r="Y800" i="5"/>
  <c r="Z800" i="5" s="1"/>
  <c r="AF799" i="5"/>
  <c r="Y799" i="5"/>
  <c r="Z799" i="5" s="1"/>
  <c r="AF798" i="5"/>
  <c r="Y798" i="5"/>
  <c r="Z798" i="5" s="1"/>
  <c r="AF797" i="5"/>
  <c r="Y797" i="5"/>
  <c r="Z797" i="5" s="1"/>
  <c r="AF796" i="5"/>
  <c r="Y796" i="5"/>
  <c r="Z796" i="5" s="1"/>
  <c r="AF795" i="5"/>
  <c r="Y795" i="5"/>
  <c r="Z795" i="5" s="1"/>
  <c r="AF794" i="5"/>
  <c r="Y794" i="5"/>
  <c r="Z794" i="5" s="1"/>
  <c r="AF793" i="5"/>
  <c r="Y793" i="5"/>
  <c r="Z793" i="5" s="1"/>
  <c r="AF792" i="5"/>
  <c r="Y792" i="5"/>
  <c r="Z792" i="5" s="1"/>
  <c r="AF791" i="5"/>
  <c r="Y791" i="5"/>
  <c r="Z791" i="5" s="1"/>
  <c r="AF790" i="5"/>
  <c r="Y790" i="5"/>
  <c r="Z790" i="5" s="1"/>
  <c r="AF789" i="5"/>
  <c r="Y789" i="5"/>
  <c r="Z789" i="5" s="1"/>
  <c r="AF788" i="5"/>
  <c r="Y788" i="5"/>
  <c r="Z788" i="5" s="1"/>
  <c r="AF787" i="5"/>
  <c r="Y787" i="5"/>
  <c r="Z787" i="5" s="1"/>
  <c r="AF786" i="5"/>
  <c r="Y786" i="5"/>
  <c r="Z786" i="5" s="1"/>
  <c r="AF785" i="5"/>
  <c r="Y785" i="5"/>
  <c r="Z785" i="5" s="1"/>
  <c r="AF784" i="5"/>
  <c r="Y784" i="5"/>
  <c r="Z784" i="5" s="1"/>
  <c r="AF783" i="5"/>
  <c r="Y783" i="5"/>
  <c r="Z783" i="5" s="1"/>
  <c r="AF782" i="5"/>
  <c r="Y782" i="5"/>
  <c r="Z782" i="5" s="1"/>
  <c r="AF781" i="5"/>
  <c r="Y781" i="5"/>
  <c r="Z781" i="5" s="1"/>
  <c r="AF780" i="5"/>
  <c r="Y780" i="5"/>
  <c r="Z780" i="5" s="1"/>
  <c r="AF779" i="5"/>
  <c r="Y779" i="5"/>
  <c r="Z779" i="5" s="1"/>
  <c r="AF778" i="5"/>
  <c r="Y778" i="5"/>
  <c r="Z778" i="5" s="1"/>
  <c r="AF777" i="5"/>
  <c r="Y777" i="5"/>
  <c r="Z777" i="5" s="1"/>
  <c r="AF776" i="5"/>
  <c r="Y776" i="5"/>
  <c r="Z776" i="5" s="1"/>
  <c r="AF775" i="5"/>
  <c r="Y775" i="5"/>
  <c r="Z775" i="5" s="1"/>
  <c r="AF774" i="5"/>
  <c r="Y774" i="5"/>
  <c r="Z774" i="5" s="1"/>
  <c r="AF773" i="5"/>
  <c r="Y773" i="5"/>
  <c r="Z773" i="5" s="1"/>
  <c r="AF772" i="5"/>
  <c r="Y772" i="5"/>
  <c r="Z772" i="5" s="1"/>
  <c r="AF771" i="5"/>
  <c r="Y771" i="5"/>
  <c r="Z771" i="5" s="1"/>
  <c r="AF770" i="5"/>
  <c r="Y770" i="5"/>
  <c r="Z770" i="5" s="1"/>
  <c r="AF769" i="5"/>
  <c r="Y769" i="5"/>
  <c r="Z769" i="5" s="1"/>
  <c r="AF768" i="5"/>
  <c r="Y768" i="5"/>
  <c r="Z768" i="5" s="1"/>
  <c r="AF767" i="5"/>
  <c r="Y767" i="5"/>
  <c r="Z767" i="5" s="1"/>
  <c r="AF766" i="5"/>
  <c r="Y766" i="5"/>
  <c r="Z766" i="5" s="1"/>
  <c r="AF765" i="5"/>
  <c r="Y765" i="5"/>
  <c r="Z765" i="5" s="1"/>
  <c r="AF764" i="5"/>
  <c r="Y764" i="5"/>
  <c r="Z764" i="5" s="1"/>
  <c r="AF763" i="5"/>
  <c r="Y763" i="5"/>
  <c r="Z763" i="5" s="1"/>
  <c r="AF762" i="5"/>
  <c r="Y762" i="5"/>
  <c r="Z762" i="5" s="1"/>
  <c r="AF761" i="5"/>
  <c r="Y761" i="5"/>
  <c r="Z761" i="5" s="1"/>
  <c r="AF760" i="5"/>
  <c r="Y760" i="5"/>
  <c r="Z760" i="5" s="1"/>
  <c r="AF759" i="5"/>
  <c r="Y759" i="5"/>
  <c r="Z759" i="5" s="1"/>
  <c r="AF758" i="5"/>
  <c r="Y758" i="5"/>
  <c r="AF757" i="5"/>
  <c r="Y757" i="5"/>
  <c r="AF756" i="5"/>
  <c r="Y756" i="5"/>
  <c r="AF755" i="5"/>
  <c r="Y755" i="5"/>
  <c r="AF754" i="5"/>
  <c r="Y754" i="5"/>
  <c r="AF753" i="5"/>
  <c r="Y753" i="5"/>
  <c r="AF752" i="5"/>
  <c r="Y752" i="5"/>
  <c r="AF751" i="5"/>
  <c r="Y751" i="5"/>
  <c r="AF750" i="5"/>
  <c r="Y750" i="5"/>
  <c r="AF749" i="5"/>
  <c r="Y749" i="5"/>
  <c r="AF748" i="5"/>
  <c r="Y748" i="5"/>
  <c r="AF747" i="5"/>
  <c r="Y747" i="5"/>
  <c r="AF746" i="5"/>
  <c r="Y746" i="5"/>
  <c r="AF745" i="5"/>
  <c r="Y745" i="5"/>
  <c r="AF744" i="5"/>
  <c r="Y744" i="5"/>
  <c r="AF743" i="5"/>
  <c r="Y743" i="5"/>
  <c r="AF742" i="5"/>
  <c r="Y742" i="5"/>
  <c r="AF741" i="5"/>
  <c r="Y741" i="5"/>
  <c r="AF740" i="5"/>
  <c r="Y740" i="5"/>
  <c r="AF739" i="5"/>
  <c r="Y739" i="5"/>
  <c r="AF738" i="5"/>
  <c r="Y738" i="5"/>
  <c r="AF737" i="5"/>
  <c r="Y737" i="5"/>
  <c r="AF736" i="5"/>
  <c r="Y736" i="5"/>
  <c r="AF735" i="5"/>
  <c r="Y735" i="5"/>
  <c r="AF734" i="5"/>
  <c r="Y734" i="5"/>
  <c r="AF733" i="5"/>
  <c r="Y733" i="5"/>
  <c r="AF732" i="5"/>
  <c r="Y732" i="5"/>
  <c r="AF731" i="5"/>
  <c r="Y731" i="5"/>
  <c r="AF730" i="5"/>
  <c r="Y730" i="5"/>
  <c r="AF729" i="5"/>
  <c r="Y729" i="5"/>
  <c r="AF728" i="5"/>
  <c r="Y728" i="5"/>
  <c r="AF727" i="5"/>
  <c r="Y727" i="5"/>
  <c r="AF726" i="5"/>
  <c r="Y726" i="5"/>
  <c r="AF725" i="5"/>
  <c r="Y725" i="5"/>
  <c r="AF724" i="5"/>
  <c r="Y724" i="5"/>
  <c r="AF723" i="5"/>
  <c r="Y723" i="5"/>
  <c r="AF722" i="5"/>
  <c r="Y722" i="5"/>
  <c r="AF721" i="5"/>
  <c r="Y721" i="5"/>
  <c r="AF720" i="5"/>
  <c r="Y720" i="5"/>
  <c r="AF719" i="5"/>
  <c r="Y719" i="5"/>
  <c r="AF718" i="5"/>
  <c r="Y718" i="5"/>
  <c r="AF717" i="5"/>
  <c r="Y717" i="5"/>
  <c r="AF716" i="5"/>
  <c r="Y716" i="5"/>
  <c r="AF715" i="5"/>
  <c r="Y715" i="5"/>
  <c r="AF714" i="5"/>
  <c r="Y714" i="5"/>
  <c r="AF713" i="5"/>
  <c r="Y713" i="5"/>
  <c r="AF712" i="5"/>
  <c r="Y712" i="5"/>
  <c r="AF711" i="5"/>
  <c r="Y711" i="5"/>
  <c r="AF710" i="5"/>
  <c r="Y710" i="5"/>
  <c r="AF709" i="5"/>
  <c r="Y709" i="5"/>
  <c r="AF708" i="5"/>
  <c r="Y708" i="5"/>
  <c r="AF707" i="5"/>
  <c r="Y707" i="5"/>
  <c r="AF706" i="5"/>
  <c r="Y706" i="5"/>
  <c r="AF705" i="5"/>
  <c r="Y705" i="5"/>
  <c r="AF704" i="5"/>
  <c r="Y704" i="5"/>
  <c r="AF703" i="5"/>
  <c r="Y703" i="5"/>
  <c r="AF702" i="5"/>
  <c r="Y702" i="5"/>
  <c r="AF701" i="5"/>
  <c r="Y701" i="5"/>
  <c r="AF700" i="5"/>
  <c r="Y700" i="5"/>
  <c r="AF699" i="5"/>
  <c r="Y699" i="5"/>
  <c r="AF698" i="5"/>
  <c r="Y698" i="5"/>
  <c r="AF697" i="5"/>
  <c r="Y697" i="5"/>
  <c r="AF696" i="5"/>
  <c r="Y696" i="5"/>
  <c r="AF695" i="5"/>
  <c r="Y695" i="5"/>
  <c r="AF694" i="5"/>
  <c r="Y694" i="5"/>
  <c r="AF693" i="5"/>
  <c r="Y693" i="5"/>
  <c r="AF692" i="5"/>
  <c r="Y692" i="5"/>
  <c r="AF691" i="5"/>
  <c r="Y691" i="5"/>
  <c r="AF690" i="5"/>
  <c r="Y690" i="5"/>
  <c r="AF689" i="5"/>
  <c r="Y689" i="5"/>
  <c r="AF688" i="5"/>
  <c r="Y688" i="5"/>
  <c r="AF687" i="5"/>
  <c r="Y687" i="5"/>
  <c r="AF686" i="5"/>
  <c r="Y686" i="5"/>
  <c r="AF685" i="5"/>
  <c r="Y685" i="5"/>
  <c r="AF684" i="5"/>
  <c r="Y684" i="5"/>
  <c r="AF683" i="5"/>
  <c r="Y683" i="5"/>
  <c r="AF682" i="5"/>
  <c r="Y682" i="5"/>
  <c r="AF681" i="5"/>
  <c r="Y681" i="5"/>
  <c r="AF680" i="5"/>
  <c r="Y680" i="5"/>
  <c r="AF679" i="5"/>
  <c r="Y679" i="5"/>
  <c r="AF678" i="5"/>
  <c r="Y678" i="5"/>
  <c r="AF677" i="5"/>
  <c r="Y677" i="5"/>
  <c r="AF676" i="5"/>
  <c r="Y676" i="5"/>
  <c r="AF675" i="5"/>
  <c r="Y675" i="5"/>
  <c r="AF674" i="5"/>
  <c r="Y674" i="5"/>
  <c r="AF673" i="5"/>
  <c r="Y673" i="5"/>
  <c r="AF672" i="5"/>
  <c r="Y672" i="5"/>
  <c r="AF671" i="5"/>
  <c r="Y671" i="5"/>
  <c r="AF670" i="5"/>
  <c r="Y670" i="5"/>
  <c r="AF669" i="5"/>
  <c r="Y669" i="5"/>
  <c r="AF668" i="5"/>
  <c r="Y668" i="5"/>
  <c r="AF667" i="5"/>
  <c r="Y667" i="5"/>
  <c r="AF666" i="5"/>
  <c r="Y666" i="5"/>
  <c r="AF665" i="5"/>
  <c r="Y665" i="5"/>
  <c r="AF664" i="5"/>
  <c r="Y664" i="5"/>
  <c r="AF663" i="5"/>
  <c r="Y663" i="5"/>
  <c r="AF662" i="5"/>
  <c r="Y662" i="5"/>
  <c r="AF661" i="5"/>
  <c r="Y661" i="5"/>
  <c r="AF660" i="5"/>
  <c r="Y660" i="5"/>
  <c r="AF659" i="5"/>
  <c r="Y659" i="5"/>
  <c r="AF658" i="5"/>
  <c r="Y658" i="5"/>
  <c r="AF657" i="5"/>
  <c r="Y657" i="5"/>
  <c r="AF656" i="5"/>
  <c r="Y656" i="5"/>
  <c r="AF655" i="5"/>
  <c r="Y655" i="5"/>
  <c r="AF654" i="5"/>
  <c r="Y654" i="5"/>
  <c r="AF653" i="5"/>
  <c r="Y653" i="5"/>
  <c r="AF652" i="5"/>
  <c r="Y652" i="5"/>
  <c r="AF651" i="5"/>
  <c r="Y651" i="5"/>
  <c r="AF650" i="5"/>
  <c r="Y650" i="5"/>
  <c r="AF649" i="5"/>
  <c r="Y649" i="5"/>
  <c r="AF648" i="5"/>
  <c r="Y648" i="5"/>
  <c r="AF647" i="5"/>
  <c r="Y647" i="5"/>
  <c r="AF646" i="5"/>
  <c r="Y646" i="5"/>
  <c r="AF645" i="5"/>
  <c r="Y645" i="5"/>
  <c r="AF644" i="5"/>
  <c r="Y644" i="5"/>
  <c r="AF643" i="5"/>
  <c r="Y643" i="5"/>
  <c r="AF642" i="5"/>
  <c r="Y642" i="5"/>
  <c r="AF641" i="5"/>
  <c r="Y641" i="5"/>
  <c r="AF640" i="5"/>
  <c r="Y640" i="5"/>
  <c r="AF639" i="5"/>
  <c r="Y639" i="5"/>
  <c r="AF638" i="5"/>
  <c r="Y638" i="5"/>
  <c r="AF637" i="5"/>
  <c r="Y637" i="5"/>
  <c r="AF636" i="5"/>
  <c r="Y636" i="5"/>
  <c r="AF635" i="5"/>
  <c r="Y635" i="5"/>
  <c r="AF634" i="5"/>
  <c r="Y634" i="5"/>
  <c r="AF633" i="5"/>
  <c r="Y633" i="5"/>
  <c r="AF632" i="5"/>
  <c r="Y632" i="5"/>
  <c r="AF631" i="5"/>
  <c r="Y631" i="5"/>
  <c r="AF630" i="5"/>
  <c r="Y630" i="5"/>
  <c r="AF629" i="5"/>
  <c r="Y629" i="5"/>
  <c r="AF628" i="5"/>
  <c r="Y628" i="5"/>
  <c r="AF627" i="5"/>
  <c r="Y627" i="5"/>
  <c r="AF626" i="5"/>
  <c r="Y626" i="5"/>
  <c r="AF625" i="5"/>
  <c r="Y625" i="5"/>
  <c r="AF624" i="5"/>
  <c r="Y624" i="5"/>
  <c r="AF623" i="5"/>
  <c r="Y623" i="5"/>
  <c r="AF622" i="5"/>
  <c r="Y622" i="5"/>
  <c r="AF621" i="5"/>
  <c r="Y621" i="5"/>
  <c r="AF620" i="5"/>
  <c r="Y620" i="5"/>
  <c r="AF619" i="5"/>
  <c r="Y619" i="5"/>
  <c r="AF618" i="5"/>
  <c r="Y618" i="5"/>
  <c r="AF617" i="5"/>
  <c r="Y617" i="5"/>
  <c r="AF616" i="5"/>
  <c r="Y616" i="5"/>
  <c r="AF615" i="5"/>
  <c r="Y615" i="5"/>
  <c r="AF614" i="5"/>
  <c r="Y614" i="5"/>
  <c r="AF613" i="5"/>
  <c r="Y613" i="5"/>
  <c r="AF612" i="5"/>
  <c r="Y612" i="5"/>
  <c r="AF611" i="5"/>
  <c r="Y611" i="5"/>
  <c r="AF610" i="5"/>
  <c r="Y610" i="5"/>
  <c r="AF609" i="5"/>
  <c r="Y609" i="5"/>
  <c r="AF608" i="5"/>
  <c r="Y608" i="5"/>
  <c r="AF607" i="5"/>
  <c r="Y607" i="5"/>
  <c r="AF606" i="5"/>
  <c r="Y606" i="5"/>
  <c r="AF605" i="5"/>
  <c r="Y605" i="5"/>
  <c r="AF604" i="5"/>
  <c r="Y604" i="5"/>
  <c r="AF603" i="5"/>
  <c r="Y603" i="5"/>
  <c r="AF602" i="5"/>
  <c r="Y602" i="5"/>
  <c r="AF601" i="5"/>
  <c r="Y601" i="5"/>
  <c r="AF600" i="5"/>
  <c r="Y600" i="5"/>
  <c r="AF599" i="5"/>
  <c r="Y599" i="5"/>
  <c r="AF598" i="5"/>
  <c r="Y598" i="5"/>
  <c r="AF597" i="5"/>
  <c r="Y597" i="5"/>
  <c r="AF596" i="5"/>
  <c r="Y596" i="5"/>
  <c r="AF595" i="5"/>
  <c r="Y595" i="5"/>
  <c r="AF594" i="5"/>
  <c r="Y594" i="5"/>
  <c r="AF593" i="5"/>
  <c r="Y593" i="5"/>
  <c r="AF592" i="5"/>
  <c r="Y592" i="5"/>
  <c r="AF591" i="5"/>
  <c r="Y591" i="5"/>
  <c r="AF590" i="5"/>
  <c r="Y590" i="5"/>
  <c r="AF589" i="5"/>
  <c r="Y589" i="5"/>
  <c r="AF588" i="5"/>
  <c r="Y588" i="5"/>
  <c r="AF587" i="5"/>
  <c r="Y587" i="5"/>
  <c r="AF586" i="5"/>
  <c r="Y586" i="5"/>
  <c r="AF585" i="5"/>
  <c r="Y585" i="5"/>
  <c r="AF584" i="5"/>
  <c r="Y584" i="5"/>
  <c r="AF583" i="5"/>
  <c r="Y583" i="5"/>
  <c r="AF582" i="5"/>
  <c r="Y582" i="5"/>
  <c r="AF581" i="5"/>
  <c r="Y581" i="5"/>
  <c r="AF580" i="5"/>
  <c r="Y580" i="5"/>
  <c r="AF579" i="5"/>
  <c r="Y579" i="5"/>
  <c r="AF578" i="5"/>
  <c r="Y578" i="5"/>
  <c r="AF577" i="5"/>
  <c r="Y577" i="5"/>
  <c r="AF576" i="5"/>
  <c r="Y576" i="5"/>
  <c r="AF575" i="5"/>
  <c r="Y575" i="5"/>
  <c r="AF574" i="5"/>
  <c r="Y574" i="5"/>
  <c r="AF573" i="5"/>
  <c r="Y573" i="5"/>
  <c r="AF572" i="5"/>
  <c r="Y572" i="5"/>
  <c r="AF571" i="5"/>
  <c r="Y571" i="5"/>
  <c r="AF570" i="5"/>
  <c r="Y570" i="5"/>
  <c r="AF569" i="5"/>
  <c r="Y569" i="5"/>
  <c r="AF568" i="5"/>
  <c r="Y568" i="5"/>
  <c r="AF567" i="5"/>
  <c r="Y567" i="5"/>
  <c r="AF566" i="5"/>
  <c r="Y566" i="5"/>
  <c r="AF565" i="5"/>
  <c r="Y565" i="5"/>
  <c r="AF564" i="5"/>
  <c r="Y564" i="5"/>
  <c r="AF563" i="5"/>
  <c r="Y563" i="5"/>
  <c r="AF562" i="5"/>
  <c r="Y562" i="5"/>
  <c r="AF561" i="5"/>
  <c r="Y561" i="5"/>
  <c r="AF560" i="5"/>
  <c r="Y560" i="5"/>
  <c r="AF559" i="5"/>
  <c r="Y559" i="5"/>
  <c r="AF558" i="5"/>
  <c r="Y558" i="5"/>
  <c r="AF557" i="5"/>
  <c r="Y557" i="5"/>
  <c r="AF556" i="5"/>
  <c r="Y556" i="5"/>
  <c r="AF555" i="5"/>
  <c r="Y555" i="5"/>
  <c r="AF554" i="5"/>
  <c r="Y554" i="5"/>
  <c r="AF553" i="5"/>
  <c r="Y553" i="5"/>
  <c r="AF552" i="5"/>
  <c r="Y552" i="5"/>
  <c r="AF551" i="5"/>
  <c r="W551" i="5"/>
  <c r="Y551" i="5" s="1"/>
  <c r="AF550" i="5"/>
  <c r="Y550" i="5"/>
  <c r="AF549" i="5"/>
  <c r="Y549" i="5"/>
  <c r="AF548" i="5"/>
  <c r="Y548" i="5"/>
  <c r="AF547" i="5"/>
  <c r="Y547" i="5"/>
  <c r="AF546" i="5"/>
  <c r="Y546" i="5"/>
  <c r="AF545" i="5"/>
  <c r="Y545" i="5"/>
  <c r="AF544" i="5"/>
  <c r="Y544" i="5"/>
  <c r="AF543" i="5"/>
  <c r="Y543" i="5"/>
  <c r="AF542" i="5"/>
  <c r="Y542" i="5"/>
  <c r="AF541" i="5"/>
  <c r="Y541" i="5"/>
  <c r="AF540" i="5"/>
  <c r="Y540" i="5"/>
  <c r="AF539" i="5"/>
  <c r="Y539" i="5"/>
  <c r="AF538" i="5"/>
  <c r="Y538" i="5"/>
  <c r="AF537" i="5"/>
  <c r="Y537" i="5"/>
  <c r="AF536" i="5"/>
  <c r="Y536" i="5"/>
  <c r="AF535" i="5"/>
  <c r="Y535" i="5"/>
  <c r="AF534" i="5"/>
  <c r="Y534" i="5"/>
  <c r="AF533" i="5"/>
  <c r="Y533" i="5"/>
  <c r="AF532" i="5"/>
  <c r="Y532" i="5"/>
  <c r="AF531" i="5"/>
  <c r="Y531" i="5"/>
  <c r="AF530" i="5"/>
  <c r="Y530" i="5"/>
  <c r="AF529" i="5"/>
  <c r="Y529" i="5"/>
  <c r="AF528" i="5"/>
  <c r="Y528" i="5"/>
  <c r="AF527" i="5"/>
  <c r="Y527" i="5"/>
  <c r="AF526" i="5"/>
  <c r="Y526" i="5"/>
  <c r="AF525" i="5"/>
  <c r="Y525" i="5"/>
  <c r="AF524" i="5"/>
  <c r="Y524" i="5"/>
  <c r="AF523" i="5"/>
  <c r="Y523" i="5"/>
  <c r="AF522" i="5"/>
  <c r="Y522" i="5"/>
  <c r="AF521" i="5"/>
  <c r="Y521" i="5"/>
  <c r="AF520" i="5"/>
  <c r="Y520" i="5"/>
  <c r="AF519" i="5"/>
  <c r="Y519" i="5"/>
  <c r="AF518" i="5"/>
  <c r="Y518" i="5"/>
  <c r="AF517" i="5"/>
  <c r="Y517" i="5"/>
  <c r="AF516" i="5"/>
  <c r="Y516" i="5"/>
  <c r="AF515" i="5"/>
  <c r="Y515" i="5"/>
  <c r="AF514" i="5"/>
  <c r="Y514" i="5"/>
  <c r="AF513" i="5"/>
  <c r="Y513" i="5"/>
  <c r="AF512" i="5"/>
  <c r="Y512" i="5"/>
  <c r="AF511" i="5"/>
  <c r="Y511" i="5"/>
  <c r="AF510" i="5"/>
  <c r="Y510" i="5"/>
  <c r="AF509" i="5"/>
  <c r="Y509" i="5"/>
  <c r="AF508" i="5"/>
  <c r="Y508" i="5"/>
  <c r="AF507" i="5"/>
  <c r="Y507" i="5"/>
  <c r="AF506" i="5"/>
  <c r="Y506" i="5"/>
  <c r="AF505" i="5"/>
  <c r="Y505" i="5"/>
  <c r="AF504" i="5"/>
  <c r="Y504" i="5"/>
  <c r="AF503" i="5"/>
  <c r="Y503" i="5"/>
  <c r="AF502" i="5"/>
  <c r="Y502" i="5"/>
  <c r="AF501" i="5"/>
  <c r="Y501" i="5"/>
  <c r="AF500" i="5"/>
  <c r="Y500" i="5"/>
  <c r="AF499" i="5"/>
  <c r="Y499" i="5"/>
  <c r="AF498" i="5"/>
  <c r="Y498" i="5"/>
  <c r="AF497" i="5"/>
  <c r="Y497" i="5"/>
  <c r="AF496" i="5"/>
  <c r="Y496" i="5"/>
  <c r="AF495" i="5"/>
  <c r="Y495" i="5"/>
  <c r="AF494" i="5"/>
  <c r="Y494" i="5"/>
  <c r="AF493" i="5"/>
  <c r="Y493" i="5"/>
  <c r="AF492" i="5"/>
  <c r="Y492" i="5"/>
  <c r="AF491" i="5"/>
  <c r="Y491" i="5"/>
  <c r="AF490" i="5"/>
  <c r="Y490" i="5"/>
  <c r="AF489" i="5"/>
  <c r="Y489" i="5"/>
  <c r="AF488" i="5"/>
  <c r="Y488" i="5"/>
  <c r="AF487" i="5"/>
  <c r="Y487" i="5"/>
  <c r="AF486" i="5"/>
  <c r="Y486" i="5"/>
  <c r="AF485" i="5"/>
  <c r="Y485" i="5"/>
  <c r="AF484" i="5"/>
  <c r="Y484" i="5"/>
  <c r="AF483" i="5"/>
  <c r="Y483" i="5"/>
  <c r="AF482" i="5"/>
  <c r="Y482" i="5"/>
  <c r="AF481" i="5"/>
  <c r="Y481" i="5"/>
  <c r="AF480" i="5"/>
  <c r="Y480" i="5"/>
  <c r="AF479" i="5"/>
  <c r="Y479" i="5"/>
  <c r="AF478" i="5"/>
  <c r="Y478" i="5"/>
  <c r="AF477" i="5"/>
  <c r="Y477" i="5"/>
  <c r="AF476" i="5"/>
  <c r="Y476" i="5"/>
  <c r="AF475" i="5"/>
  <c r="Y475" i="5"/>
  <c r="AF474" i="5"/>
  <c r="Y474" i="5"/>
  <c r="AF473" i="5"/>
  <c r="Y473" i="5"/>
  <c r="AF472" i="5"/>
  <c r="Y472" i="5"/>
  <c r="AF471" i="5"/>
  <c r="Y471" i="5"/>
  <c r="AF470" i="5"/>
  <c r="Y470" i="5"/>
  <c r="AF469" i="5"/>
  <c r="Y469" i="5"/>
  <c r="AF468" i="5"/>
  <c r="Y468" i="5"/>
  <c r="AF467" i="5"/>
  <c r="Y467" i="5"/>
  <c r="AF466" i="5"/>
  <c r="Y466" i="5"/>
  <c r="AF465" i="5"/>
  <c r="Y465" i="5"/>
  <c r="AF464" i="5"/>
  <c r="Y464" i="5"/>
  <c r="AF463" i="5"/>
  <c r="Y463" i="5"/>
  <c r="AF462" i="5"/>
  <c r="Y462" i="5"/>
  <c r="AF461" i="5"/>
  <c r="Y461" i="5"/>
  <c r="AF460" i="5"/>
  <c r="Y460" i="5"/>
  <c r="AF459" i="5"/>
  <c r="Y459" i="5"/>
  <c r="AF458" i="5"/>
  <c r="Y458" i="5"/>
  <c r="AF457" i="5"/>
  <c r="Y457" i="5"/>
  <c r="AF456" i="5"/>
  <c r="Y456" i="5"/>
  <c r="AF455" i="5"/>
  <c r="Y455" i="5"/>
  <c r="AF454" i="5"/>
  <c r="Y454" i="5"/>
  <c r="AF453" i="5"/>
  <c r="Y453" i="5"/>
  <c r="AF452" i="5"/>
  <c r="Y452" i="5"/>
  <c r="AF451" i="5"/>
  <c r="Y451" i="5"/>
  <c r="AF450" i="5"/>
  <c r="Y450" i="5"/>
  <c r="AF449" i="5"/>
  <c r="Y449" i="5"/>
  <c r="AF448" i="5"/>
  <c r="Y448" i="5"/>
  <c r="AF447" i="5"/>
  <c r="Y447" i="5"/>
  <c r="AF446" i="5"/>
  <c r="Y446" i="5"/>
  <c r="AF445" i="5"/>
  <c r="Y445" i="5"/>
  <c r="AF444" i="5"/>
  <c r="Y444" i="5"/>
  <c r="AF443" i="5"/>
  <c r="Y443" i="5"/>
  <c r="AF442" i="5"/>
  <c r="Y442" i="5"/>
  <c r="AF441" i="5"/>
  <c r="Y441" i="5"/>
  <c r="AF440" i="5"/>
  <c r="Y440" i="5"/>
  <c r="AF439" i="5"/>
  <c r="Y439" i="5"/>
  <c r="AF438" i="5"/>
  <c r="Y438" i="5"/>
  <c r="AF437" i="5"/>
  <c r="Y437" i="5"/>
  <c r="AF436" i="5"/>
  <c r="Y436" i="5"/>
  <c r="AF435" i="5"/>
  <c r="Y435" i="5"/>
  <c r="AF434" i="5"/>
  <c r="Y434" i="5"/>
  <c r="AF433" i="5"/>
  <c r="Y433" i="5"/>
  <c r="AF432" i="5"/>
  <c r="Y432" i="5"/>
  <c r="AF431" i="5"/>
  <c r="Y431" i="5"/>
  <c r="AF430" i="5"/>
  <c r="Y430" i="5"/>
  <c r="AF429" i="5"/>
  <c r="Y429" i="5"/>
  <c r="AF428" i="5"/>
  <c r="Y428" i="5"/>
  <c r="AF427" i="5"/>
  <c r="Y427" i="5"/>
  <c r="AF426" i="5"/>
  <c r="Y426" i="5"/>
  <c r="AF425" i="5"/>
  <c r="Y425" i="5"/>
  <c r="AF424" i="5"/>
  <c r="Y424" i="5"/>
  <c r="AF423" i="5"/>
  <c r="Y423" i="5"/>
  <c r="AF422" i="5"/>
  <c r="Y422" i="5"/>
  <c r="AF421" i="5"/>
  <c r="Y421" i="5"/>
  <c r="AF420" i="5"/>
  <c r="Y420" i="5"/>
  <c r="AF419" i="5"/>
  <c r="Y419" i="5"/>
  <c r="AF418" i="5"/>
  <c r="Y418" i="5"/>
  <c r="AF417" i="5"/>
  <c r="Y417" i="5"/>
  <c r="AF416" i="5"/>
  <c r="Y416" i="5"/>
  <c r="AF415" i="5"/>
  <c r="Y415" i="5"/>
  <c r="AF414" i="5"/>
  <c r="Y414" i="5"/>
  <c r="AF413" i="5"/>
  <c r="Y413" i="5"/>
  <c r="AF412" i="5"/>
  <c r="Y412" i="5"/>
  <c r="AF411" i="5"/>
  <c r="Y411" i="5"/>
  <c r="AF410" i="5"/>
  <c r="Y410" i="5"/>
  <c r="AF409" i="5"/>
  <c r="Y409" i="5"/>
  <c r="AF408" i="5"/>
  <c r="Y408" i="5"/>
  <c r="AF407" i="5"/>
  <c r="Y407" i="5"/>
  <c r="AF406" i="5"/>
  <c r="Y406" i="5"/>
  <c r="AF405" i="5"/>
  <c r="Y405" i="5"/>
  <c r="AF404" i="5"/>
  <c r="Y404" i="5"/>
  <c r="AF403" i="5"/>
  <c r="Y403" i="5"/>
  <c r="AF402" i="5"/>
  <c r="Y402" i="5"/>
  <c r="AF401" i="5"/>
  <c r="Y401" i="5"/>
  <c r="AF400" i="5"/>
  <c r="Y400" i="5"/>
  <c r="AF399" i="5"/>
  <c r="Y399" i="5"/>
  <c r="AF398" i="5"/>
  <c r="Y398" i="5"/>
  <c r="AF397" i="5"/>
  <c r="Y397" i="5"/>
  <c r="AF396" i="5"/>
  <c r="Y396" i="5"/>
  <c r="AF395" i="5"/>
  <c r="Y395" i="5"/>
  <c r="AF394" i="5"/>
  <c r="Y394" i="5"/>
  <c r="AF393" i="5"/>
  <c r="Y393" i="5"/>
  <c r="AF392" i="5"/>
  <c r="Y392" i="5"/>
  <c r="AF391" i="5"/>
  <c r="Y391" i="5"/>
  <c r="AF390" i="5"/>
  <c r="Y390" i="5"/>
  <c r="AF389" i="5"/>
  <c r="Y389" i="5"/>
  <c r="AF388" i="5"/>
  <c r="Y388" i="5"/>
  <c r="AF387" i="5"/>
  <c r="Y387" i="5"/>
  <c r="AF386" i="5"/>
  <c r="Y386" i="5"/>
  <c r="AF385" i="5"/>
  <c r="Y385" i="5"/>
  <c r="AF384" i="5"/>
  <c r="Y384" i="5"/>
  <c r="AF383" i="5"/>
  <c r="Y383" i="5"/>
  <c r="AF382" i="5"/>
  <c r="Y382" i="5"/>
  <c r="AF381" i="5"/>
  <c r="Y381" i="5"/>
  <c r="AF380" i="5"/>
  <c r="Y380" i="5"/>
  <c r="AF379" i="5"/>
  <c r="Y379" i="5"/>
  <c r="AF378" i="5"/>
  <c r="Y378" i="5"/>
  <c r="AF377" i="5"/>
  <c r="Y377" i="5"/>
  <c r="AF376" i="5"/>
  <c r="Y376" i="5"/>
  <c r="AF375" i="5"/>
  <c r="Y375" i="5"/>
  <c r="AF374" i="5"/>
  <c r="Y374" i="5"/>
  <c r="AF373" i="5"/>
  <c r="Y373" i="5"/>
  <c r="AF372" i="5"/>
  <c r="Y372" i="5"/>
  <c r="AF371" i="5"/>
  <c r="Y371" i="5"/>
  <c r="AF370" i="5"/>
  <c r="Y370" i="5"/>
  <c r="AF369" i="5"/>
  <c r="Y369" i="5"/>
  <c r="AF368" i="5"/>
  <c r="Y368" i="5"/>
  <c r="AF367" i="5"/>
  <c r="Y367" i="5"/>
  <c r="AF366" i="5"/>
  <c r="Y366" i="5"/>
  <c r="AF365" i="5"/>
  <c r="Y365" i="5"/>
  <c r="AF364" i="5"/>
  <c r="Y364" i="5"/>
  <c r="AF363" i="5"/>
  <c r="Y363" i="5"/>
  <c r="AF362" i="5"/>
  <c r="Y362" i="5"/>
  <c r="AF361" i="5"/>
  <c r="Y361" i="5"/>
  <c r="AF360" i="5"/>
  <c r="Y360" i="5"/>
  <c r="AF359" i="5"/>
  <c r="Y359" i="5"/>
  <c r="AF358" i="5"/>
  <c r="Y358" i="5"/>
  <c r="AF357" i="5"/>
  <c r="Y357" i="5"/>
  <c r="AF356" i="5"/>
  <c r="Y356" i="5"/>
  <c r="AF355" i="5"/>
  <c r="Y355" i="5"/>
  <c r="AF354" i="5"/>
  <c r="Y354" i="5"/>
  <c r="AF353" i="5"/>
  <c r="Y353" i="5"/>
  <c r="AF352" i="5"/>
  <c r="Y352" i="5"/>
  <c r="AF351" i="5"/>
  <c r="Y351" i="5"/>
  <c r="AF350" i="5"/>
  <c r="Y350" i="5"/>
  <c r="AF349" i="5"/>
  <c r="Y349" i="5"/>
  <c r="AF348" i="5"/>
  <c r="Y348" i="5"/>
  <c r="AF347" i="5"/>
  <c r="Y347" i="5"/>
  <c r="AF346" i="5"/>
  <c r="Y346" i="5"/>
  <c r="AF345" i="5"/>
  <c r="Y345" i="5"/>
  <c r="AF344" i="5"/>
  <c r="Y344" i="5"/>
  <c r="AF343" i="5"/>
  <c r="Y343" i="5"/>
  <c r="AF342" i="5"/>
  <c r="Y342" i="5"/>
  <c r="AF341" i="5"/>
  <c r="Y341" i="5"/>
  <c r="AF340" i="5"/>
  <c r="Y340" i="5"/>
  <c r="AF339" i="5"/>
  <c r="Y339" i="5"/>
  <c r="AF338" i="5"/>
  <c r="Y338" i="5"/>
  <c r="AF337" i="5"/>
  <c r="Y337" i="5"/>
  <c r="AF336" i="5"/>
  <c r="Y336" i="5"/>
  <c r="AF335" i="5"/>
  <c r="Y335" i="5"/>
  <c r="AF334" i="5"/>
  <c r="Y334" i="5"/>
  <c r="AF333" i="5"/>
  <c r="Y333" i="5"/>
  <c r="AF332" i="5"/>
  <c r="Y332" i="5"/>
  <c r="AF331" i="5"/>
  <c r="Y331" i="5"/>
  <c r="AF330" i="5"/>
  <c r="Y330" i="5"/>
  <c r="AF329" i="5"/>
  <c r="Y329" i="5"/>
  <c r="AF328" i="5"/>
  <c r="Y328" i="5"/>
  <c r="AF327" i="5"/>
  <c r="Y327" i="5"/>
  <c r="AF326" i="5"/>
  <c r="Y326" i="5"/>
  <c r="AF325" i="5"/>
  <c r="Y325" i="5"/>
  <c r="AF324" i="5"/>
  <c r="Y324" i="5"/>
  <c r="AF323" i="5"/>
  <c r="Y323" i="5"/>
  <c r="AF322" i="5"/>
  <c r="Y322" i="5"/>
  <c r="AF321" i="5"/>
  <c r="Y321" i="5"/>
  <c r="AF320" i="5"/>
  <c r="Y320" i="5"/>
  <c r="AF319" i="5"/>
  <c r="Y319" i="5"/>
  <c r="AF318" i="5"/>
  <c r="Y318" i="5"/>
  <c r="AF317" i="5"/>
  <c r="Y317" i="5"/>
  <c r="AF316" i="5"/>
  <c r="Y316" i="5"/>
  <c r="AF315" i="5"/>
  <c r="Y315" i="5"/>
  <c r="AF314" i="5"/>
  <c r="Y314" i="5"/>
  <c r="AF313" i="5"/>
  <c r="W313" i="5"/>
  <c r="Y313" i="5" s="1"/>
  <c r="AF312" i="5"/>
  <c r="Y312" i="5"/>
  <c r="AF311" i="5"/>
  <c r="Y311" i="5"/>
  <c r="AF310" i="5"/>
  <c r="Y310" i="5"/>
  <c r="AF309" i="5"/>
  <c r="Y309" i="5"/>
  <c r="AF308" i="5"/>
  <c r="Y308" i="5"/>
  <c r="AF307" i="5"/>
  <c r="Y307" i="5"/>
  <c r="AF306" i="5"/>
  <c r="Y306" i="5"/>
  <c r="AF305" i="5"/>
  <c r="Y305" i="5"/>
  <c r="AF304" i="5"/>
  <c r="Y304" i="5"/>
  <c r="AF303" i="5"/>
  <c r="Y303" i="5"/>
  <c r="AF302" i="5"/>
  <c r="Y302" i="5"/>
  <c r="AF301" i="5"/>
  <c r="Y301" i="5"/>
  <c r="AF300" i="5"/>
  <c r="Y300" i="5"/>
  <c r="AF299" i="5"/>
  <c r="Y299" i="5"/>
  <c r="AF298" i="5"/>
  <c r="Y298" i="5"/>
  <c r="AF297" i="5"/>
  <c r="Y297" i="5"/>
  <c r="AF296" i="5"/>
  <c r="Y296" i="5"/>
  <c r="AF295" i="5"/>
  <c r="Y295" i="5"/>
  <c r="AF294" i="5"/>
  <c r="Y294" i="5"/>
  <c r="AF293" i="5"/>
  <c r="Y293" i="5"/>
  <c r="AF292" i="5"/>
  <c r="Y292" i="5"/>
  <c r="AF291" i="5"/>
  <c r="Y291" i="5"/>
  <c r="AF290" i="5"/>
  <c r="W290" i="5"/>
  <c r="Y290" i="5" s="1"/>
  <c r="AF289" i="5"/>
  <c r="Y289" i="5"/>
  <c r="AF288" i="5"/>
  <c r="Y288" i="5"/>
  <c r="AF287" i="5"/>
  <c r="Y287" i="5"/>
  <c r="AF286" i="5"/>
  <c r="Y286" i="5"/>
  <c r="AF285" i="5"/>
  <c r="Y285" i="5"/>
  <c r="AF284" i="5"/>
  <c r="Y284" i="5"/>
  <c r="AF283" i="5"/>
  <c r="Y283" i="5"/>
  <c r="AF282" i="5"/>
  <c r="Y282" i="5"/>
  <c r="AF281" i="5"/>
  <c r="Y281" i="5"/>
  <c r="AF280" i="5"/>
  <c r="Y280" i="5"/>
  <c r="AF279" i="5"/>
  <c r="Y279" i="5"/>
  <c r="AF278" i="5"/>
  <c r="Y278" i="5"/>
  <c r="AF277" i="5"/>
  <c r="Y277" i="5"/>
  <c r="AF276" i="5"/>
  <c r="Y276" i="5"/>
  <c r="AF275" i="5"/>
  <c r="W275" i="5"/>
  <c r="Y275" i="5" s="1"/>
  <c r="AF274" i="5"/>
  <c r="Y274" i="5"/>
  <c r="AF273" i="5"/>
  <c r="Y273" i="5"/>
  <c r="AF272" i="5"/>
  <c r="Y272" i="5"/>
  <c r="AF271" i="5"/>
  <c r="Y271" i="5"/>
  <c r="AF270" i="5"/>
  <c r="Y270" i="5"/>
  <c r="AF269" i="5"/>
  <c r="Y269" i="5"/>
  <c r="AF268" i="5"/>
  <c r="Y268" i="5"/>
  <c r="AF267" i="5"/>
  <c r="Y267" i="5"/>
  <c r="AF266" i="5"/>
  <c r="Y266" i="5"/>
  <c r="AF265" i="5"/>
  <c r="Y265" i="5"/>
  <c r="AF264" i="5"/>
  <c r="Y264" i="5"/>
  <c r="AF263" i="5"/>
  <c r="Y263" i="5"/>
  <c r="AF262" i="5"/>
  <c r="Y262" i="5"/>
  <c r="AF261" i="5"/>
  <c r="Y261" i="5"/>
  <c r="AF260" i="5"/>
  <c r="Y260" i="5"/>
  <c r="AF259" i="5"/>
  <c r="Y259" i="5"/>
  <c r="AF258" i="5"/>
  <c r="Y258" i="5"/>
  <c r="AF257" i="5"/>
  <c r="Y257" i="5"/>
  <c r="AF256" i="5"/>
  <c r="Y256" i="5"/>
  <c r="AF255" i="5"/>
  <c r="Y255" i="5"/>
  <c r="AF254" i="5"/>
  <c r="Y254" i="5"/>
  <c r="AF253" i="5"/>
  <c r="Y253" i="5"/>
  <c r="AF252" i="5"/>
  <c r="Y252" i="5"/>
  <c r="AF251" i="5"/>
  <c r="Y251" i="5"/>
  <c r="AF250" i="5"/>
  <c r="Y250" i="5"/>
  <c r="AF249" i="5"/>
  <c r="Y249" i="5"/>
  <c r="AF248" i="5"/>
  <c r="W248" i="5"/>
  <c r="Y248" i="5" s="1"/>
  <c r="AF247" i="5"/>
  <c r="Y247" i="5"/>
  <c r="AF246" i="5"/>
  <c r="Y246" i="5"/>
  <c r="AF245" i="5"/>
  <c r="Y245" i="5"/>
  <c r="AF244" i="5"/>
  <c r="Y244" i="5"/>
  <c r="AF243" i="5"/>
  <c r="Y243" i="5"/>
  <c r="AF242" i="5"/>
  <c r="Y242" i="5"/>
  <c r="AF241" i="5"/>
  <c r="Y241" i="5"/>
  <c r="AF240" i="5"/>
  <c r="Y240" i="5"/>
  <c r="AF239" i="5"/>
  <c r="Y239" i="5"/>
  <c r="AF238" i="5"/>
  <c r="Y238" i="5"/>
  <c r="AF237" i="5"/>
  <c r="Y237" i="5"/>
  <c r="AF236" i="5"/>
  <c r="Y236" i="5"/>
  <c r="AF235" i="5"/>
  <c r="Y235" i="5"/>
  <c r="AF234" i="5"/>
  <c r="Y234" i="5"/>
  <c r="AF233" i="5"/>
  <c r="Y233" i="5"/>
  <c r="AF232" i="5"/>
  <c r="Y232" i="5"/>
  <c r="AF231" i="5"/>
  <c r="Y231" i="5"/>
  <c r="AF230" i="5"/>
  <c r="Y230" i="5"/>
  <c r="AF229" i="5"/>
  <c r="Y229" i="5"/>
  <c r="AF228" i="5"/>
  <c r="Y228" i="5"/>
  <c r="AF227" i="5"/>
  <c r="Y227" i="5"/>
  <c r="AF226" i="5"/>
  <c r="Y226" i="5"/>
  <c r="AF225" i="5"/>
  <c r="Y225" i="5"/>
  <c r="AF224" i="5"/>
  <c r="Y224" i="5"/>
  <c r="AF223" i="5"/>
  <c r="Y223" i="5"/>
  <c r="AF222" i="5"/>
  <c r="Y222" i="5"/>
  <c r="AF221" i="5"/>
  <c r="Y221" i="5"/>
  <c r="AF220" i="5"/>
  <c r="Y220" i="5"/>
  <c r="AF219" i="5"/>
  <c r="Y219" i="5"/>
  <c r="AF218" i="5"/>
  <c r="Y218" i="5"/>
  <c r="AF217" i="5"/>
  <c r="Y217" i="5"/>
  <c r="AF216" i="5"/>
  <c r="Y216" i="5"/>
  <c r="AF215" i="5"/>
  <c r="Y215" i="5"/>
  <c r="AF214" i="5"/>
  <c r="Y214" i="5"/>
  <c r="AF213" i="5"/>
  <c r="Y213" i="5"/>
  <c r="AF212" i="5"/>
  <c r="Y212" i="5"/>
  <c r="AF211" i="5"/>
  <c r="Y211" i="5"/>
  <c r="AF210" i="5"/>
  <c r="Y210" i="5"/>
  <c r="AF209" i="5"/>
  <c r="Y209" i="5"/>
  <c r="AF208" i="5"/>
  <c r="Y208" i="5"/>
  <c r="AF207" i="5"/>
  <c r="Y207" i="5"/>
  <c r="AF206" i="5"/>
  <c r="Y206" i="5"/>
  <c r="AF205" i="5"/>
  <c r="Y205" i="5"/>
  <c r="AF204" i="5"/>
  <c r="Y204" i="5"/>
  <c r="AF203" i="5"/>
  <c r="Y203" i="5"/>
  <c r="AF202" i="5"/>
  <c r="Y202" i="5"/>
  <c r="AF201" i="5"/>
  <c r="Y201" i="5"/>
  <c r="AF200" i="5"/>
  <c r="Y200" i="5"/>
  <c r="AF199" i="5"/>
  <c r="Y199" i="5"/>
  <c r="AF198" i="5"/>
  <c r="Y198" i="5"/>
  <c r="AF197" i="5"/>
  <c r="Y197" i="5"/>
  <c r="AF196" i="5"/>
  <c r="Y196" i="5"/>
  <c r="AF195" i="5"/>
  <c r="Y195" i="5"/>
  <c r="AF194" i="5"/>
  <c r="Y194" i="5"/>
  <c r="AF193" i="5"/>
  <c r="Y193" i="5"/>
  <c r="AF192" i="5"/>
  <c r="Y192" i="5"/>
  <c r="AF191" i="5"/>
  <c r="Y191" i="5"/>
  <c r="AF190" i="5"/>
  <c r="Y190" i="5"/>
  <c r="AF189" i="5"/>
  <c r="Y189" i="5"/>
  <c r="AF188" i="5"/>
  <c r="Y188" i="5"/>
  <c r="AF187" i="5"/>
  <c r="Y187" i="5"/>
  <c r="AF186" i="5"/>
  <c r="Y186" i="5"/>
  <c r="AF185" i="5"/>
  <c r="Y185" i="5"/>
  <c r="AF184" i="5"/>
  <c r="Y184" i="5"/>
  <c r="AF183" i="5"/>
  <c r="Y183" i="5"/>
  <c r="AF182" i="5"/>
  <c r="Y182" i="5"/>
  <c r="AF181" i="5"/>
  <c r="Y181" i="5"/>
  <c r="AF180" i="5"/>
  <c r="Y180" i="5"/>
  <c r="AF179" i="5"/>
  <c r="Y179" i="5"/>
  <c r="AF178" i="5"/>
  <c r="Y178" i="5"/>
  <c r="AF177" i="5"/>
  <c r="Y177" i="5"/>
  <c r="AF176" i="5"/>
  <c r="Y176" i="5"/>
  <c r="AF175" i="5"/>
  <c r="Y175" i="5"/>
  <c r="AF174" i="5"/>
  <c r="Y174" i="5"/>
  <c r="AF173" i="5"/>
  <c r="Y173" i="5"/>
  <c r="AF172" i="5"/>
  <c r="Y172" i="5"/>
  <c r="AF171" i="5"/>
  <c r="Y171" i="5"/>
  <c r="AF170" i="5"/>
  <c r="Y170" i="5"/>
  <c r="AF169" i="5"/>
  <c r="Y169" i="5"/>
  <c r="AF168" i="5"/>
  <c r="Y168" i="5"/>
  <c r="AF167" i="5"/>
  <c r="Y167" i="5"/>
  <c r="AF166" i="5"/>
  <c r="Y166" i="5"/>
  <c r="AF165" i="5"/>
  <c r="Y165" i="5"/>
  <c r="AF164" i="5"/>
  <c r="Y164" i="5"/>
  <c r="AF163" i="5"/>
  <c r="Y163" i="5"/>
  <c r="AF162" i="5"/>
  <c r="Y162" i="5"/>
  <c r="AF161" i="5"/>
  <c r="Y161" i="5"/>
  <c r="AF160" i="5"/>
  <c r="Y160" i="5"/>
  <c r="AF159" i="5"/>
  <c r="Y159" i="5"/>
  <c r="AF158" i="5"/>
  <c r="Y158" i="5"/>
  <c r="AF157" i="5"/>
  <c r="Y157" i="5"/>
  <c r="AF156" i="5"/>
  <c r="Y156" i="5"/>
  <c r="AF155" i="5"/>
  <c r="Y155" i="5"/>
  <c r="AF154" i="5"/>
  <c r="Y154" i="5"/>
  <c r="AF153" i="5"/>
  <c r="Y153" i="5"/>
  <c r="AF152" i="5"/>
  <c r="Y152" i="5"/>
  <c r="AF151" i="5"/>
  <c r="Y151" i="5"/>
  <c r="AF150" i="5"/>
  <c r="Y150" i="5"/>
  <c r="AF149" i="5"/>
  <c r="Y149" i="5"/>
  <c r="AF148" i="5"/>
  <c r="Y148" i="5"/>
  <c r="AF147" i="5"/>
  <c r="Y147" i="5"/>
  <c r="AF146" i="5"/>
  <c r="Y146" i="5"/>
  <c r="AF145" i="5"/>
  <c r="Y145" i="5"/>
  <c r="AF144" i="5"/>
  <c r="Y144" i="5"/>
  <c r="AF143" i="5"/>
  <c r="Y143" i="5"/>
  <c r="AF142" i="5"/>
  <c r="Y142" i="5"/>
  <c r="AF141" i="5"/>
  <c r="Y141" i="5"/>
  <c r="AF140" i="5"/>
  <c r="Y140" i="5"/>
  <c r="AF139" i="5"/>
  <c r="Y139" i="5"/>
  <c r="AF138" i="5"/>
  <c r="Y138" i="5"/>
  <c r="AF137" i="5"/>
  <c r="Y137" i="5"/>
  <c r="AF136" i="5"/>
  <c r="Y136" i="5"/>
  <c r="AF135" i="5"/>
  <c r="Y135" i="5"/>
  <c r="AF134" i="5"/>
  <c r="Y134" i="5"/>
  <c r="AF133" i="5"/>
  <c r="Y133" i="5"/>
  <c r="AF132" i="5"/>
  <c r="Y132" i="5"/>
  <c r="AF131" i="5"/>
  <c r="Y131" i="5"/>
  <c r="AF130" i="5"/>
  <c r="Y130" i="5"/>
  <c r="AF129" i="5"/>
  <c r="Y129" i="5"/>
  <c r="AF128" i="5"/>
  <c r="Y128" i="5"/>
  <c r="AF127" i="5"/>
  <c r="Y127" i="5"/>
  <c r="AF126" i="5"/>
  <c r="Y126" i="5"/>
  <c r="AF125" i="5"/>
  <c r="Y125" i="5"/>
  <c r="AF124" i="5"/>
  <c r="Y124" i="5"/>
  <c r="AF123" i="5"/>
  <c r="Y123" i="5"/>
  <c r="AF122" i="5"/>
  <c r="Y122" i="5"/>
  <c r="AF121" i="5"/>
  <c r="Y121" i="5"/>
  <c r="AF120" i="5"/>
  <c r="Y120" i="5"/>
  <c r="AF119" i="5"/>
  <c r="Y119" i="5"/>
  <c r="AF118" i="5"/>
  <c r="Y118" i="5"/>
  <c r="AF117" i="5"/>
  <c r="Y117" i="5"/>
  <c r="AF116" i="5"/>
  <c r="Y116" i="5"/>
  <c r="AF115" i="5"/>
  <c r="Y115" i="5"/>
  <c r="AF114" i="5"/>
  <c r="Y114" i="5"/>
  <c r="AF113" i="5"/>
  <c r="Y113" i="5"/>
  <c r="AF112" i="5"/>
  <c r="Y112" i="5"/>
  <c r="AF111" i="5"/>
  <c r="Y111" i="5"/>
  <c r="AF110" i="5"/>
  <c r="Y110" i="5"/>
  <c r="AF109" i="5"/>
  <c r="Y109" i="5"/>
  <c r="AF108" i="5"/>
  <c r="Y108" i="5"/>
  <c r="AF107" i="5"/>
  <c r="Y107" i="5"/>
  <c r="AF106" i="5"/>
  <c r="Y106" i="5"/>
  <c r="AF105" i="5"/>
  <c r="Y105" i="5"/>
  <c r="AF104" i="5"/>
  <c r="Y104" i="5"/>
  <c r="AF103" i="5"/>
  <c r="Y103" i="5"/>
  <c r="AF102" i="5"/>
  <c r="Y102" i="5"/>
  <c r="AF101" i="5"/>
  <c r="Y101" i="5"/>
  <c r="AF100" i="5"/>
  <c r="Y100" i="5"/>
  <c r="AF99" i="5"/>
  <c r="Y99" i="5"/>
  <c r="AF98" i="5"/>
  <c r="Y98" i="5"/>
  <c r="AF97" i="5"/>
  <c r="Y97" i="5"/>
  <c r="AF96" i="5"/>
  <c r="Y96" i="5"/>
  <c r="AF95" i="5"/>
  <c r="Y95" i="5"/>
  <c r="AF94" i="5"/>
  <c r="Y94" i="5"/>
  <c r="AF93" i="5"/>
  <c r="Y93" i="5"/>
  <c r="AF92" i="5"/>
  <c r="Y92" i="5"/>
  <c r="AF91" i="5"/>
  <c r="Y91" i="5"/>
  <c r="AF90" i="5"/>
  <c r="Y90" i="5"/>
  <c r="AF89" i="5"/>
  <c r="Y89" i="5"/>
  <c r="AF88" i="5"/>
  <c r="Y88" i="5"/>
  <c r="AF87" i="5"/>
  <c r="Y87" i="5"/>
  <c r="AF86" i="5"/>
  <c r="Y86" i="5"/>
  <c r="AF85" i="5"/>
  <c r="Y85" i="5"/>
  <c r="AF84" i="5"/>
  <c r="Y84" i="5"/>
  <c r="AF83" i="5"/>
  <c r="Y83" i="5"/>
  <c r="AF82" i="5"/>
  <c r="Y82" i="5"/>
  <c r="AF81" i="5"/>
  <c r="Y81" i="5"/>
  <c r="AF80" i="5"/>
  <c r="Y80" i="5"/>
  <c r="AF79" i="5"/>
  <c r="Y79" i="5"/>
  <c r="AF78" i="5"/>
  <c r="Y78" i="5"/>
  <c r="AF77" i="5"/>
  <c r="Y77" i="5"/>
  <c r="AF76" i="5"/>
  <c r="Y76" i="5"/>
  <c r="AF75" i="5"/>
  <c r="Y75" i="5"/>
  <c r="AF74" i="5"/>
  <c r="Y74" i="5"/>
  <c r="AF73" i="5"/>
  <c r="Y73" i="5"/>
  <c r="AF72" i="5"/>
  <c r="Y72" i="5"/>
  <c r="AF71" i="5"/>
  <c r="Y71" i="5"/>
  <c r="AF70" i="5"/>
  <c r="Y70" i="5"/>
  <c r="AF69" i="5"/>
  <c r="Y69" i="5"/>
  <c r="AF68" i="5"/>
  <c r="Y68" i="5"/>
  <c r="AF67" i="5"/>
  <c r="Y67" i="5"/>
  <c r="AF66" i="5"/>
  <c r="Y66" i="5"/>
  <c r="AF65" i="5"/>
  <c r="Y65" i="5"/>
  <c r="AF64" i="5"/>
  <c r="Y64" i="5"/>
  <c r="AF63" i="5"/>
  <c r="Y63" i="5"/>
  <c r="AF62" i="5"/>
  <c r="Y62" i="5"/>
  <c r="AF61" i="5"/>
  <c r="Y61" i="5"/>
  <c r="AF60" i="5"/>
  <c r="Y60" i="5"/>
  <c r="AF59" i="5"/>
  <c r="Y59" i="5"/>
  <c r="AF58" i="5"/>
  <c r="Y58" i="5"/>
  <c r="AF57" i="5"/>
  <c r="Y57" i="5"/>
  <c r="AF56" i="5"/>
  <c r="Y56" i="5"/>
  <c r="AF55" i="5"/>
  <c r="Y55" i="5"/>
  <c r="AF54" i="5"/>
  <c r="Y54" i="5"/>
  <c r="AF53" i="5"/>
  <c r="Y53" i="5"/>
  <c r="AF52" i="5"/>
  <c r="Y52" i="5"/>
  <c r="AF51" i="5"/>
  <c r="Y51" i="5"/>
  <c r="AF50" i="5"/>
  <c r="Y50" i="5"/>
  <c r="AF49" i="5"/>
  <c r="Y49" i="5"/>
  <c r="AF48" i="5"/>
  <c r="Y48" i="5"/>
  <c r="AF47" i="5"/>
  <c r="Y47" i="5"/>
  <c r="AF46" i="5"/>
  <c r="Y46" i="5"/>
  <c r="AF45" i="5"/>
  <c r="Y45" i="5"/>
  <c r="AF44" i="5"/>
  <c r="Y44" i="5"/>
  <c r="AF43" i="5"/>
  <c r="Y43" i="5"/>
  <c r="AF42" i="5"/>
  <c r="Y42" i="5"/>
  <c r="AF41" i="5"/>
  <c r="Y41" i="5"/>
  <c r="AF40" i="5"/>
  <c r="Y40" i="5"/>
  <c r="AF39" i="5"/>
  <c r="Y39" i="5"/>
  <c r="AF38" i="5"/>
  <c r="Y38" i="5"/>
  <c r="AF37" i="5"/>
  <c r="Y37" i="5"/>
  <c r="AF36" i="5"/>
  <c r="Y36" i="5"/>
  <c r="AF35" i="5"/>
  <c r="Y35" i="5"/>
  <c r="AF34" i="5"/>
  <c r="Y34" i="5"/>
  <c r="AF33" i="5"/>
  <c r="Y33" i="5"/>
  <c r="AF32" i="5"/>
  <c r="Y32" i="5"/>
  <c r="AF31" i="5"/>
  <c r="Y31" i="5"/>
  <c r="AF30" i="5"/>
  <c r="Y30" i="5"/>
  <c r="AF29" i="5"/>
  <c r="Y29" i="5"/>
  <c r="AF28" i="5"/>
  <c r="Y28" i="5"/>
  <c r="AF27" i="5"/>
  <c r="Y27" i="5"/>
  <c r="AF26" i="5"/>
  <c r="Y26" i="5"/>
  <c r="AF25" i="5"/>
  <c r="Y25" i="5"/>
  <c r="AF24" i="5"/>
  <c r="Y24" i="5"/>
  <c r="AF23" i="5"/>
  <c r="Y23" i="5"/>
  <c r="AF22" i="5"/>
  <c r="Y22" i="5"/>
  <c r="AF21" i="5"/>
  <c r="Y21" i="5"/>
  <c r="AF20" i="5"/>
  <c r="Y20" i="5"/>
  <c r="AF19" i="5"/>
  <c r="Y19" i="5"/>
  <c r="AF18" i="5"/>
  <c r="Y18" i="5"/>
  <c r="AF17" i="5"/>
  <c r="Y17" i="5"/>
  <c r="AF16" i="5"/>
  <c r="Y16" i="5"/>
  <c r="AF15" i="5"/>
  <c r="Y15" i="5"/>
  <c r="AF14" i="5"/>
  <c r="Y14" i="5"/>
  <c r="AF13" i="5"/>
  <c r="W13" i="5"/>
  <c r="Y13" i="5" s="1"/>
  <c r="AF12" i="5"/>
  <c r="Y12" i="5"/>
  <c r="AF11" i="5"/>
  <c r="Y11" i="5"/>
  <c r="AF10" i="5"/>
  <c r="Y10" i="5"/>
  <c r="AF9" i="5"/>
  <c r="Y9" i="5"/>
  <c r="AF8" i="5"/>
  <c r="Y8" i="5"/>
  <c r="AF7" i="5"/>
  <c r="Y7" i="5"/>
  <c r="AF6" i="5"/>
  <c r="Y6" i="5"/>
  <c r="AF5" i="5"/>
  <c r="Y5" i="5"/>
  <c r="AF4" i="5"/>
  <c r="Y4" i="5"/>
  <c r="AF3" i="5"/>
  <c r="Y3" i="5"/>
  <c r="AF2" i="5"/>
  <c r="Y2" i="5"/>
  <c r="Z1562" i="5" l="1"/>
  <c r="Z1508" i="5"/>
  <c r="Z1669" i="5"/>
  <c r="Z1527" i="5"/>
  <c r="Z1609" i="5"/>
  <c r="Z1655" i="5"/>
  <c r="Z1660" i="5"/>
  <c r="Z1665" i="5"/>
  <c r="Z1670" i="5"/>
  <c r="Z1676" i="5"/>
  <c r="Z1528" i="5"/>
  <c r="Z1539" i="5"/>
  <c r="Z1555" i="5"/>
  <c r="Z1656" i="5"/>
  <c r="Z1534" i="5"/>
  <c r="Z1497" i="5"/>
  <c r="Z1526" i="5"/>
  <c r="Z1541" i="5"/>
  <c r="Z1573" i="5"/>
  <c r="Z1602" i="5"/>
  <c r="Z1503" i="5"/>
  <c r="Z1532" i="5"/>
  <c r="Z1509" i="5"/>
  <c r="Z1543" i="5"/>
  <c r="Z1622" i="5"/>
  <c r="Z1561" i="5"/>
  <c r="Z1677" i="5"/>
  <c r="Z1663" i="5"/>
  <c r="Z1498" i="5"/>
  <c r="Z1525" i="5"/>
  <c r="Z1595" i="5"/>
  <c r="Z1544" i="5"/>
  <c r="Z1499" i="5"/>
  <c r="Z1523" i="5"/>
  <c r="Z1626" i="5"/>
  <c r="Z1666" i="5"/>
  <c r="Z1579" i="5"/>
  <c r="Z156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 usuario de Microsoft Office satisfecho</author>
    <author>BANCOLOMBIA</author>
    <author>BANCOLOMBIA S.A</author>
    <author>jurrego</author>
    <author>A satisfied Microsoft Office User</author>
    <author>BANCOLOMBIA S.A.</author>
    <author>Edcar Calle Pulgarin</author>
    <author>ecalle</author>
  </authors>
  <commentList>
    <comment ref="K3" authorId="0" shapeId="0" xr:uid="{6B379FC8-B353-408A-BD98-7F0A43A04840}">
      <text>
        <r>
          <rPr>
            <sz val="8"/>
            <color indexed="81"/>
            <rFont val="Tahoma"/>
            <family val="2"/>
          </rPr>
          <t xml:space="preserve">BANCOLOMBIA:
Terminación contrato JC
19 ab 96
</t>
        </r>
      </text>
    </comment>
    <comment ref="W3" authorId="0" shapeId="0" xr:uid="{D416A7F9-CA7F-4C43-8391-66F8F81E7D04}">
      <text>
        <r>
          <rPr>
            <sz val="8"/>
            <color indexed="81"/>
            <rFont val="Tahoma"/>
            <family val="2"/>
          </rPr>
          <t xml:space="preserve">BANCOLOMBIA:
A JUNIO DE 1999
</t>
        </r>
      </text>
    </comment>
    <comment ref="W4" authorId="0" shapeId="0" xr:uid="{055BADFB-D4B7-478E-87F9-2F656CC3322A}">
      <text>
        <r>
          <rPr>
            <sz val="8"/>
            <color indexed="81"/>
            <rFont val="Tahoma"/>
            <family val="2"/>
          </rPr>
          <t>BANCOLOMBIA:
A JUNIO 99</t>
        </r>
      </text>
    </comment>
    <comment ref="W5" authorId="0" shapeId="0" xr:uid="{5000971A-F257-4E53-9643-7CCFCDD9618F}">
      <text>
        <r>
          <rPr>
            <sz val="8"/>
            <color indexed="81"/>
            <rFont val="Tahoma"/>
            <family val="2"/>
          </rPr>
          <t xml:space="preserve">BANCOLOMBIA:
A JUNIO/99
</t>
        </r>
      </text>
    </comment>
    <comment ref="W6" authorId="1" shapeId="0" xr:uid="{02ADBDF0-C9E1-405F-A6BB-6EB1CA1CAD40}">
      <text>
        <r>
          <rPr>
            <b/>
            <sz val="8"/>
            <color indexed="81"/>
            <rFont val="Tahoma"/>
            <family val="2"/>
          </rPr>
          <t>BANCOLOMBIA:</t>
        </r>
        <r>
          <rPr>
            <sz val="8"/>
            <color indexed="81"/>
            <rFont val="Tahoma"/>
            <family val="2"/>
          </rPr>
          <t xml:space="preserve">
Demandante por intermedio de su apoderado desiste de las pretensiones
</t>
        </r>
      </text>
    </comment>
    <comment ref="W8" authorId="1" shapeId="0" xr:uid="{529CC129-F4AF-48D2-B0F4-C5610E8C7367}">
      <text>
        <r>
          <rPr>
            <b/>
            <sz val="8"/>
            <color indexed="81"/>
            <rFont val="Tahoma"/>
            <family val="2"/>
          </rPr>
          <t>BANCOLOMBIA:
Además se debe incremenar la mesada a $1.128.773.6</t>
        </r>
      </text>
    </comment>
    <comment ref="W9" authorId="1" shapeId="0" xr:uid="{90510A59-B789-4CBF-AC03-22B60171D407}">
      <text>
        <r>
          <rPr>
            <b/>
            <sz val="8"/>
            <color indexed="81"/>
            <rFont val="Tahoma"/>
            <family val="2"/>
          </rPr>
          <t>BANCOLOMBIA:</t>
        </r>
        <r>
          <rPr>
            <sz val="8"/>
            <color indexed="81"/>
            <rFont val="Tahoma"/>
            <family val="2"/>
          </rPr>
          <t xml:space="preserve">
Además al reajuste de la pensión en un slario mínimo ($260.100), quedando a partr de noviembre de 2000 en $543.645</t>
        </r>
      </text>
    </comment>
    <comment ref="W10" authorId="1" shapeId="0" xr:uid="{5BBF04C5-EC47-4AC3-A1D0-019A8F65369F}">
      <text>
        <r>
          <rPr>
            <b/>
            <sz val="8"/>
            <color indexed="81"/>
            <rFont val="Tahoma"/>
            <family val="2"/>
          </rPr>
          <t>BANCOLOMBIA:</t>
        </r>
        <r>
          <rPr>
            <sz val="8"/>
            <color indexed="81"/>
            <rFont val="Tahoma"/>
            <family val="2"/>
          </rPr>
          <t xml:space="preserve">
Además al reajuste de la pensión en un salario mínimo a aprtir de noviembre de 2000 quedando en $491.031</t>
        </r>
      </text>
    </comment>
    <comment ref="W11" authorId="0" shapeId="0" xr:uid="{2B4E7300-DE8D-43AC-AA91-62E77CD0A57C}">
      <text>
        <r>
          <rPr>
            <sz val="8"/>
            <color indexed="81"/>
            <rFont val="Tahoma"/>
            <family val="2"/>
          </rPr>
          <t>BANCOLOMBIA:
De este valor se recuperaron $14MM</t>
        </r>
      </text>
    </comment>
    <comment ref="K12" authorId="0" shapeId="0" xr:uid="{8C5A0D3C-0EDD-41E2-A9EB-54DE59B44A98}">
      <text>
        <r>
          <rPr>
            <sz val="8"/>
            <color indexed="81"/>
            <rFont val="Tahoma"/>
            <family val="2"/>
          </rPr>
          <t xml:space="preserve">BANCOLOMBIA:
desde el 8 de enero de 1996 hasta cuando sea efectivamente pagada.
</t>
        </r>
      </text>
    </comment>
    <comment ref="AI12" authorId="1" shapeId="0" xr:uid="{9162E58E-F426-483A-929C-853E3885198F}">
      <text>
        <r>
          <rPr>
            <b/>
            <sz val="8"/>
            <color indexed="81"/>
            <rFont val="Tahoma"/>
            <family val="2"/>
          </rPr>
          <t>BANCOLOMBIA:</t>
        </r>
        <r>
          <rPr>
            <sz val="8"/>
            <color indexed="81"/>
            <rFont val="Tahoma"/>
            <family val="2"/>
          </rPr>
          <t xml:space="preserve">
Valor indemnización legal y convencional: $3.207.737
Valor indemnización con corrección monetaria $6.040.168
Último sueldo:     $341.000
Salario promedio:    $432.990
Por error  en quien realizó la liquidación definitiva de salarios y prestaciones del señor, se indicó en la hoja de la liquidación que el sueldo promedio de aquel era $1341.448,66, valor que no se compadece con nada; no obstante, si dicha planilla fue aportada al proceso o presentada en inspección judicial y en consecuencia se probó tal promedio, podríamos tener dificultades con el accionante y/o su apoderado</t>
        </r>
      </text>
    </comment>
    <comment ref="AJ13" authorId="1" shapeId="0" xr:uid="{6E6FF8D6-6832-47B3-BDAA-3C5D57485306}">
      <text>
        <r>
          <rPr>
            <b/>
            <sz val="8"/>
            <color indexed="81"/>
            <rFont val="Tahoma"/>
            <family val="2"/>
          </rPr>
          <t>BANCOLOMBIA:</t>
        </r>
        <r>
          <rPr>
            <sz val="8"/>
            <color indexed="81"/>
            <rFont val="Tahoma"/>
            <family val="2"/>
          </rPr>
          <t xml:space="preserve">
Carrera 9 53-58 of 501, tel 5400886 - 3475580
Bogotá</t>
        </r>
      </text>
    </comment>
    <comment ref="U16" authorId="0" shapeId="0" xr:uid="{5728DFDD-2B0D-4B6D-8332-8B95E1829442}">
      <text>
        <r>
          <rPr>
            <sz val="8"/>
            <color indexed="81"/>
            <rFont val="Tahoma"/>
            <family val="2"/>
          </rPr>
          <t>BANCOLOMBIA:
Costas: 1.200.000</t>
        </r>
      </text>
    </comment>
    <comment ref="AB17" authorId="0" shapeId="0" xr:uid="{3040048B-CB38-45B5-8237-FE923A714E2E}">
      <text>
        <r>
          <rPr>
            <sz val="8"/>
            <color indexed="81"/>
            <rFont val="Tahoma"/>
            <family val="2"/>
          </rPr>
          <t xml:space="preserve">BANCOLOMBIA:
TEL. 987 384507
</t>
        </r>
      </text>
    </comment>
    <comment ref="AB18" authorId="0" shapeId="0" xr:uid="{C794AB31-4299-4B9C-9FB1-85AFA0ADAE81}">
      <text>
        <r>
          <rPr>
            <sz val="8"/>
            <color indexed="81"/>
            <rFont val="Tahoma"/>
            <family val="2"/>
          </rPr>
          <t>BANCOLOMBIA:
CALLE 12 No. 12 - 12 Of. 202
TEL. 987 703323
Sogamoso</t>
        </r>
      </text>
    </comment>
    <comment ref="AB19" authorId="0" shapeId="0" xr:uid="{A6A9DDC5-37FD-4695-853F-0CC9657F2696}">
      <text>
        <r>
          <rPr>
            <sz val="8"/>
            <color indexed="81"/>
            <rFont val="Tahoma"/>
            <family val="2"/>
          </rPr>
          <t>BANCOLOMBIA:
CALLE 21 No.10- 52
OF. 401
CELULAR : 2846636
TUNJA</t>
        </r>
      </text>
    </comment>
    <comment ref="W20" authorId="0" shapeId="0" xr:uid="{EDA6BA43-3C84-433F-954A-B803A74DDE5D}">
      <text>
        <r>
          <rPr>
            <sz val="8"/>
            <color indexed="81"/>
            <rFont val="Tahoma"/>
            <family val="2"/>
          </rPr>
          <t>BANCOLOMBIA:
50% condena en costas en 1 instancia y costas en 2</t>
        </r>
      </text>
    </comment>
    <comment ref="K21" authorId="0" shapeId="0" xr:uid="{1E4874B0-A4E3-4489-AD8A-30C21EEB70EE}">
      <text>
        <r>
          <rPr>
            <sz val="8"/>
            <color indexed="81"/>
            <rFont val="Tahoma"/>
            <family val="2"/>
          </rPr>
          <t xml:space="preserve">Promotor de TC, pide reconocimiento relación laboral
</t>
        </r>
      </text>
    </comment>
    <comment ref="K22" authorId="0" shapeId="0" xr:uid="{E3C03DE5-64D2-4D5B-9151-41C3DB7B38E9}">
      <text>
        <r>
          <rPr>
            <sz val="8"/>
            <color indexed="81"/>
            <rFont val="Tahoma"/>
            <family val="2"/>
          </rPr>
          <t xml:space="preserve">Promotor de TC, pide reconocimiento relación laboral
</t>
        </r>
      </text>
    </comment>
    <comment ref="W23" authorId="0" shapeId="0" xr:uid="{0FFB4310-C485-49B9-9683-CFA5D9A88DE1}">
      <text>
        <r>
          <rPr>
            <sz val="8"/>
            <color indexed="81"/>
            <rFont val="Tahoma"/>
            <family val="2"/>
          </rPr>
          <t>BANCOLOMBIA:
ADEMÁS DE ESTE VALOR, LA JUBILACIÓN PROPORCIONAL POR EL INCREMENTO ORDENADO</t>
        </r>
      </text>
    </comment>
    <comment ref="AB23" authorId="0" shapeId="0" xr:uid="{4491A2E5-8B4A-4E25-B369-3FC53E21D7DB}">
      <text>
        <r>
          <rPr>
            <sz val="8"/>
            <color indexed="81"/>
            <rFont val="Tahoma"/>
            <family val="2"/>
          </rPr>
          <t xml:space="preserve">BANCOLOMBIA:
Cra 80 # 48-95
tel 234 43 51 
fax4215311
Medellín
</t>
        </r>
      </text>
    </comment>
    <comment ref="AB25" authorId="0" shapeId="0" xr:uid="{88E5287C-F7C9-4AE1-B312-61B000CEFB61}">
      <text>
        <r>
          <rPr>
            <sz val="8"/>
            <color indexed="81"/>
            <rFont val="Tahoma"/>
            <family val="2"/>
          </rPr>
          <t>BANCOLOMBIA:
HOTEL RIO Primer piso Of. No. 8</t>
        </r>
      </text>
    </comment>
    <comment ref="AB27" authorId="0" shapeId="0" xr:uid="{57A17876-0B3E-4213-8CE2-7E08FDE7D5CF}">
      <text>
        <r>
          <rPr>
            <sz val="8"/>
            <color indexed="81"/>
            <rFont val="Tahoma"/>
            <family val="2"/>
          </rPr>
          <t>BANCOLOMBIA:
CALLE 11 No. 4 - 42 Of. 403 a 405
A.A. No. 1403
tel (2) 8802705 8961271 8880302 fax 8891487
celular5634251
e mail rojasara@avan.net</t>
        </r>
      </text>
    </comment>
    <comment ref="AB28" authorId="0" shapeId="0" xr:uid="{254DD97C-FA06-43E6-B1C4-9C069AE7AD2A}">
      <text>
        <r>
          <rPr>
            <sz val="8"/>
            <color indexed="81"/>
            <rFont val="Tahoma"/>
            <family val="2"/>
          </rPr>
          <t>BANCOLOMBIA:
CALLE 11 No. 4 - 42 Of. 403 a 405
A.A. No. 1403
tel (2) 8802705 8961271 8880302 fax 8891487
celular5634251
e mail rojasara@avan.net</t>
        </r>
      </text>
    </comment>
    <comment ref="U29" authorId="0" shapeId="0" xr:uid="{0F0366BA-5929-4886-AA4D-B96B2F3A996E}">
      <text>
        <r>
          <rPr>
            <sz val="8"/>
            <color indexed="81"/>
            <rFont val="Tahoma"/>
            <family val="2"/>
          </rPr>
          <t>BANCOLOMBIA:
No considera viable el reintegro y condena al pago de unas multa de $8.059.758</t>
        </r>
      </text>
    </comment>
    <comment ref="W29" authorId="0" shapeId="0" xr:uid="{53668C5D-01BE-4164-BEF6-BDEF96DA5265}">
      <text>
        <r>
          <rPr>
            <sz val="8"/>
            <color indexed="81"/>
            <rFont val="Tahoma"/>
            <family val="2"/>
          </rPr>
          <t>BANCOLOMBIA:
Más costas procesales</t>
        </r>
      </text>
    </comment>
    <comment ref="AB29" authorId="0" shapeId="0" xr:uid="{41016417-B23C-4BCD-9371-325FA40745A6}">
      <text>
        <r>
          <rPr>
            <sz val="8"/>
            <color indexed="81"/>
            <rFont val="Tahoma"/>
            <family val="2"/>
          </rPr>
          <t>BANCOLOMBIA:
CALLE 11 No. 4 - 42 Of. 403 a 405
A.A. No. 1403
tel (2) 8802705 8961271 8880302 fax 8891487
celular5634251
e mail rojasara@avan.net</t>
        </r>
      </text>
    </comment>
    <comment ref="AB30" authorId="0" shapeId="0" xr:uid="{963D173F-BC58-441D-8583-A221533DC415}">
      <text>
        <r>
          <rPr>
            <sz val="8"/>
            <color indexed="81"/>
            <rFont val="Tahoma"/>
            <family val="2"/>
          </rPr>
          <t xml:space="preserve">BANCOLOMBIA:
Cra 80 # 48-95
tel 234 43 51 
fax4215311
Medellín
</t>
        </r>
      </text>
    </comment>
    <comment ref="U31" authorId="1" shapeId="0" xr:uid="{04E59140-654C-4A52-BE7C-42571E8F63CB}">
      <text>
        <r>
          <rPr>
            <b/>
            <sz val="8"/>
            <color indexed="81"/>
            <rFont val="Tahoma"/>
            <family val="2"/>
          </rPr>
          <t>BANCOLOMBIA:</t>
        </r>
        <r>
          <rPr>
            <sz val="8"/>
            <color indexed="81"/>
            <rFont val="Tahoma"/>
            <family val="2"/>
          </rPr>
          <t xml:space="preserve">
Casó la cotización sanción
costas a  a cargo del demandante ($800.000)</t>
        </r>
      </text>
    </comment>
    <comment ref="AB32" authorId="0" shapeId="0" xr:uid="{A72F4E8A-D387-459F-8876-C1DF61F291C1}">
      <text>
        <r>
          <rPr>
            <sz val="8"/>
            <color indexed="81"/>
            <rFont val="Tahoma"/>
            <family val="2"/>
          </rPr>
          <t>BANCOLOMBIA:
Calle 125 # 30 - 41  OF. 504
Telefonos 6190804</t>
        </r>
      </text>
    </comment>
    <comment ref="AB34" authorId="0" shapeId="0" xr:uid="{E0A3F13D-C2DC-4CBB-A24F-52F62C7EE85A}">
      <text>
        <r>
          <rPr>
            <sz val="8"/>
            <color indexed="81"/>
            <rFont val="Tahoma"/>
            <family val="2"/>
          </rPr>
          <t xml:space="preserve">BANCOLOMBIA:
Cra 80 # 48-95
tel 234 43 51 
fax4215311
Medellín
</t>
        </r>
      </text>
    </comment>
    <comment ref="K35" authorId="0" shapeId="0" xr:uid="{D27BBCC9-B43A-4478-9B0F-A1AA8B22E0AE}">
      <text>
        <r>
          <rPr>
            <sz val="8"/>
            <color indexed="81"/>
            <rFont val="Tahoma"/>
            <family val="2"/>
          </rPr>
          <t xml:space="preserve">BANCOLOMBIA:
Devolución de sumas descontadas por no haber sido autorizadas por escrito, indemnización por falta de pago
</t>
        </r>
      </text>
    </comment>
    <comment ref="W35" authorId="0" shapeId="0" xr:uid="{1C1DFD02-BB45-4F66-82D8-693BD05761FF}">
      <text>
        <r>
          <rPr>
            <sz val="8"/>
            <color indexed="81"/>
            <rFont val="Tahoma"/>
            <family val="2"/>
          </rPr>
          <t>BANCOLOMBIA:
Indemnización por despido injusto: $6.424.896.66
Prestaciones sociales : $1.869.080.33
= $8.293.976.99
indemnización moratoria que
se causa a razón de $12.672.38 diarios desde Junio 28 de 1.995 y hasta la
fecha de la consignación y las costas de primera instancia que liquide el
Juzgado.
El monto de la condena asciende liquidada a Mayo 9 del año en curso, fecha en que se producirá el pago a $30. 495.986.55, quedando pendiente de pago el valor de las costas de primera instancia que serán liquidadas por el Juzgado de conocimiento y que oscilarán entre el 20 y 25% de la suma antes indicada, $6.099.197.31 A NOMBRE DEL DR. JOSE CARLOS RAMOS VIVES, POR CONCEPTO DE COSTAS DEL 20%</t>
        </r>
      </text>
    </comment>
    <comment ref="AB38" authorId="0" shapeId="0" xr:uid="{85DB77F3-99E6-4D2C-B5CD-0389BDED9777}">
      <text>
        <r>
          <rPr>
            <sz val="8"/>
            <color indexed="81"/>
            <rFont val="Tahoma"/>
            <family val="2"/>
          </rPr>
          <t xml:space="preserve">BANCOLOMBIA:
Cra 80 # 48-95
tel 234 43 51 
fax4215311
Medellín
</t>
        </r>
      </text>
    </comment>
    <comment ref="K43" authorId="0" shapeId="0" xr:uid="{DB1FB2B2-A5BE-4416-92B9-11D14E79489B}">
      <text>
        <r>
          <rPr>
            <sz val="8"/>
            <color indexed="81"/>
            <rFont val="Tahoma"/>
            <family val="2"/>
          </rPr>
          <t xml:space="preserve">BANCOLOMBIA:
Por ser violatoria de derechos ciertos e indiscutibles, demnización moratoria y costas del pro -ceso, Despido sin justa causa. Pago de la prima
legal en forma integrada. Que se determine el salario promedio de liquidación de prestaciones sociales con todos los factores que lo integran para liquidar: Intereses a las cesantías y cesantías.   Pago de pensión sanción,   si a ello hubiere lugar. Pago de la indemnización moratoria . Que se declare las sumas recibidas como anticipo de prestaciones e indemnizaciones.Pago de los salarios dejados de percibir. Subsidiariamente,  que se  declare la  nulidad relativa de la mencionada Acta de Conciliación.
</t>
        </r>
      </text>
    </comment>
    <comment ref="K49" authorId="0" shapeId="0" xr:uid="{93D52EBE-0B23-48A9-9AA8-1C498C599065}">
      <text>
        <r>
          <rPr>
            <sz val="8"/>
            <color indexed="81"/>
            <rFont val="Tahoma"/>
            <family val="2"/>
          </rPr>
          <t>BANCOLOMBIA:
El juzgado en audiencia del 12 de julio de 1995 se declaró inhibido para proferir sentencia. No se decretaron costas. El Repre se notificó de una nueva demanda el 25 de enero 1996.</t>
        </r>
      </text>
    </comment>
    <comment ref="Q49" authorId="0" shapeId="0" xr:uid="{8A04AED7-0007-473E-8A40-216130FADA58}">
      <text>
        <r>
          <rPr>
            <sz val="8"/>
            <color indexed="81"/>
            <rFont val="Tahoma"/>
            <family val="2"/>
          </rPr>
          <t>BANCOLOMBIA:
Explica el juzgado que el Banco es una entidad de derecho público, que se requería agotar vía gubernativa y que no ocurrió así</t>
        </r>
      </text>
    </comment>
    <comment ref="AB50" authorId="0" shapeId="0" xr:uid="{FA4203EA-3CEC-4F5D-AA25-FE138A8AD9FD}">
      <text>
        <r>
          <rPr>
            <sz val="8"/>
            <color indexed="81"/>
            <rFont val="Tahoma"/>
            <family val="2"/>
          </rPr>
          <t xml:space="preserve">BANCOLOMBIA:
Cra 80 # 48-95
tel 234 43 51 
fax4215311
Medellín
</t>
        </r>
      </text>
    </comment>
    <comment ref="AB51" authorId="0" shapeId="0" xr:uid="{219972B0-8E72-4EF5-AAD1-1BD21317524F}">
      <text>
        <r>
          <rPr>
            <sz val="8"/>
            <color indexed="81"/>
            <rFont val="Tahoma"/>
            <family val="2"/>
          </rPr>
          <t xml:space="preserve">BANCOLOMBIA:
Cra 80 # 48-95
tel 234 43 51 
fax4215311
Medellín
</t>
        </r>
      </text>
    </comment>
    <comment ref="AB53" authorId="0" shapeId="0" xr:uid="{1607B401-8561-4B1F-8767-77FCC343DA55}">
      <text>
        <r>
          <rPr>
            <sz val="8"/>
            <color indexed="81"/>
            <rFont val="Tahoma"/>
            <family val="2"/>
          </rPr>
          <t xml:space="preserve">BANCOLOMBIA:
Cra 80 # 48-95
tel 234 43 51 
fax4215311
Medellín
</t>
        </r>
      </text>
    </comment>
    <comment ref="AB54" authorId="0" shapeId="0" xr:uid="{190463D3-E041-4494-BD51-4908F7701D2D}">
      <text>
        <r>
          <rPr>
            <sz val="8"/>
            <color indexed="81"/>
            <rFont val="Tahoma"/>
            <family val="2"/>
          </rPr>
          <t xml:space="preserve">BANCOLOMBIA:
Cra 80 # 48-95
tel 234 43 51 
fax4215311
Medellín
</t>
        </r>
      </text>
    </comment>
    <comment ref="AB55" authorId="0" shapeId="0" xr:uid="{184273A4-77CE-4889-8FA1-39C117131393}">
      <text>
        <r>
          <rPr>
            <sz val="8"/>
            <color indexed="81"/>
            <rFont val="Tahoma"/>
            <family val="2"/>
          </rPr>
          <t xml:space="preserve">BANCOLOMBIA:
Cra 80 # 48-95
tel 234 43 51 
fax4215311
Medellín
</t>
        </r>
      </text>
    </comment>
    <comment ref="K62" authorId="0" shapeId="0" xr:uid="{AE6F3697-1BE6-49AE-9046-FD5F366BA8C1}">
      <text>
        <r>
          <rPr>
            <sz val="8"/>
            <color indexed="81"/>
            <rFont val="Tahoma"/>
            <family val="2"/>
          </rPr>
          <t xml:space="preserve">BANCOLOMBIA:
 Al demandante se le canceló  el  contrato de trabajo con justa causa por  irregularidades  cometidas en el desempeño de sus funciones como Asistente Administrativo de Of. 
</t>
        </r>
      </text>
    </comment>
    <comment ref="K66" authorId="0" shapeId="0" xr:uid="{1D94E14F-7811-4945-88D8-B76FA736C0F6}">
      <text>
        <r>
          <rPr>
            <sz val="8"/>
            <color indexed="81"/>
            <rFont val="Tahoma"/>
            <family val="2"/>
          </rPr>
          <t>BANCOLOMBIA:
demnización moratoria y costas del proceso</t>
        </r>
      </text>
    </comment>
    <comment ref="AB73" authorId="0" shapeId="0" xr:uid="{806C61FD-7F2F-48D3-A25F-79875A5E935C}">
      <text>
        <r>
          <rPr>
            <sz val="8"/>
            <color indexed="81"/>
            <rFont val="Tahoma"/>
            <family val="2"/>
          </rPr>
          <t>BANCOLOMBIA:
CALLE 11 No. 4 - 42 Of. 403 a 405
A.A. No. 1403
tel (2) 8802705 8961271 8880302 fax 8891487
celular5634251
e mail rojasara@avan.net</t>
        </r>
      </text>
    </comment>
    <comment ref="K74" authorId="0" shapeId="0" xr:uid="{E40EBC6A-6950-4223-93D9-C99090CF0E00}">
      <text>
        <r>
          <rPr>
            <sz val="8"/>
            <color indexed="81"/>
            <rFont val="Tahoma"/>
            <family val="2"/>
          </rPr>
          <t>BANCOLOMBIA:
demnización moratoria y costas del proceso</t>
        </r>
      </text>
    </comment>
    <comment ref="AB74" authorId="0" shapeId="0" xr:uid="{0D0849C1-A716-4449-A2D7-0BF66BE2FCBD}">
      <text>
        <r>
          <rPr>
            <sz val="8"/>
            <color indexed="81"/>
            <rFont val="Tahoma"/>
            <family val="2"/>
          </rPr>
          <t>BANCOLOMBIA:
CALLE 11 No. 4 - 42 Of. 403 a 405
A.A. No. 1403
tel (2) 8802705 8961271 8880302 fax 8891487
celular5634251
e mail rojasara@avan.net</t>
        </r>
      </text>
    </comment>
    <comment ref="AB76" authorId="0" shapeId="0" xr:uid="{23A85061-9C43-4D27-AF5C-8F582F74BD65}">
      <text>
        <r>
          <rPr>
            <sz val="8"/>
            <color indexed="81"/>
            <rFont val="Tahoma"/>
            <family val="2"/>
          </rPr>
          <t>BANCOLOMBIA:
CALLE 11 No. 4 - 42 Of. 403 a 405
A.A. No. 1403
tel (2) 8802705 8961271 8880302 fax 8891487
celular5634251
e mail rojasara@avan.net</t>
        </r>
      </text>
    </comment>
    <comment ref="AB83" authorId="0" shapeId="0" xr:uid="{08D39610-E46F-4144-8FCF-EC771009BB29}">
      <text>
        <r>
          <rPr>
            <sz val="8"/>
            <color indexed="81"/>
            <rFont val="Tahoma"/>
            <family val="2"/>
          </rPr>
          <t xml:space="preserve">BANCOLOMBIA:
Cra 80 # 48-95
tel 234 43 51 
fax4215311
Medellín
</t>
        </r>
      </text>
    </comment>
    <comment ref="AB84" authorId="0" shapeId="0" xr:uid="{C02EAFAC-6A60-42DB-B377-CBF28AA44B5C}">
      <text>
        <r>
          <rPr>
            <sz val="8"/>
            <color indexed="81"/>
            <rFont val="Tahoma"/>
            <family val="2"/>
          </rPr>
          <t xml:space="preserve">BANCOLOMBIA:
Cra 80 # 48-95
tel 234 43 51 
fax4215311
Medellín
</t>
        </r>
      </text>
    </comment>
    <comment ref="AB85" authorId="0" shapeId="0" xr:uid="{CB5B90DB-468C-4F18-A35D-86AA9FBDFAA4}">
      <text>
        <r>
          <rPr>
            <sz val="8"/>
            <color indexed="81"/>
            <rFont val="Tahoma"/>
            <family val="2"/>
          </rPr>
          <t xml:space="preserve">BANCOLOMBIA:
Cra 80 # 48-95
tel 234 43 51 
fax4215311
Medellín
</t>
        </r>
      </text>
    </comment>
    <comment ref="K128" authorId="0" shapeId="0" xr:uid="{591E97A5-1539-47D9-8C60-7BDA59D33CB0}">
      <text>
        <r>
          <rPr>
            <sz val="8"/>
            <color indexed="81"/>
            <rFont val="Tahoma"/>
            <family val="2"/>
          </rPr>
          <t xml:space="preserve">Tenía firmada una acta de conciliación
 mesadas pensionales, indemnización 'moratoria, indexación, pago de salarios, viáticos y vacaciones dejadas de pagar en la liquidación de prestaciones sociales.  Costas y agencias en derecho. Pago de la Indemnización moratoria por el no pago- </t>
        </r>
      </text>
    </comment>
    <comment ref="K131" authorId="0" shapeId="0" xr:uid="{3845A6B9-2B19-414E-9D5C-F635D8BFC653}">
      <text>
        <r>
          <rPr>
            <sz val="8"/>
            <color indexed="81"/>
            <rFont val="Tahoma"/>
            <family val="2"/>
          </rPr>
          <t xml:space="preserve">BANCOLOMBIA:
Por ser violatoria de derechos ciertos e indiscutibles, demnización moratoria y costas del pro -ceso, Despido sin justa causa. Pago de la prima
legal en forma integrada. Que se determine el salario promedio de liquidación de prestaciones sociales con todos los factores que lo integran para liquidar: Intereses a las cesantías y cesantías.   Pago de pensión sanción,   si a ello hubiere lugar. Pago de la indemnización moratoria . Que se declare las sumas recibidas como anticipo de prestaciones e indemnizaciones.Pago de los salarios dejados de percibir. Subsidiariamente,  que se  declare la  nulidad relativa de la mencionada Acta de Conciliación.
</t>
        </r>
      </text>
    </comment>
    <comment ref="K138" authorId="0" shapeId="0" xr:uid="{F699CD7B-3DF3-4345-BC12-9B0157E45B6F}">
      <text>
        <r>
          <rPr>
            <sz val="8"/>
            <color indexed="81"/>
            <rFont val="Tahoma"/>
            <family val="2"/>
          </rPr>
          <t xml:space="preserve">BANCOLOMBIA:
Por ser violatoria de derechos ciertos e indiscutibles, demnización moratoria y costas del pro -ceso, Despido sin justa causa. Pago de la prima
legal en forma integrada. Que se determine el salario promedio de liquidación de prestaciones sociales con todos los factores que lo integran para liquidar: Intereses a las cesantías y cesantías.   Pago de pensión sanción,   si a ello hubiere lugar. Pago de la indemnización moratoria . Que se declare las sumas recibidas como anticipo de prestaciones e indemnizaciones.Pago de los salarios dejados de percibir. Subsidiariamente,  que se  declare la  nulidad relativa de la mencionada Acta de Conciliación.
</t>
        </r>
      </text>
    </comment>
    <comment ref="K140" authorId="0" shapeId="0" xr:uid="{34281BD3-EA4B-48AC-9952-65DE8287E6EE}">
      <text>
        <r>
          <rPr>
            <sz val="8"/>
            <color indexed="81"/>
            <rFont val="Tahoma"/>
            <family val="2"/>
          </rPr>
          <t xml:space="preserve">BANCOLOMBIA:
Por ser violatoria de derechos ciertos e indiscutibles, demnización moratoria y costas del pro -ceso, Despido sin justa causa. Pago de la prima
legal en forma integrada. Que se determine el salario promedio de liquidación de prestaciones sociales con todos los factores que lo integran para liquidar: Intereses a las cesantías y cesantías.   Pago de pensión sanción,   si a ello hubiere lugar. Pago de la indemnización moratoria . Que se declare las sumas recibidas como anticipo de prestaciones e indemnizaciones.Pago de los salarios dejados de percibir. Subsidiariamente,  que se  declare la  nulidad relativa de la mencionada Acta de Conciliación.
</t>
        </r>
      </text>
    </comment>
    <comment ref="K147" authorId="0" shapeId="0" xr:uid="{06CEDA9B-EADB-4011-ADCD-AE2CA3E6E260}">
      <text>
        <r>
          <rPr>
            <sz val="8"/>
            <color indexed="81"/>
            <rFont val="Tahoma"/>
            <family val="2"/>
          </rPr>
          <t>BANCOLOMBIA:
demnización moratoria y costas del proceso</t>
        </r>
      </text>
    </comment>
    <comment ref="AB147" authorId="0" shapeId="0" xr:uid="{4F01D175-153E-4F69-A85F-B16005B149FB}">
      <text>
        <r>
          <rPr>
            <sz val="8"/>
            <color indexed="81"/>
            <rFont val="Tahoma"/>
            <family val="2"/>
          </rPr>
          <t>BANCOLOMBIA:
CALLE 12 No. 12 - 12 Of. 202
TEL. 987 703323
Sogamoso</t>
        </r>
      </text>
    </comment>
    <comment ref="K148" authorId="0" shapeId="0" xr:uid="{3859878F-C417-4595-BE76-438E715ACFAF}">
      <text>
        <r>
          <rPr>
            <sz val="8"/>
            <color indexed="81"/>
            <rFont val="Tahoma"/>
            <family val="2"/>
          </rPr>
          <t>BANCOLOMBIA:
demnización moratoria y costas del proceso</t>
        </r>
      </text>
    </comment>
    <comment ref="AB153" authorId="0" shapeId="0" xr:uid="{CEA03584-536A-49AD-9F2F-42AED1ECDBB7}">
      <text>
        <r>
          <rPr>
            <sz val="8"/>
            <color indexed="81"/>
            <rFont val="Tahoma"/>
            <family val="2"/>
          </rPr>
          <t xml:space="preserve">BANCOLOMBIA:
Cra 80 # 48-95
tel 234 43 51 
fax4215311
Medellín
</t>
        </r>
      </text>
    </comment>
    <comment ref="AB155" authorId="0" shapeId="0" xr:uid="{4A922E2C-3F13-417F-BCC6-FF7AB64C06DF}">
      <text>
        <r>
          <rPr>
            <sz val="8"/>
            <color indexed="81"/>
            <rFont val="Tahoma"/>
            <family val="2"/>
          </rPr>
          <t xml:space="preserve">BANCOLOMBIA:
Cra 80 # 48-95
tel 234 43 51 
fax4215311
Medellín
</t>
        </r>
      </text>
    </comment>
    <comment ref="U156" authorId="1" shapeId="0" xr:uid="{0E594651-D793-4719-9005-A64219EB469D}">
      <text>
        <r>
          <rPr>
            <b/>
            <sz val="8"/>
            <color indexed="81"/>
            <rFont val="Tahoma"/>
            <family val="2"/>
          </rPr>
          <t>BANCOLOMBIA:</t>
        </r>
        <r>
          <rPr>
            <sz val="8"/>
            <color indexed="81"/>
            <rFont val="Tahoma"/>
            <family val="2"/>
          </rPr>
          <t xml:space="preserve">
Condena en costas ddte:
$800.000</t>
        </r>
      </text>
    </comment>
    <comment ref="K157" authorId="0" shapeId="0" xr:uid="{8C56B828-EB13-42AC-A7EE-A34E7652C1B5}">
      <text>
        <r>
          <rPr>
            <sz val="8"/>
            <color indexed="81"/>
            <rFont val="Tahoma"/>
            <family val="2"/>
          </rPr>
          <t>BANCOLOMBIA:
Despedida por exceso de atribuciones como gerenta de la suc la América. Al ser administrador no acción de reintegro</t>
        </r>
      </text>
    </comment>
    <comment ref="W157" authorId="1" shapeId="0" xr:uid="{70D8DE88-EA09-49E1-B647-97A96FC45A70}">
      <text>
        <r>
          <rPr>
            <b/>
            <sz val="8"/>
            <color indexed="81"/>
            <rFont val="Tahoma"/>
            <family val="2"/>
          </rPr>
          <t>BANCOLOMBIA:</t>
        </r>
        <r>
          <rPr>
            <sz val="8"/>
            <color indexed="81"/>
            <rFont val="Tahoma"/>
            <family val="2"/>
          </rPr>
          <t xml:space="preserve">
Valor recuperado de las costas procesales</t>
        </r>
      </text>
    </comment>
    <comment ref="U158" authorId="1" shapeId="0" xr:uid="{FB373370-55C4-4843-BCC9-2B077BC50F4C}">
      <text>
        <r>
          <rPr>
            <b/>
            <sz val="8"/>
            <color indexed="81"/>
            <rFont val="Tahoma"/>
            <family val="2"/>
          </rPr>
          <t>BANCOLOMBIA:</t>
        </r>
        <r>
          <rPr>
            <sz val="8"/>
            <color indexed="81"/>
            <rFont val="Tahoma"/>
            <family val="2"/>
          </rPr>
          <t xml:space="preserve">
Se desestima el cargo por la corte por falta de técnica|</t>
        </r>
      </text>
    </comment>
    <comment ref="K161" authorId="0" shapeId="0" xr:uid="{DE8C5E8C-583A-4B20-9F3B-2EDFB56A9E75}">
      <text>
        <r>
          <rPr>
            <sz val="8"/>
            <color indexed="81"/>
            <rFont val="Tahoma"/>
            <family val="2"/>
          </rPr>
          <t xml:space="preserve">BANCOLOMBIA:
Declarar que se han hecho ajustes inferiores al 15%
</t>
        </r>
      </text>
    </comment>
    <comment ref="K164" authorId="0" shapeId="0" xr:uid="{7DD0A721-E077-4A31-8422-B4939FFC4FE0}">
      <text>
        <r>
          <rPr>
            <sz val="8"/>
            <color indexed="81"/>
            <rFont val="Tahoma"/>
            <family val="2"/>
          </rPr>
          <t>BANCOLOMBIA:
a partir del mes de enero de 1995.</t>
        </r>
      </text>
    </comment>
    <comment ref="P175" authorId="0" shapeId="0" xr:uid="{97599D7E-A489-4281-8AB8-26143B143E7E}">
      <text>
        <r>
          <rPr>
            <sz val="8"/>
            <color indexed="81"/>
            <rFont val="Tahoma"/>
            <family val="2"/>
          </rPr>
          <t>BANCOLOMBIA:
Por descongestión judicial paso al tribunal de pamplona desde 20 enero 99</t>
        </r>
      </text>
    </comment>
    <comment ref="P177" authorId="0" shapeId="0" xr:uid="{C796C357-2EF6-4A28-9B1E-242405558F84}">
      <text>
        <r>
          <rPr>
            <sz val="8"/>
            <color indexed="81"/>
            <rFont val="Tahoma"/>
            <family val="2"/>
          </rPr>
          <t>BANCOLOMBIA:
Declarar probada la excepcion de petición antes de tiempo respecto a la pensión</t>
        </r>
      </text>
    </comment>
    <comment ref="U177" authorId="0" shapeId="0" xr:uid="{2AD70DD7-CFBF-4B59-8C58-13442FF575D3}">
      <text>
        <r>
          <rPr>
            <sz val="8"/>
            <color indexed="81"/>
            <rFont val="Tahoma"/>
            <family val="2"/>
          </rPr>
          <t>BANCOLOMBIA:
Declarar probada la excepcion de petición antes de tiempo respecto a la pensión</t>
        </r>
      </text>
    </comment>
    <comment ref="K182" authorId="0" shapeId="0" xr:uid="{8F90AAD1-B004-495F-8FBE-C4AB11ECE514}">
      <text>
        <r>
          <rPr>
            <sz val="8"/>
            <color indexed="81"/>
            <rFont val="Tahoma"/>
            <family val="2"/>
          </rPr>
          <t xml:space="preserve">BANCOLOMBIA:
Que se apliqun los beneficios d ela convención y qie se apliquuen los reajustes legales y convencionales
</t>
        </r>
      </text>
    </comment>
    <comment ref="AI182" authorId="0" shapeId="0" xr:uid="{5D904768-FCFA-41F5-ACA9-67C3BD09E406}">
      <text>
        <r>
          <rPr>
            <sz val="8"/>
            <color indexed="81"/>
            <rFont val="Tahoma"/>
            <family val="2"/>
          </rPr>
          <t>BANCOLOMBIA:
2858888 28795 75 287 96 82</t>
        </r>
      </text>
    </comment>
    <comment ref="AJ188" authorId="0" shapeId="0" xr:uid="{7EFFDDF6-BA1B-4300-A010-90CD40D62C05}">
      <text>
        <r>
          <rPr>
            <sz val="8"/>
            <color indexed="81"/>
            <rFont val="Tahoma"/>
            <family val="2"/>
          </rPr>
          <t>BANCOLOMBIA:
Charria recomienda conciliación por estemporaneidad despido de marzo 4 96 a julio 9 /96, además no ha sido posible demostrar, mediante su fima, que el actor conocía las normas reguladoras de las funciones relacionadas con los hechos atribuidos en la carta de despido</t>
        </r>
      </text>
    </comment>
    <comment ref="AB191" authorId="0" shapeId="0" xr:uid="{BE84B7EC-43D8-42FA-8238-62DAADA7A160}">
      <text>
        <r>
          <rPr>
            <sz val="8"/>
            <color indexed="81"/>
            <rFont val="Tahoma"/>
            <family val="2"/>
          </rPr>
          <t xml:space="preserve">BANCOLOMBIA:
Cra 80 # 48-95
tel 234 43 51 
fax4215311
Medellín
</t>
        </r>
      </text>
    </comment>
    <comment ref="AB192" authorId="0" shapeId="0" xr:uid="{5B1A6A15-8D10-4A2F-BEC2-C9010A5601DA}">
      <text>
        <r>
          <rPr>
            <sz val="8"/>
            <color indexed="81"/>
            <rFont val="Tahoma"/>
            <family val="2"/>
          </rPr>
          <t xml:space="preserve">BANCOLOMBIA:
Cra 80 # 48-95
tel 234 43 51 
fax4215311
Medellín
</t>
        </r>
      </text>
    </comment>
    <comment ref="AI193" authorId="0" shapeId="0" xr:uid="{69525DEA-66D1-42BD-9396-4A5B2C83B74A}">
      <text>
        <r>
          <rPr>
            <sz val="8"/>
            <color indexed="81"/>
            <rFont val="Tahoma"/>
            <family val="2"/>
          </rPr>
          <t>BANCOLOMBIA:
5 iniciales
2 1 Ins
2 2 Ins
120.000 traslados</t>
        </r>
      </text>
    </comment>
    <comment ref="AB194" authorId="0" shapeId="0" xr:uid="{0E6136ED-7AFD-4428-8314-AF6D0D9FDEC4}">
      <text>
        <r>
          <rPr>
            <sz val="8"/>
            <color indexed="81"/>
            <rFont val="Tahoma"/>
            <family val="2"/>
          </rPr>
          <t>BANCOLOMBIA:
CALLE 11 No. 4 - 42 Of. 403 a 405
A.A. No. 1403
tel (2) 8802705 8961271 8880302 fax 8891487
celular5634251
e mail rojasara@avan.net</t>
        </r>
      </text>
    </comment>
    <comment ref="K202" authorId="0" shapeId="0" xr:uid="{64E5B3F7-3A25-467D-A4F2-571C06EF343A}">
      <text>
        <r>
          <rPr>
            <sz val="8"/>
            <color indexed="81"/>
            <rFont val="Tahoma"/>
            <family val="2"/>
          </rPr>
          <t xml:space="preserve">Promotor de TC, pide reconocimiento relación laboral
</t>
        </r>
      </text>
    </comment>
    <comment ref="B204" authorId="0" shapeId="0" xr:uid="{F4A673E6-2D07-4E8A-B5D4-F037EEE5216F}">
      <text>
        <r>
          <rPr>
            <sz val="8"/>
            <color indexed="81"/>
            <rFont val="Tahoma"/>
            <family val="2"/>
          </rPr>
          <t>BANCOLOMBIA:
Fue remitido de Sahagun, 11 de Abril de 2.000 se repartió al juzgado</t>
        </r>
      </text>
    </comment>
    <comment ref="AH206" authorId="1" shapeId="0" xr:uid="{7DD4F722-F9E2-4ACF-B420-C0D2E5DF15BC}">
      <text>
        <r>
          <rPr>
            <b/>
            <sz val="8"/>
            <color indexed="81"/>
            <rFont val="Tahoma"/>
            <family val="2"/>
          </rPr>
          <t>BANCOLOMBIA:</t>
        </r>
        <r>
          <rPr>
            <sz val="8"/>
            <color indexed="81"/>
            <rFont val="Tahoma"/>
            <family val="2"/>
          </rPr>
          <t xml:space="preserve">
Calle 25 4-181 tel 232246
</t>
        </r>
      </text>
    </comment>
    <comment ref="AB208" authorId="0" shapeId="0" xr:uid="{602DC332-CFEE-4ADD-8FEF-EE1FA20332AF}">
      <text>
        <r>
          <rPr>
            <sz val="8"/>
            <color indexed="81"/>
            <rFont val="Tahoma"/>
            <family val="2"/>
          </rPr>
          <t>BANCOLOMBIA:
CRA. 11 No. 18 - 36
TEL. 9834 35106 - 33191
Girardot.</t>
        </r>
      </text>
    </comment>
    <comment ref="AB209" authorId="0" shapeId="0" xr:uid="{70800A1D-9883-4998-85FF-A59E3B5F96F7}">
      <text>
        <r>
          <rPr>
            <sz val="8"/>
            <color indexed="81"/>
            <rFont val="Tahoma"/>
            <family val="2"/>
          </rPr>
          <t xml:space="preserve">BANCOLOMBIA:
CRA. 4a. No. 7 - 44
TEL. 982 639333
Ibague
</t>
        </r>
      </text>
    </comment>
    <comment ref="A211" authorId="0" shapeId="0" xr:uid="{ECCA7599-E234-4C08-BC39-5136C99F39F6}">
      <text>
        <r>
          <rPr>
            <sz val="8"/>
            <color indexed="81"/>
            <rFont val="Tahoma"/>
            <family val="2"/>
          </rPr>
          <t>BANCOLOMBIA:
Debería presentarse como proceso especial de acción de restitución fuero sindical</t>
        </r>
      </text>
    </comment>
    <comment ref="K211" authorId="0" shapeId="0" xr:uid="{19B6DFA1-D937-48BE-822B-45D5F9240CA1}">
      <text>
        <r>
          <rPr>
            <sz val="8"/>
            <color indexed="81"/>
            <rFont val="Tahoma"/>
            <family val="2"/>
          </rPr>
          <t>BANCOLOMBIA:
Alega tener fuero sindical
Fecha vinculación: 1 oct 91
fin: 30 jun 97</t>
        </r>
      </text>
    </comment>
    <comment ref="K212" authorId="0" shapeId="0" xr:uid="{225A3E51-BCD8-49FB-8101-C8D5CB8D91F8}">
      <text>
        <r>
          <rPr>
            <sz val="8"/>
            <color indexed="81"/>
            <rFont val="Tahoma"/>
            <family val="2"/>
          </rPr>
          <t>BANCOLOMBIA:
Operaciones irregulares y fraudulentas, el Banco se demoró en despedir a la persona y eso es el mayor inconveniente
La persona está actualmente como asesora comercial</t>
        </r>
      </text>
    </comment>
    <comment ref="AB212" authorId="0" shapeId="0" xr:uid="{D696C935-C7CB-4A12-884C-177C21BD3466}">
      <text>
        <r>
          <rPr>
            <sz val="8"/>
            <color indexed="81"/>
            <rFont val="Tahoma"/>
            <family val="2"/>
          </rPr>
          <t>BANCOLOMBIA:
Edificio Caja Agraria P.7
OF. 708
TEL. (955) 742305 - 749597 CEL. ( 93 ) 6410563  Valledupar</t>
        </r>
      </text>
    </comment>
    <comment ref="W215" authorId="0" shapeId="0" xr:uid="{40B3C06E-225C-4453-A09A-66173E990E18}">
      <text>
        <r>
          <rPr>
            <sz val="8"/>
            <color indexed="81"/>
            <rFont val="Tahoma"/>
            <family val="2"/>
          </rPr>
          <t>BANCOLOMBIA:
fue la condena en costas de las 2 instancias</t>
        </r>
      </text>
    </comment>
    <comment ref="AB215" authorId="0" shapeId="0" xr:uid="{3995E1D3-48CC-4340-9E08-4D1FCAE51EDD}">
      <text>
        <r>
          <rPr>
            <sz val="8"/>
            <color indexed="81"/>
            <rFont val="Tahoma"/>
            <family val="2"/>
          </rPr>
          <t>BANCOLOMBIA:
Edif. Banco de Bogotá, Of.303 - A
TELEFAX. 956 644102
'TEL. 936 570461</t>
        </r>
      </text>
    </comment>
    <comment ref="K216" authorId="0" shapeId="0" xr:uid="{3A017EF0-373E-4690-ADE0-300BE4CFFE64}">
      <text>
        <r>
          <rPr>
            <sz val="8"/>
            <color indexed="81"/>
            <rFont val="Tahoma"/>
            <family val="2"/>
          </rPr>
          <t>BANCOLOMBIA:
Se condene al Banco a restituir al demandante en la jornada nocturna , pagarle todo lo dejado de percibir  salarial y prestacionalmente de Ley y convencional, y costas</t>
        </r>
      </text>
    </comment>
    <comment ref="AB220" authorId="0" shapeId="0" xr:uid="{F6941E5B-60A0-42A4-827F-A0231D9C3DAF}">
      <text>
        <r>
          <rPr>
            <sz val="8"/>
            <color indexed="81"/>
            <rFont val="Tahoma"/>
            <family val="2"/>
          </rPr>
          <t>BANCOLOMBIA:
Of.B-6 Piso 3o.   Edificio y Parqueadero Las Flores
TEL: 953 406045 - 405801 fax 512852</t>
        </r>
      </text>
    </comment>
    <comment ref="AB223" authorId="0" shapeId="0" xr:uid="{588B4A01-047A-4A08-BCCE-2144092F9F8E}">
      <text>
        <r>
          <rPr>
            <sz val="8"/>
            <color indexed="81"/>
            <rFont val="Tahoma"/>
            <family val="2"/>
          </rPr>
          <t>BANCOLOMBIA:
Calle 49 8-81
0ficina 305
Centro Comercial  Arco Iris
Teléfono 6224030
Barrancabermeja</t>
        </r>
      </text>
    </comment>
    <comment ref="U227" authorId="1" shapeId="0" xr:uid="{83931C74-4C02-4689-9302-C97CAFD033EA}">
      <text>
        <r>
          <rPr>
            <b/>
            <sz val="8"/>
            <color indexed="81"/>
            <rFont val="Tahoma"/>
            <family val="2"/>
          </rPr>
          <t>BANCOLOMBIA:</t>
        </r>
        <r>
          <rPr>
            <sz val="8"/>
            <color indexed="81"/>
            <rFont val="Tahoma"/>
            <family val="2"/>
          </rPr>
          <t xml:space="preserve">
Estima la corte que si fue oportuno el despido y que se configura la jc</t>
        </r>
      </text>
    </comment>
    <comment ref="K233" authorId="0" shapeId="0" xr:uid="{5D74AD1D-69DC-4B92-9698-88C088B16A72}">
      <text>
        <r>
          <rPr>
            <sz val="8"/>
            <color indexed="81"/>
            <rFont val="Tahoma"/>
            <family val="2"/>
          </rPr>
          <t xml:space="preserve">BANCOLOMBIA:
Ingreso: 4 sep 61, Bogotá
Retiro: 1 agosto 78, Nto: 27 agosto 38, Afiliación ISS 010450632 de enero 1/67 Según sentencia 8 sept de 1979 El derecho a la pensión de jubilación por retiro voluntario  con más de 15 años de servicio unicamente se conservó  respecto de trabajadores que llevaban 10 años ´0 más cuando se inció el tránsito de un sistema  a otro y cuya desvinculación se produzca dentro de los 10 años siguientes
</t>
        </r>
      </text>
    </comment>
    <comment ref="K238" authorId="1" shapeId="0" xr:uid="{28D5DC47-07FF-43ED-9D82-FE5CCA3D49C8}">
      <text>
        <r>
          <rPr>
            <b/>
            <sz val="8"/>
            <color indexed="81"/>
            <rFont val="Tahoma"/>
            <family val="2"/>
          </rPr>
          <t>BANCOLOMBIA:</t>
        </r>
        <r>
          <rPr>
            <sz val="8"/>
            <color indexed="81"/>
            <rFont val="Tahoma"/>
            <family val="2"/>
          </rPr>
          <t xml:space="preserve">
Salarios caidos
</t>
        </r>
      </text>
    </comment>
    <comment ref="AB244" authorId="0" shapeId="0" xr:uid="{628BFABC-DF15-4A3C-A4E5-27970A73E0ED}">
      <text>
        <r>
          <rPr>
            <sz val="8"/>
            <color indexed="81"/>
            <rFont val="Tahoma"/>
            <family val="2"/>
          </rPr>
          <t>BANCOLOMBIA:
CALLE 11 No. 4 - 24 OF 201
TELS FAX 982 631020 - 634298 619933
Ibague
0333197115
mail anmeme@bunde.tolinet.com.co</t>
        </r>
      </text>
    </comment>
    <comment ref="AI246" authorId="0" shapeId="0" xr:uid="{991FA040-5C71-4E71-88FC-1F2419962A4C}">
      <text>
        <r>
          <rPr>
            <sz val="8"/>
            <color indexed="81"/>
            <rFont val="Tahoma"/>
            <family val="2"/>
          </rPr>
          <t>BANCOLOMBIA:
Calle 23 19-47 of 312
2811679
Sincelejo</t>
        </r>
      </text>
    </comment>
    <comment ref="AB247" authorId="0" shapeId="0" xr:uid="{DB014479-D7AD-45C2-B237-AC9F2531E477}">
      <text>
        <r>
          <rPr>
            <sz val="8"/>
            <color indexed="81"/>
            <rFont val="Tahoma"/>
            <family val="2"/>
          </rPr>
          <t>BANCOLOMBIA:
Abogado al que le sustituyo poder Luz Elena Bastos de la Región Norte
3511485, 
Cra. 44 No. 37-21 tercer piso Edif. Suramericana Bancolombia.Barranquilla</t>
        </r>
      </text>
    </comment>
    <comment ref="K248" authorId="0" shapeId="0" xr:uid="{A3F8CBEA-3865-4D57-A0E0-67A53E79BC5A}">
      <text>
        <r>
          <rPr>
            <sz val="8"/>
            <color indexed="81"/>
            <rFont val="Tahoma"/>
            <family val="2"/>
          </rPr>
          <t xml:space="preserve">BANCOLOMBIA:
Ingreso: 4 sep 61, Bogotá
Retiro: 1 agosto 78, Nto: 27 agosto 38, Afiliación ISS 010450632 de enero 1/67 </t>
        </r>
      </text>
    </comment>
    <comment ref="AB248" authorId="0" shapeId="0" xr:uid="{DFF8BA32-7EF5-4D49-8FE5-A878420C7FF5}">
      <text>
        <r>
          <rPr>
            <sz val="8"/>
            <color indexed="81"/>
            <rFont val="Tahoma"/>
            <family val="2"/>
          </rPr>
          <t>BANCOLOMBIA:
Calle 17a sur #44-130 Apto 502 Ed San Juan d ela Vega
Tel 313 67 38
E mail mariaelena@epm.net.co</t>
        </r>
      </text>
    </comment>
    <comment ref="AB249" authorId="0" shapeId="0" xr:uid="{ADEC1F1C-80FE-42A0-81DE-6573734989C8}">
      <text>
        <r>
          <rPr>
            <sz val="8"/>
            <color indexed="81"/>
            <rFont val="Tahoma"/>
            <family val="2"/>
          </rPr>
          <t>BANCOLOMBIA:
Calle 17a sur #44-130 Apto 502 Ed San Juan d ela Vega
Tel 313 67 38
E mail mariaelena@epm.net.co</t>
        </r>
      </text>
    </comment>
    <comment ref="AB250" authorId="0" shapeId="0" xr:uid="{2A7F0234-5744-42F9-A150-FBF50E48F307}">
      <text>
        <r>
          <rPr>
            <sz val="8"/>
            <color indexed="81"/>
            <rFont val="Tahoma"/>
            <family val="2"/>
          </rPr>
          <t xml:space="preserve">BANCOLOMBIA:
Cra 80 # 48-95
tel 234 43 51 
fax4215311
Medellín
</t>
        </r>
      </text>
    </comment>
    <comment ref="AB251" authorId="0" shapeId="0" xr:uid="{35CB3D76-7C60-42AB-926D-51587A240196}">
      <text>
        <r>
          <rPr>
            <sz val="8"/>
            <color indexed="81"/>
            <rFont val="Tahoma"/>
            <family val="2"/>
          </rPr>
          <t>BANCOLOMBIA:
CALLE 39 No. 43-123 Of.B-6 Piso 3o.   Edificio y Parqueadero Las Flores
TEL: 953 406045 - 405801 fax 512852
a.a. 52091 Bquilla</t>
        </r>
      </text>
    </comment>
    <comment ref="K256" authorId="0" shapeId="0" xr:uid="{84EFE560-BA52-4B45-B4C8-90CBC3EE1F3C}">
      <text>
        <r>
          <rPr>
            <sz val="8"/>
            <color indexed="81"/>
            <rFont val="Tahoma"/>
            <family val="2"/>
          </rPr>
          <t xml:space="preserve">BANCOLOMBIA:
El banco decidó compartir la pensión de jubilación con la del ISS
</t>
        </r>
      </text>
    </comment>
    <comment ref="W256" authorId="0" shapeId="0" xr:uid="{589F7679-6017-4E55-8C9A-336B0EA22325}">
      <text>
        <r>
          <rPr>
            <sz val="8"/>
            <color indexed="81"/>
            <rFont val="Tahoma"/>
            <family val="2"/>
          </rPr>
          <t>BANCOLOMBIA:
las mesadas atrasads desde junio 4/94 cuetan alrededo de $ 14 MM
los intereses moratorios 9.5MM</t>
        </r>
      </text>
    </comment>
    <comment ref="AB259" authorId="0" shapeId="0" xr:uid="{53A20898-4BA4-4F0D-AE18-BD8D63F3B64E}">
      <text>
        <r>
          <rPr>
            <sz val="8"/>
            <color indexed="81"/>
            <rFont val="Tahoma"/>
            <family val="2"/>
          </rPr>
          <t xml:space="preserve">BANCOLOMBIA:
CRA. 4a. No. 7 - 44
TEL. 982 - 619333 610171
639333 
Ibague
</t>
        </r>
      </text>
    </comment>
    <comment ref="AB261" authorId="1" shapeId="0" xr:uid="{F1A8AA35-63FC-458E-957D-508496D8C50E}">
      <text>
        <r>
          <rPr>
            <b/>
            <sz val="8"/>
            <color indexed="81"/>
            <rFont val="Tahoma"/>
            <family val="2"/>
          </rPr>
          <t xml:space="preserve">calle 77B No 57 – 141,  oficina 914, Centro Empresarial de las Américas. 
Teléfonos 3601452-3602620  celular 0337263162
</t>
        </r>
      </text>
    </comment>
    <comment ref="K263" authorId="0" shapeId="0" xr:uid="{70FE1BF0-EF1C-4A52-A787-187C57830C86}">
      <text>
        <r>
          <rPr>
            <sz val="8"/>
            <color indexed="81"/>
            <rFont val="Tahoma"/>
            <family val="2"/>
          </rPr>
          <t>BANCOLOMBIA:
Reajuste de salarios, cesantías e intereses, 'primas, vacaciones y demás prestaciones. Pago de horas extras, recargos nocturnos, dominicales y festivos.</t>
        </r>
      </text>
    </comment>
    <comment ref="AB265" authorId="0" shapeId="0" xr:uid="{C1368AFE-EA9C-4615-99D3-B4D1B9CA12FB}">
      <text>
        <r>
          <rPr>
            <sz val="8"/>
            <color indexed="81"/>
            <rFont val="Tahoma"/>
            <family val="2"/>
          </rPr>
          <t>BANCOLOMBIA:
Calle 17a sur #44-130 Apto 502 Ed San Juan d ela Vega
Tel 313 67 38
E mail mariaelena@epm.net.co</t>
        </r>
      </text>
    </comment>
    <comment ref="AB266" authorId="0" shapeId="0" xr:uid="{C8E7D12D-A111-4E42-841C-2DB5BDEAC257}">
      <text>
        <r>
          <rPr>
            <sz val="8"/>
            <color indexed="81"/>
            <rFont val="Tahoma"/>
            <family val="2"/>
          </rPr>
          <t xml:space="preserve">BANCOLOMBIA:
Cra 80 # 48-95
tel 234 43 51 
fax4215311
Medellín
</t>
        </r>
      </text>
    </comment>
    <comment ref="A273" authorId="1" shapeId="0" xr:uid="{89A60243-08DC-42AE-BD26-EE83904FAE3C}">
      <text>
        <r>
          <rPr>
            <b/>
            <sz val="8"/>
            <color indexed="81"/>
            <rFont val="Tahoma"/>
            <family val="2"/>
          </rPr>
          <t>BANCOLOMBIA:</t>
        </r>
        <r>
          <rPr>
            <sz val="8"/>
            <color indexed="81"/>
            <rFont val="Tahoma"/>
            <family val="2"/>
          </rPr>
          <t xml:space="preserve">
</t>
        </r>
      </text>
    </comment>
    <comment ref="AB273" authorId="0" shapeId="0" xr:uid="{466A6193-CF60-4DC1-8E9C-AA7509516869}">
      <text>
        <r>
          <rPr>
            <sz val="8"/>
            <color indexed="81"/>
            <rFont val="Tahoma"/>
            <family val="2"/>
          </rPr>
          <t>BANCOLOMBIA:
Calle 17a sur #44-130 Apto 502 Ed San Juan d ela Vega
Tel 313 67 38
E mail mariaelena@epm.net.co</t>
        </r>
      </text>
    </comment>
    <comment ref="U274" authorId="0" shapeId="0" xr:uid="{C14AA06B-EE18-4DC0-B4CB-E490EFA97171}">
      <text>
        <r>
          <rPr>
            <sz val="8"/>
            <color indexed="81"/>
            <rFont val="Tahoma"/>
            <family val="2"/>
          </rPr>
          <t>BANCOLOMBIA:
Costas: 1.200.000</t>
        </r>
      </text>
    </comment>
    <comment ref="O275" authorId="0" shapeId="0" xr:uid="{538CBFFF-7B83-4FBC-B1D1-1A648653E689}">
      <text>
        <r>
          <rPr>
            <sz val="8"/>
            <color indexed="81"/>
            <rFont val="Tahoma"/>
            <family val="2"/>
          </rPr>
          <t xml:space="preserve">BANCOLOMBIA:
Gerente de zona. Contrato terminó por art 6 el 21 de oct/96 por violaciones gravies a procedimientos, en especial pagos por ventanilla y código de ética. Autorizó pago de muchos  MM sin que se elaborara el formato para declaración de operaciones en efectivo </t>
        </r>
      </text>
    </comment>
    <comment ref="AB276" authorId="0" shapeId="0" xr:uid="{350A6B60-B801-4D45-B967-5A636B90D818}">
      <text>
        <r>
          <rPr>
            <sz val="8"/>
            <color indexed="81"/>
            <rFont val="Tahoma"/>
            <family val="2"/>
          </rPr>
          <t xml:space="preserve">BANCOLOMBIA:
Cra 80 # 48-95
tel 234 43 51 
fax4215311
Medellín
</t>
        </r>
      </text>
    </comment>
    <comment ref="AB277" authorId="0" shapeId="0" xr:uid="{34E6591A-3E35-412B-9E06-F336B7ADD366}">
      <text>
        <r>
          <rPr>
            <sz val="8"/>
            <color indexed="81"/>
            <rFont val="Tahoma"/>
            <family val="2"/>
          </rPr>
          <t>BANCOLOMBIA:
CALLE 39 No. 43-123 Of.B-6 Piso 3o.   Edificio y Parqueadero Las Flores
TEL: 953 406045 - 405801 fax 512852
a.a. 52091 Bquilla</t>
        </r>
      </text>
    </comment>
    <comment ref="AB279" authorId="0" shapeId="0" xr:uid="{B33F5B16-EC7F-4DFE-8233-473438867A04}">
      <text>
        <r>
          <rPr>
            <sz val="8"/>
            <color indexed="81"/>
            <rFont val="Tahoma"/>
            <family val="2"/>
          </rPr>
          <t>BANCOLOMBIA:
Calle Cartagenita N° 10-76, Teléfono (0947) 74 67 92
Cereté</t>
        </r>
      </text>
    </comment>
    <comment ref="AB281" authorId="1" shapeId="0" xr:uid="{B4AE59FE-2281-4C89-9A56-0C7CF0BF3105}">
      <text>
        <r>
          <rPr>
            <b/>
            <sz val="8"/>
            <color indexed="81"/>
            <rFont val="Tahoma"/>
            <family val="2"/>
          </rPr>
          <t xml:space="preserve">calle 77B No 57 – 141,  oficina 914, Centro Empresarial de las Américas. 
Teléfonos 3601452-3602620  celular 0337263162
</t>
        </r>
      </text>
    </comment>
    <comment ref="AH281" authorId="1" shapeId="0" xr:uid="{1C3827CE-B633-487B-9D58-D18554AA9A02}">
      <text>
        <r>
          <rPr>
            <b/>
            <sz val="8"/>
            <color indexed="81"/>
            <rFont val="Tahoma"/>
            <family val="2"/>
          </rPr>
          <t>BANCOLOMBIA:</t>
        </r>
        <r>
          <rPr>
            <sz val="8"/>
            <color indexed="81"/>
            <rFont val="Tahoma"/>
            <family val="2"/>
          </rPr>
          <t xml:space="preserve">
Calle 17 4-50 Santa Marta tel 4229595
</t>
        </r>
      </text>
    </comment>
    <comment ref="AB282" authorId="0" shapeId="0" xr:uid="{717C2341-3D71-4EDF-A72C-5A9D6ECC3CE8}">
      <text>
        <r>
          <rPr>
            <sz val="8"/>
            <color indexed="81"/>
            <rFont val="Tahoma"/>
            <family val="2"/>
          </rPr>
          <t xml:space="preserve">BANCOLOMBIA:
CRA. 4a. No. 7 - 44
TEL. 982 - 619333 610171
639333 
Ibague
</t>
        </r>
      </text>
    </comment>
    <comment ref="AH282" authorId="1" shapeId="0" xr:uid="{E1C20CD4-155E-4CC0-803D-E0377E173403}">
      <text>
        <r>
          <rPr>
            <b/>
            <sz val="8"/>
            <color indexed="81"/>
            <rFont val="Tahoma"/>
            <family val="2"/>
          </rPr>
          <t>BANCOLOMBIA:</t>
        </r>
        <r>
          <rPr>
            <sz val="8"/>
            <color indexed="81"/>
            <rFont val="Tahoma"/>
            <family val="2"/>
          </rPr>
          <t xml:space="preserve">
C C Pasaje Real of 308 tel 261 00 31 
Ibagué</t>
        </r>
      </text>
    </comment>
    <comment ref="AB283" authorId="0" shapeId="0" xr:uid="{2C726B9A-E03E-45CC-94A7-F1651F3A6EC8}">
      <text>
        <r>
          <rPr>
            <sz val="8"/>
            <color indexed="81"/>
            <rFont val="Tahoma"/>
            <family val="2"/>
          </rPr>
          <t>Calle 37 No. 32 - 49. Teléfono 0586626338 - 0586624433 Cel 033-3420021 - Villavicencio
098 662 44 32
asistente: Clara</t>
        </r>
      </text>
    </comment>
    <comment ref="AB284" authorId="0" shapeId="0" xr:uid="{DF6CCFA9-FB63-4F2B-8454-FB433F31B360}">
      <text>
        <r>
          <rPr>
            <sz val="8"/>
            <color indexed="81"/>
            <rFont val="Tahoma"/>
            <family val="2"/>
          </rPr>
          <t>BANCOLOMBIA:
CALLE 11 No. 4 - 42 Of. 403 a 405
A.A. No. 1403
tel (2) 8802705 8961271 8880302 fax 8891487
celular5634251
e mail rojasara@avan.net</t>
        </r>
      </text>
    </comment>
    <comment ref="AH284" authorId="0" shapeId="0" xr:uid="{643145D5-0434-4263-B50E-FB1DF06E9297}">
      <text>
        <r>
          <rPr>
            <sz val="8"/>
            <color indexed="81"/>
            <rFont val="Tahoma"/>
            <family val="2"/>
          </rPr>
          <t>BANCOLOMBIA:
Carrero 55 7 - 63
Barrio Nuevo Tequendama tel 513 26 40 cali</t>
        </r>
      </text>
    </comment>
    <comment ref="AB285" authorId="0" shapeId="0" xr:uid="{AC704296-94A2-4A20-958A-9BF9E4F91E81}">
      <text>
        <r>
          <rPr>
            <sz val="8"/>
            <color indexed="81"/>
            <rFont val="Tahoma"/>
            <family val="2"/>
          </rPr>
          <t>BANCOLOMBIA:
Calle 17a sur #44-130 Apto 502 Ed San Juan d ela Vega
Tel 313 67 38
E mail mariaelena@epm.net.co</t>
        </r>
      </text>
    </comment>
    <comment ref="AB286" authorId="0" shapeId="0" xr:uid="{2369CA15-1A65-42D4-99B6-4FB1896315E4}">
      <text>
        <r>
          <rPr>
            <sz val="8"/>
            <color indexed="81"/>
            <rFont val="Tahoma"/>
            <family val="2"/>
          </rPr>
          <t>BANCOLOMBIA:
Calle 17a sur #44-130 Apto 502 Ed San Juan d ela Vega
Tel 313 67 38
E mail mariaelena@epm.net.co</t>
        </r>
      </text>
    </comment>
    <comment ref="AB287" authorId="0" shapeId="0" xr:uid="{E3568DF3-62D1-4701-8277-A9B82EA2DA5B}">
      <text>
        <r>
          <rPr>
            <sz val="8"/>
            <color indexed="81"/>
            <rFont val="Tahoma"/>
            <family val="2"/>
          </rPr>
          <t>BANCOLOMBIA:
CALLE 11 No. 4 - 42 Of. 403 a 405
A.A. No. 1403
tel (2) 8802705 8961271 8880302 fax 8891487
celular5634251
e mail rojasara@avan.net</t>
        </r>
      </text>
    </comment>
    <comment ref="AH287" authorId="0" shapeId="0" xr:uid="{BB3913BF-5D7B-4A19-A2A0-8B6C2ECFC1B4}">
      <text>
        <r>
          <rPr>
            <sz val="8"/>
            <color indexed="81"/>
            <rFont val="Tahoma"/>
            <family val="2"/>
          </rPr>
          <t>BANCOLOMBIA:
Carrero 55 7 - 63
Barrio Nuevo Tequendama tel 513 26 40 cali</t>
        </r>
      </text>
    </comment>
    <comment ref="K288" authorId="0" shapeId="0" xr:uid="{666B1BAC-84E8-4382-8F17-39B9A3F4E1FC}">
      <text>
        <r>
          <rPr>
            <sz val="8"/>
            <color indexed="81"/>
            <rFont val="Tahoma"/>
            <family val="2"/>
          </rPr>
          <t xml:space="preserve">BANCOLOMBIA:
Reisntalar al cargo de 
sual extralegal de $11.250.oo de cajerocjaero mixto IV, hasta la fecha en que se reinstale
</t>
        </r>
      </text>
    </comment>
    <comment ref="AH291" authorId="1" shapeId="0" xr:uid="{BAE94AB4-D47F-4C46-9C1C-9179E9E7CD9A}">
      <text>
        <r>
          <rPr>
            <b/>
            <sz val="8"/>
            <color indexed="81"/>
            <rFont val="Tahoma"/>
            <family val="2"/>
          </rPr>
          <t>BANCOLOMBIA:</t>
        </r>
        <r>
          <rPr>
            <sz val="8"/>
            <color indexed="81"/>
            <rFont val="Tahoma"/>
            <family val="2"/>
          </rPr>
          <t xml:space="preserve">
Calle 10 3-57 oficina  303
tel 583 65 56</t>
        </r>
      </text>
    </comment>
    <comment ref="W292" authorId="0" shapeId="0" xr:uid="{4320192D-E57F-4A58-B634-38E6A0A37428}">
      <text>
        <r>
          <rPr>
            <sz val="8"/>
            <color indexed="81"/>
            <rFont val="Tahoma"/>
            <family val="2"/>
          </rPr>
          <t>BANCOLOMBIA:
a la fecha del retiro</t>
        </r>
      </text>
    </comment>
    <comment ref="AB292" authorId="0" shapeId="0" xr:uid="{9E744B1A-3665-4E5E-A828-BF22D28B587A}">
      <text>
        <r>
          <rPr>
            <sz val="8"/>
            <color indexed="81"/>
            <rFont val="Tahoma"/>
            <family val="2"/>
          </rPr>
          <t>BANCOLOMBIA:
Calle 17a sur #44-130 Apto 502 Ed San Juan d ela Vega
Tel 313 67 38
E mail mariaelena@epm.net.co</t>
        </r>
      </text>
    </comment>
    <comment ref="K299" authorId="0" shapeId="0" xr:uid="{55581719-CE39-4EEB-AECD-2A2875EF9B2B}">
      <text>
        <r>
          <rPr>
            <sz val="8"/>
            <color indexed="81"/>
            <rFont val="Tahoma"/>
            <family val="2"/>
          </rPr>
          <t xml:space="preserve">Promotor de TC, pide reconocimiento relación laboral
</t>
        </r>
      </text>
    </comment>
    <comment ref="P299" authorId="1" shapeId="0" xr:uid="{B1144545-BE84-4C37-A565-D60B5B8ED1FA}">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Q299" authorId="2" shapeId="0" xr:uid="{6F1D4F15-5803-440C-B430-34C14EA3A8E4}">
      <text>
        <r>
          <rPr>
            <b/>
            <sz val="8"/>
            <color indexed="81"/>
            <rFont val="Tahoma"/>
            <family val="2"/>
          </rPr>
          <t>BANCOLOMBIA S.A:</t>
        </r>
        <r>
          <rPr>
            <sz val="8"/>
            <color indexed="81"/>
            <rFont val="Tahoma"/>
            <family val="2"/>
          </rPr>
          <t xml:space="preserve">
</t>
        </r>
      </text>
    </comment>
    <comment ref="K300" authorId="0" shapeId="0" xr:uid="{F6B2B24B-50EF-4C0C-94FE-E1FE93270BD9}">
      <text>
        <r>
          <rPr>
            <sz val="8"/>
            <color indexed="81"/>
            <rFont val="Tahoma"/>
            <family val="2"/>
          </rPr>
          <t xml:space="preserve">Promotor de TC, pide reconocimiento relación laboral
</t>
        </r>
      </text>
    </comment>
    <comment ref="P300" authorId="1" shapeId="0" xr:uid="{1704D10C-42E8-4EDD-BD06-37536E67E58C}">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1" authorId="0" shapeId="0" xr:uid="{4B9762F7-B698-477C-AADD-BA33062C0823}">
      <text>
        <r>
          <rPr>
            <sz val="8"/>
            <color indexed="81"/>
            <rFont val="Tahoma"/>
            <family val="2"/>
          </rPr>
          <t xml:space="preserve">Promotor de TC, pide reconocimiento relación laboral
</t>
        </r>
      </text>
    </comment>
    <comment ref="P301" authorId="1" shapeId="0" xr:uid="{5E1B3244-7AD5-4241-A88F-34720FA55193}">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2" authorId="0" shapeId="0" xr:uid="{EC8BC1C2-0230-4D7F-8278-EF36638C20A5}">
      <text>
        <r>
          <rPr>
            <sz val="8"/>
            <color indexed="81"/>
            <rFont val="Tahoma"/>
            <family val="2"/>
          </rPr>
          <t xml:space="preserve">Promotor de TC, pide reconocimiento relación laboral
</t>
        </r>
      </text>
    </comment>
    <comment ref="P302" authorId="1" shapeId="0" xr:uid="{E509C584-9812-4BA0-A18F-F988EBA0EBE1}">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3" authorId="0" shapeId="0" xr:uid="{407B09DA-7303-42F0-9D86-749573EFB2AE}">
      <text>
        <r>
          <rPr>
            <sz val="8"/>
            <color indexed="81"/>
            <rFont val="Tahoma"/>
            <family val="2"/>
          </rPr>
          <t xml:space="preserve">Promotor de TC, pide reconocimiento relación laboral
</t>
        </r>
      </text>
    </comment>
    <comment ref="P303" authorId="1" shapeId="0" xr:uid="{EE399751-5B90-4CCB-B41C-86C2EC1D96D5}">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4" authorId="0" shapeId="0" xr:uid="{D743EDF6-F5A3-4181-98E0-D65439AEA82B}">
      <text>
        <r>
          <rPr>
            <sz val="8"/>
            <color indexed="81"/>
            <rFont val="Tahoma"/>
            <family val="2"/>
          </rPr>
          <t xml:space="preserve">Promotor de TC, pide reconocimiento relación laboral
</t>
        </r>
      </text>
    </comment>
    <comment ref="P304" authorId="1" shapeId="0" xr:uid="{8C47DA05-6CCA-480B-A910-F611CE7B3D00}">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5" authorId="0" shapeId="0" xr:uid="{EC41A9AF-A85D-4A32-878A-8227AAA87C07}">
      <text>
        <r>
          <rPr>
            <sz val="8"/>
            <color indexed="81"/>
            <rFont val="Tahoma"/>
            <family val="2"/>
          </rPr>
          <t xml:space="preserve">Promotor de TC, pide reconocimiento relación laboral
</t>
        </r>
      </text>
    </comment>
    <comment ref="P305" authorId="1" shapeId="0" xr:uid="{7F59D6ED-E102-4B53-9AD9-A5F6A5F4825E}">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6" authorId="0" shapeId="0" xr:uid="{A8FA0D60-73D2-4332-8DEF-3749F7C689B8}">
      <text>
        <r>
          <rPr>
            <sz val="8"/>
            <color indexed="81"/>
            <rFont val="Tahoma"/>
            <family val="2"/>
          </rPr>
          <t xml:space="preserve">Promotor de TC, pide reconocimiento relación laboral
</t>
        </r>
      </text>
    </comment>
    <comment ref="P306" authorId="1" shapeId="0" xr:uid="{E92BD032-3538-4B34-A029-27F0A32D2F88}">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7" authorId="0" shapeId="0" xr:uid="{2859AED2-FBCB-465B-91CF-31D25649E3D2}">
      <text>
        <r>
          <rPr>
            <sz val="8"/>
            <color indexed="81"/>
            <rFont val="Tahoma"/>
            <family val="2"/>
          </rPr>
          <t xml:space="preserve">Promotor de TC, pide reconocimiento relación laboral
</t>
        </r>
      </text>
    </comment>
    <comment ref="P307" authorId="1" shapeId="0" xr:uid="{B632DFD4-AE33-4F0E-B10C-8FC3639F659F}">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K308" authorId="0" shapeId="0" xr:uid="{CF92169E-7479-4ADE-A37D-049631724383}">
      <text>
        <r>
          <rPr>
            <sz val="8"/>
            <color indexed="81"/>
            <rFont val="Tahoma"/>
            <family val="2"/>
          </rPr>
          <t xml:space="preserve">Promotor de TC, pide reconocimiento relación laboral
</t>
        </r>
      </text>
    </comment>
    <comment ref="P308" authorId="1" shapeId="0" xr:uid="{6D20610A-2AAA-457D-9514-64F1FF0C3A5E}">
      <text>
        <r>
          <rPr>
            <b/>
            <sz val="8"/>
            <color indexed="81"/>
            <rFont val="Tahoma"/>
            <family val="2"/>
          </rPr>
          <t>BANCOLOMBIA:</t>
        </r>
        <r>
          <rPr>
            <sz val="8"/>
            <color indexed="81"/>
            <rFont val="Tahoma"/>
            <family val="2"/>
          </rPr>
          <t xml:space="preserve">
cuarta audiencia de trámite para el día 20 de marzo a las
9:00 a.m. donde absolverá interrogatorio de parte debe asistir el
representante legal, además de un testigo de:  María del C. Ramirez
Restrepo, Juan Carlos Londoño S y César Gómez Ortega.
De nuestra oficina asistirá a la audiencia la Doctora DORIA ECHEVERRI BLAIR.
Favor confirmar el recibo de este mensaje.</t>
        </r>
      </text>
    </comment>
    <comment ref="P310" authorId="2" shapeId="0" xr:uid="{180091A7-FCAB-4EE2-A29F-5D4A7FA78F85}">
      <text>
        <r>
          <rPr>
            <b/>
            <sz val="8"/>
            <color indexed="81"/>
            <rFont val="Tahoma"/>
            <family val="2"/>
          </rPr>
          <t>BANCOLOMBIA S.A:</t>
        </r>
        <r>
          <rPr>
            <sz val="8"/>
            <color indexed="81"/>
            <rFont val="Tahoma"/>
            <family val="2"/>
          </rPr>
          <t xml:space="preserve">
el 3 de junio 2003 se llegó al acuerdo y se le entregó el cheque por los 15 millones. Se solicitó al juzgado aceptar la conciliación para dar por terminado el proceso sin condena en costas y se acordó también que  se seguirá pagando la pensión hasta cuando el seguro social asuma la obligación.</t>
        </r>
      </text>
    </comment>
    <comment ref="AB310" authorId="0" shapeId="0" xr:uid="{F6D1DE99-F777-4D6B-9C11-0116092C72B2}">
      <text>
        <r>
          <rPr>
            <sz val="8"/>
            <color indexed="81"/>
            <rFont val="Tahoma"/>
            <family val="2"/>
          </rPr>
          <t xml:space="preserve">BANCOLOMBIA:
CRA. 4a. No. 7 - 44
TEL. 982 - 619333 610171
639333 
Ibague
</t>
        </r>
      </text>
    </comment>
    <comment ref="AB312" authorId="0" shapeId="0" xr:uid="{72184465-6883-4E81-81C1-5B67F066F1D3}">
      <text>
        <r>
          <rPr>
            <sz val="8"/>
            <color indexed="81"/>
            <rFont val="Tahoma"/>
            <family val="2"/>
          </rPr>
          <t>BANCOLOMBIA:
Calle Cartagenita N° 10-76, Teléfono (0947) 74 67 92
Cereté</t>
        </r>
      </text>
    </comment>
    <comment ref="AB313" authorId="0" shapeId="0" xr:uid="{6D8CC8F0-4529-404C-A843-1A37CFF9BB9D}">
      <text>
        <r>
          <rPr>
            <sz val="8"/>
            <color indexed="81"/>
            <rFont val="Tahoma"/>
            <family val="2"/>
          </rPr>
          <t>BANCOLOMBIA:
CALLE 11 No. 4 - 42 Of. 403 a 405
A.A. No. 1403
tel (2) 8802705 8961271 8880302 fax 8891487
celular5634251
e mail rojasara@avan.net</t>
        </r>
      </text>
    </comment>
    <comment ref="AB316" authorId="0" shapeId="0" xr:uid="{715277A8-5D2A-4712-AB4F-483856AEE592}">
      <text>
        <r>
          <rPr>
            <sz val="8"/>
            <color indexed="81"/>
            <rFont val="Tahoma"/>
            <family val="2"/>
          </rPr>
          <t>BANCOLOMBIA:
Calle 125 # 30 - 41  OF. 504
Telefonos 6190804</t>
        </r>
      </text>
    </comment>
    <comment ref="W317" authorId="1" shapeId="0" xr:uid="{7311AC8A-B751-4C1D-8663-5DF705979984}">
      <text>
        <r>
          <rPr>
            <b/>
            <sz val="8"/>
            <color indexed="81"/>
            <rFont val="Tahoma"/>
            <family val="2"/>
          </rPr>
          <t>BANCOLOMBIA:</t>
        </r>
        <r>
          <rPr>
            <sz val="8"/>
            <color indexed="81"/>
            <rFont val="Tahoma"/>
            <family val="2"/>
          </rPr>
          <t xml:space="preserve">
60MM INDEMNIZACIÓN
30 MM SALARIOS CAIDOS
15 MM COSTAS</t>
        </r>
      </text>
    </comment>
    <comment ref="AH317" authorId="1" shapeId="0" xr:uid="{93B1044D-FC9A-4CEB-83B8-D13190E45308}">
      <text>
        <r>
          <rPr>
            <b/>
            <sz val="8"/>
            <color indexed="81"/>
            <rFont val="Tahoma"/>
            <family val="2"/>
          </rPr>
          <t>BANCOLOMBIA:</t>
        </r>
        <r>
          <rPr>
            <sz val="8"/>
            <color indexed="81"/>
            <rFont val="Tahoma"/>
            <family val="2"/>
          </rPr>
          <t xml:space="preserve">
carrera 7 17-01 oficina 919
Telefono 341 53 14
Bogotá</t>
        </r>
      </text>
    </comment>
    <comment ref="AB318" authorId="1" shapeId="0" xr:uid="{EFD33E99-0BB6-40A7-AAD8-735A3A7859B3}">
      <text>
        <r>
          <rPr>
            <b/>
            <sz val="8"/>
            <color indexed="81"/>
            <rFont val="Tahoma"/>
            <family val="2"/>
          </rPr>
          <t xml:space="preserve">calle 77B No 57 – 141,  oficina 914, Centro Empresarial de las Américas. 
Teléfonos 3601452-3602620  celular 0337263162
</t>
        </r>
      </text>
    </comment>
    <comment ref="AB319" authorId="2" shapeId="0" xr:uid="{CDE9FCCD-152F-41C8-8240-7C896B1B023D}">
      <text>
        <r>
          <rPr>
            <b/>
            <sz val="8"/>
            <color indexed="81"/>
            <rFont val="Tahoma"/>
            <family val="2"/>
          </rPr>
          <t>BANCOLOMBIA S.A:</t>
        </r>
        <r>
          <rPr>
            <sz val="8"/>
            <color indexed="81"/>
            <rFont val="Tahoma"/>
            <family val="2"/>
          </rPr>
          <t xml:space="preserve">
Cra 7ª No. 24 – 89 Of. 1901  
Fax  2811100
BOGOTA D. C.
</t>
        </r>
      </text>
    </comment>
    <comment ref="K320" authorId="0" shapeId="0" xr:uid="{A441F15B-4B1B-4F89-A05D-D956546F86E7}">
      <text>
        <r>
          <rPr>
            <sz val="8"/>
            <color indexed="81"/>
            <rFont val="Tahoma"/>
            <family val="2"/>
          </rPr>
          <t xml:space="preserve">
</t>
        </r>
      </text>
    </comment>
    <comment ref="AB321" authorId="0" shapeId="0" xr:uid="{49EE804E-E39E-49EF-8133-188730DE353B}">
      <text>
        <r>
          <rPr>
            <sz val="8"/>
            <color indexed="81"/>
            <rFont val="Tahoma"/>
            <family val="2"/>
          </rPr>
          <t>BANCOLOMBIA:
CALLE 11 No. 4 - 42 Of. 403 a 405
A.A. No. 1403
tel (2) 8802705 8961271 8880302 fax 8891487
celular5634251
e mail rojasara@avan.net</t>
        </r>
      </text>
    </comment>
    <comment ref="AH321" authorId="1" shapeId="0" xr:uid="{697875CE-383E-421E-B4D7-9BBE942DD6A1}">
      <text>
        <r>
          <rPr>
            <b/>
            <sz val="8"/>
            <color indexed="81"/>
            <rFont val="Tahoma"/>
            <family val="2"/>
          </rPr>
          <t>BANCOLOMBIA:</t>
        </r>
        <r>
          <rPr>
            <sz val="8"/>
            <color indexed="81"/>
            <rFont val="Tahoma"/>
            <family val="2"/>
          </rPr>
          <t xml:space="preserve">
Edificio Coloniual  oficina 301 de Popayán</t>
        </r>
      </text>
    </comment>
    <comment ref="AB324" authorId="0" shapeId="0" xr:uid="{F25CBA2B-7AC6-4569-AAFA-4E4B009F2B94}">
      <text>
        <r>
          <rPr>
            <sz val="8"/>
            <color indexed="81"/>
            <rFont val="Tahoma"/>
            <family val="2"/>
          </rPr>
          <t>BANCOLOMBIA:
Calle 17a sur #44-130 Apto 502 Ed San Juan d ela Vega
Tel 313 67 38
E mail mariaelena@epm.net.co</t>
        </r>
      </text>
    </comment>
    <comment ref="AB325" authorId="1" shapeId="0" xr:uid="{77DCE137-E68A-4FFB-8B11-41C3F52F95FE}">
      <text>
        <r>
          <rPr>
            <b/>
            <sz val="8"/>
            <color indexed="81"/>
            <rFont val="Tahoma"/>
            <family val="2"/>
          </rPr>
          <t xml:space="preserve">calle 77B No 57 – 141,  oficina 914, Centro Empresarial de las Américas. 
Teléfonos 3601452-3602620  celular 0337263162
</t>
        </r>
      </text>
    </comment>
    <comment ref="AH325" authorId="1" shapeId="0" xr:uid="{F3D5A489-E9CE-4639-92D5-4E32C626C99D}">
      <text>
        <r>
          <rPr>
            <b/>
            <sz val="8"/>
            <color indexed="81"/>
            <rFont val="Tahoma"/>
            <family val="2"/>
          </rPr>
          <t>BANCOLOMBIA:</t>
        </r>
        <r>
          <rPr>
            <sz val="8"/>
            <color indexed="81"/>
            <rFont val="Tahoma"/>
            <family val="2"/>
          </rPr>
          <t xml:space="preserve">
Calle 17 4-50 Santa Marta tel 4229595
</t>
        </r>
      </text>
    </comment>
    <comment ref="AB328" authorId="1" shapeId="0" xr:uid="{1CC45504-33D8-4CC8-90CB-B6709BB42BC2}">
      <text>
        <r>
          <rPr>
            <sz val="8"/>
            <color indexed="81"/>
            <rFont val="Tahoma"/>
            <family val="2"/>
          </rPr>
          <t>Carrera 12 No. 34-67. Oficina 501. Edificio los Castellanos. Tels. 6422683 y 6429158. Bucaramanga</t>
        </r>
      </text>
    </comment>
    <comment ref="AB329" authorId="0" shapeId="0" xr:uid="{4D3625C7-BE67-4A52-BB5E-2EDB49913206}">
      <text>
        <r>
          <rPr>
            <sz val="8"/>
            <color indexed="81"/>
            <rFont val="Tahoma"/>
            <family val="2"/>
          </rPr>
          <t xml:space="preserve">BANCOLOMBIA:
CRA. 4a. No. 7 - 44
TEL. 982 - 619333 610171
639333 
Ibague
</t>
        </r>
      </text>
    </comment>
    <comment ref="AB330" authorId="0" shapeId="0" xr:uid="{0571FAB0-0008-497F-B9D1-B4F5DAC0A67F}">
      <text>
        <r>
          <rPr>
            <sz val="8"/>
            <color indexed="81"/>
            <rFont val="Tahoma"/>
            <family val="2"/>
          </rPr>
          <t xml:space="preserve">BANCOLOMBIA:
Carrera 7 # 71 - 21  Torre B OF. 303
Telefonos </t>
        </r>
      </text>
    </comment>
    <comment ref="AB331" authorId="2" shapeId="0" xr:uid="{521D9586-A0F2-4ED8-9FAB-803B79140502}">
      <text>
        <r>
          <rPr>
            <b/>
            <sz val="8"/>
            <color indexed="81"/>
            <rFont val="Tahoma"/>
            <family val="2"/>
          </rPr>
          <t>BANCOLOMBIA S.A:</t>
        </r>
        <r>
          <rPr>
            <sz val="8"/>
            <color indexed="81"/>
            <rFont val="Tahoma"/>
            <family val="2"/>
          </rPr>
          <t xml:space="preserve">
Carrera 23#20-29 Oficina 605    Telefono 8841031  Manizales.</t>
        </r>
      </text>
    </comment>
    <comment ref="AH331" authorId="2" shapeId="0" xr:uid="{11AA33D0-7BD2-4E50-BFB1-A5FBF3D37918}">
      <text>
        <r>
          <rPr>
            <b/>
            <sz val="8"/>
            <color indexed="81"/>
            <rFont val="Tahoma"/>
            <family val="2"/>
          </rPr>
          <t>BANCOLOMBIA S.A:</t>
        </r>
        <r>
          <rPr>
            <sz val="8"/>
            <color indexed="81"/>
            <rFont val="Tahoma"/>
            <family val="2"/>
          </rPr>
          <t xml:space="preserve">
Edificio San Fernando calle 24 22-13 of 403, tel 8849446
Manizales</t>
        </r>
      </text>
    </comment>
    <comment ref="AB332" authorId="0" shapeId="0" xr:uid="{3AFC100C-5AA3-4DE9-AA77-04F561D35366}">
      <text>
        <r>
          <rPr>
            <sz val="8"/>
            <color indexed="81"/>
            <rFont val="Tahoma"/>
            <family val="2"/>
          </rPr>
          <t>BANCOLOMBIA:
Calle 17a sur #44-130 Apto 502 Ed San Juan d ela Vega
Tel 313 67 38
E mail mariaelena@epm.net.co</t>
        </r>
      </text>
    </comment>
    <comment ref="AB333" authorId="1" shapeId="0" xr:uid="{B0376956-543D-4F3C-B016-0BE087E9540B}">
      <text>
        <r>
          <rPr>
            <b/>
            <sz val="8"/>
            <color indexed="81"/>
            <rFont val="Tahoma"/>
            <family val="2"/>
          </rPr>
          <t>BANCOLOMBIA:</t>
        </r>
        <r>
          <rPr>
            <sz val="8"/>
            <color indexed="81"/>
            <rFont val="Tahoma"/>
            <family val="2"/>
          </rPr>
          <t xml:space="preserve">
Carrera 14 13 c - 60 oficina 202 Centro ejecutivo Agora tel 560 29 09 Valledupar</t>
        </r>
      </text>
    </comment>
    <comment ref="AB334" authorId="0" shapeId="0" xr:uid="{A33D5E01-DC80-43E3-BBA8-CD82A76372C4}">
      <text>
        <r>
          <rPr>
            <sz val="8"/>
            <color indexed="81"/>
            <rFont val="Tahoma"/>
            <family val="2"/>
          </rPr>
          <t>BANCOLOMBIA:
Calle 23 19-47 Edificio concasa of 305 - 306
telfax 095 2822557
2812029
Sincelejo
033 755 10 50</t>
        </r>
      </text>
    </comment>
    <comment ref="AH334" authorId="0" shapeId="0" xr:uid="{65BBDD3E-D007-4D1B-B15B-14D71DBEF5C0}">
      <text>
        <r>
          <rPr>
            <sz val="8"/>
            <color indexed="81"/>
            <rFont val="Tahoma"/>
            <family val="2"/>
          </rPr>
          <t>BANCOLOMBIA:
Sincelejo
Calle 23 19-47 Concasa</t>
        </r>
      </text>
    </comment>
    <comment ref="AB335" authorId="1" shapeId="0" xr:uid="{7C0C716B-BB0F-4C4F-82A2-0F5EF8B8EDAC}">
      <text>
        <r>
          <rPr>
            <b/>
            <sz val="8"/>
            <color indexed="81"/>
            <rFont val="Tahoma"/>
            <family val="2"/>
          </rPr>
          <t xml:space="preserve">calle 77B No 57 – 141,  oficina 914, Centro Empresarial de las Américas. 
Teléfonos 3601452-3602620  celular 0337263162
</t>
        </r>
      </text>
    </comment>
    <comment ref="AB336" authorId="0" shapeId="0" xr:uid="{2291A348-74D7-4BF6-9D2B-C4FE4D389877}">
      <text>
        <r>
          <rPr>
            <sz val="8"/>
            <color indexed="81"/>
            <rFont val="Tahoma"/>
            <family val="2"/>
          </rPr>
          <t>BANCOLOMBIA:
CALLE 39 No. 43-123 Of.B-6 Piso 3o.   Edificio y Parqueadero Las Flores
TEL: 953 406045 - 405801 fax 512852
a.a. 52091 Bquilla</t>
        </r>
      </text>
    </comment>
    <comment ref="AB338" authorId="1" shapeId="0" xr:uid="{459D551B-F98E-4F26-9755-4E9BE79EC4CE}">
      <text>
        <r>
          <rPr>
            <b/>
            <sz val="8"/>
            <color indexed="81"/>
            <rFont val="Tahoma"/>
            <family val="2"/>
          </rPr>
          <t>BANCOLOMBIA:</t>
        </r>
        <r>
          <rPr>
            <sz val="8"/>
            <color indexed="81"/>
            <rFont val="Tahoma"/>
            <family val="2"/>
          </rPr>
          <t xml:space="preserve">
Calle 15 10 - 45 oficina 
503 
Tel 058 7723352 y 7723975 
033 318 96 10
Sogamoso</t>
        </r>
      </text>
    </comment>
    <comment ref="AB339" authorId="0" shapeId="0" xr:uid="{F36DAB03-D18B-4FA9-90E5-5709A90D394E}">
      <text>
        <r>
          <rPr>
            <sz val="8"/>
            <color indexed="81"/>
            <rFont val="Tahoma"/>
            <family val="2"/>
          </rPr>
          <t>BANCOLOMBIA:
Calle 17a sur #44-130 Apto 502 Ed San Juan d ela Vega
Tel 313 67 38
E mail mariaelena@epm.net.co</t>
        </r>
      </text>
    </comment>
    <comment ref="AB340" authorId="0" shapeId="0" xr:uid="{F7531C24-7EE0-45C3-A948-76B920C33D2C}">
      <text>
        <r>
          <rPr>
            <sz val="8"/>
            <color indexed="81"/>
            <rFont val="Tahoma"/>
            <family val="2"/>
          </rPr>
          <t xml:space="preserve">BANCOLOMBIA:
Cra 80 # 48-95
tel 234 43 51 
fax4215311
Medellín
</t>
        </r>
      </text>
    </comment>
    <comment ref="AH340" authorId="1" shapeId="0" xr:uid="{846C5A2B-CF73-4747-95EF-3D846A453EE7}">
      <text>
        <r>
          <rPr>
            <b/>
            <sz val="8"/>
            <color indexed="81"/>
            <rFont val="Tahoma"/>
            <family val="2"/>
          </rPr>
          <t>BANCOLOMBIA:</t>
        </r>
        <r>
          <rPr>
            <sz val="8"/>
            <color indexed="81"/>
            <rFont val="Tahoma"/>
            <family val="2"/>
          </rPr>
          <t xml:space="preserve">
Carrera 49 # 49-73 ed seguros Bolívar, of 1210, teléfono 2519475, telefax 2512716 o335047270 beper 3214500 cod 77480</t>
        </r>
      </text>
    </comment>
    <comment ref="AB344" authorId="2" shapeId="0" xr:uid="{221B70BA-14DD-4B22-BAE1-163401A7E6CE}">
      <text>
        <r>
          <rPr>
            <b/>
            <sz val="8"/>
            <color indexed="81"/>
            <rFont val="Tahoma"/>
            <family val="2"/>
          </rPr>
          <t>BANCOLOMBIA S.A:</t>
        </r>
        <r>
          <rPr>
            <sz val="8"/>
            <color indexed="81"/>
            <rFont val="Tahoma"/>
            <family val="2"/>
          </rPr>
          <t xml:space="preserve">
Cra 7ª No. 24 – 89 Of. 1901  
Fax  2811100
BOGOTA D. C.
</t>
        </r>
      </text>
    </comment>
    <comment ref="AB345" authorId="1" shapeId="0" xr:uid="{EE5EDF02-671A-42A7-9D54-4F18B79CBD7A}">
      <text>
        <r>
          <rPr>
            <b/>
            <sz val="8"/>
            <color indexed="81"/>
            <rFont val="Tahoma"/>
            <family val="2"/>
          </rPr>
          <t xml:space="preserve">calle 77B No 57 – 141,  oficina 914, Centro Empresarial de las Américas. 
Teléfonos 3601452-3602620  celular 0337263162
</t>
        </r>
      </text>
    </comment>
    <comment ref="AB346" authorId="2" shapeId="0" xr:uid="{3CCFF2A0-B09D-42C7-9AD5-7D25ECBDF00B}">
      <text>
        <r>
          <rPr>
            <b/>
            <sz val="8"/>
            <color indexed="81"/>
            <rFont val="Tahoma"/>
            <family val="2"/>
          </rPr>
          <t>BANCOLOMBIA S.A:</t>
        </r>
        <r>
          <rPr>
            <sz val="8"/>
            <color indexed="81"/>
            <rFont val="Tahoma"/>
            <family val="2"/>
          </rPr>
          <t xml:space="preserve">
Cra 7ª No. 24 – 89 Of. 1901  
Fax  2811100
BOGOTA D. C.
</t>
        </r>
      </text>
    </comment>
    <comment ref="W348" authorId="2" shapeId="0" xr:uid="{B433FF13-8069-4E8F-8905-175A3CE2F96D}">
      <text>
        <r>
          <rPr>
            <b/>
            <sz val="8"/>
            <color indexed="81"/>
            <rFont val="Tahoma"/>
            <family val="2"/>
          </rPr>
          <t>BANCOLOMBIA S.A:</t>
        </r>
        <r>
          <rPr>
            <sz val="8"/>
            <color indexed="81"/>
            <rFont val="Tahoma"/>
            <family val="2"/>
          </rPr>
          <t xml:space="preserve">
$1.900.000 directamente a la oficina principal de Villavicencio, a efectos de cancelar las condenas en costas de primera (1.500.000) y de segunda instancia (400.000) </t>
        </r>
      </text>
    </comment>
    <comment ref="AB348" authorId="1" shapeId="0" xr:uid="{3CC062C1-3FB0-4D39-B4F0-3EB641E8BB98}">
      <text>
        <r>
          <rPr>
            <sz val="8"/>
            <color indexed="81"/>
            <rFont val="Tahoma"/>
            <family val="2"/>
          </rPr>
          <t>Carrera 32 No. 38-70. Edificio Conavi. Oficina 1203 Tel 09866211999 033 337 40 11  
Villavicencio</t>
        </r>
      </text>
    </comment>
    <comment ref="AB349" authorId="2" shapeId="0" xr:uid="{98DCC770-1DA7-4B33-9F7D-97086A61E2C9}">
      <text>
        <r>
          <rPr>
            <b/>
            <sz val="8"/>
            <color indexed="81"/>
            <rFont val="Tahoma"/>
            <family val="2"/>
          </rPr>
          <t>BANCOLOMBIA S.A:</t>
        </r>
        <r>
          <rPr>
            <sz val="8"/>
            <color indexed="81"/>
            <rFont val="Tahoma"/>
            <family val="2"/>
          </rPr>
          <t xml:space="preserve">
Cra 7ª No. 24 – 89 Of. 1901  
Fax  2811100
BOGOTA D. C.
</t>
        </r>
      </text>
    </comment>
    <comment ref="P350" authorId="2" shapeId="0" xr:uid="{C806064B-9773-438C-BB4B-86DF47963EE6}">
      <text>
        <r>
          <rPr>
            <b/>
            <sz val="8"/>
            <color indexed="81"/>
            <rFont val="Tahoma"/>
            <family val="2"/>
          </rPr>
          <t>BANCOLOMBIA S.A:</t>
        </r>
        <r>
          <rPr>
            <sz val="8"/>
            <color indexed="81"/>
            <rFont val="Tahoma"/>
            <family val="2"/>
          </rPr>
          <t xml:space="preserve">
</t>
        </r>
      </text>
    </comment>
    <comment ref="AB350" authorId="2" shapeId="0" xr:uid="{29FB92A5-E3E5-4BDF-8CEB-1DB0C1018EAF}">
      <text>
        <r>
          <rPr>
            <b/>
            <sz val="8"/>
            <color indexed="81"/>
            <rFont val="Tahoma"/>
            <family val="2"/>
          </rPr>
          <t>BANCOLOMBIA S.A:</t>
        </r>
        <r>
          <rPr>
            <sz val="8"/>
            <color indexed="81"/>
            <rFont val="Tahoma"/>
            <family val="2"/>
          </rPr>
          <t xml:space="preserve">
Cra 7ª No. 24 – 89 Of. 1901  
Tel 2842316 /2081, 2837042, 3418315
Fax  2811100
BOGOTA D. C.
chacalop@cable.net.co</t>
        </r>
      </text>
    </comment>
    <comment ref="U352" authorId="2" shapeId="0" xr:uid="{7A46F8C2-95E7-4032-85D9-6BF93D554EFA}">
      <text>
        <r>
          <rPr>
            <b/>
            <sz val="8"/>
            <color indexed="81"/>
            <rFont val="Tahoma"/>
            <family val="2"/>
          </rPr>
          <t>El 28 de julio de 2004 se profirió fallo el cual no casa la sentencia de segunda instancia con  Costas a la demandada, El día 6 de septiembre de 2004 el expediente fue devuelto al Tribunal de origen</t>
        </r>
      </text>
    </comment>
    <comment ref="AH352" authorId="0" shapeId="0" xr:uid="{F72F30FB-C867-471A-A4BF-B3C1F95F223C}">
      <text>
        <r>
          <rPr>
            <sz val="8"/>
            <color indexed="81"/>
            <rFont val="Tahoma"/>
            <family val="2"/>
          </rPr>
          <t>BANCOLOMBIA:
Carrero 55 7 - 63
Barrio Nuevo Tequendama tel 513 26 40 cali</t>
        </r>
      </text>
    </comment>
    <comment ref="AB354" authorId="2" shapeId="0" xr:uid="{AB46B368-D2E7-4E74-A1C5-0F1BC5A6CA91}">
      <text>
        <r>
          <rPr>
            <b/>
            <sz val="8"/>
            <color indexed="81"/>
            <rFont val="Tahoma"/>
            <family val="2"/>
          </rPr>
          <t>BANCOLOMBIA S.A:</t>
        </r>
        <r>
          <rPr>
            <sz val="8"/>
            <color indexed="81"/>
            <rFont val="Tahoma"/>
            <family val="2"/>
          </rPr>
          <t xml:space="preserve">
11 No. 15-10 Local 301 Tel  562 60 95 de Aguachica</t>
        </r>
      </text>
    </comment>
    <comment ref="AB355" authorId="0" shapeId="0" xr:uid="{1388ACEF-226D-4161-8273-283FEE406628}">
      <text>
        <r>
          <rPr>
            <sz val="8"/>
            <color indexed="81"/>
            <rFont val="Tahoma"/>
            <family val="2"/>
          </rPr>
          <t>Calle 37 No. 32 - 49. Teléfono 0586626338 - 0586624433 Cel 033-3420021 - Villavicencio
098 662 44 32
asistente: Clara</t>
        </r>
      </text>
    </comment>
    <comment ref="AB356" authorId="0" shapeId="0" xr:uid="{79E53B32-BC4F-473E-B64E-348B306E57A8}">
      <text>
        <r>
          <rPr>
            <sz val="8"/>
            <color indexed="81"/>
            <rFont val="Tahoma"/>
            <family val="2"/>
          </rPr>
          <t>BANCOLOMBIA:
Calle 14 # 3-62 of. 103
Tel (6) 857 77 17 857 30 21
La Dorada</t>
        </r>
      </text>
    </comment>
    <comment ref="AB357" authorId="1" shapeId="0" xr:uid="{916F1A5E-CC80-4C28-B578-81E9E5D2719A}">
      <text>
        <r>
          <rPr>
            <b/>
            <sz val="8"/>
            <color indexed="81"/>
            <rFont val="Tahoma"/>
            <family val="2"/>
          </rPr>
          <t xml:space="preserve">calle 77B No 57 – 141,  oficina 914, Centro Empresarial de las Américas. 
Teléfonos 3601452-3602620  celular 3157263162
</t>
        </r>
      </text>
    </comment>
    <comment ref="AH357" authorId="0" shapeId="0" xr:uid="{D9436645-717F-48A0-8737-4A750C21945B}">
      <text>
        <r>
          <rPr>
            <sz val="8"/>
            <color indexed="81"/>
            <rFont val="Tahoma"/>
            <family val="2"/>
          </rPr>
          <t xml:space="preserve">BANCOLOMBIA:
Edificio Cámara de Comercio calle 40 44-39 pios 6 0f 6G tel 3515163 3792218 a.a. 1905 Barranquilla
</t>
        </r>
      </text>
    </comment>
    <comment ref="AB364" authorId="0" shapeId="0" xr:uid="{00E90C1B-D7BE-4B51-BD4A-7367E22FFF73}">
      <text>
        <r>
          <rPr>
            <sz val="8"/>
            <color indexed="81"/>
            <rFont val="Tahoma"/>
            <family val="2"/>
          </rPr>
          <t xml:space="preserve">BANCOLOMBIA:
Cra 80 # 48-95
tel 234 43 51 
fax4215311
Medellín
</t>
        </r>
      </text>
    </comment>
    <comment ref="AH364" authorId="1" shapeId="0" xr:uid="{5FBC109C-995D-4C6D-80B7-12E190FED435}">
      <text>
        <r>
          <rPr>
            <b/>
            <sz val="8"/>
            <color indexed="81"/>
            <rFont val="Tahoma"/>
            <family val="2"/>
          </rPr>
          <t>BANCOLOMBIA:</t>
        </r>
        <r>
          <rPr>
            <sz val="8"/>
            <color indexed="81"/>
            <rFont val="Tahoma"/>
            <family val="2"/>
          </rPr>
          <t xml:space="preserve">
Carrera 49 # 49-73 ed seguros Bolívar, of 1210, teléfono 2519475, telefax 2512716 o335047270 beper 3214500 cod 77480</t>
        </r>
      </text>
    </comment>
    <comment ref="P366" authorId="2" shapeId="0" xr:uid="{C2A2FDAB-5458-4A55-8AD6-FBB8220A0384}">
      <text>
        <r>
          <rPr>
            <b/>
            <sz val="8"/>
            <color indexed="81"/>
            <rFont val="Tahoma"/>
            <family val="2"/>
          </rPr>
          <t>BANCOLOMBIA S.A:</t>
        </r>
        <r>
          <rPr>
            <sz val="8"/>
            <color indexed="81"/>
            <rFont val="Tahoma"/>
            <family val="2"/>
          </rPr>
          <t xml:space="preserve">
</t>
        </r>
      </text>
    </comment>
    <comment ref="AB366" authorId="1" shapeId="0" xr:uid="{A0EDF95A-3186-4158-A262-FDE7BA34E15C}">
      <text>
        <r>
          <rPr>
            <b/>
            <sz val="8"/>
            <color indexed="81"/>
            <rFont val="Tahoma"/>
            <family val="2"/>
          </rPr>
          <t xml:space="preserve">calle 77B No 57 – 141,  oficina 914, Centro Empresarial de las Américas. 
Teléfonos 3601452-3602620  celular 3157263162
</t>
        </r>
      </text>
    </comment>
    <comment ref="O367" authorId="0" shapeId="0" xr:uid="{C513FE50-5C2B-4B8E-ABBB-69D8E2C91B13}">
      <text>
        <r>
          <rPr>
            <sz val="8"/>
            <color indexed="81"/>
            <rFont val="Tahoma"/>
            <family val="2"/>
          </rPr>
          <t>BANCOLOMBIA:
Despedido el 15 de nov. 91</t>
        </r>
      </text>
    </comment>
    <comment ref="AB367" authorId="0" shapeId="0" xr:uid="{AB1AC3E6-D1CC-46E0-AF30-6D734FE852F9}">
      <text>
        <r>
          <rPr>
            <sz val="8"/>
            <color indexed="81"/>
            <rFont val="Tahoma"/>
            <family val="2"/>
          </rPr>
          <t>BANCOLOMBIA:
calle 19 3- 50 0f 1103 telefonos 2823824/3755/0059/9271
Fax 2829328
Bogotá
jceron@impsat.net.co</t>
        </r>
      </text>
    </comment>
    <comment ref="AH370" authorId="1" shapeId="0" xr:uid="{2DACEBE6-6FDF-4267-B354-039F8998FE85}">
      <text>
        <r>
          <rPr>
            <b/>
            <sz val="8"/>
            <color indexed="81"/>
            <rFont val="Tahoma"/>
            <family val="2"/>
          </rPr>
          <t>BANCOLOMBIA:</t>
        </r>
        <r>
          <rPr>
            <sz val="8"/>
            <color indexed="81"/>
            <rFont val="Tahoma"/>
            <family val="2"/>
          </rPr>
          <t xml:space="preserve">
Edificio Mara, oficina 202, La Matuna 
tel 6642662
Cartagena</t>
        </r>
      </text>
    </comment>
    <comment ref="AB371" authorId="2" shapeId="0" xr:uid="{A7A0ACA1-29E1-4D70-8A4D-F2533D246610}">
      <text>
        <r>
          <rPr>
            <b/>
            <sz val="8"/>
            <color indexed="81"/>
            <rFont val="Tahoma"/>
            <family val="2"/>
          </rPr>
          <t>BANCOLOMBIA S.A:</t>
        </r>
        <r>
          <rPr>
            <sz val="8"/>
            <color indexed="81"/>
            <rFont val="Tahoma"/>
            <family val="2"/>
          </rPr>
          <t xml:space="preserve">
Cra 7ª No. 24 – 89 Of. 1901  
Tel 2842316 /2081, 2837042, 3418315
Fax  2811100
BOGOTA D. C.
chacalop@cable.net.co</t>
        </r>
      </text>
    </comment>
    <comment ref="AB372" authorId="2" shapeId="0" xr:uid="{366C6301-B566-436C-B8B3-5E934B56AE20}">
      <text>
        <r>
          <rPr>
            <b/>
            <sz val="8"/>
            <color indexed="81"/>
            <rFont val="Tahoma"/>
            <family val="2"/>
          </rPr>
          <t>BANCOLOMBIA S.A:</t>
        </r>
        <r>
          <rPr>
            <sz val="8"/>
            <color indexed="81"/>
            <rFont val="Tahoma"/>
            <family val="2"/>
          </rPr>
          <t xml:space="preserve">
Calle 28 4-26 ofician 206
Monteria
Fax 7827971
c.c. 958,559</t>
        </r>
      </text>
    </comment>
    <comment ref="AB373" authorId="2" shapeId="0" xr:uid="{4836E146-DE20-499A-9219-4CBCAD46D25B}">
      <text>
        <r>
          <rPr>
            <b/>
            <sz val="8"/>
            <color indexed="81"/>
            <rFont val="Tahoma"/>
            <family val="2"/>
          </rPr>
          <t>BANCOLOMBIA S.A:</t>
        </r>
        <r>
          <rPr>
            <sz val="8"/>
            <color indexed="81"/>
            <rFont val="Tahoma"/>
            <family val="2"/>
          </rPr>
          <t xml:space="preserve">
Cra 7ª No. 24 – 89 Of. 1901  
Fax  2811100
BOGOTA D. C.
</t>
        </r>
      </text>
    </comment>
    <comment ref="AB376" authorId="2" shapeId="0" xr:uid="{C5EB2FA3-39A7-49D3-9173-9E741663C01B}">
      <text>
        <r>
          <rPr>
            <b/>
            <sz val="8"/>
            <color indexed="81"/>
            <rFont val="Tahoma"/>
            <family val="2"/>
          </rPr>
          <t>BANCOLOMBIA S.A:</t>
        </r>
        <r>
          <rPr>
            <sz val="8"/>
            <color indexed="81"/>
            <rFont val="Tahoma"/>
            <family val="2"/>
          </rPr>
          <t xml:space="preserve">
Cra 7ª No. 24 – 89 Of. 1901  
Fax  2811100
BOGOTA D. C.
</t>
        </r>
      </text>
    </comment>
    <comment ref="AB377" authorId="2" shapeId="0" xr:uid="{1B0FEB0D-5F68-4441-BCB4-53378BEB0BB9}">
      <text>
        <r>
          <rPr>
            <b/>
            <sz val="8"/>
            <color indexed="81"/>
            <rFont val="Tahoma"/>
            <family val="2"/>
          </rPr>
          <t>BANCOLOMBIA S.A:</t>
        </r>
        <r>
          <rPr>
            <sz val="8"/>
            <color indexed="81"/>
            <rFont val="Tahoma"/>
            <family val="2"/>
          </rPr>
          <t xml:space="preserve">
Cra 7ª No. 24 – 89 Of. 1901  
Fax  2811100
BOGOTA D. C.
</t>
        </r>
      </text>
    </comment>
    <comment ref="AB378" authorId="0" shapeId="0" xr:uid="{E3FF8D81-F75D-40B5-BD6F-2C5B7E099F8D}">
      <text>
        <r>
          <rPr>
            <sz val="8"/>
            <color indexed="81"/>
            <rFont val="Tahoma"/>
            <family val="2"/>
          </rPr>
          <t>BANCOLOMBIA:
Calle 14 # 3-62 of. 103
Tel (6) 857 77 17 857 30 21
La Dorada</t>
        </r>
      </text>
    </comment>
    <comment ref="AB379" authorId="0" shapeId="0" xr:uid="{1580F504-78F3-4513-8D14-1E5FF5094320}">
      <text>
        <r>
          <rPr>
            <sz val="8"/>
            <color indexed="81"/>
            <rFont val="Tahoma"/>
            <family val="2"/>
          </rPr>
          <t>BANCOLOMBIA:
Calle 14 # 3-62 of. 103
Tel (6) 857 77 17 857 30 21
La Dorada</t>
        </r>
      </text>
    </comment>
    <comment ref="AB380" authorId="2" shapeId="0" xr:uid="{BC3C7CC4-96EE-4FDD-BA61-B496D13E6A1E}">
      <text>
        <r>
          <rPr>
            <b/>
            <sz val="8"/>
            <color indexed="81"/>
            <rFont val="Tahoma"/>
            <family val="2"/>
          </rPr>
          <t>BANCOLOMBIA S.A:</t>
        </r>
        <r>
          <rPr>
            <sz val="8"/>
            <color indexed="81"/>
            <rFont val="Tahoma"/>
            <family val="2"/>
          </rPr>
          <t xml:space="preserve">
Cra 7ª No. 24 – 89 Of. 1901  
Tel 2842316 /2081, 2837042, 3418315
Fax  2811100
BOGOTA D. C.
chacalop@cable.net.co</t>
        </r>
      </text>
    </comment>
    <comment ref="AB383" authorId="2" shapeId="0" xr:uid="{77A418EB-5376-4AD9-9B1A-E09F6D1291BB}">
      <text>
        <r>
          <rPr>
            <b/>
            <sz val="8"/>
            <color indexed="81"/>
            <rFont val="Tahoma"/>
            <family val="2"/>
          </rPr>
          <t>BANCOLOMBIA S.A:</t>
        </r>
        <r>
          <rPr>
            <sz val="8"/>
            <color indexed="81"/>
            <rFont val="Tahoma"/>
            <family val="2"/>
          </rPr>
          <t xml:space="preserve">
Cra 7ª No. 24 – 89 Of. 1901  
Fax  2811100
BOGOTA D. C.
</t>
        </r>
      </text>
    </comment>
    <comment ref="AB385" authorId="0" shapeId="0" xr:uid="{DAE3B5F1-2378-4671-BA72-F81C7D1FD2BF}">
      <text>
        <r>
          <rPr>
            <sz val="8"/>
            <color indexed="81"/>
            <rFont val="Tahoma"/>
            <family val="2"/>
          </rPr>
          <t>BANCOLOMBIA:
CALLE 11 No. 4 - 42 Of. 403 a 405
A.A. No. 1403
tel (2) 8802705 8961271 8880302 fax 8891487
celular5634251
e mail rojasara@avan.net</t>
        </r>
      </text>
    </comment>
    <comment ref="AB386" authorId="1" shapeId="0" xr:uid="{49352BA4-1859-43B4-93CC-A3F86483F4E9}">
      <text>
        <r>
          <rPr>
            <b/>
            <sz val="8"/>
            <color indexed="81"/>
            <rFont val="Tahoma"/>
            <family val="2"/>
          </rPr>
          <t xml:space="preserve">calle 77B No 57 – 141,  oficina 914, Centro Empresarial de las Américas. 
Teléfonos 3601452-3602620  celular 3157263162
</t>
        </r>
      </text>
    </comment>
    <comment ref="AH386" authorId="1" shapeId="0" xr:uid="{D296E67A-C94C-401E-B7BB-A896CF35A6AE}">
      <text>
        <r>
          <rPr>
            <b/>
            <sz val="8"/>
            <color indexed="81"/>
            <rFont val="Tahoma"/>
            <family val="2"/>
          </rPr>
          <t>BANCOLOMBIA:</t>
        </r>
        <r>
          <rPr>
            <sz val="8"/>
            <color indexed="81"/>
            <rFont val="Tahoma"/>
            <family val="2"/>
          </rPr>
          <t xml:space="preserve">
Calle 10 11-14
tel 4850061
Plato
</t>
        </r>
      </text>
    </comment>
    <comment ref="AB387" authorId="1" shapeId="0" xr:uid="{4457B418-EF8C-4F4C-B077-312541A0A7FB}">
      <text>
        <r>
          <rPr>
            <b/>
            <sz val="8"/>
            <color indexed="81"/>
            <rFont val="Tahoma"/>
            <family val="2"/>
          </rPr>
          <t xml:space="preserve">calle 77B No 57 – 141,  oficina 914, Centro Empresarial de las Américas. 
Teléfonos 3601452-3602620  celular 0337263162
</t>
        </r>
      </text>
    </comment>
    <comment ref="AH387" authorId="1" shapeId="0" xr:uid="{49D52DBB-DAC3-44F8-98CB-928B6AAF6450}">
      <text>
        <r>
          <rPr>
            <b/>
            <sz val="8"/>
            <color indexed="81"/>
            <rFont val="Tahoma"/>
            <family val="2"/>
          </rPr>
          <t>BANCOLOMBIA:</t>
        </r>
        <r>
          <rPr>
            <sz val="8"/>
            <color indexed="81"/>
            <rFont val="Tahoma"/>
            <family val="2"/>
          </rPr>
          <t xml:space="preserve">
Calle 12 16E - 34 oficina 101 tel 420 11 47 0337299376-6407744 Santa Marta</t>
        </r>
      </text>
    </comment>
    <comment ref="AB388" authorId="1" shapeId="0" xr:uid="{4A194B6F-9777-43B7-B2DD-6BC90E50CF96}">
      <text>
        <r>
          <rPr>
            <b/>
            <sz val="8"/>
            <color indexed="81"/>
            <rFont val="Tahoma"/>
            <family val="2"/>
          </rPr>
          <t xml:space="preserve">calle 77B No 57 – 141,  oficina 914, Centro Empresarial de las Américas. 
Teléfonos 3601452-3602620  celular 3157263162
</t>
        </r>
      </text>
    </comment>
    <comment ref="AH388" authorId="1" shapeId="0" xr:uid="{5DB04559-A597-4D5D-A96E-7FA902E3D69E}">
      <text>
        <r>
          <rPr>
            <b/>
            <sz val="8"/>
            <color indexed="81"/>
            <rFont val="Tahoma"/>
            <family val="2"/>
          </rPr>
          <t>BANCOLOMBIA:</t>
        </r>
        <r>
          <rPr>
            <sz val="8"/>
            <color indexed="81"/>
            <rFont val="Tahoma"/>
            <family val="2"/>
          </rPr>
          <t xml:space="preserve">
tel 4212463 4331328
santa marta</t>
        </r>
      </text>
    </comment>
    <comment ref="AB389" authorId="2" shapeId="0" xr:uid="{5BBB4CE3-C9D6-41D2-AE0A-B9D445F1188B}">
      <text>
        <r>
          <rPr>
            <b/>
            <sz val="8"/>
            <color indexed="81"/>
            <rFont val="Tahoma"/>
            <family val="2"/>
          </rPr>
          <t>BANCOLOMBIA S.A:</t>
        </r>
        <r>
          <rPr>
            <sz val="8"/>
            <color indexed="81"/>
            <rFont val="Tahoma"/>
            <family val="2"/>
          </rPr>
          <t xml:space="preserve">
Cra 7ª No. 24 – 89 Of. 1901  
Fax  2811100
BOGOTA D. C.
</t>
        </r>
      </text>
    </comment>
    <comment ref="AB390" authorId="1" shapeId="0" xr:uid="{B9DF6F21-58A5-4164-A3BF-2B4F5356EB88}">
      <text>
        <r>
          <rPr>
            <b/>
            <sz val="8"/>
            <color indexed="81"/>
            <rFont val="Tahoma"/>
            <family val="2"/>
          </rPr>
          <t>BANCOLOMBIA:</t>
        </r>
        <r>
          <rPr>
            <sz val="8"/>
            <color indexed="81"/>
            <rFont val="Tahoma"/>
            <family val="2"/>
          </rPr>
          <t xml:space="preserve">
Calle 15 10 - 45 oficina 
503 
Tel 058 7723352 y 7723975 
033 318 96 10
Sogamoso</t>
        </r>
      </text>
    </comment>
    <comment ref="AB391" authorId="0" shapeId="0" xr:uid="{2A285A1A-EC6A-4AC0-A50F-1EB39C2FF2B2}">
      <text>
        <r>
          <rPr>
            <sz val="8"/>
            <color indexed="81"/>
            <rFont val="Tahoma"/>
            <family val="2"/>
          </rPr>
          <t>BANCOLOMBIA:
Calle 17a sur #44-130 Apto 502 Ed San Juan d ela Vega
Tel 313 67 38
E mail mariaelena@epm.net.co</t>
        </r>
      </text>
    </comment>
    <comment ref="AH393" authorId="1" shapeId="0" xr:uid="{479D37AC-9087-4929-8068-DE2B8D029499}">
      <text>
        <r>
          <rPr>
            <b/>
            <sz val="8"/>
            <color indexed="81"/>
            <rFont val="Tahoma"/>
            <family val="2"/>
          </rPr>
          <t>BANCOLOMBIA:</t>
        </r>
        <r>
          <rPr>
            <sz val="8"/>
            <color indexed="81"/>
            <rFont val="Tahoma"/>
            <family val="2"/>
          </rPr>
          <t xml:space="preserve">
Calle 10 3-57 oficina  303
tel 583 65 56</t>
        </r>
      </text>
    </comment>
    <comment ref="AB394" authorId="2" shapeId="0" xr:uid="{1122FB89-31B6-4129-A44E-9828BFD1837F}">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O397" authorId="0" shapeId="0" xr:uid="{5BF47C38-1E58-45C9-AD16-1A6529026D09}">
      <text>
        <r>
          <rPr>
            <sz val="8"/>
            <color indexed="81"/>
            <rFont val="Tahoma"/>
            <family val="2"/>
          </rPr>
          <t>BANCOLOMBIA:
 Pagar a la demandante la suma de dinero que resulte a deber por concepto del auxilio de cesantía definitiva causada entre el 18 de Marzo de 1.991 y el 20 de Septiembre de 1.995, y sus respectivos intereses, más la correspondiente indexación monetaria.
Pagar salarios moratorios desde el 20 de Septiembre de 1.995, y hasta cuando se produzca el pago el pago del auxilio de cesantía definitiva y sus intereses a que se refiere la petición anterior, en cuantía diaria del salario que estaba asignado para el cargo de Jefe de Control Operativo de la Sucursal Barranquilla o el correspondiente a otro similiar o de igual categoría o remuneración.
 Pagar costas del proceso.</t>
        </r>
      </text>
    </comment>
    <comment ref="AH398" authorId="1" shapeId="0" xr:uid="{0C8191E2-6564-4C3D-B720-F9D26E82F6FA}">
      <text>
        <r>
          <rPr>
            <b/>
            <sz val="8"/>
            <color indexed="81"/>
            <rFont val="Tahoma"/>
            <family val="2"/>
          </rPr>
          <t>BANCOLOMBIA:</t>
        </r>
        <r>
          <rPr>
            <sz val="8"/>
            <color indexed="81"/>
            <rFont val="Tahoma"/>
            <family val="2"/>
          </rPr>
          <t xml:space="preserve">
Calle 10 3-57 oficina  303
tel 583 65 56</t>
        </r>
      </text>
    </comment>
    <comment ref="AB399" authorId="2" shapeId="0" xr:uid="{CD10D870-42FE-413D-83DE-2EA0C560D14D}">
      <text>
        <r>
          <rPr>
            <b/>
            <sz val="8"/>
            <color indexed="81"/>
            <rFont val="Tahoma"/>
            <family val="2"/>
          </rPr>
          <t>BANCOLOMBIA S.A:</t>
        </r>
        <r>
          <rPr>
            <sz val="8"/>
            <color indexed="81"/>
            <rFont val="Tahoma"/>
            <family val="2"/>
          </rPr>
          <t xml:space="preserve">
Cra 7ª No. 24 – 89 Of. 1901  
Fax  2811100
BOGOTA D. C.
</t>
        </r>
      </text>
    </comment>
    <comment ref="U400" authorId="2" shapeId="0" xr:uid="{E5F92B06-295F-4FC7-941E-9F5705C8B219}">
      <text>
        <r>
          <rPr>
            <b/>
            <sz val="8"/>
            <color indexed="81"/>
            <rFont val="Tahoma"/>
            <family val="2"/>
          </rPr>
          <t>BANCOLOMBIA S.A:</t>
        </r>
        <r>
          <rPr>
            <sz val="8"/>
            <color indexed="81"/>
            <rFont val="Tahoma"/>
            <family val="2"/>
          </rPr>
          <t xml:space="preserve">
El 21 de septiembre de 2004 se profirió fallo el cual casa parcialmente la sentencia de segunda instancia y absuelve al Banco de la indexación de la indemnización por despido. El día 5 de octubre de 2004 el expediente fue devuelto al tribunal de origen.</t>
        </r>
      </text>
    </comment>
    <comment ref="AB400" authorId="0" shapeId="0" xr:uid="{CE95DF9E-35DC-435A-9732-AC3852249F00}">
      <text>
        <r>
          <rPr>
            <sz val="8"/>
            <color indexed="81"/>
            <rFont val="Tahoma"/>
            <family val="2"/>
          </rPr>
          <t>BANCOLOMBIA:
CALLE 11 No. 4 - 24 OF 201
TELS FAX 982 631020 - 634298 619933
Ibague
0333197115
mail anmeme@bunde.tolinet.com.co</t>
        </r>
      </text>
    </comment>
    <comment ref="AH402" authorId="2" shapeId="0" xr:uid="{124C2E81-E658-4C80-96E6-65079768210B}">
      <text>
        <r>
          <rPr>
            <b/>
            <sz val="8"/>
            <color indexed="81"/>
            <rFont val="Tahoma"/>
            <family val="2"/>
          </rPr>
          <t>BANCOLOMBIA S.A:</t>
        </r>
        <r>
          <rPr>
            <sz val="8"/>
            <color indexed="81"/>
            <rFont val="Tahoma"/>
            <family val="2"/>
          </rPr>
          <t xml:space="preserve">
Carrera 49 49 - 73 of 1210 Edificio Seguros Bolívar
251 94 75</t>
        </r>
      </text>
    </comment>
    <comment ref="AH430" authorId="1" shapeId="0" xr:uid="{D69DA1F2-B6E0-417F-BA81-2EEEB073052C}">
      <text>
        <r>
          <rPr>
            <b/>
            <sz val="8"/>
            <color indexed="81"/>
            <rFont val="Tahoma"/>
            <family val="2"/>
          </rPr>
          <t>BANCOLOMBIA:</t>
        </r>
        <r>
          <rPr>
            <sz val="8"/>
            <color indexed="81"/>
            <rFont val="Tahoma"/>
            <family val="2"/>
          </rPr>
          <t xml:space="preserve">
cAlle 19 15-42 oficina 301 Armenia</t>
        </r>
      </text>
    </comment>
    <comment ref="AB432" authorId="2" shapeId="0" xr:uid="{69CC68D0-9C85-41F9-83F4-B0D18DC31A17}">
      <text>
        <r>
          <rPr>
            <b/>
            <sz val="8"/>
            <color indexed="81"/>
            <rFont val="Tahoma"/>
            <family val="2"/>
          </rPr>
          <t>BANCOLOMBIA S.A:</t>
        </r>
        <r>
          <rPr>
            <sz val="8"/>
            <color indexed="81"/>
            <rFont val="Tahoma"/>
            <family val="2"/>
          </rPr>
          <t xml:space="preserve">  Tel. 435 3068  carrera 6a No. 15-80 Interios 642 Florencia</t>
        </r>
      </text>
    </comment>
    <comment ref="AB433" authorId="0" shapeId="0" xr:uid="{56A772FF-CB14-4019-A65A-E749C93246B2}">
      <text>
        <r>
          <rPr>
            <sz val="8"/>
            <color indexed="81"/>
            <rFont val="Tahoma"/>
            <family val="2"/>
          </rPr>
          <t>BANCOLOMBIA:
Calle 82 No. 72 - 05 Barranquilla.
Teléfono y Fax: 3788274</t>
        </r>
      </text>
    </comment>
    <comment ref="AH468" authorId="1" shapeId="0" xr:uid="{522BAA43-D8D0-421B-B3A7-ABF53F9E84FE}">
      <text>
        <r>
          <rPr>
            <b/>
            <sz val="8"/>
            <color indexed="81"/>
            <rFont val="Tahoma"/>
            <family val="2"/>
          </rPr>
          <t>BANCOLOMBIA:</t>
        </r>
        <r>
          <rPr>
            <sz val="8"/>
            <color indexed="81"/>
            <rFont val="Tahoma"/>
            <family val="2"/>
          </rPr>
          <t xml:space="preserve">
Calle 10 3-57 oficina  303
tel 583 65 56</t>
        </r>
      </text>
    </comment>
    <comment ref="AB469" authorId="0" shapeId="0" xr:uid="{F50AB754-B4B2-453D-AB21-8CBE5C650E92}">
      <text>
        <r>
          <rPr>
            <sz val="8"/>
            <color indexed="81"/>
            <rFont val="Tahoma"/>
            <family val="2"/>
          </rPr>
          <t>BANCOLOMBIA:
Calle 17a sur #44-130 Apto 502 Ed San Juan d ela Vega
Tel 313 67 38
E mail mariaelena@epm.net.co</t>
        </r>
      </text>
    </comment>
    <comment ref="AB470" authorId="2" shapeId="0" xr:uid="{17105E9F-0CFF-45BD-B1FA-F0B101BD852C}">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475" authorId="1" shapeId="0" xr:uid="{973F7C79-D973-4EA0-85D8-1DFFB2275058}">
      <text>
        <r>
          <rPr>
            <b/>
            <sz val="8"/>
            <color indexed="81"/>
            <rFont val="Tahoma"/>
            <family val="2"/>
          </rPr>
          <t xml:space="preserve">calle 77B No 57 – 141,  oficina 914, Centro Empresarial de las Américas. 
Teléfonos 3601452-3602620  celular 3157263162
</t>
        </r>
      </text>
    </comment>
    <comment ref="P478" authorId="2" shapeId="0" xr:uid="{547BCE14-1CD1-4907-8397-AE80DAE7EBF9}">
      <text>
        <r>
          <rPr>
            <b/>
            <sz val="8"/>
            <color indexed="81"/>
            <rFont val="Tahoma"/>
            <family val="2"/>
          </rPr>
          <t>BANCOLOMBIA S.A:</t>
        </r>
        <r>
          <rPr>
            <sz val="8"/>
            <color indexed="81"/>
            <rFont val="Tahoma"/>
            <family val="2"/>
          </rPr>
          <t xml:space="preserve">
Conciliación por $139.000.000 30 de junio de 2004</t>
        </r>
      </text>
    </comment>
    <comment ref="AB478" authorId="2" shapeId="0" xr:uid="{368038E5-B94C-4700-98CE-2765E05E0D49}">
      <text>
        <r>
          <rPr>
            <b/>
            <sz val="8"/>
            <color indexed="81"/>
            <rFont val="Tahoma"/>
            <family val="2"/>
          </rPr>
          <t>BANCOLOMBIA S.A:</t>
        </r>
        <r>
          <rPr>
            <sz val="8"/>
            <color indexed="81"/>
            <rFont val="Tahoma"/>
            <family val="2"/>
          </rPr>
          <t xml:space="preserve">
Cra 7ª No. 24 – 89 Of. 1901  
Tel 2842316 /2081, 2837042, 3418315
Fax  2811100
BOGOTA D. C.
chacalop@cable.net.co</t>
        </r>
      </text>
    </comment>
    <comment ref="AB493" authorId="2" shapeId="0" xr:uid="{FE3737EE-C0B6-4787-B40C-FB7045790FCD}">
      <text>
        <r>
          <rPr>
            <b/>
            <sz val="8"/>
            <color indexed="81"/>
            <rFont val="Tahoma"/>
            <family val="2"/>
          </rPr>
          <t>BANCOLOMBIA S.A:</t>
        </r>
        <r>
          <rPr>
            <sz val="8"/>
            <color indexed="81"/>
            <rFont val="Tahoma"/>
            <family val="2"/>
          </rPr>
          <t xml:space="preserve">
Cra 7ª No. 24 – 89 Of. 1901  
Tel 2842316 /2081, 2837042, 3418315
Fax  2811100
BOGOTA D. C.
chacalop@cable.net.co</t>
        </r>
      </text>
    </comment>
    <comment ref="AB494" authorId="0" shapeId="0" xr:uid="{03994DFC-A553-4E7E-9574-34B0E0CB41E8}">
      <text>
        <r>
          <rPr>
            <sz val="8"/>
            <color indexed="81"/>
            <rFont val="Tahoma"/>
            <family val="2"/>
          </rPr>
          <t>BANCOLOMBIA:
CALLE 11 No. 4 - 42 Of. 403 a 405
A.A. No. 1403
tel (2) 8802705 8961271 8880302 fax 8891487
celular5634251
e mail rojasara@avan.net</t>
        </r>
      </text>
    </comment>
    <comment ref="AB497" authorId="1" shapeId="0" xr:uid="{334BFC59-7B8F-497D-8D10-A7F4C1810F9F}">
      <text>
        <r>
          <rPr>
            <sz val="8"/>
            <color indexed="81"/>
            <rFont val="Tahoma"/>
            <family val="2"/>
          </rPr>
          <t>Carrera 12 No. 34-67. Oficina 501. Edificio los Castellanos. Tels. 6422683 y 6429158. Bucaramanga</t>
        </r>
      </text>
    </comment>
    <comment ref="AH498" authorId="1" shapeId="0" xr:uid="{56B40AF3-0D6D-435F-8F60-F072A9844DF7}">
      <text>
        <r>
          <rPr>
            <b/>
            <sz val="8"/>
            <color indexed="81"/>
            <rFont val="Tahoma"/>
            <family val="2"/>
          </rPr>
          <t>BANCOLOMBIA:</t>
        </r>
        <r>
          <rPr>
            <sz val="8"/>
            <color indexed="81"/>
            <rFont val="Tahoma"/>
            <family val="2"/>
          </rPr>
          <t xml:space="preserve">
Calle 11 6-24
Cali
</t>
        </r>
      </text>
    </comment>
    <comment ref="AB500" authorId="0" shapeId="0" xr:uid="{5F82755B-A7DC-4E00-92CB-E467FB9E46FC}">
      <text>
        <r>
          <rPr>
            <sz val="8"/>
            <color indexed="81"/>
            <rFont val="Tahoma"/>
            <family val="2"/>
          </rPr>
          <t>BANCOLOMBIA:
Calle 37 # 15-25 oficina 803
Telefonos 0976335264 fax - 6422990
Bucaramanga</t>
        </r>
      </text>
    </comment>
    <comment ref="AH500" authorId="0" shapeId="0" xr:uid="{DFBB5963-C38B-4EE5-8E10-0A4D05674E3A}">
      <text>
        <r>
          <rPr>
            <sz val="8"/>
            <color indexed="81"/>
            <rFont val="Tahoma"/>
            <family val="2"/>
          </rPr>
          <t xml:space="preserve">BANCOLOMBIA:
Calle 35 16-24 of 706
tel 334116
</t>
        </r>
      </text>
    </comment>
    <comment ref="AB504" authorId="2" shapeId="0" xr:uid="{D6075954-0CBF-4841-87B5-514FEF53F218}">
      <text>
        <r>
          <rPr>
            <b/>
            <sz val="8"/>
            <color indexed="81"/>
            <rFont val="Tahoma"/>
            <family val="2"/>
          </rPr>
          <t>BANCOLOMBIA S.A:</t>
        </r>
        <r>
          <rPr>
            <sz val="8"/>
            <color indexed="81"/>
            <rFont val="Tahoma"/>
            <family val="2"/>
          </rPr>
          <t xml:space="preserve">
Cra 7ª No. 24 – 89 Of. 1901  
Fax  2811100
BOGOTA D. C.
</t>
        </r>
      </text>
    </comment>
    <comment ref="AB506" authorId="2" shapeId="0" xr:uid="{DC26D4F6-CDA8-489C-883D-2C4E15467B49}">
      <text>
        <r>
          <rPr>
            <b/>
            <sz val="8"/>
            <color indexed="81"/>
            <rFont val="Tahoma"/>
            <family val="2"/>
          </rPr>
          <t>BANCOLOMBIA S.A:</t>
        </r>
        <r>
          <rPr>
            <sz val="8"/>
            <color indexed="81"/>
            <rFont val="Tahoma"/>
            <family val="2"/>
          </rPr>
          <t xml:space="preserve">
Calle 28 4-26 ofician 206
Monteria
Fax 7827971
c.c. 958,559</t>
        </r>
      </text>
    </comment>
    <comment ref="W510" authorId="1" shapeId="0" xr:uid="{E2DADBA5-B85D-43E2-87E1-9F514EE503E6}">
      <text>
        <r>
          <rPr>
            <b/>
            <sz val="10"/>
            <color indexed="81"/>
            <rFont val="Tahoma"/>
            <family val="2"/>
          </rPr>
          <t>BANCOLOMBIA:</t>
        </r>
        <r>
          <rPr>
            <sz val="10"/>
            <color indexed="81"/>
            <rFont val="Tahoma"/>
            <family val="2"/>
          </rPr>
          <t xml:space="preserve">
condena: $21.000.000
Costas:$1.600.000</t>
        </r>
      </text>
    </comment>
    <comment ref="P513" authorId="2" shapeId="0" xr:uid="{2806A3CA-F6FC-43B8-8FA2-84583FE77B30}">
      <text>
        <r>
          <rPr>
            <b/>
            <sz val="8"/>
            <color indexed="81"/>
            <rFont val="Tahoma"/>
            <family val="2"/>
          </rPr>
          <t>BANCOLOMBIA S.A:</t>
        </r>
        <r>
          <rPr>
            <sz val="8"/>
            <color indexed="81"/>
            <rFont val="Tahoma"/>
            <family val="2"/>
          </rPr>
          <t xml:space="preserve">
13 de marzo de 2006 se concilió el procoeso en la 1 audiencia de trámite en 54 mm; el pago se efectuó al ex empleado el 27 de marzo de 2006</t>
        </r>
      </text>
    </comment>
    <comment ref="AH514" authorId="0" shapeId="0" xr:uid="{C06A061E-897B-47B7-B77C-3EFF00097DB4}">
      <text>
        <r>
          <rPr>
            <sz val="8"/>
            <color indexed="81"/>
            <rFont val="Tahoma"/>
            <family val="2"/>
          </rPr>
          <t>BANCOLOMBIA:
Carrera 45 2-55 sur
Cali</t>
        </r>
      </text>
    </comment>
    <comment ref="P517" authorId="1" shapeId="0" xr:uid="{D25F89F6-5B27-4C3F-8AC9-F7CCB583E38F}">
      <text>
        <r>
          <rPr>
            <b/>
            <sz val="10"/>
            <color indexed="81"/>
            <rFont val="Tahoma"/>
            <family val="2"/>
          </rPr>
          <t>BANCOLOMBIA:</t>
        </r>
        <r>
          <rPr>
            <sz val="10"/>
            <color indexed="81"/>
            <rFont val="Tahoma"/>
            <family val="2"/>
          </rPr>
          <t xml:space="preserve">
Aunque el proceso es favorable al Banco en la esencia d ela demanda, nos condenan por moratoria en el pago</t>
        </r>
      </text>
    </comment>
    <comment ref="AH519" authorId="1" shapeId="0" xr:uid="{1DA9F5CB-5AFE-4F4D-B614-E1904CAC9D58}">
      <text>
        <r>
          <rPr>
            <b/>
            <sz val="8"/>
            <color indexed="81"/>
            <rFont val="Tahoma"/>
            <family val="2"/>
          </rPr>
          <t>BANCOLOMBIA:</t>
        </r>
        <r>
          <rPr>
            <sz val="8"/>
            <color indexed="81"/>
            <rFont val="Tahoma"/>
            <family val="2"/>
          </rPr>
          <t xml:space="preserve">
Centro La Matuna, Plazoleta de Telecom, oficina 306 teléfono 6640743</t>
        </r>
      </text>
    </comment>
    <comment ref="AH520" authorId="1" shapeId="0" xr:uid="{468A2CBE-D223-4D80-ABE7-3DAEDFD0B977}">
      <text>
        <r>
          <rPr>
            <b/>
            <sz val="8"/>
            <color indexed="81"/>
            <rFont val="Tahoma"/>
            <family val="2"/>
          </rPr>
          <t>BANCOLOMBIA:</t>
        </r>
        <r>
          <rPr>
            <sz val="8"/>
            <color indexed="81"/>
            <rFont val="Tahoma"/>
            <family val="2"/>
          </rPr>
          <t xml:space="preserve">
Centro La Matuna, Plazoleta de Telecom, oficina 306 teléfono 6640743</t>
        </r>
      </text>
    </comment>
    <comment ref="AH521" authorId="1" shapeId="0" xr:uid="{C536A542-F386-43ED-A666-26038D76CB99}">
      <text>
        <r>
          <rPr>
            <b/>
            <sz val="8"/>
            <color indexed="81"/>
            <rFont val="Tahoma"/>
            <family val="2"/>
          </rPr>
          <t>BANCOLOMBIA:</t>
        </r>
        <r>
          <rPr>
            <sz val="8"/>
            <color indexed="81"/>
            <rFont val="Tahoma"/>
            <family val="2"/>
          </rPr>
          <t xml:space="preserve">
Centro La Matuna, Plazoleta de Telecom, oficina 306 teléfono 6640743</t>
        </r>
      </text>
    </comment>
    <comment ref="AH522" authorId="1" shapeId="0" xr:uid="{B1EB1F1D-75EF-4987-A6BD-E3C48490CDB3}">
      <text>
        <r>
          <rPr>
            <b/>
            <sz val="8"/>
            <color indexed="81"/>
            <rFont val="Tahoma"/>
            <family val="2"/>
          </rPr>
          <t>BANCOLOMBIA:</t>
        </r>
        <r>
          <rPr>
            <sz val="8"/>
            <color indexed="81"/>
            <rFont val="Tahoma"/>
            <family val="2"/>
          </rPr>
          <t xml:space="preserve">
Centro La Matuna, Plazoleta de Telecom, oficina 306 teléfono 6640743</t>
        </r>
      </text>
    </comment>
    <comment ref="AH523" authorId="1" shapeId="0" xr:uid="{2CE30562-D543-4AD4-8676-80286880FAC6}">
      <text>
        <r>
          <rPr>
            <b/>
            <sz val="8"/>
            <color indexed="81"/>
            <rFont val="Tahoma"/>
            <family val="2"/>
          </rPr>
          <t>BANCOLOMBIA:</t>
        </r>
        <r>
          <rPr>
            <sz val="8"/>
            <color indexed="81"/>
            <rFont val="Tahoma"/>
            <family val="2"/>
          </rPr>
          <t xml:space="preserve">
Centro La Matuna, Plazoleta de Telecom, oficina 306 teléfono 6640743</t>
        </r>
      </text>
    </comment>
    <comment ref="AH524" authorId="1" shapeId="0" xr:uid="{BDB6810C-7BDA-4598-8062-96A0EEC8A2E1}">
      <text>
        <r>
          <rPr>
            <b/>
            <sz val="8"/>
            <color indexed="81"/>
            <rFont val="Tahoma"/>
            <family val="2"/>
          </rPr>
          <t>BANCOLOMBIA:</t>
        </r>
        <r>
          <rPr>
            <sz val="8"/>
            <color indexed="81"/>
            <rFont val="Tahoma"/>
            <family val="2"/>
          </rPr>
          <t xml:space="preserve">
Centro La Matuna, Plazoleta de Telecom, oficina 306 teléfono 6640743</t>
        </r>
      </text>
    </comment>
    <comment ref="AH525" authorId="1" shapeId="0" xr:uid="{2FCD8BC1-E06D-4B3D-A83B-BE69E2A182BE}">
      <text>
        <r>
          <rPr>
            <b/>
            <sz val="8"/>
            <color indexed="81"/>
            <rFont val="Tahoma"/>
            <family val="2"/>
          </rPr>
          <t>BANCOLOMBIA:</t>
        </r>
        <r>
          <rPr>
            <sz val="8"/>
            <color indexed="81"/>
            <rFont val="Tahoma"/>
            <family val="2"/>
          </rPr>
          <t xml:space="preserve">
Centro La Matuna, Plazoleta de Telecom, oficina 306 teléfono 6640743</t>
        </r>
      </text>
    </comment>
    <comment ref="AH526" authorId="1" shapeId="0" xr:uid="{54F7D13B-2C73-48F3-A579-D5496B863145}">
      <text>
        <r>
          <rPr>
            <b/>
            <sz val="8"/>
            <color indexed="81"/>
            <rFont val="Tahoma"/>
            <family val="2"/>
          </rPr>
          <t>BANCOLOMBIA:</t>
        </r>
        <r>
          <rPr>
            <sz val="8"/>
            <color indexed="81"/>
            <rFont val="Tahoma"/>
            <family val="2"/>
          </rPr>
          <t xml:space="preserve">
Centro La Matuna, Plazoleta de Telecom, oficina 306 teléfono 6640743</t>
        </r>
      </text>
    </comment>
    <comment ref="AH527" authorId="1" shapeId="0" xr:uid="{5A69C767-A5CA-4AC5-9B1D-11BB1251AA65}">
      <text>
        <r>
          <rPr>
            <b/>
            <sz val="8"/>
            <color indexed="81"/>
            <rFont val="Tahoma"/>
            <family val="2"/>
          </rPr>
          <t>BANCOLOMBIA:</t>
        </r>
        <r>
          <rPr>
            <sz val="8"/>
            <color indexed="81"/>
            <rFont val="Tahoma"/>
            <family val="2"/>
          </rPr>
          <t xml:space="preserve">
Centro La Matuna, Plazoleta de Telecom, oficina 306 teléfono 6640743</t>
        </r>
      </text>
    </comment>
    <comment ref="AH528" authorId="1" shapeId="0" xr:uid="{00A6467A-902F-4B20-BB22-85DB5E27FEEA}">
      <text>
        <r>
          <rPr>
            <b/>
            <sz val="8"/>
            <color indexed="81"/>
            <rFont val="Tahoma"/>
            <family val="2"/>
          </rPr>
          <t>BANCOLOMBIA:</t>
        </r>
        <r>
          <rPr>
            <sz val="8"/>
            <color indexed="81"/>
            <rFont val="Tahoma"/>
            <family val="2"/>
          </rPr>
          <t xml:space="preserve">
Centro La Matuna, Plazoleta de Telecom, oficina 306 teléfono 6640743</t>
        </r>
      </text>
    </comment>
    <comment ref="AH529" authorId="1" shapeId="0" xr:uid="{51A56347-5E01-4784-8935-E10596BDC3D6}">
      <text>
        <r>
          <rPr>
            <b/>
            <sz val="8"/>
            <color indexed="81"/>
            <rFont val="Tahoma"/>
            <family val="2"/>
          </rPr>
          <t>BANCOLOMBIA:</t>
        </r>
        <r>
          <rPr>
            <sz val="8"/>
            <color indexed="81"/>
            <rFont val="Tahoma"/>
            <family val="2"/>
          </rPr>
          <t xml:space="preserve">
Centro La Matuna, Plazoleta de Telecom, oficina 306 teléfono 6640743</t>
        </r>
      </text>
    </comment>
    <comment ref="AH530" authorId="2" shapeId="0" xr:uid="{5C2652E2-2C89-4E12-9D2E-AA8FD924651B}">
      <text>
        <r>
          <rPr>
            <b/>
            <sz val="8"/>
            <color indexed="81"/>
            <rFont val="Tahoma"/>
            <family val="2"/>
          </rPr>
          <t>BANCOLOMBIA S.A:</t>
        </r>
        <r>
          <rPr>
            <sz val="8"/>
            <color indexed="81"/>
            <rFont val="Tahoma"/>
            <family val="2"/>
          </rPr>
          <t xml:space="preserve">
Carrera 45 34-44 oficina 802 tel 3514721
Barranquilla</t>
        </r>
      </text>
    </comment>
    <comment ref="AB533" authorId="0" shapeId="0" xr:uid="{E70400FF-5CA5-4FFF-AE70-4FE2757DFF11}">
      <text>
        <r>
          <rPr>
            <sz val="8"/>
            <color indexed="81"/>
            <rFont val="Tahoma"/>
            <family val="2"/>
          </rPr>
          <t>BANCOLOMBIA:
CALLE 11 No. 4 - 42 Of. 403 a 405
A.A. No. 1403
tel (2) 8802705 8961271 8880302 fax 8891487
celular5634251
e mail rojasara@avan.net</t>
        </r>
      </text>
    </comment>
    <comment ref="AH533" authorId="0" shapeId="0" xr:uid="{B5C710F1-94C9-4F73-AD89-831F5EA4BE5D}">
      <text>
        <r>
          <rPr>
            <sz val="8"/>
            <color indexed="81"/>
            <rFont val="Tahoma"/>
            <family val="2"/>
          </rPr>
          <t>BANCOLOMBIA:
Carrero 55 7 - 63
Barrio Nuevo Tequendama tel 513 26 40 cali</t>
        </r>
      </text>
    </comment>
    <comment ref="AB535" authorId="2" shapeId="0" xr:uid="{6E3F0A2D-1C59-4FF5-BA5F-838A002334D3}">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W537" authorId="1" shapeId="0" xr:uid="{368FBBE6-B34F-454B-BDF1-81BFC86398B3}">
      <text>
        <r>
          <rPr>
            <b/>
            <sz val="10"/>
            <color indexed="81"/>
            <rFont val="Tahoma"/>
            <family val="2"/>
          </rPr>
          <t>BANCOLOMBIA:</t>
        </r>
        <r>
          <rPr>
            <sz val="10"/>
            <color indexed="81"/>
            <rFont val="Tahoma"/>
            <family val="2"/>
          </rPr>
          <t xml:space="preserve">
Esta cifra incluye las costas procesales; se dispone un solo valor pues fue conciliado el monto con el abogado demandante</t>
        </r>
      </text>
    </comment>
    <comment ref="AB539" authorId="1" shapeId="0" xr:uid="{6BC2DBF1-BA64-4C48-B965-583E729370B7}">
      <text>
        <r>
          <rPr>
            <sz val="8"/>
            <color indexed="81"/>
            <rFont val="Tahoma"/>
            <family val="2"/>
          </rPr>
          <t>Carrera 12 No. 34-67. Oficina 501. Edificio los Castellanos. Tels. 6422683 y 6429158. Bucaramanga</t>
        </r>
      </text>
    </comment>
    <comment ref="W542" authorId="1" shapeId="0" xr:uid="{4597BE91-0F1F-4E75-BAC2-1BB5E245DC9D}">
      <text>
        <r>
          <rPr>
            <b/>
            <sz val="10"/>
            <color indexed="81"/>
            <rFont val="Tahoma"/>
            <family val="2"/>
          </rPr>
          <t>BANCOLOMBIA:</t>
        </r>
        <r>
          <rPr>
            <sz val="10"/>
            <color indexed="81"/>
            <rFont val="Tahoma"/>
            <family val="2"/>
          </rPr>
          <t xml:space="preserve">
incrementar la actual pensión de $352,327.00 a  $739.114 a partir del mes de julio de 2006</t>
        </r>
      </text>
    </comment>
    <comment ref="W544" authorId="1" shapeId="0" xr:uid="{4EE965B9-1E5F-4DDD-8537-459289BC59A3}">
      <text>
        <r>
          <rPr>
            <b/>
            <sz val="10"/>
            <color indexed="81"/>
            <rFont val="Tahoma"/>
            <family val="2"/>
          </rPr>
          <t>BANCOLOMBIA:</t>
        </r>
        <r>
          <rPr>
            <sz val="10"/>
            <color indexed="81"/>
            <rFont val="Tahoma"/>
            <family val="2"/>
          </rPr>
          <t xml:space="preserve">
Solicitamos comedidamente retirar de nómina al señor Gustavo Merchan Gómez, El cual fue 
ingresado el 01 de junio de 2006.
Solicito comedidamente instruir las operaciones contables necesarias para reversar 
$146'014.811.00, ya que este valor quedó reducido a $35'756.282 
</t>
        </r>
      </text>
    </comment>
    <comment ref="AH546" authorId="1" shapeId="0" xr:uid="{9A812CEA-6628-4223-BADF-40B34AFA22B5}">
      <text>
        <r>
          <rPr>
            <b/>
            <sz val="8"/>
            <color indexed="81"/>
            <rFont val="Tahoma"/>
            <family val="2"/>
          </rPr>
          <t>BANCOLOMBIA:</t>
        </r>
        <r>
          <rPr>
            <sz val="8"/>
            <color indexed="81"/>
            <rFont val="Tahoma"/>
            <family val="2"/>
          </rPr>
          <t xml:space="preserve">
Calle 10 3-57 oficina  303
tel 583 65 56</t>
        </r>
      </text>
    </comment>
    <comment ref="W547" authorId="1" shapeId="0" xr:uid="{85633D6E-7B1E-4081-8503-A14601EB57EC}">
      <text>
        <r>
          <rPr>
            <b/>
            <sz val="10"/>
            <color indexed="81"/>
            <rFont val="Tahoma"/>
            <family val="2"/>
          </rPr>
          <t>BANCOLOMBIA:</t>
        </r>
        <r>
          <rPr>
            <sz val="10"/>
            <color indexed="81"/>
            <rFont val="Tahoma"/>
            <family val="2"/>
          </rPr>
          <t xml:space="preserve">
Este acuerdo incluye indexacion y costas procesales</t>
        </r>
      </text>
    </comment>
    <comment ref="W548" authorId="1" shapeId="0" xr:uid="{02DA2FA8-5791-4AE7-99EA-C5A3EA8FAF39}">
      <text>
        <r>
          <rPr>
            <b/>
            <sz val="10"/>
            <color indexed="81"/>
            <rFont val="Tahoma"/>
            <family val="2"/>
          </rPr>
          <t>BANCOLOMBIA:</t>
        </r>
        <r>
          <rPr>
            <sz val="10"/>
            <color indexed="81"/>
            <rFont val="Tahoma"/>
            <family val="2"/>
          </rPr>
          <t xml:space="preserve">
Incluye costas procesales</t>
        </r>
      </text>
    </comment>
    <comment ref="AB549" authorId="1" shapeId="0" xr:uid="{43FAB38B-3FA0-4427-A730-CF0DC2319BC3}">
      <text>
        <r>
          <rPr>
            <b/>
            <sz val="10"/>
            <color indexed="81"/>
            <rFont val="Tahoma"/>
            <family val="2"/>
          </rPr>
          <t>BANCOLOMBIA:</t>
        </r>
        <r>
          <rPr>
            <sz val="10"/>
            <color indexed="81"/>
            <rFont val="Tahoma"/>
            <family val="2"/>
          </rPr>
          <t xml:space="preserve">
</t>
        </r>
      </text>
    </comment>
    <comment ref="W551" authorId="1" shapeId="0" xr:uid="{DAF5DDB5-517D-47BC-85AB-D3562416B301}">
      <text>
        <r>
          <rPr>
            <b/>
            <sz val="10"/>
            <color indexed="81"/>
            <rFont val="Tahoma"/>
            <family val="2"/>
          </rPr>
          <t>BANCOLOMBIA:</t>
        </r>
        <r>
          <rPr>
            <sz val="10"/>
            <color indexed="81"/>
            <rFont val="Tahoma"/>
            <family val="2"/>
          </rPr>
          <t xml:space="preserve">
$43,902,206 (Indemnización), $1,882,260 (Indexación), $6,500,000 (Agencias en derecho)
Tribunal incrementó el vr. De condena en costas en $2.660.000</t>
        </r>
      </text>
    </comment>
    <comment ref="AB551" authorId="2" shapeId="0" xr:uid="{16F832C9-6AB7-4E0D-8B80-384D8D5000B4}">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W552" authorId="1" shapeId="0" xr:uid="{55F60D15-CBE5-43B5-B586-D1E4EA1A63C6}">
      <text>
        <r>
          <rPr>
            <b/>
            <sz val="10"/>
            <color indexed="81"/>
            <rFont val="Tahoma"/>
            <family val="2"/>
          </rPr>
          <t>BANCOLOMBIA:</t>
        </r>
        <r>
          <rPr>
            <sz val="10"/>
            <color indexed="81"/>
            <rFont val="Tahoma"/>
            <family val="2"/>
          </rPr>
          <t xml:space="preserve">
se le  reconoce  pensión compartible desde el  23 de noviembre de 2001, la mesada pensional asciende a  $942.092 para el 2006. </t>
        </r>
      </text>
    </comment>
    <comment ref="AB553" authorId="0" shapeId="0" xr:uid="{B3777E86-FB67-4938-8B28-4ABDE5E27FCA}">
      <text>
        <r>
          <rPr>
            <sz val="8"/>
            <color indexed="81"/>
            <rFont val="Tahoma"/>
            <family val="2"/>
          </rPr>
          <t>BANCOLOMBIA:
CALLE 39 No. 43-123 Of.B-6 Piso 3o.   Edificio y Parqueadero Las Flores
TEL: 953 406045 - 405801 fax 512852
a.a. 52091 Bquilla</t>
        </r>
      </text>
    </comment>
    <comment ref="AB554" authorId="2" shapeId="0" xr:uid="{807467D7-D054-428E-B567-BEC495027E07}">
      <text>
        <r>
          <rPr>
            <b/>
            <sz val="8"/>
            <color indexed="81"/>
            <rFont val="Tahoma"/>
            <family val="2"/>
          </rPr>
          <t>BANCOLOMBIA S.A:</t>
        </r>
        <r>
          <rPr>
            <sz val="8"/>
            <color indexed="81"/>
            <rFont val="Tahoma"/>
            <family val="2"/>
          </rPr>
          <t xml:space="preserve">
Calle 28 4-26 ofician 206
Monteria
Fax 7827971
c.c. 958,559</t>
        </r>
      </text>
    </comment>
    <comment ref="U555" authorId="1" shapeId="0" xr:uid="{30D3DFDF-B311-4455-BDE1-0C589CE25D45}">
      <text>
        <r>
          <rPr>
            <b/>
            <sz val="10"/>
            <color indexed="81"/>
            <rFont val="Tahoma"/>
            <family val="2"/>
          </rPr>
          <t>BANCOLOMBIA:</t>
        </r>
        <r>
          <rPr>
            <sz val="10"/>
            <color indexed="81"/>
            <rFont val="Tahoma"/>
            <family val="2"/>
          </rPr>
          <t xml:space="preserve">
APRUEBA LIQUIDACION DE COSTAS, ESTIMA AGENCIAS EN DERECHO POR 1;300;000</t>
        </r>
      </text>
    </comment>
    <comment ref="AH555" authorId="0" shapeId="0" xr:uid="{EB083E21-D77D-49D7-A9AB-D82FBAB59816}">
      <text>
        <r>
          <rPr>
            <sz val="8"/>
            <color indexed="81"/>
            <rFont val="Tahoma"/>
            <family val="2"/>
          </rPr>
          <t>BANCOLOMBIA:
Avenida 5 9-58 of 210 Cucuta</t>
        </r>
      </text>
    </comment>
    <comment ref="G565" authorId="2" shapeId="0" xr:uid="{FFFC1B87-4E67-4966-8D56-179FF0BA5676}">
      <text>
        <r>
          <rPr>
            <b/>
            <sz val="8"/>
            <color indexed="81"/>
            <rFont val="Tahoma"/>
            <family val="2"/>
          </rPr>
          <t>BANCOLOMBIA S.A:</t>
        </r>
        <r>
          <rPr>
            <sz val="8"/>
            <color indexed="81"/>
            <rFont val="Tahoma"/>
            <family val="2"/>
          </rPr>
          <t xml:space="preserve">
</t>
        </r>
      </text>
    </comment>
    <comment ref="AB565" authorId="2" shapeId="0" xr:uid="{6DFC8423-DDC2-4114-80E8-5CAC662DFBE0}">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H570" authorId="1" shapeId="0" xr:uid="{EB1637BE-D252-4238-800B-A8BA5C931FBC}">
      <text>
        <r>
          <rPr>
            <b/>
            <sz val="8"/>
            <color indexed="81"/>
            <rFont val="Tahoma"/>
            <family val="2"/>
          </rPr>
          <t>BANCOLOMBIA:</t>
        </r>
        <r>
          <rPr>
            <sz val="8"/>
            <color indexed="81"/>
            <rFont val="Tahoma"/>
            <family val="2"/>
          </rPr>
          <t xml:space="preserve">
Calle 10 3-57 oficina  303
tel 583 65 56</t>
        </r>
      </text>
    </comment>
    <comment ref="U573" authorId="3" shapeId="0" xr:uid="{A2107CA5-614B-4D3C-B643-C3002FD5ACBA}">
      <text>
        <r>
          <rPr>
            <b/>
            <sz val="10"/>
            <color indexed="81"/>
            <rFont val="Tahoma"/>
            <family val="2"/>
          </rPr>
          <t>jurrego:</t>
        </r>
        <r>
          <rPr>
            <sz val="10"/>
            <color indexed="81"/>
            <rFont val="Tahoma"/>
            <family val="2"/>
          </rPr>
          <t xml:space="preserve">
  NO CASA CON COSTAS;</t>
        </r>
      </text>
    </comment>
    <comment ref="U574" authorId="3" shapeId="0" xr:uid="{B5DA079D-EEFC-489B-8794-70DA8FE9FDF0}">
      <text>
        <r>
          <rPr>
            <b/>
            <sz val="10"/>
            <color indexed="81"/>
            <rFont val="Tahoma"/>
            <family val="2"/>
          </rPr>
          <t>jurrego:</t>
        </r>
        <r>
          <rPr>
            <sz val="10"/>
            <color indexed="81"/>
            <rFont val="Tahoma"/>
            <family val="2"/>
          </rPr>
          <t xml:space="preserve">
NO CASA CON COSTAS</t>
        </r>
      </text>
    </comment>
    <comment ref="AB583" authorId="2" shapeId="0" xr:uid="{427A33D6-DF39-43D8-AE7A-E42234DDD96E}">
      <text>
        <r>
          <rPr>
            <b/>
            <sz val="8"/>
            <color indexed="81"/>
            <rFont val="Tahoma"/>
            <family val="2"/>
          </rPr>
          <t>BANCOLOMBIA S.A:</t>
        </r>
        <r>
          <rPr>
            <sz val="8"/>
            <color indexed="81"/>
            <rFont val="Tahoma"/>
            <family val="2"/>
          </rPr>
          <t xml:space="preserve">  Tel. 435 3068  carrera 6a No. 15-80 Interios 642 Florencia</t>
        </r>
      </text>
    </comment>
    <comment ref="AH592" authorId="2" shapeId="0" xr:uid="{3D2ABD2B-5FDC-46A7-BD1F-3C6F8A795844}">
      <text>
        <r>
          <rPr>
            <b/>
            <sz val="8"/>
            <color indexed="81"/>
            <rFont val="Tahoma"/>
            <family val="2"/>
          </rPr>
          <t>BANCOLOMBIA S.A:</t>
        </r>
        <r>
          <rPr>
            <sz val="8"/>
            <color indexed="81"/>
            <rFont val="Tahoma"/>
            <family val="2"/>
          </rPr>
          <t xml:space="preserve">
Cra 2 26-56 oficina 207 edificio centro linares
tel 7827586 monteria</t>
        </r>
      </text>
    </comment>
    <comment ref="AB594" authorId="2" shapeId="0" xr:uid="{99888EB8-2B5D-4AAF-BEFB-B5F6BA5C3B29}">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G598" authorId="1" shapeId="0" xr:uid="{FCC9D3C0-2F62-4F14-89A6-17348E443CCB}">
      <text>
        <r>
          <rPr>
            <b/>
            <sz val="10"/>
            <color indexed="81"/>
            <rFont val="Tahoma"/>
            <family val="2"/>
          </rPr>
          <t>BANCOLOMBIA:</t>
        </r>
        <r>
          <rPr>
            <sz val="10"/>
            <color indexed="81"/>
            <rFont val="Tahoma"/>
            <family val="2"/>
          </rPr>
          <t xml:space="preserve">
Se pactaron unos honorarios adicionales a favor de la Dra. Maria Clara Buitrago Arango por valor  de $331.905, quis le hará seguimiento al proceso en la plaza</t>
        </r>
      </text>
    </comment>
    <comment ref="AH600" authorId="1" shapeId="0" xr:uid="{C28C2D22-3FBF-46E6-A18E-007543DE9FE3}">
      <text>
        <r>
          <rPr>
            <b/>
            <sz val="8"/>
            <color indexed="81"/>
            <rFont val="Tahoma"/>
            <family val="2"/>
          </rPr>
          <t>BANCOLOMBIA:</t>
        </r>
        <r>
          <rPr>
            <sz val="8"/>
            <color indexed="81"/>
            <rFont val="Tahoma"/>
            <family val="2"/>
          </rPr>
          <t xml:space="preserve">
Calle 18 N 6-47 of 302 tel 3362785 0332439070 Bogotá</t>
        </r>
      </text>
    </comment>
    <comment ref="AB605" authorId="2" shapeId="0" xr:uid="{589FE5D7-F9F9-40E2-9CD8-C03E086FBADC}">
      <text>
        <r>
          <rPr>
            <b/>
            <sz val="8"/>
            <color indexed="81"/>
            <rFont val="Tahoma"/>
            <family val="2"/>
          </rPr>
          <t>BANCOLOMBIA S.A:</t>
        </r>
        <r>
          <rPr>
            <sz val="8"/>
            <color indexed="81"/>
            <rFont val="Tahoma"/>
            <family val="2"/>
          </rPr>
          <t xml:space="preserve">
Calle 28 4-26 ofician 206
Monteria
Fax 7827971
c.c. 958,559</t>
        </r>
      </text>
    </comment>
    <comment ref="W621" authorId="2" shapeId="0" xr:uid="{56C68C8F-0F0E-491C-9C4C-B1EC051B917C}">
      <text>
        <r>
          <rPr>
            <b/>
            <sz val="8"/>
            <color indexed="81"/>
            <rFont val="Tahoma"/>
            <family val="2"/>
          </rPr>
          <t>BANCOLOMBIA S.A:</t>
        </r>
        <r>
          <rPr>
            <sz val="8"/>
            <color indexed="81"/>
            <rFont val="Tahoma"/>
            <family val="2"/>
          </rPr>
          <t xml:space="preserve">
$149,680,374
</t>
        </r>
      </text>
    </comment>
    <comment ref="AH622" authorId="1" shapeId="0" xr:uid="{1B79BC31-1C18-4CDC-961B-C59FB8431BF6}">
      <text>
        <r>
          <rPr>
            <b/>
            <sz val="8"/>
            <color indexed="81"/>
            <rFont val="Tahoma"/>
            <family val="2"/>
          </rPr>
          <t>BANCOLOMBIA:</t>
        </r>
        <r>
          <rPr>
            <sz val="8"/>
            <color indexed="81"/>
            <rFont val="Tahoma"/>
            <family val="2"/>
          </rPr>
          <t xml:space="preserve">
Calle 10 3-57 oficina  303
tel 583 65 56</t>
        </r>
      </text>
    </comment>
    <comment ref="AH631" authorId="1" shapeId="0" xr:uid="{C546B0CC-CD88-4626-B1A0-BA8531CC4B85}">
      <text>
        <r>
          <rPr>
            <b/>
            <sz val="8"/>
            <color indexed="81"/>
            <rFont val="Tahoma"/>
            <family val="2"/>
          </rPr>
          <t>BANCOLOMBIA:</t>
        </r>
        <r>
          <rPr>
            <sz val="8"/>
            <color indexed="81"/>
            <rFont val="Tahoma"/>
            <family val="2"/>
          </rPr>
          <t xml:space="preserve">
Calle 10 3-57 oficina  303
tel 583 65 56</t>
        </r>
      </text>
    </comment>
    <comment ref="AH632" authorId="1" shapeId="0" xr:uid="{BBDC54FD-30AA-41F6-BE1D-0F99C097C023}">
      <text>
        <r>
          <rPr>
            <b/>
            <sz val="8"/>
            <color indexed="81"/>
            <rFont val="Tahoma"/>
            <family val="2"/>
          </rPr>
          <t>BANCOLOMBIA:</t>
        </r>
        <r>
          <rPr>
            <sz val="8"/>
            <color indexed="81"/>
            <rFont val="Tahoma"/>
            <family val="2"/>
          </rPr>
          <t xml:space="preserve">
Calle 10 3-57 oficina  303
tel 583 65 56</t>
        </r>
      </text>
    </comment>
    <comment ref="AH633" authorId="1" shapeId="0" xr:uid="{34C3E739-F788-4D5C-94D3-2F865A77FAC9}">
      <text>
        <r>
          <rPr>
            <b/>
            <sz val="8"/>
            <color indexed="81"/>
            <rFont val="Tahoma"/>
            <family val="2"/>
          </rPr>
          <t>BANCOLOMBIA:</t>
        </r>
        <r>
          <rPr>
            <sz val="8"/>
            <color indexed="81"/>
            <rFont val="Tahoma"/>
            <family val="2"/>
          </rPr>
          <t xml:space="preserve">
Calle 10 3-57 oficina  303
tel 583 65 56</t>
        </r>
      </text>
    </comment>
    <comment ref="AH634" authorId="1" shapeId="0" xr:uid="{5903BA1D-1B61-4248-A452-53F6C8D1E3E1}">
      <text>
        <r>
          <rPr>
            <b/>
            <sz val="8"/>
            <color indexed="81"/>
            <rFont val="Tahoma"/>
            <family val="2"/>
          </rPr>
          <t>BANCOLOMBIA:</t>
        </r>
        <r>
          <rPr>
            <sz val="8"/>
            <color indexed="81"/>
            <rFont val="Tahoma"/>
            <family val="2"/>
          </rPr>
          <t xml:space="preserve">
Calle 10 3-57 oficina  303
tel 583 65 56</t>
        </r>
      </text>
    </comment>
    <comment ref="AH635" authorId="1" shapeId="0" xr:uid="{06C77841-2E0E-433A-B1DF-505C613D80CD}">
      <text>
        <r>
          <rPr>
            <b/>
            <sz val="8"/>
            <color indexed="81"/>
            <rFont val="Tahoma"/>
            <family val="2"/>
          </rPr>
          <t>BANCOLOMBIA:</t>
        </r>
        <r>
          <rPr>
            <sz val="8"/>
            <color indexed="81"/>
            <rFont val="Tahoma"/>
            <family val="2"/>
          </rPr>
          <t xml:space="preserve">
Calle 10 3-57 oficina  303
tel 583 65 56</t>
        </r>
      </text>
    </comment>
    <comment ref="AH636" authorId="1" shapeId="0" xr:uid="{1C7518AC-D00F-4BAA-99C8-4438F43DA665}">
      <text>
        <r>
          <rPr>
            <b/>
            <sz val="8"/>
            <color indexed="81"/>
            <rFont val="Tahoma"/>
            <family val="2"/>
          </rPr>
          <t>BANCOLOMBIA:</t>
        </r>
        <r>
          <rPr>
            <sz val="8"/>
            <color indexed="81"/>
            <rFont val="Tahoma"/>
            <family val="2"/>
          </rPr>
          <t xml:space="preserve">
Calle 10 3-57 oficina  303
tel 583 65 56</t>
        </r>
      </text>
    </comment>
    <comment ref="AH637" authorId="1" shapeId="0" xr:uid="{52A82F3F-4E77-49AD-9A00-38CB758794B7}">
      <text>
        <r>
          <rPr>
            <b/>
            <sz val="8"/>
            <color indexed="81"/>
            <rFont val="Tahoma"/>
            <family val="2"/>
          </rPr>
          <t>BANCOLOMBIA:</t>
        </r>
        <r>
          <rPr>
            <sz val="8"/>
            <color indexed="81"/>
            <rFont val="Tahoma"/>
            <family val="2"/>
          </rPr>
          <t xml:space="preserve">
Calle 10 3-57 oficina  303
tel 583 65 56</t>
        </r>
      </text>
    </comment>
    <comment ref="AH638" authorId="1" shapeId="0" xr:uid="{8D79BE60-F701-43C3-8FF8-A853E1A51BD0}">
      <text>
        <r>
          <rPr>
            <b/>
            <sz val="8"/>
            <color indexed="81"/>
            <rFont val="Tahoma"/>
            <family val="2"/>
          </rPr>
          <t>BANCOLOMBIA:</t>
        </r>
        <r>
          <rPr>
            <sz val="8"/>
            <color indexed="81"/>
            <rFont val="Tahoma"/>
            <family val="2"/>
          </rPr>
          <t xml:space="preserve">
Calle 10 3-57 oficina  303
tel 583 65 56</t>
        </r>
      </text>
    </comment>
    <comment ref="AH639" authorId="1" shapeId="0" xr:uid="{4F706529-8DFD-45FA-B7BC-F7CFF1B7D7F6}">
      <text>
        <r>
          <rPr>
            <b/>
            <sz val="8"/>
            <color indexed="81"/>
            <rFont val="Tahoma"/>
            <family val="2"/>
          </rPr>
          <t>BANCOLOMBIA:</t>
        </r>
        <r>
          <rPr>
            <sz val="8"/>
            <color indexed="81"/>
            <rFont val="Tahoma"/>
            <family val="2"/>
          </rPr>
          <t xml:space="preserve">
Calle 10 3-57 oficina  303
tel 583 65 56</t>
        </r>
      </text>
    </comment>
    <comment ref="AH640" authorId="1" shapeId="0" xr:uid="{F5378407-1564-4338-BE80-25E76686EC94}">
      <text>
        <r>
          <rPr>
            <b/>
            <sz val="8"/>
            <color indexed="81"/>
            <rFont val="Tahoma"/>
            <family val="2"/>
          </rPr>
          <t>BANCOLOMBIA:</t>
        </r>
        <r>
          <rPr>
            <sz val="8"/>
            <color indexed="81"/>
            <rFont val="Tahoma"/>
            <family val="2"/>
          </rPr>
          <t xml:space="preserve">
Calle 10 3-57 oficina  303
tel 583 65 56</t>
        </r>
      </text>
    </comment>
    <comment ref="AH641" authorId="1" shapeId="0" xr:uid="{ACA0C763-8828-4AF0-B9BC-3978DC6A1A39}">
      <text>
        <r>
          <rPr>
            <b/>
            <sz val="8"/>
            <color indexed="81"/>
            <rFont val="Tahoma"/>
            <family val="2"/>
          </rPr>
          <t>BANCOLOMBIA:</t>
        </r>
        <r>
          <rPr>
            <sz val="8"/>
            <color indexed="81"/>
            <rFont val="Tahoma"/>
            <family val="2"/>
          </rPr>
          <t xml:space="preserve">
Calle 10 3-57 oficina  303
tel 583 65 56</t>
        </r>
      </text>
    </comment>
    <comment ref="AH642" authorId="1" shapeId="0" xr:uid="{5F1A416E-F8B3-42B8-B329-4F2C3E45413C}">
      <text>
        <r>
          <rPr>
            <b/>
            <sz val="8"/>
            <color indexed="81"/>
            <rFont val="Tahoma"/>
            <family val="2"/>
          </rPr>
          <t>BANCOLOMBIA:</t>
        </r>
        <r>
          <rPr>
            <sz val="8"/>
            <color indexed="81"/>
            <rFont val="Tahoma"/>
            <family val="2"/>
          </rPr>
          <t xml:space="preserve">
Calle 10 3-57 oficina  303
tel 583 65 56</t>
        </r>
      </text>
    </comment>
    <comment ref="AH643" authorId="1" shapeId="0" xr:uid="{AB3FD5CC-C9FD-48BA-AA6C-475BF7FAA3C3}">
      <text>
        <r>
          <rPr>
            <b/>
            <sz val="8"/>
            <color indexed="81"/>
            <rFont val="Tahoma"/>
            <family val="2"/>
          </rPr>
          <t>BANCOLOMBIA:</t>
        </r>
        <r>
          <rPr>
            <sz val="8"/>
            <color indexed="81"/>
            <rFont val="Tahoma"/>
            <family val="2"/>
          </rPr>
          <t xml:space="preserve">
Calle 10 3-57 oficina  303
tel 583 65 56</t>
        </r>
      </text>
    </comment>
    <comment ref="AH662" authorId="1" shapeId="0" xr:uid="{1D38A63E-CEF8-4EE0-A7E1-075752C21254}">
      <text>
        <r>
          <rPr>
            <b/>
            <sz val="8"/>
            <color indexed="81"/>
            <rFont val="Tahoma"/>
            <family val="2"/>
          </rPr>
          <t>BANCOLOMBIA:</t>
        </r>
        <r>
          <rPr>
            <sz val="8"/>
            <color indexed="81"/>
            <rFont val="Tahoma"/>
            <family val="2"/>
          </rPr>
          <t xml:space="preserve">
Calle 146 N° 26-22 apartamento 131 tel 2590339 033 310 36 56 Bogotá</t>
        </r>
      </text>
    </comment>
    <comment ref="AB672" authorId="2" shapeId="0" xr:uid="{0D795657-97DA-48D1-8697-BA22400123B1}">
      <text>
        <r>
          <rPr>
            <b/>
            <sz val="8"/>
            <color indexed="81"/>
            <rFont val="Tahoma"/>
            <family val="2"/>
          </rPr>
          <t>BANCOLOMBIA S.A:</t>
        </r>
        <r>
          <rPr>
            <sz val="8"/>
            <color indexed="81"/>
            <rFont val="Tahoma"/>
            <family val="2"/>
          </rPr>
          <t xml:space="preserve">
Calle 28 4-26 ofician 206
Monteria
Fax 7827971
c.c. 958,559</t>
        </r>
      </text>
    </comment>
    <comment ref="AB673" authorId="2" shapeId="0" xr:uid="{EFEF7B33-8077-44EA-970C-D0B4A7954748}">
      <text>
        <r>
          <rPr>
            <b/>
            <sz val="8"/>
            <color indexed="81"/>
            <rFont val="Tahoma"/>
            <family val="2"/>
          </rPr>
          <t>BANCOLOMBIA S.A:</t>
        </r>
        <r>
          <rPr>
            <sz val="8"/>
            <color indexed="81"/>
            <rFont val="Tahoma"/>
            <family val="2"/>
          </rPr>
          <t xml:space="preserve">
Calle 28 4-26 ofician 206
Monteria
Fax 7827971
c.c. 958,559</t>
        </r>
      </text>
    </comment>
    <comment ref="AH673" authorId="2" shapeId="0" xr:uid="{3FE5BCA6-ACF2-454C-87D6-E707473471EE}">
      <text>
        <r>
          <rPr>
            <b/>
            <sz val="8"/>
            <color indexed="81"/>
            <rFont val="Tahoma"/>
            <family val="2"/>
          </rPr>
          <t>BANCOLOMBIA S.A:</t>
        </r>
        <r>
          <rPr>
            <sz val="8"/>
            <color indexed="81"/>
            <rFont val="Tahoma"/>
            <family val="2"/>
          </rPr>
          <t xml:space="preserve">
Cra 2 26-56 oficina 207 edificio centro linares
tel 7827586 monteria</t>
        </r>
      </text>
    </comment>
    <comment ref="AH675" authorId="0" shapeId="0" xr:uid="{92BF269C-35B9-487B-A425-8BFF24B0545A}">
      <text>
        <r>
          <rPr>
            <sz val="8"/>
            <color indexed="81"/>
            <rFont val="Tahoma"/>
            <family val="2"/>
          </rPr>
          <t>BANCOLOMBIA:
Cra 7 89-50 S401
Telefax 621 14 60
Celular 244 95 54</t>
        </r>
      </text>
    </comment>
    <comment ref="AH679" authorId="1" shapeId="0" xr:uid="{381C8500-3F5A-4909-9947-9E888B5ED1B4}">
      <text>
        <r>
          <rPr>
            <b/>
            <sz val="8"/>
            <color indexed="81"/>
            <rFont val="Tahoma"/>
            <family val="2"/>
          </rPr>
          <t>BANCOLOMBIA:</t>
        </r>
        <r>
          <rPr>
            <sz val="8"/>
            <color indexed="81"/>
            <rFont val="Tahoma"/>
            <family val="2"/>
          </rPr>
          <t xml:space="preserve">
Calle 25 4-181 tel 232246
</t>
        </r>
      </text>
    </comment>
    <comment ref="AB682" authorId="2" shapeId="0" xr:uid="{B29801AE-0ABE-4B0B-8FE6-A51BE1722150}">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683" authorId="0" shapeId="0" xr:uid="{C4FDEC4D-7C78-4362-9EC9-7CAA9B279686}">
      <text>
        <r>
          <rPr>
            <sz val="8"/>
            <color indexed="81"/>
            <rFont val="Tahoma"/>
            <family val="2"/>
          </rPr>
          <t>BANCOLOMBIA:
CALLE 11 No. 4 - 42 Of. 403 a 405
A.A. No. 1403
tel (2) 8802705 8961271 8880302 fax 8891487
celular5634251
e mail rojasara@avan.net</t>
        </r>
      </text>
    </comment>
    <comment ref="W690" authorId="2" shapeId="0" xr:uid="{C6E45EED-1521-4E50-A3DD-A882896C099C}">
      <text>
        <r>
          <rPr>
            <b/>
            <sz val="8"/>
            <color indexed="81"/>
            <rFont val="Tahoma"/>
            <family val="2"/>
          </rPr>
          <t>BANCOLOMBIA S.A:</t>
        </r>
        <r>
          <rPr>
            <sz val="8"/>
            <color indexed="81"/>
            <rFont val="Tahoma"/>
            <family val="2"/>
          </rPr>
          <t xml:space="preserve">
valor indemnización: $39,130,638
</t>
        </r>
      </text>
    </comment>
    <comment ref="AB690" authorId="2" shapeId="0" xr:uid="{20358462-1A7A-432F-BDB9-46131CC5F30C}">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693" authorId="2" shapeId="0" xr:uid="{25424FF0-99E4-466F-B4FD-5D2276D11CA3}">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H693" authorId="2" shapeId="0" xr:uid="{D31E121A-E65D-4DE8-BD29-4F3062B93378}">
      <text>
        <r>
          <rPr>
            <b/>
            <sz val="8"/>
            <color indexed="81"/>
            <rFont val="Tahoma"/>
            <family val="2"/>
          </rPr>
          <t>BANCOLOMBIA S.A:</t>
        </r>
        <r>
          <rPr>
            <sz val="8"/>
            <color indexed="81"/>
            <rFont val="Tahoma"/>
            <family val="2"/>
          </rPr>
          <t xml:space="preserve">
Carrera 49 50-58 Edificio San Fernando oficina 308 tel 511 45 92
</t>
        </r>
      </text>
    </comment>
    <comment ref="AB695" authorId="0" shapeId="0" xr:uid="{E02D492C-4B9A-452B-85C2-3621DD08A8A8}">
      <text>
        <r>
          <rPr>
            <sz val="8"/>
            <color indexed="81"/>
            <rFont val="Tahoma"/>
            <family val="2"/>
          </rPr>
          <t>BANCOLOMBIA:
CALLE 11 No. 4 - 42 Of. 403 a 405
A.A. No. 1403
tel (2) 8802705 8961271 8880302 fax 8891487
celular5634251
e mail rojasara@avan.net</t>
        </r>
      </text>
    </comment>
    <comment ref="AB700" authorId="2" shapeId="0" xr:uid="{E54A317B-211C-45D0-BC5B-DFF3B8A99DD7}">
      <text>
        <r>
          <rPr>
            <b/>
            <sz val="8"/>
            <color indexed="81"/>
            <rFont val="Tahoma"/>
            <family val="2"/>
          </rPr>
          <t>BANCOLOMBIA S.A:</t>
        </r>
        <r>
          <rPr>
            <sz val="8"/>
            <color indexed="81"/>
            <rFont val="Tahoma"/>
            <family val="2"/>
          </rPr>
          <t xml:space="preserve">
Calle 49 50-21 oficina 3303 Edificio del Café
2517232 2517069
3155054011</t>
        </r>
      </text>
    </comment>
    <comment ref="W703" authorId="2" shapeId="0" xr:uid="{BB875E9D-0B86-4E78-8E70-198289E5798D}">
      <text>
        <r>
          <rPr>
            <b/>
            <sz val="8"/>
            <color indexed="81"/>
            <rFont val="Tahoma"/>
            <family val="2"/>
          </rPr>
          <t>BANCOLOMBIA S.A:</t>
        </r>
        <r>
          <rPr>
            <sz val="8"/>
            <color indexed="81"/>
            <rFont val="Tahoma"/>
            <family val="2"/>
          </rPr>
          <t xml:space="preserve">
En caso de proferirse una sentencia adversa a las pretensiones del Banco, la entidad sería condenada al pago de las costas del proceso en primera y segunda instancia. De conformidad con el acuerdo 1887 de 2003, del Consejo Superior de la Judicatura, en primera instancia pueden liquidarse hasta por 5 salarios mínimos legales mensuales vigentes para la fecha en que eventualmente se tasaran las costas y en segunda instancia hasta por 2 salarios mínimos legales mensuales vigentes para la fecha en que eventualmente pudieran liquidarse las mismas. </t>
        </r>
      </text>
    </comment>
    <comment ref="AB706" authorId="0" shapeId="0" xr:uid="{17A2E926-EF4D-4BC0-A9BE-7F72352E3D1E}">
      <text>
        <r>
          <rPr>
            <sz val="8"/>
            <color indexed="81"/>
            <rFont val="Tahoma"/>
            <family val="2"/>
          </rPr>
          <t>BANCOLOMBIA:
CALLE 11 No. 4 - 42 Of. 403 a 405
A.A. No. 1403
tel (2) 8802705 8961271 8880302 fax 8891487
celular5634251
e mail rojasara@avan.net</t>
        </r>
      </text>
    </comment>
    <comment ref="AH706" authorId="1" shapeId="0" xr:uid="{11BB0EFB-8432-4D91-94F0-8D01FF278A67}">
      <text>
        <r>
          <rPr>
            <b/>
            <sz val="8"/>
            <color indexed="81"/>
            <rFont val="Tahoma"/>
            <family val="2"/>
          </rPr>
          <t>BANCOLOMBIA:</t>
        </r>
        <r>
          <rPr>
            <sz val="8"/>
            <color indexed="81"/>
            <rFont val="Tahoma"/>
            <family val="2"/>
          </rPr>
          <t xml:space="preserve">
Calle 9 4-50, of 206
Cali
</t>
        </r>
      </text>
    </comment>
    <comment ref="AB719" authorId="2" shapeId="0" xr:uid="{F984CBCC-BBD8-4FA3-956E-ED01B7BE20CB}">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724" authorId="2" shapeId="0" xr:uid="{A7F9BAE0-FB50-4A55-9C97-9F4B7F74EDAB}">
      <text>
        <r>
          <rPr>
            <b/>
            <sz val="8"/>
            <color indexed="81"/>
            <rFont val="Tahoma"/>
            <family val="2"/>
          </rPr>
          <t>BANCOLOMBIA S.A:</t>
        </r>
        <r>
          <rPr>
            <sz val="8"/>
            <color indexed="81"/>
            <rFont val="Tahoma"/>
            <family val="2"/>
          </rPr>
          <t xml:space="preserve">
Calle 28 4-26 ofician 206
Monteria
Fax 7827971
c.c. 958,559</t>
        </r>
      </text>
    </comment>
    <comment ref="AH724" authorId="2" shapeId="0" xr:uid="{F030D59F-631C-48AB-A734-7EAD381770B6}">
      <text>
        <r>
          <rPr>
            <b/>
            <sz val="8"/>
            <color indexed="81"/>
            <rFont val="Tahoma"/>
            <family val="2"/>
          </rPr>
          <t>BANCOLOMBIA S.A:</t>
        </r>
        <r>
          <rPr>
            <sz val="8"/>
            <color indexed="81"/>
            <rFont val="Tahoma"/>
            <family val="2"/>
          </rPr>
          <t xml:space="preserve">
Cra 2 26-56 oficina 207 edificio centro linares
tel 7827586 monteria</t>
        </r>
      </text>
    </comment>
    <comment ref="AH744" authorId="1" shapeId="0" xr:uid="{9B0BCAFA-C03A-4BFA-A6BE-8040605E7B84}">
      <text>
        <r>
          <rPr>
            <b/>
            <sz val="8"/>
            <color indexed="81"/>
            <rFont val="Tahoma"/>
            <family val="2"/>
          </rPr>
          <t>BANCOLOMBIA:</t>
        </r>
        <r>
          <rPr>
            <sz val="8"/>
            <color indexed="81"/>
            <rFont val="Tahoma"/>
            <family val="2"/>
          </rPr>
          <t xml:space="preserve">
Calle 19 3_50 oficina 1804
Bogotá</t>
        </r>
      </text>
    </comment>
    <comment ref="AB751" authorId="0" shapeId="0" xr:uid="{EE3E4D43-3235-4018-B2EB-45249B8284E5}">
      <text>
        <r>
          <rPr>
            <sz val="8"/>
            <color indexed="81"/>
            <rFont val="Tahoma"/>
            <family val="2"/>
          </rPr>
          <t>BANCOLOMBIA:
CALLE 11 No. 4 - 42 Of. 403 a 405
A.A. No. 1403
tel (2) 8802705 8961271 8880302 fax 8891487
celular5634251
e mail rojasara@avan.net</t>
        </r>
      </text>
    </comment>
    <comment ref="AB752" authorId="0" shapeId="0" xr:uid="{EAFD9E1F-0150-4767-B11C-D4D1DF98E169}">
      <text>
        <r>
          <rPr>
            <sz val="8"/>
            <color indexed="81"/>
            <rFont val="Tahoma"/>
            <family val="2"/>
          </rPr>
          <t>BANCOLOMBIA:
CALLE 11 No. 4 - 42 Of. 403 a 405
A.A. No. 1403
tel (2) 8802705 8961271 8880302 fax 8891487
celular5634251
e mail rojasara@avan.net</t>
        </r>
      </text>
    </comment>
    <comment ref="AB753" authorId="0" shapeId="0" xr:uid="{1EFDED52-27EA-458E-9E41-8F8276A009B2}">
      <text>
        <r>
          <rPr>
            <sz val="8"/>
            <color indexed="81"/>
            <rFont val="Tahoma"/>
            <family val="2"/>
          </rPr>
          <t>BANCOLOMBIA:
CALLE 11 No. 4 - 42 Of. 403 a 405
A.A. No. 1403
tel (2) 8802705 8961271 8880302 fax 8891487
celular5634251
e mail rojasara@avan.net</t>
        </r>
      </text>
    </comment>
    <comment ref="AB765" authorId="2" shapeId="0" xr:uid="{EF383374-0606-4568-968E-559EAFBBBBB1}">
      <text>
        <r>
          <rPr>
            <b/>
            <sz val="8"/>
            <color indexed="81"/>
            <rFont val="Tahoma"/>
            <family val="2"/>
          </rPr>
          <t>BANCOLOMBIA S.A:</t>
        </r>
        <r>
          <rPr>
            <sz val="8"/>
            <color indexed="81"/>
            <rFont val="Tahoma"/>
            <family val="2"/>
          </rPr>
          <t xml:space="preserve">
Calle 28 4-26 ofician 206
Monteria
Fax 7827971
c.c. 958,559</t>
        </r>
      </text>
    </comment>
    <comment ref="AH770" authorId="1" shapeId="0" xr:uid="{1D3347FF-253A-4B82-86B5-EF0575F73E06}">
      <text>
        <r>
          <rPr>
            <b/>
            <sz val="8"/>
            <color indexed="81"/>
            <rFont val="Tahoma"/>
            <family val="2"/>
          </rPr>
          <t>BANCOLOMBIA:</t>
        </r>
        <r>
          <rPr>
            <sz val="8"/>
            <color indexed="81"/>
            <rFont val="Tahoma"/>
            <family val="2"/>
          </rPr>
          <t xml:space="preserve">
Calle 146 N° 26-22 apartamento 131 tel 2590339 033 310 36 56 Bogotá</t>
        </r>
      </text>
    </comment>
    <comment ref="AB771" authorId="0" shapeId="0" xr:uid="{A4824A03-E096-4A87-ABBC-407E4D0CB608}">
      <text>
        <r>
          <rPr>
            <sz val="8"/>
            <color indexed="81"/>
            <rFont val="Tahoma"/>
            <family val="2"/>
          </rPr>
          <t>BANCOLOMBIA:
CALLE 11 No. 4 - 42 Of. 403 a 405
A.A. No. 1403
tel (2) 8802705 8961271 8880302 fax 8891487
celular5634251
e mail rojasara@avan.net</t>
        </r>
      </text>
    </comment>
    <comment ref="AB772" authorId="0" shapeId="0" xr:uid="{02283F5A-1A9B-48FA-A152-1DF1935464A5}">
      <text>
        <r>
          <rPr>
            <sz val="8"/>
            <color indexed="81"/>
            <rFont val="Tahoma"/>
            <family val="2"/>
          </rPr>
          <t>BANCOLOMBIA:
CALLE 11 No. 4 - 42 Of. 403 a 405
A.A. No. 1403
tel (2) 8802705 8961271 8880302 fax 8891487
celular5634251
e mail rojasara@avan.net</t>
        </r>
      </text>
    </comment>
    <comment ref="AB782" authorId="0" shapeId="0" xr:uid="{CF5D1295-ACF2-4D17-AC3C-4723B88C8492}">
      <text>
        <r>
          <rPr>
            <sz val="8"/>
            <color indexed="81"/>
            <rFont val="Tahoma"/>
            <family val="2"/>
          </rPr>
          <t>BANCOLOMBIA:
CALLE 11 No. 4 - 42 Of. 403 a 405
A.A. No. 1403
tel (2) 8802705 8961271 8880302 fax 8891487
celular5634251
e mail rojasara@avan.net</t>
        </r>
      </text>
    </comment>
    <comment ref="AH782" authorId="0" shapeId="0" xr:uid="{7683F2EC-B7F2-428E-B35A-2FA170FA6FAD}">
      <text>
        <r>
          <rPr>
            <sz val="8"/>
            <color indexed="81"/>
            <rFont val="Tahoma"/>
            <family val="2"/>
          </rPr>
          <t>BANCOLOMBIA:
Carrero 55 7 - 63
Barrio Nuevo Tequendama tel 513 26 40 cali</t>
        </r>
      </text>
    </comment>
    <comment ref="AB785" authorId="0" shapeId="0" xr:uid="{106DB45E-78AB-4AA1-8480-3F45005A4673}">
      <text>
        <r>
          <rPr>
            <sz val="8"/>
            <color indexed="81"/>
            <rFont val="Tahoma"/>
            <family val="2"/>
          </rPr>
          <t>BANCOLOMBIA:
CALLE 11 No. 4 - 42 Of. 403 a 405
A.A. No. 1403
tel (2) 8802705 8961271 8880302 fax 8891487
celular5634251
e mail rojasara@avan.net</t>
        </r>
      </text>
    </comment>
    <comment ref="AB786" authorId="0" shapeId="0" xr:uid="{64A00733-FC8F-4770-A944-2E21FCCDB610}">
      <text>
        <r>
          <rPr>
            <sz val="8"/>
            <color indexed="81"/>
            <rFont val="Tahoma"/>
            <family val="2"/>
          </rPr>
          <t>BANCOLOMBIA:
CALLE 11 No. 4 - 42 Of. 403 a 405
A.A. No. 1403
tel (2) 8802705 8961271 8880302 fax 8891487
celular5634251
e mail rojasara@avan.net</t>
        </r>
      </text>
    </comment>
    <comment ref="AB787" authorId="0" shapeId="0" xr:uid="{7393884B-110D-4F05-A93F-8AE207AFA6A6}">
      <text>
        <r>
          <rPr>
            <sz val="8"/>
            <color indexed="81"/>
            <rFont val="Tahoma"/>
            <family val="2"/>
          </rPr>
          <t>BANCOLOMBIA:
CALLE 11 No. 4 - 42 Of. 403 a 405
A.A. No. 1403
tel (2) 8802705 8961271 8880302 fax 8891487
celular5634251
e mail rojasara@avan.net</t>
        </r>
      </text>
    </comment>
    <comment ref="AB797" authorId="2" shapeId="0" xr:uid="{485DA64F-3499-4317-BA30-060C5F6D3E1D}">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H800" authorId="1" shapeId="0" xr:uid="{72CDAB8F-994D-4A83-85E2-8F601E472B98}">
      <text>
        <r>
          <rPr>
            <b/>
            <sz val="8"/>
            <color indexed="81"/>
            <rFont val="Tahoma"/>
            <family val="2"/>
          </rPr>
          <t>BANCOLOMBIA:</t>
        </r>
        <r>
          <rPr>
            <sz val="8"/>
            <color indexed="81"/>
            <rFont val="Tahoma"/>
            <family val="2"/>
          </rPr>
          <t xml:space="preserve">
Calle 11 N° 6 - 40
881 21 41 884 30 02
Ed Banco de Tequndama
Cali</t>
        </r>
      </text>
    </comment>
    <comment ref="AH807" authorId="1" shapeId="0" xr:uid="{5B488DF1-4FAC-475C-B03B-3BFBA12D70BC}">
      <text>
        <r>
          <rPr>
            <b/>
            <sz val="8"/>
            <color indexed="81"/>
            <rFont val="Tahoma"/>
            <family val="2"/>
          </rPr>
          <t>BANCOLOMBIA:</t>
        </r>
        <r>
          <rPr>
            <sz val="8"/>
            <color indexed="81"/>
            <rFont val="Tahoma"/>
            <family val="2"/>
          </rPr>
          <t xml:space="preserve">
Calle 25 4-181 tel 232246
</t>
        </r>
      </text>
    </comment>
    <comment ref="AB809" authorId="2" shapeId="0" xr:uid="{98FE7358-EC70-45EF-BAF2-53173B05C6CF}">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822" authorId="2" shapeId="0" xr:uid="{6BA5EC47-7225-4181-AF15-64E62E80019B}">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870" authorId="0" shapeId="0" xr:uid="{3E1B8618-9D9F-4EEF-848D-B3121D2BA09F}">
      <text>
        <r>
          <rPr>
            <sz val="8"/>
            <color indexed="81"/>
            <rFont val="Tahoma"/>
            <family val="2"/>
          </rPr>
          <t>BANCOLOMBIA:
CALLE 11 No. 4 - 42 Of. 403 a 405
A.A. No. 1403
tel (2) 8802705 8961271 8880302 fax 8891487
celular5634251
e mail rojasara@avan.net</t>
        </r>
      </text>
    </comment>
    <comment ref="AB872" authorId="2" shapeId="0" xr:uid="{00EA2B8D-B05A-45A5-8CB1-2E217DD8FB14}">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877" authorId="0" shapeId="0" xr:uid="{1A6BCFD1-3AA8-4DAA-B8C1-498F1949AD6E}">
      <text>
        <r>
          <rPr>
            <sz val="8"/>
            <color indexed="81"/>
            <rFont val="Tahoma"/>
            <family val="2"/>
          </rPr>
          <t>BANCOLOMBIA:
CALLE 11 No. 4 - 42 Of. 403 a 405
A.A. No. 1403
tel (2) 8802705 8961271 8880302 fax 8891487
celular5634251
e mail rojasara@avan.net</t>
        </r>
      </text>
    </comment>
    <comment ref="AB885" authorId="2" shapeId="0" xr:uid="{5A4082F0-648A-4F6D-973C-AC458D752B6B}">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H887" authorId="1" shapeId="0" xr:uid="{AA441D3F-9586-45B8-9DF2-23ADE0F1ED71}">
      <text>
        <r>
          <rPr>
            <b/>
            <sz val="8"/>
            <color indexed="81"/>
            <rFont val="Tahoma"/>
            <family val="2"/>
          </rPr>
          <t>BANCOLOMBIA:</t>
        </r>
        <r>
          <rPr>
            <sz val="8"/>
            <color indexed="81"/>
            <rFont val="Tahoma"/>
            <family val="2"/>
          </rPr>
          <t xml:space="preserve">
Calle 40 44-39 pios 4 oficina 4c
Barranquilla
</t>
        </r>
      </text>
    </comment>
    <comment ref="AB892" authorId="2" shapeId="0" xr:uid="{26293C3C-F494-4857-BFB2-714D527CFB0A}">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900" authorId="0" shapeId="0" xr:uid="{832C05AC-5CDC-4D21-BE8F-A3D8B0B64306}">
      <text>
        <r>
          <rPr>
            <sz val="8"/>
            <color indexed="81"/>
            <rFont val="Tahoma"/>
            <family val="2"/>
          </rPr>
          <t>BANCOLOMBIA:
CALLE 11 No. 4 - 42 Of. 403 a 405
A.A. No. 1403
tel (2) 8802705 8961271 8880302 fax 8891487
celular5634251
e mail rojasara@avan.net</t>
        </r>
      </text>
    </comment>
    <comment ref="AB911" authorId="0" shapeId="0" xr:uid="{E42190B5-0A4C-41B1-8FBC-428E35895261}">
      <text>
        <r>
          <rPr>
            <sz val="8"/>
            <color indexed="81"/>
            <rFont val="Tahoma"/>
            <family val="2"/>
          </rPr>
          <t>BANCOLOMBIA:
CALLE 11 No. 4 - 42 Of. 403 a 405
A.A. No. 1403
tel (2) 8802705 8961271 8880302 fax 8891487
celular5634251
e mail rojasara@avan.net</t>
        </r>
      </text>
    </comment>
    <comment ref="K921" authorId="2" shapeId="0" xr:uid="{E318C2C0-3207-4134-8B4B-770C822A102E}">
      <text>
        <r>
          <rPr>
            <b/>
            <sz val="8"/>
            <color indexed="81"/>
            <rFont val="Tahoma"/>
            <family val="2"/>
          </rPr>
          <t>BANCOLOMBIA S.A:</t>
        </r>
        <r>
          <rPr>
            <sz val="8"/>
            <color indexed="81"/>
            <rFont val="Tahoma"/>
            <family val="2"/>
          </rPr>
          <t xml:space="preserve">
Pago de $14800.000, mantenere condiciones del credito e vivienda, reintegro de interese de vivienda</t>
        </r>
      </text>
    </comment>
    <comment ref="AH921" authorId="2" shapeId="0" xr:uid="{5F60EA25-57AD-4ACA-B1C9-6B8D81EEF6E8}">
      <text>
        <r>
          <rPr>
            <b/>
            <sz val="8"/>
            <color indexed="81"/>
            <rFont val="Tahoma"/>
            <family val="2"/>
          </rPr>
          <t>BANCOLOMBIA S.A:</t>
        </r>
        <r>
          <rPr>
            <sz val="8"/>
            <color indexed="81"/>
            <rFont val="Tahoma"/>
            <family val="2"/>
          </rPr>
          <t xml:space="preserve">
Calle 40 N° 44-39 oficina 4C
Barranquilla</t>
        </r>
      </text>
    </comment>
    <comment ref="AH922" authorId="1" shapeId="0" xr:uid="{8A711093-B138-4C69-BC1F-9FDC1A5E4252}">
      <text>
        <r>
          <rPr>
            <b/>
            <sz val="8"/>
            <color indexed="81"/>
            <rFont val="Tahoma"/>
            <family val="2"/>
          </rPr>
          <t>BANCOLOMBIA:</t>
        </r>
        <r>
          <rPr>
            <sz val="8"/>
            <color indexed="81"/>
            <rFont val="Tahoma"/>
            <family val="2"/>
          </rPr>
          <t xml:space="preserve">
Edificio Mara, oficina 202, La Matuna 
tel 6642662
Cartagena</t>
        </r>
      </text>
    </comment>
    <comment ref="AB923" authorId="0" shapeId="0" xr:uid="{D05AE2C6-B2A9-4642-9940-371E9C9F2014}">
      <text>
        <r>
          <rPr>
            <sz val="8"/>
            <color indexed="81"/>
            <rFont val="Tahoma"/>
            <family val="2"/>
          </rPr>
          <t>BANCOLOMBIA:
CALLE 11 No. 4 - 42 Of. 403 a 405
A.A. No. 1403
tel (2) 8802705 8961271 8880302 fax 8891487
celular5634251
e mail rojasara@avan.net</t>
        </r>
      </text>
    </comment>
    <comment ref="AH923" authorId="0" shapeId="0" xr:uid="{9F86D578-57B0-4C8F-AF90-F4DE7BA5563E}">
      <text>
        <r>
          <rPr>
            <sz val="8"/>
            <color indexed="81"/>
            <rFont val="Tahoma"/>
            <family val="2"/>
          </rPr>
          <t>BANCOLOMBIA:
Carrero 55 7 - 63
Barrio Nuevo Tequendama tel 513 26 40 cali</t>
        </r>
      </text>
    </comment>
    <comment ref="AB925" authorId="2" shapeId="0" xr:uid="{A470009A-ABF1-4AD5-8DC5-8ED60AAC99BD}">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P927" authorId="2" shapeId="0" xr:uid="{D1C2D038-A168-4E94-96CA-86C78236C392}">
      <text>
        <r>
          <rPr>
            <b/>
            <sz val="8"/>
            <color indexed="81"/>
            <rFont val="Tahoma"/>
            <family val="2"/>
          </rPr>
          <t>BANCOLOMBIA S.A:</t>
        </r>
        <r>
          <rPr>
            <sz val="8"/>
            <color indexed="81"/>
            <rFont val="Tahoma"/>
            <family val="2"/>
          </rPr>
          <t xml:space="preserve">
se formuló demanda de reconvencion por cuanto la pension legalmente no era viable</t>
        </r>
      </text>
    </comment>
    <comment ref="P928" authorId="2" shapeId="0" xr:uid="{0C2F1EC8-54AC-4901-B837-207304719FBA}">
      <text>
        <r>
          <rPr>
            <b/>
            <sz val="8"/>
            <color indexed="81"/>
            <rFont val="Tahoma"/>
            <family val="2"/>
          </rPr>
          <t>BANCOLOMBIA S.A:</t>
        </r>
        <r>
          <rPr>
            <sz val="8"/>
            <color indexed="81"/>
            <rFont val="Tahoma"/>
            <family val="2"/>
          </rPr>
          <t xml:space="preserve">
se formuló demanda de reconvencion por cuanto la pension legalmente no era viable</t>
        </r>
      </text>
    </comment>
    <comment ref="P929" authorId="2" shapeId="0" xr:uid="{C71490E6-8C4E-4396-AB93-22D329668CAF}">
      <text>
        <r>
          <rPr>
            <b/>
            <sz val="8"/>
            <color indexed="81"/>
            <rFont val="Tahoma"/>
            <family val="2"/>
          </rPr>
          <t>BANCOLOMBIA S.A:</t>
        </r>
        <r>
          <rPr>
            <sz val="8"/>
            <color indexed="81"/>
            <rFont val="Tahoma"/>
            <family val="2"/>
          </rPr>
          <t xml:space="preserve">
se formuló demanda de reconvencion por cuanto la pension legalmente no era viable</t>
        </r>
      </text>
    </comment>
    <comment ref="P930" authorId="2" shapeId="0" xr:uid="{5BB45F54-3C0F-4DDA-8887-0CE7C757F1F0}">
      <text>
        <r>
          <rPr>
            <b/>
            <sz val="8"/>
            <color indexed="81"/>
            <rFont val="Tahoma"/>
            <family val="2"/>
          </rPr>
          <t>BANCOLOMBIA S.A:</t>
        </r>
        <r>
          <rPr>
            <sz val="8"/>
            <color indexed="81"/>
            <rFont val="Tahoma"/>
            <family val="2"/>
          </rPr>
          <t xml:space="preserve">
se formuló demanda de reconvencion por cuanto la pension legalmente no era viable</t>
        </r>
      </text>
    </comment>
    <comment ref="AH931" authorId="2" shapeId="0" xr:uid="{A5A2D7E8-6263-4E4E-A239-9D8D58E9C2CB}">
      <text>
        <r>
          <rPr>
            <b/>
            <sz val="8"/>
            <color indexed="81"/>
            <rFont val="Tahoma"/>
            <family val="2"/>
          </rPr>
          <t>BANCOLOMBIA S.A:</t>
        </r>
        <r>
          <rPr>
            <sz val="8"/>
            <color indexed="81"/>
            <rFont val="Tahoma"/>
            <family val="2"/>
          </rPr>
          <t xml:space="preserve">
</t>
        </r>
      </text>
    </comment>
    <comment ref="AB977" authorId="0" shapeId="0" xr:uid="{ACE577C5-6025-4A8E-B20E-9B03F82CBC04}">
      <text>
        <r>
          <rPr>
            <sz val="8"/>
            <color indexed="81"/>
            <rFont val="Tahoma"/>
            <family val="2"/>
          </rPr>
          <t>BANCOLOMBIA:
CALLE 11 No. 4 - 42 Of. 403 a 405
A.A. No. 1403
tel (2) 8802705 8961271 8880302 fax 8891487
celular5634251
e mail rojasara@avan.net</t>
        </r>
      </text>
    </comment>
    <comment ref="AB983" authorId="0" shapeId="0" xr:uid="{DA61274D-7C11-473E-92A2-8883146E5F05}">
      <text>
        <r>
          <rPr>
            <sz val="8"/>
            <color indexed="81"/>
            <rFont val="Tahoma"/>
            <family val="2"/>
          </rPr>
          <t>BANCOLOMBIA:
CALLE 11 No. 4 - 42 Of. 403 a 405
A.A. No. 1403
tel (2) 8802705 8961271 8880302 fax 8891487
celular5634251
e mail rojasara@avan.net</t>
        </r>
      </text>
    </comment>
    <comment ref="AB987" authorId="0" shapeId="0" xr:uid="{BF93E438-4694-4A71-B498-F165A468BF82}">
      <text>
        <r>
          <rPr>
            <sz val="8"/>
            <color indexed="81"/>
            <rFont val="Tahoma"/>
            <family val="2"/>
          </rPr>
          <t>BANCOLOMBIA:
CALLE 11 No. 4 - 42 Of. 403 a 405
A.A. No. 1403
tel (2) 8802705 8961271 8880302 fax 8891487
celular5634251
e mail rojasara@avan.net</t>
        </r>
      </text>
    </comment>
    <comment ref="AH997" authorId="1" shapeId="0" xr:uid="{BAA738B9-E2E3-4707-B45B-CEE0F6978D79}">
      <text>
        <r>
          <rPr>
            <b/>
            <sz val="8"/>
            <color indexed="81"/>
            <rFont val="Tahoma"/>
            <family val="2"/>
          </rPr>
          <t>BANCOLOMBIA:</t>
        </r>
        <r>
          <rPr>
            <sz val="8"/>
            <color indexed="81"/>
            <rFont val="Tahoma"/>
            <family val="2"/>
          </rPr>
          <t xml:space="preserve">
Calle 25 4-181 tel 232246
</t>
        </r>
      </text>
    </comment>
    <comment ref="AB1001" authorId="0" shapeId="0" xr:uid="{A053FF2D-C3DD-4B90-B8F3-FFB7ABCF3893}">
      <text>
        <r>
          <rPr>
            <sz val="8"/>
            <color indexed="81"/>
            <rFont val="Tahoma"/>
            <family val="2"/>
          </rPr>
          <t>BANCOLOMBIA:
CALLE 11 No. 4 - 42 Of. 403 a 405
A.A. No. 1403
tel (2) 8802705 8961271 8880302 fax 8891487
celular5634251
e mail rojasara@avan.net</t>
        </r>
      </text>
    </comment>
    <comment ref="AB1002" authorId="0" shapeId="0" xr:uid="{C1FA53E8-A94A-4D5E-BB45-A97ACE1E214F}">
      <text>
        <r>
          <rPr>
            <sz val="8"/>
            <color indexed="81"/>
            <rFont val="Tahoma"/>
            <family val="2"/>
          </rPr>
          <t>BANCOLOMBIA:
CALLE 11 No. 4 - 42 Of. 403 a 405
A.A. No. 1403
tel (2) 8802705 8961271 8880302 fax 8891487
celular5634251
e mail rojasara@avan.net</t>
        </r>
      </text>
    </comment>
    <comment ref="AB1004" authorId="0" shapeId="0" xr:uid="{EAE2ADEF-C4AD-47B0-B591-540B99E2174B}">
      <text>
        <r>
          <rPr>
            <sz val="8"/>
            <color indexed="81"/>
            <rFont val="Tahoma"/>
            <family val="2"/>
          </rPr>
          <t>BANCOLOMBIA:
CALLE 11 No. 4 - 42 Of. 403 a 405
A.A. No. 1403
tel (2) 8802705 8961271 8880302 fax 8891487
celular5634251
e mail rojasara@avan.net</t>
        </r>
      </text>
    </comment>
    <comment ref="AH1006" authorId="1" shapeId="0" xr:uid="{4792A099-15FF-4513-9A7C-61C39E4597A7}">
      <text>
        <r>
          <rPr>
            <b/>
            <sz val="8"/>
            <color indexed="81"/>
            <rFont val="Tahoma"/>
            <family val="2"/>
          </rPr>
          <t>BANCOLOMBIA:</t>
        </r>
        <r>
          <rPr>
            <sz val="8"/>
            <color indexed="81"/>
            <rFont val="Tahoma"/>
            <family val="2"/>
          </rPr>
          <t xml:space="preserve">
Calle 25 4-181 tel 232246
</t>
        </r>
      </text>
    </comment>
    <comment ref="AB1010" authorId="2" shapeId="0" xr:uid="{C5443D68-D44B-4215-B9EC-892022E54229}">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1015" authorId="2" shapeId="0" xr:uid="{B0A51804-2A6C-44B4-8EFA-0C18C806815A}">
      <text>
        <r>
          <rPr>
            <b/>
            <sz val="8"/>
            <color indexed="81"/>
            <rFont val="Tahoma"/>
            <family val="2"/>
          </rPr>
          <t>BANCOLOMBIA S.A:</t>
        </r>
        <r>
          <rPr>
            <sz val="8"/>
            <color indexed="81"/>
            <rFont val="Tahoma"/>
            <family val="2"/>
          </rPr>
          <t xml:space="preserve">
Carrera 43A  No. 1- 85 Of. 509 Ed. Banco Caja Social Av. El Poblado Tel 311 21 23 
jael@epm.net.co</t>
        </r>
      </text>
    </comment>
    <comment ref="AB1018" authorId="2" shapeId="0" xr:uid="{9F47EF7B-74C7-4DE5-B84E-30205B18532E}">
      <text>
        <r>
          <rPr>
            <b/>
            <sz val="8"/>
            <color indexed="81"/>
            <rFont val="Tahoma"/>
            <family val="2"/>
          </rPr>
          <t>BANCOLOMBIA S.A:</t>
        </r>
        <r>
          <rPr>
            <sz val="8"/>
            <color indexed="81"/>
            <rFont val="Tahoma"/>
            <family val="2"/>
          </rPr>
          <t xml:space="preserve">
Calle 28 4-26 ofician 206
Monteria
Fax 7827971
c.c. 958,559</t>
        </r>
      </text>
    </comment>
    <comment ref="AB1036" authorId="2" shapeId="0" xr:uid="{5008188E-1FB9-46B2-9480-0D8C2CCE4084}">
      <text>
        <r>
          <rPr>
            <b/>
            <sz val="8"/>
            <color indexed="81"/>
            <rFont val="Tahoma"/>
            <family val="2"/>
          </rPr>
          <t>BANCOLOMBIA S.A:</t>
        </r>
        <r>
          <rPr>
            <sz val="8"/>
            <color indexed="81"/>
            <rFont val="Tahoma"/>
            <family val="2"/>
          </rPr>
          <t xml:space="preserve">
Calle 28 4-26 ofician 206
Monteria
Fax 7827971
c.c. 958,559</t>
        </r>
      </text>
    </comment>
    <comment ref="AB1038" authorId="2" shapeId="0" xr:uid="{971F682B-0568-4789-97C2-CC1B77C5B0CE}">
      <text>
        <r>
          <rPr>
            <b/>
            <sz val="8"/>
            <color indexed="81"/>
            <rFont val="Tahoma"/>
            <family val="2"/>
          </rPr>
          <t>BANCOLOMBIA S.A:</t>
        </r>
        <r>
          <rPr>
            <sz val="8"/>
            <color indexed="81"/>
            <rFont val="Tahoma"/>
            <family val="2"/>
          </rPr>
          <t xml:space="preserve">
Calle 28 4-26 ofician 206
Monteria
Fax 7827971
c.c. 958,559</t>
        </r>
      </text>
    </comment>
    <comment ref="AB1041" authorId="0" shapeId="0" xr:uid="{A9DE58FD-1AD9-4B02-990F-0B9F574DF5C8}">
      <text>
        <r>
          <rPr>
            <sz val="8"/>
            <color indexed="81"/>
            <rFont val="Tahoma"/>
            <family val="2"/>
          </rPr>
          <t>BANCOLOMBIA:
CALLE 11 No. 4 - 42 Of. 403 a 405
A.A. No. 1403
tel (2) 8802705 8961271 8880302 fax 8891487
celular5634251
e mail rojasara@avan.net</t>
        </r>
      </text>
    </comment>
    <comment ref="AB1042" authorId="0" shapeId="0" xr:uid="{A67F11FF-0CAC-4669-B951-0175B7833689}">
      <text>
        <r>
          <rPr>
            <sz val="8"/>
            <color indexed="81"/>
            <rFont val="Tahoma"/>
            <family val="2"/>
          </rPr>
          <t>BANCOLOMBIA:
CALLE 11 No. 4 - 42 Of. 403 a 405
A.A. No. 1403
tel (2) 8802705 8961271 8880302 fax 8891487
celular5634251
e mail rojasara@avan.net</t>
        </r>
      </text>
    </comment>
    <comment ref="AB1047" authorId="0" shapeId="0" xr:uid="{CA441A53-B840-497A-AEC1-0E5886E48B54}">
      <text>
        <r>
          <rPr>
            <sz val="8"/>
            <color indexed="81"/>
            <rFont val="Tahoma"/>
            <family val="2"/>
          </rPr>
          <t>BANCOLOMBIA:
CALLE 11 No. 4 - 42 Of. 403 a 405
A.A. No. 1403
tel (2) 8802705 8961271 8880302 fax 8891487
celular5634251
e mail rojasara@avan.net</t>
        </r>
      </text>
    </comment>
    <comment ref="AB1060" authorId="0" shapeId="0" xr:uid="{8095A765-7D7E-4EC4-8995-A5634A95F797}">
      <text>
        <r>
          <rPr>
            <sz val="8"/>
            <color indexed="81"/>
            <rFont val="Tahoma"/>
            <family val="2"/>
          </rPr>
          <t>BANCOLOMBIA:
CALLE 11 No. 4 - 42 Of. 403 a 405
A.A. No. 1403
tel (2) 8802705 8961271 8880302 fax 8891487
celular5634251
e mail rojasara@avan.net</t>
        </r>
      </text>
    </comment>
    <comment ref="AB1061" authorId="0" shapeId="0" xr:uid="{73E1B505-05D6-421D-B62D-62A807825504}">
      <text>
        <r>
          <rPr>
            <sz val="8"/>
            <color indexed="81"/>
            <rFont val="Tahoma"/>
            <family val="2"/>
          </rPr>
          <t>BANCOLOMBIA:
CALLE 11 No. 4 - 42 Of. 403 a 405
A.A. No. 1403
tel (2) 8802705 8961271 8880302 fax 8891487
celular5634251
e mail rojasara@avan.net</t>
        </r>
      </text>
    </comment>
    <comment ref="AB1075" authorId="0" shapeId="0" xr:uid="{3DE366BF-D39A-4A03-8283-4DACF3A3EABC}">
      <text>
        <r>
          <rPr>
            <sz val="8"/>
            <color indexed="81"/>
            <rFont val="Tahoma"/>
            <family val="2"/>
          </rPr>
          <t>BANCOLOMBIA:
CALLE 11 No. 4 - 42 Of. 403 a 405
A.A. No. 1403
tel (2) 8802705 8961271 8880302 fax 8891487
celular5634251
e mail rojasara@avan.net</t>
        </r>
      </text>
    </comment>
    <comment ref="AB1077" authorId="0" shapeId="0" xr:uid="{6C6DAA20-BD4B-4F67-B9E9-A6D4FA4B97D0}">
      <text>
        <r>
          <rPr>
            <sz val="8"/>
            <color indexed="81"/>
            <rFont val="Tahoma"/>
            <family val="2"/>
          </rPr>
          <t>BANCOLOMBIA:
CALLE 11 No. 4 - 42 Of. 403 a 405
A.A. No. 1403
tel (2) 8802705 8961271 8880302 fax 8891487
celular5634251
e mail rojasara@avan.net</t>
        </r>
      </text>
    </comment>
    <comment ref="AB1079" authorId="0" shapeId="0" xr:uid="{B9753213-6E52-4C5A-BE6F-45E16D5B00A8}">
      <text>
        <r>
          <rPr>
            <sz val="8"/>
            <color indexed="81"/>
            <rFont val="Tahoma"/>
            <family val="2"/>
          </rPr>
          <t>BANCOLOMBIA:
CALLE 11 No. 4 - 42 Of. 403 a 405
A.A. No. 1403
tel (2) 8802705 8961271 8880302 fax 8891487
celular5634251
e mail rojasara@avan.net</t>
        </r>
      </text>
    </comment>
    <comment ref="AB1083" authorId="0" shapeId="0" xr:uid="{0DDCF7FB-0D27-4910-8FDE-965AA749EC2F}">
      <text>
        <r>
          <rPr>
            <sz val="8"/>
            <color indexed="81"/>
            <rFont val="Tahoma"/>
            <family val="2"/>
          </rPr>
          <t>BANCOLOMBIA:
CALLE 11 No. 4 - 42 Of. 403 a 405
A.A. No. 1403
tel (2) 8802705 8961271 8880302 fax 8891487
celular5634251
e mail rojasara@avan.net</t>
        </r>
      </text>
    </comment>
    <comment ref="AB1089" authorId="0" shapeId="0" xr:uid="{085EE069-72E4-4C02-9D12-48F110E70C81}">
      <text>
        <r>
          <rPr>
            <sz val="8"/>
            <color indexed="81"/>
            <rFont val="Tahoma"/>
            <family val="2"/>
          </rPr>
          <t>BANCOLOMBIA:
CALLE 11 No. 4 - 42 Of. 403 a 405
A.A. No. 1403
tel (2) 8802705 8961271 8880302 fax 8891487
celular5634251
e mail rojasara@avan.net</t>
        </r>
      </text>
    </comment>
    <comment ref="AB1116" authorId="0" shapeId="0" xr:uid="{5433AF46-2FC5-41A0-A3A6-960687AB741F}">
      <text>
        <r>
          <rPr>
            <sz val="8"/>
            <color indexed="81"/>
            <rFont val="Tahoma"/>
            <family val="2"/>
          </rPr>
          <t>BANCOLOMBIA:
CALLE 11 No. 4 - 42 Of. 403 a 405
A.A. No. 1403
tel (2) 8802705 8961271 8880302 fax 8891487
celular5634251
e mail rojasara@avan.net</t>
        </r>
      </text>
    </comment>
    <comment ref="AB1129" authorId="2" shapeId="0" xr:uid="{8FCED448-8ACA-401C-8B9F-00881947A2FD}">
      <text>
        <r>
          <rPr>
            <b/>
            <sz val="8"/>
            <color indexed="81"/>
            <rFont val="Tahoma"/>
            <family val="2"/>
          </rPr>
          <t>BANCOLOMBIA S.A:</t>
        </r>
        <r>
          <rPr>
            <sz val="8"/>
            <color indexed="81"/>
            <rFont val="Tahoma"/>
            <family val="2"/>
          </rPr>
          <t xml:space="preserve">
Calle 28 4-26 ofician 206
Monteria
Fax 7827971
c.c. 958,559</t>
        </r>
      </text>
    </comment>
    <comment ref="AB1145" authorId="2" shapeId="0" xr:uid="{A6D8CE1D-F70F-45FF-82C8-51B64A3D5CB8}">
      <text>
        <r>
          <rPr>
            <b/>
            <sz val="8"/>
            <color indexed="81"/>
            <rFont val="Tahoma"/>
            <family val="2"/>
          </rPr>
          <t>BANCOLOMBIA S.A:</t>
        </r>
        <r>
          <rPr>
            <sz val="8"/>
            <color indexed="81"/>
            <rFont val="Tahoma"/>
            <family val="2"/>
          </rPr>
          <t xml:space="preserve">
Calle 28 4-26 ofician 206
Monteria
Fax 7827971
c.c. 958,559</t>
        </r>
      </text>
    </comment>
    <comment ref="AB1152" authorId="0" shapeId="0" xr:uid="{1D5FF720-A0CE-4752-AD22-2F97E33C6A43}">
      <text>
        <r>
          <rPr>
            <sz val="8"/>
            <color indexed="81"/>
            <rFont val="Tahoma"/>
            <family val="2"/>
          </rPr>
          <t>BANCOLOMBIA:
CALLE 11 No. 4 - 42 Of. 403 a 405
A.A. No. 1403
tel (2) 8802705 8961271 8880302 fax 8891487
celular5634251
e mail rojasara@avan.net</t>
        </r>
      </text>
    </comment>
    <comment ref="AB1155" authorId="2" shapeId="0" xr:uid="{8AA80404-CDF4-4BD1-AF84-2B327266231A}">
      <text>
        <r>
          <rPr>
            <b/>
            <sz val="8"/>
            <color indexed="81"/>
            <rFont val="Tahoma"/>
            <family val="2"/>
          </rPr>
          <t>BANCOLOMBIA S.A:</t>
        </r>
        <r>
          <rPr>
            <sz val="8"/>
            <color indexed="81"/>
            <rFont val="Tahoma"/>
            <family val="2"/>
          </rPr>
          <t xml:space="preserve">  Tel. 435 3068  carrera 6a No. 15-80 Interios 642 Florencia</t>
        </r>
      </text>
    </comment>
    <comment ref="AB1157" authorId="2" shapeId="0" xr:uid="{C16B39E2-9E69-4BDF-BE0C-82D598588F7F}">
      <text>
        <r>
          <rPr>
            <b/>
            <sz val="8"/>
            <color indexed="81"/>
            <rFont val="Tahoma"/>
            <family val="2"/>
          </rPr>
          <t>BANCOLOMBIA S.A:</t>
        </r>
        <r>
          <rPr>
            <sz val="8"/>
            <color indexed="81"/>
            <rFont val="Tahoma"/>
            <family val="2"/>
          </rPr>
          <t xml:space="preserve">
Calle 28 4-26 ofician 206
Monteria
Fax 7827971
c.c. 958,559</t>
        </r>
      </text>
    </comment>
    <comment ref="AB1158" authorId="2" shapeId="0" xr:uid="{C5B17F9B-6884-4B91-9475-8BE4C4B33FE9}">
      <text>
        <r>
          <rPr>
            <b/>
            <sz val="8"/>
            <color indexed="81"/>
            <rFont val="Tahoma"/>
            <family val="2"/>
          </rPr>
          <t>BANCOLOMBIA S.A:</t>
        </r>
        <r>
          <rPr>
            <sz val="8"/>
            <color indexed="81"/>
            <rFont val="Tahoma"/>
            <family val="2"/>
          </rPr>
          <t xml:space="preserve">
Calle 28 4-26 ofician 206
Monteria
Fax 7827971
c.c. 958,559</t>
        </r>
      </text>
    </comment>
    <comment ref="J1168" authorId="4" shapeId="0" xr:uid="{1B94EF6E-1CE5-408C-9529-10F20B7FF373}">
      <text>
        <r>
          <rPr>
            <b/>
            <sz val="8"/>
            <color indexed="81"/>
            <rFont val="Tahoma"/>
            <family val="2"/>
          </rPr>
          <t>BANCOLOMBIA S.A:</t>
        </r>
        <r>
          <rPr>
            <sz val="8"/>
            <color indexed="81"/>
            <rFont val="Tahoma"/>
            <family val="2"/>
          </rPr>
          <t xml:space="preserve">
Diferencias por principio de igualdad, reliquidacion de acreencias, </t>
        </r>
      </text>
    </comment>
    <comment ref="AB1185" authorId="0" shapeId="0" xr:uid="{00C60383-20D1-4F56-B144-2E9E23E2FE0B}">
      <text>
        <r>
          <rPr>
            <sz val="8"/>
            <color indexed="81"/>
            <rFont val="Tahoma"/>
            <family val="2"/>
          </rPr>
          <t>BANCOLOMBIA:
CALLE 11 No. 4 - 42 Of. 403 a 405
A.A. No. 1403
tel (2) 8802705 8961271 8880302 fax 8891487
celular5634251
e mail rojasara@avan.net</t>
        </r>
      </text>
    </comment>
    <comment ref="Y1210" authorId="5" shapeId="0" xr:uid="{A52F0D31-0001-40FD-965B-38545C459E34}">
      <text>
        <r>
          <rPr>
            <b/>
            <sz val="9"/>
            <color indexed="81"/>
            <rFont val="Tahoma"/>
            <family val="2"/>
          </rPr>
          <t>BANCOLOMBIA S.A.:</t>
        </r>
        <r>
          <rPr>
            <sz val="9"/>
            <color indexed="81"/>
            <rFont val="Tahoma"/>
            <family val="2"/>
          </rPr>
          <t xml:space="preserve">
Provisión efectuada en abril/2015</t>
        </r>
      </text>
    </comment>
    <comment ref="Y1217" authorId="5" shapeId="0" xr:uid="{B8D25BB0-067F-4236-B3FE-B67FD6F63063}">
      <text>
        <r>
          <rPr>
            <b/>
            <sz val="10"/>
            <color indexed="81"/>
            <rFont val="Tahoma"/>
            <family val="2"/>
          </rPr>
          <t>BANCOLOMBIA S.A.:</t>
        </r>
        <r>
          <rPr>
            <sz val="10"/>
            <color indexed="81"/>
            <rFont val="Tahoma"/>
            <family val="2"/>
          </rPr>
          <t xml:space="preserve">
Provisionado en marzo/2015</t>
        </r>
      </text>
    </comment>
    <comment ref="X1240" authorId="6" shapeId="0" xr:uid="{09FDE163-0F79-45BE-B13C-808331B8C8AE}">
      <text>
        <r>
          <rPr>
            <b/>
            <sz val="9"/>
            <color indexed="81"/>
            <rFont val="Tahoma"/>
            <family val="2"/>
          </rPr>
          <t xml:space="preserve">Edcar Calle Pulgarin:hicieron un pago de 2.4 se pone aquí?
</t>
        </r>
      </text>
    </comment>
    <comment ref="AB1248" authorId="0" shapeId="0" xr:uid="{13A5615F-D3FD-4906-A3DC-948D60D77A54}">
      <text>
        <r>
          <rPr>
            <sz val="8"/>
            <color indexed="81"/>
            <rFont val="Tahoma"/>
            <family val="2"/>
          </rPr>
          <t>BANCOLOMBIA:
CALLE 11 No. 4 - 42 Of. 403 a 405
A.A. No. 1403
tel (2) 8802705 8961271 8880302 fax 8891487
celular5634251
e mail rojasara@avan.net</t>
        </r>
      </text>
    </comment>
    <comment ref="AB1260" authorId="0" shapeId="0" xr:uid="{2B4CA34A-60EA-46E7-ABDF-D942E6EE9221}">
      <text>
        <r>
          <rPr>
            <sz val="8"/>
            <color indexed="81"/>
            <rFont val="Tahoma"/>
            <family val="2"/>
          </rPr>
          <t>BANCOLOMBIA:
CALLE 11 No. 4 - 42 Of. 403 a 405
A.A. No. 1403
tel (2) 8802705 8961271 8880302 fax 8891487
celular5634251
e mail rojasara@avan.net</t>
        </r>
      </text>
    </comment>
    <comment ref="AB1272" authorId="0" shapeId="0" xr:uid="{045183DB-8596-4925-85AA-44D108F7C806}">
      <text>
        <r>
          <rPr>
            <sz val="8"/>
            <color indexed="81"/>
            <rFont val="Tahoma"/>
            <family val="2"/>
          </rPr>
          <t>BANCOLOMBIA:
CALLE 11 No. 4 - 42 Of. 403 a 405
A.A. No. 1403
tel (2) 8802705 8961271 8880302 fax 8891487
celular5634251
e mail rojasara@avan.net</t>
        </r>
      </text>
    </comment>
    <comment ref="AH1284" authorId="1" shapeId="0" xr:uid="{A60096D9-BBDA-42E8-9285-6A9C3522AA4A}">
      <text>
        <r>
          <rPr>
            <b/>
            <sz val="8"/>
            <color indexed="81"/>
            <rFont val="Tahoma"/>
            <family val="2"/>
          </rPr>
          <t>BANCOLOMBIA:</t>
        </r>
        <r>
          <rPr>
            <sz val="8"/>
            <color indexed="81"/>
            <rFont val="Tahoma"/>
            <family val="2"/>
          </rPr>
          <t xml:space="preserve">
Calle 40 N° 44 - 39
oficina 4c
</t>
        </r>
      </text>
    </comment>
    <comment ref="AB1313" authorId="2" shapeId="0" xr:uid="{8FF83748-7B96-422F-A830-92CCE22F0F57}">
      <text>
        <r>
          <rPr>
            <b/>
            <sz val="8"/>
            <color indexed="81"/>
            <rFont val="Tahoma"/>
            <family val="2"/>
          </rPr>
          <t>BANCOLOMBIA S.A:</t>
        </r>
        <r>
          <rPr>
            <sz val="8"/>
            <color indexed="81"/>
            <rFont val="Tahoma"/>
            <family val="2"/>
          </rPr>
          <t xml:space="preserve">  Tel. 435 3068  carrera 6a No. 15-80 Interios 642 Florencia</t>
        </r>
      </text>
    </comment>
    <comment ref="AB1332" authorId="0" shapeId="0" xr:uid="{99F08BC2-9452-4913-BFC2-D42FC443C4D5}">
      <text>
        <r>
          <rPr>
            <sz val="8"/>
            <color indexed="81"/>
            <rFont val="Tahoma"/>
            <family val="2"/>
          </rPr>
          <t>BANCOLOMBIA:
CALLE 11 No. 4 - 42 Of. 403 a 405
A.A. No. 1403
tel (2) 8802705 8961271 8880302 fax 8891487
celular5634251
e mail rojasara@avan.net</t>
        </r>
      </text>
    </comment>
    <comment ref="AB1339" authorId="0" shapeId="0" xr:uid="{CF6986B8-F743-4AE8-A6D8-528D16FCFF2F}">
      <text>
        <r>
          <rPr>
            <sz val="8"/>
            <color indexed="81"/>
            <rFont val="Tahoma"/>
            <family val="2"/>
          </rPr>
          <t>BANCOLOMBIA:
CALLE 11 No. 4 - 42 Of. 403 a 405
A.A. No. 1403
tel (2) 8802705 8961271 8880302 fax 8891487
celular5634251
e mail rojasara@avan.net</t>
        </r>
      </text>
    </comment>
    <comment ref="AB1387" authorId="0" shapeId="0" xr:uid="{E5935683-4D1A-42BD-B619-98B7C3E11E47}">
      <text>
        <r>
          <rPr>
            <sz val="8"/>
            <color indexed="81"/>
            <rFont val="Tahoma"/>
            <family val="2"/>
          </rPr>
          <t>BANCOLOMBIA:
CALLE 11 No. 4 - 42 Of. 403 a 405
A.A. No. 1403
tel (2) 8802705 8961271 8880302 fax 8891487
celular5634251
e mail rojasara@avan.net</t>
        </r>
      </text>
    </comment>
    <comment ref="K1393" authorId="2" shapeId="0" xr:uid="{A4D6285C-9B22-42B8-B466-5843C3B5E0EC}">
      <text>
        <r>
          <rPr>
            <b/>
            <sz val="8"/>
            <color indexed="81"/>
            <rFont val="Tahoma"/>
            <family val="2"/>
          </rPr>
          <t>BANCOLOMBIA S.A:</t>
        </r>
        <r>
          <rPr>
            <sz val="8"/>
            <color indexed="81"/>
            <rFont val="Tahoma"/>
            <family val="2"/>
          </rPr>
          <t xml:space="preserve">
Diferencias por principio de igualdad, reliquidacion de acreencias, </t>
        </r>
      </text>
    </comment>
    <comment ref="AB1405" authorId="0" shapeId="0" xr:uid="{49117DDE-6760-4706-BE0B-AF09AD00C0D0}">
      <text>
        <r>
          <rPr>
            <sz val="8"/>
            <color indexed="81"/>
            <rFont val="Tahoma"/>
            <family val="2"/>
          </rPr>
          <t>BANCOLOMBIA:
CALLE 11 No. 4 - 42 Of. 403 a 405
A.A. No. 1403
tel (2) 8802705 8961271 8880302 fax 8891487
celular5634251
e mail rojasara@avan.net</t>
        </r>
      </text>
    </comment>
    <comment ref="AB1418" authorId="2" shapeId="0" xr:uid="{97E200D2-304B-4A89-9B3C-66D5E57C51F4}">
      <text>
        <r>
          <rPr>
            <b/>
            <sz val="8"/>
            <color indexed="81"/>
            <rFont val="Tahoma"/>
            <family val="2"/>
          </rPr>
          <t>BANCOLOMBIA S.A:</t>
        </r>
        <r>
          <rPr>
            <sz val="8"/>
            <color indexed="81"/>
            <rFont val="Tahoma"/>
            <family val="2"/>
          </rPr>
          <t xml:space="preserve">  Tel. 435 3068  carrera 6a No. 15-80 Interios 642 Florencia</t>
        </r>
      </text>
    </comment>
    <comment ref="AB1444" authorId="0" shapeId="0" xr:uid="{5BC6452E-8066-4D9D-84AF-FE6D2CDE05B0}">
      <text>
        <r>
          <rPr>
            <sz val="8"/>
            <color indexed="81"/>
            <rFont val="Tahoma"/>
            <family val="2"/>
          </rPr>
          <t>BANCOLOMBIA:
CALLE 11 No. 4 - 42 Of. 403 a 405
A.A. No. 1403
tel (2) 8802705 8961271 8880302 fax 8891487
celular5634251
e mail rojasara@avan.net</t>
        </r>
      </text>
    </comment>
    <comment ref="W1445" authorId="7" shapeId="0" xr:uid="{FBB8619C-2FB4-4CBE-9BC6-A27476E0A01C}">
      <text>
        <r>
          <rPr>
            <b/>
            <sz val="10"/>
            <color indexed="81"/>
            <rFont val="Tahoma"/>
            <family val="2"/>
          </rPr>
          <t>ecalle:Se actualiza en el mes de mayo la pretensión por fallo de primera instancia.$1000</t>
        </r>
        <r>
          <rPr>
            <sz val="10"/>
            <color indexed="81"/>
            <rFont val="Tahoma"/>
            <family val="2"/>
          </rPr>
          <t xml:space="preserve">
</t>
        </r>
      </text>
    </comment>
    <comment ref="AB1596" authorId="0" shapeId="0" xr:uid="{428EF0C7-957C-4E93-A2D4-4D59F51F2ABC}">
      <text>
        <r>
          <rPr>
            <sz val="8"/>
            <color indexed="81"/>
            <rFont val="Tahoma"/>
            <family val="2"/>
          </rPr>
          <t>BANCOLOMBIA:
CALLE 11 No. 4 - 42 Of. 403 a 405
A.A. No. 1403
tel (2) 8802705 8961271 8880302 fax 8891487
celular5634251
e mail rojasara@avan.net</t>
        </r>
      </text>
    </comment>
    <comment ref="AB1619" authorId="2" shapeId="0" xr:uid="{D89952D4-7AA6-4C87-AAD9-8E636913CCD6}">
      <text>
        <r>
          <rPr>
            <b/>
            <sz val="8"/>
            <color indexed="81"/>
            <rFont val="Tahoma"/>
            <family val="2"/>
          </rPr>
          <t>BANCOLOMBIA S.A:</t>
        </r>
        <r>
          <rPr>
            <sz val="8"/>
            <color indexed="81"/>
            <rFont val="Tahoma"/>
            <family val="2"/>
          </rPr>
          <t xml:space="preserve">  Tel. 435 3068  carrera 6a No. 15-80 Interios 642 Florencia</t>
        </r>
      </text>
    </comment>
    <comment ref="AB1660" authorId="0" shapeId="0" xr:uid="{225E8B79-20B6-4E95-84AF-6A2A4EACAE86}">
      <text>
        <r>
          <rPr>
            <sz val="8"/>
            <color indexed="81"/>
            <rFont val="Tahoma"/>
            <family val="2"/>
          </rPr>
          <t>BANCOLOMBIA:
CALLE 11 No. 4 - 42 Of. 403 a 405
A.A. No. 1403
tel (2) 8802705 8961271 8880302 fax 8891487
celular5634251
e mail rojasara@avan.net</t>
        </r>
      </text>
    </comment>
  </commentList>
</comments>
</file>

<file path=xl/sharedStrings.xml><?xml version="1.0" encoding="utf-8"?>
<sst xmlns="http://schemas.openxmlformats.org/spreadsheetml/2006/main" count="27651" uniqueCount="6177">
  <si>
    <t>CIUDAD</t>
  </si>
  <si>
    <t>REGION</t>
  </si>
  <si>
    <t>AÑO DEMANDA</t>
  </si>
  <si>
    <t>RADICADO</t>
  </si>
  <si>
    <t>RADICADO CONSULTA</t>
  </si>
  <si>
    <t>RED</t>
  </si>
  <si>
    <t>TIPO RELACIÓN</t>
  </si>
  <si>
    <t>PRETENSIÓN</t>
  </si>
  <si>
    <t>MOTIVOS</t>
  </si>
  <si>
    <t>CLASE (posibilidad de pérdida)</t>
  </si>
  <si>
    <t>ESTADO ACTUAL</t>
  </si>
  <si>
    <t>PRIMERA INSTANCIA</t>
  </si>
  <si>
    <t>SEGUNDA INSTANCIA</t>
  </si>
  <si>
    <t>CASACIÓN</t>
  </si>
  <si>
    <t>Fecha Casación</t>
  </si>
  <si>
    <t>MONTO DE LA PROVISION (EN MILLONES) Años anteriores</t>
  </si>
  <si>
    <t>MONTO TOTAL DE LA PROVISIÓN</t>
  </si>
  <si>
    <t>FECHA ESTIMADA DE PAGO</t>
  </si>
  <si>
    <t>APODERADO BANCO</t>
  </si>
  <si>
    <t>TOTAL % PROVISIÓN</t>
  </si>
  <si>
    <t>APODERADO ACTOR</t>
  </si>
  <si>
    <t>OBSERVACIONES</t>
  </si>
  <si>
    <t>Ordinario</t>
  </si>
  <si>
    <t>Medellin</t>
  </si>
  <si>
    <t>Antioquia</t>
  </si>
  <si>
    <t>BIC</t>
  </si>
  <si>
    <t>Extrabajador</t>
  </si>
  <si>
    <t>TITULOS PENSIONALES - COTIZACIONES AL ISS</t>
  </si>
  <si>
    <t>Aunque el resultado es incierto, el riesgo se clasifica como eventual</t>
  </si>
  <si>
    <t xml:space="preserve">Cobertura ISS </t>
  </si>
  <si>
    <t>Se contestó la demanda</t>
  </si>
  <si>
    <t>Carlos Eduardo Ortiz</t>
  </si>
  <si>
    <t>Francisco Javier Herrera Sánchez</t>
  </si>
  <si>
    <t>Banco de Colombia</t>
  </si>
  <si>
    <t>Aunque el resultado es incierto, el riesgo se califica como probable.</t>
  </si>
  <si>
    <t>Desfavorable</t>
  </si>
  <si>
    <t>Juan Felipe Molina Alvarez</t>
  </si>
  <si>
    <t>Oscar Darío Ríos Ospina</t>
  </si>
  <si>
    <t>Bancolombia</t>
  </si>
  <si>
    <t>Apartadó</t>
  </si>
  <si>
    <t>El resultado es muy incierto y por tanto la probabilidad de fallo adverso es latente</t>
  </si>
  <si>
    <t>BENEFICIOS CONVENCIONALES</t>
  </si>
  <si>
    <t>Eventual</t>
  </si>
  <si>
    <t>Con Justa Causa</t>
  </si>
  <si>
    <t>Favorable</t>
  </si>
  <si>
    <t>Juan Manuel Dávila Suárez</t>
  </si>
  <si>
    <t>2022-00383</t>
  </si>
  <si>
    <t>05001310501320220038300-</t>
  </si>
  <si>
    <t>Ejecutivo que incurrió en malas practicas de vinculación de clientes.</t>
  </si>
  <si>
    <t>Humberto Jairo Jaramillo V.</t>
  </si>
  <si>
    <t>INDEMNIZACIÓN DSJC</t>
  </si>
  <si>
    <t>Facilitó apropiación indebida de recursos en Factoring</t>
  </si>
  <si>
    <t>Jose Roberto Herrera Vergara</t>
  </si>
  <si>
    <t>Juan Fernando Arbelaez Villada</t>
  </si>
  <si>
    <t>Carlos Esteban Gomez Duque</t>
  </si>
  <si>
    <t>INDEMNIZACIÓN, RELIQUIDACIÓN PRESTACIONES Y MORATORIA</t>
  </si>
  <si>
    <t>Aunque el resultado es incierto, el riesgo se califica como eventual.</t>
  </si>
  <si>
    <t>REINTEGRO - INDEMNIZACION DCJC</t>
  </si>
  <si>
    <t>Juan Carlos Zuluaga Z.</t>
  </si>
  <si>
    <t>Carlos Alberto Ballesteros Barón</t>
  </si>
  <si>
    <t>REINTEGRO - INDEMNIZACIÓN DCJC</t>
  </si>
  <si>
    <t>Solicita que se declare que el despido fue injusto y que se reintegre por razones de salud y subsidiario se le pague el valor de la indemanización</t>
  </si>
  <si>
    <t>2021-00154</t>
  </si>
  <si>
    <t>0050013105025202100154</t>
  </si>
  <si>
    <t>Solicita ineficacia del despido por no cumplir con la forma. Indemnización</t>
  </si>
  <si>
    <t>20 de Sept de 2022 fallo favorable de primera inst.Se contestó la demanda</t>
  </si>
  <si>
    <t>2017-00323</t>
  </si>
  <si>
    <t>Ninguna</t>
  </si>
  <si>
    <t>CONTRATO  REALIDAD</t>
  </si>
  <si>
    <t>Contrato Realidad</t>
  </si>
  <si>
    <t>REINTEGRO - INDEMNIZACION DSJC</t>
  </si>
  <si>
    <t>NIVELACION SALARIAL</t>
  </si>
  <si>
    <t>Aunque el resultado es incierto el riesgo se clasifica como eventual</t>
  </si>
  <si>
    <t>Nivelación Salarial</t>
  </si>
  <si>
    <t>Iván Darío Vélez Velásquez</t>
  </si>
  <si>
    <t xml:space="preserve">NULIDAD DE TRANSACCIÓN - MUTUO ACUERDO </t>
  </si>
  <si>
    <t>Nulidad Transacción</t>
  </si>
  <si>
    <t>PENSION DE SOBREVIVIENTES</t>
  </si>
  <si>
    <t>Pensión de Sobrevivencia</t>
  </si>
  <si>
    <t>David Santiago Gómez Pérez</t>
  </si>
  <si>
    <t>Conavi</t>
  </si>
  <si>
    <t>Trabajador</t>
  </si>
  <si>
    <t>Sin Justa Causa</t>
  </si>
  <si>
    <t>INDEMINZACIÓN DSJC</t>
  </si>
  <si>
    <t>2015-00365</t>
  </si>
  <si>
    <t>Aunque el resultado es incierto, el riesgo se clasifica como probable</t>
  </si>
  <si>
    <t>INDEMNIZACIÓN DSJC Y RELIQUIDACIÓN DE PRESTACIONES</t>
  </si>
  <si>
    <t>Aunque el resultado es incierto, el riesgo se reclasifica como probable.</t>
  </si>
  <si>
    <t>2018-00366</t>
  </si>
  <si>
    <t>05001310501120180036600</t>
  </si>
  <si>
    <t>La ddante. fue despedida cjc por haber solicitado préstamos de dinero a un cliente.</t>
  </si>
  <si>
    <t>Pendiente 1T . Se contesta la demanda el 25-04-2019. Notificada el 05-04-2019.</t>
  </si>
  <si>
    <t>Conciliación</t>
  </si>
  <si>
    <t>INDEMNIZACIÓN POR DSJC - RELIQUIDACIÓN</t>
  </si>
  <si>
    <t>Se pretende que la Justa Causa no existió y en su lugar se le pague la indemnización correspondiente</t>
  </si>
  <si>
    <t>2020-00249</t>
  </si>
  <si>
    <t>050013105021202000249-</t>
  </si>
  <si>
    <t>El 28-10-2020 se contesta la demanda</t>
  </si>
  <si>
    <t>Charles Chapman (Chapman &amp; Asociados)</t>
  </si>
  <si>
    <t>Casación</t>
  </si>
  <si>
    <t>RELIQUIDACIÓN PRESTACIONES SOCIALES - MORATORIA</t>
  </si>
  <si>
    <t>Aunque el resultado sigue siendo incierto, el riesgo se re clasifica como probable.</t>
  </si>
  <si>
    <t>REINTEGRO Y RELIQUIDACIÓN DE PRESTACIONES SOCIALES</t>
  </si>
  <si>
    <t>TITULO PENSIONAL - COTIZACIÓN AL ISS</t>
  </si>
  <si>
    <t>REINTEGRO - INDEMNIZACION</t>
  </si>
  <si>
    <t>Bogota</t>
  </si>
  <si>
    <t>2022-00393</t>
  </si>
  <si>
    <t>11001310504120220039300-</t>
  </si>
  <si>
    <t>La Dte como gestor comercial asignaba TC a clientes sin ser solicitadas</t>
  </si>
  <si>
    <t>Aunque el resultado es incierto, el riesgo se clasifica como probable.</t>
  </si>
  <si>
    <t>2020-0026</t>
  </si>
  <si>
    <t>INDEMNIZACION DSJC</t>
  </si>
  <si>
    <t>Arturo Silva Payoma</t>
  </si>
  <si>
    <t>REINTEGRO</t>
  </si>
  <si>
    <t>El dte solicita reintegro,por no agotar disciplinario y considerar que no existió justa causa</t>
  </si>
  <si>
    <t>2020 - 0099</t>
  </si>
  <si>
    <t>Zipaquira</t>
  </si>
  <si>
    <t>CONTRATO REALIDAD - DECARACION RELACION DE TRABAJO</t>
  </si>
  <si>
    <t>INDEXACION PRIMERA MESADA PENSIONAL</t>
  </si>
  <si>
    <t>Indexación Pensión</t>
  </si>
  <si>
    <t>Sandro Yesid Hernández Romero</t>
  </si>
  <si>
    <t>REINTEGRO FUERO SINDICAL</t>
  </si>
  <si>
    <t>Levantamiento Fuero Sindical</t>
  </si>
  <si>
    <t>Pablo Enrique Cárdenas Torres</t>
  </si>
  <si>
    <t>Reliquidación Pensión</t>
  </si>
  <si>
    <t>Henry Eduardo Torres Moreno</t>
  </si>
  <si>
    <t>Reliquidación Prestaciones con SVA- PGC</t>
  </si>
  <si>
    <t>ACCION DE REINTEGRO</t>
  </si>
  <si>
    <t>2019-00221</t>
  </si>
  <si>
    <t>11001410500220190022100-</t>
  </si>
  <si>
    <t>La ddte. fue despedida cjc por errores operativos y solicita indemnización por no agotar proceso disciplinario.</t>
  </si>
  <si>
    <t>El 16-10-2019 remitido a otro Despacho por competencia en razón de la cuantía toda vez que la demandante reformó la demanda y pretende el reintegro. 1T Conciliación el 16-10-2019 a las 10:30 am, decisión de excepciones previas, saneamiento, fijación del litigio y decreto de pruebas. El 15-08-2019 se notifica el Banco.</t>
  </si>
  <si>
    <t>Aunque el resultado es incierto, el riesgo pasa a eventual</t>
  </si>
  <si>
    <t>Aunque el resultado es incierto, el riesgo se reclasifica como probable</t>
  </si>
  <si>
    <t>INDEMNIZACION DSJC - MORATORIA</t>
  </si>
  <si>
    <t>INDEMNIZACION DSJC - RELIQUIDACION Y MORATORIA</t>
  </si>
  <si>
    <t>INDEMNIZACION DSJC, REINTEGRO DESCUENTOS, MORATORIA</t>
  </si>
  <si>
    <t>Aunque el resultado es incierto, el riesgo se reclasifica como probable por el resultado desfavorable en primera instancia.</t>
  </si>
  <si>
    <t>INDEMNIZACIÓN DSJC, RELIQUIDACIÓN FINAL Y SANCIÓN MORATORIA</t>
  </si>
  <si>
    <t>INDEMNIZACION DSJC, RELIQUIDACIONES, MORATORIA</t>
  </si>
  <si>
    <t>Especial</t>
  </si>
  <si>
    <t>FUERO SINDICAL</t>
  </si>
  <si>
    <t>Santa Marta</t>
  </si>
  <si>
    <t>Caribe</t>
  </si>
  <si>
    <t>Barranquilla</t>
  </si>
  <si>
    <t>Sincelejo</t>
  </si>
  <si>
    <t>Valledupar</t>
  </si>
  <si>
    <t>Carlos Valega Puello</t>
  </si>
  <si>
    <t>Cartagena</t>
  </si>
  <si>
    <t>2018-00453</t>
  </si>
  <si>
    <t>13001310500320180045300-</t>
  </si>
  <si>
    <t>La ddte. reclama semanas de cotizacion de 1979 a 1989 de su esposo para indemnizacion sustitutiva.</t>
  </si>
  <si>
    <t>El 01-11-2019 se da traslado del recurso. El 28-10-2019 se presenta recurso de reposición y en subsidio de apelación contra el Auto que admite la contestación, toda vez que  ordena la notificación de COLPENSIONES como llamado en garantía, sin embargo ya se encuentra vinculado al proceso. El 05-06-2019 se contesta la demanda. El 25-04-2019 se remite poder al Abogado Externo.</t>
  </si>
  <si>
    <t>Oscar Hernán Rivillas Zapata</t>
  </si>
  <si>
    <t xml:space="preserve">2017-00447 </t>
  </si>
  <si>
    <t>13001310500320170044700-</t>
  </si>
  <si>
    <t>El ddte. solicita cotizaciones de años 1967 y 1968 a la empresa CHEVRON PETROLEUM COMPANY; Juzgado vincula al Banco pero no existe reporte alguno de relacion laboral.</t>
  </si>
  <si>
    <t>1T Conciliación el 27-01-2020 a las 11:00 am, decisión de excepciones previas, saneamiento, fijación del litigio y decreto de pruebas. El 07-06-2019 se contesta la demanda. El 10-04-2019 vincula a BANCOLOMBIA.</t>
  </si>
  <si>
    <t>Alfonso Julio Peinado</t>
  </si>
  <si>
    <t>Monteria</t>
  </si>
  <si>
    <t xml:space="preserve">Ordinario </t>
  </si>
  <si>
    <t>Aunque el resultado sigue siendo incierto, el riesgo pasa a eventual</t>
  </si>
  <si>
    <t>JUBILACIÓN</t>
  </si>
  <si>
    <t>LEVANTAMIENTO DE FUERO SINDICAL</t>
  </si>
  <si>
    <t>1 Administrativo Oral de Descongestión</t>
  </si>
  <si>
    <t>2014-00403</t>
  </si>
  <si>
    <t>QUE SE DECLARARE LA NULIDAD DE LA RESOLUCIÓN No. GNR DE 305270 DEL 18 DE NOVIEMBRE DE 2013, EMITIDA POR COLPENSIONES, MEDIANTE LA CUAL SE NIEGA LA PENSIÓN DE SOBREVIVIENTE A LA ACCIONANTE. LA DEMANDANTE AFIRMA QUE SU EX ESPOSO (JAIRO GUSTAVO WILLS RUIZ) TRABAJO EN EL ANTIGUO BANCO INDUSTRIAL COLOMBIANO, Y NO EXISTEN EN LOS ARCHIVOS DEL BANCO EVIDENCIAS DE LA RELACIÓN LABORAL. POR LO ANTERIOR, NO EXISTEN SUMAS ADEUDADAS O PAGOS PENDIENTES A ESTE SEÑOR.</t>
  </si>
  <si>
    <t>El 13-08-2018 se presentan alegatos de conclusión. Se notificó por Aviso la demanda, y el Banco procedió a contestarla el 02 de Junio de 2015.</t>
  </si>
  <si>
    <t xml:space="preserve">Luis Alberto Acosta Vega </t>
  </si>
  <si>
    <t xml:space="preserve">PENSIÓN SANCIÓN </t>
  </si>
  <si>
    <t>Pensión Sanción</t>
  </si>
  <si>
    <t>Aunque el resultado es muy incierto el riesgo se clasifica como eventual</t>
  </si>
  <si>
    <t>Cienaga</t>
  </si>
  <si>
    <t>2017-00325</t>
  </si>
  <si>
    <t>13001310500720170032500</t>
  </si>
  <si>
    <t>Aunque el resultado es muy incierto el riesgo se reclasifica como probable por fallo desfavorable en 1a. instancia.</t>
  </si>
  <si>
    <t>El demandante fue desvinculado con justa causa, se desempeñaba como Cajero de la oficina Mall  Plaza de cartagena y se dió por terminado su contrato de trabajo el pasado 28-07-2015 a raíz de reclamación presentada por un cliente que aseguró le fue retirado dinero de su Fiducuenta por valor de $9'500.000, toda vez que él no reside en Cartagena, no estuvo presente en la oficina y fue suplantada su identidad al momento de efectuarse el retiro. El Cajero no cumplió con efectuar los trámites de validación y autenticación del cliente.</t>
  </si>
  <si>
    <t>Nueva fecha Audiencia de trámite y juzgamiento el 11-10-2019 a las 11:00 am. 2T el 15-08-2019 a las 2:00 pm, trámite y fallo. 1T Conciliación el 13-05-2019 a las 8:30 am, decisión de excepciones previas, saneamiento, fijación del litigio y decreto de pruebas. El 19-12-2018 devuelven contestación para subsanarla, vence término el 17-01-2019. El 31-01-2018 se contesta la demanda. El 17-01-2018 se notifica de la demanda.</t>
  </si>
  <si>
    <t>El dte solicita pago IDSJ por no agotar disciplinario previo al despido y bonificaciones como factor salarial</t>
  </si>
  <si>
    <t>Aunque el resultado es incierto, el riesgo se reclasifica como probable por el resultado parcialmente desfavorable.</t>
  </si>
  <si>
    <t>PRESTACIONES – SALARIOS</t>
  </si>
  <si>
    <t>1 Pequeñas Causas Laborales</t>
  </si>
  <si>
    <t>2017-00518</t>
  </si>
  <si>
    <t>47001410500120170051800</t>
  </si>
  <si>
    <t>REINTEGRO - CASO SALUD</t>
  </si>
  <si>
    <t xml:space="preserve">La ddante. fue despedida sjc el 01-03-2017 por motivos netamente administrativos, producto del cambio y ajuste de estructuras que se ha venido dando a nivel Nacional. La ddante. al momento del despido se encontraba laborando normalmente sin ningún tipo de inconveniente que limitara la ejecución de sus funciones, ni se encontraba incapacitada. </t>
  </si>
  <si>
    <t>Fija fecha para Aud. el 15-01-2019 a las 8:30 am. El 03-07-2018 decide no reponer el Auto  y en su lugar cita a las partes para el 30-10-2018 a las 8:30 am. El 07-06-2018 da traslado de recurso el cual vence el 13-06-2018. El 09-05-2018 se presentan recursos contra el Auto admisorio por falta de competencia. El 07-05-2018 fue notificado el Banco. El 24-01-2018 admite demanda.</t>
  </si>
  <si>
    <t xml:space="preserve">José Rafael de Andreis Mahecha </t>
  </si>
  <si>
    <t>Plato</t>
  </si>
  <si>
    <t>Ibague</t>
  </si>
  <si>
    <t>Centro</t>
  </si>
  <si>
    <t>Jubilado</t>
  </si>
  <si>
    <t>Carlos Fernando Pérez Cadena</t>
  </si>
  <si>
    <t>Neiva</t>
  </si>
  <si>
    <t>Adriana Lucía Barreto Corrales</t>
  </si>
  <si>
    <t>Girardot</t>
  </si>
  <si>
    <t>Unico</t>
  </si>
  <si>
    <t>Bucaramanga</t>
  </si>
  <si>
    <t>2019-00298</t>
  </si>
  <si>
    <t>Florencia</t>
  </si>
  <si>
    <t>Nelson Calderon Molina</t>
  </si>
  <si>
    <t>Oscar Vergel Canal</t>
  </si>
  <si>
    <t>Sogamoso</t>
  </si>
  <si>
    <t>2022-0172</t>
  </si>
  <si>
    <t>El Dte fue despedido por apropiarse de cheque y solicita reintegro</t>
  </si>
  <si>
    <t>08 AGOSTO 2022 SE RECIBE DDA Y ANEXOS</t>
  </si>
  <si>
    <t>Ricardo Aguilar Camacho</t>
  </si>
  <si>
    <t>CONTRATO REALIDAD</t>
  </si>
  <si>
    <t>Guamo</t>
  </si>
  <si>
    <t>Aunque el resultado es incierto, el riesgo se reclasifica como probable por el resultado parcial desfavorable.</t>
  </si>
  <si>
    <t>Humberto Salazar Casanova</t>
  </si>
  <si>
    <t>Villavicencio</t>
  </si>
  <si>
    <t>Aguachica</t>
  </si>
  <si>
    <t>Laboral  Circuito</t>
  </si>
  <si>
    <t>INDEMNIZACION DSJC - PERJUICIOS</t>
  </si>
  <si>
    <t>2017-00411</t>
  </si>
  <si>
    <t>73001310500620170041100-</t>
  </si>
  <si>
    <t>El trabajador prestó servicios en época sin cobertura del ISS y pide cálculo actuarial.</t>
  </si>
  <si>
    <t>Fecha fallo 2a. instancia el 30-10-2019 (Confirma condena). 2T el 22-01-2019 a las 9:00 am, trámite y juzgamiento. Reprograma 1T para el 28-11-2018 a las 9:00 am. 1T Conciliación el 13-11-2018 a las 9:00 am, decisión de excepciones previas, saneamiento, fijación del litigio y decreto de pruebas. El 01-03-2018 se remitió poder al Abogado.</t>
  </si>
  <si>
    <t>Ocaña</t>
  </si>
  <si>
    <t>Yopal</t>
  </si>
  <si>
    <t>Renuncia</t>
  </si>
  <si>
    <t>Duitama</t>
  </si>
  <si>
    <t>Velez</t>
  </si>
  <si>
    <t xml:space="preserve">Cali </t>
  </si>
  <si>
    <t>Sur</t>
  </si>
  <si>
    <t>Luis Felipe Arana Madriñan</t>
  </si>
  <si>
    <t>Cali</t>
  </si>
  <si>
    <t>Armenia</t>
  </si>
  <si>
    <t>Pereira</t>
  </si>
  <si>
    <t>León Arturo García De La Cruz</t>
  </si>
  <si>
    <t>Aunque el resultado es incierto, el riesgo se clasifica como Probable</t>
  </si>
  <si>
    <t>Jorge Eliecer Peña López</t>
  </si>
  <si>
    <t>Manizales</t>
  </si>
  <si>
    <t>2021-0510</t>
  </si>
  <si>
    <t>76001310500820210051000-</t>
  </si>
  <si>
    <t>Empleado Activo</t>
  </si>
  <si>
    <t>Solicita el reajuste en el pago de unas incapacidades</t>
  </si>
  <si>
    <t xml:space="preserve">30 MARZO 2022 SENTENCIA CONDENATORIA, SE APELA. 03 MARZO 2022 SE RADICA CONTESTACIÓN DDA. 16 FEB 2022 SE NOTIFICA LA DEMANDA. </t>
  </si>
  <si>
    <t>Sevilla</t>
  </si>
  <si>
    <t>Laboral</t>
  </si>
  <si>
    <t>Abel Camacho Mosquera</t>
  </si>
  <si>
    <t>Reconocimiento Pensión Banco</t>
  </si>
  <si>
    <t>2017-00821</t>
  </si>
  <si>
    <t>76001410500220170082100-</t>
  </si>
  <si>
    <t>Ismael Hurtado Cardozo</t>
  </si>
  <si>
    <t>Popayan</t>
  </si>
  <si>
    <t>Civil</t>
  </si>
  <si>
    <t>TIPO DE PROCESO</t>
  </si>
  <si>
    <t>JGO.</t>
  </si>
  <si>
    <t>PRESENTACIÓN DEMANDA</t>
  </si>
  <si>
    <t>MOTIVOS2</t>
  </si>
  <si>
    <t>DESCRPICIÓN HECHOS</t>
  </si>
  <si>
    <t>Fecha Fallo 1a. instancia</t>
  </si>
  <si>
    <t>Fecha Fallo 2a. instancia</t>
  </si>
  <si>
    <t>VALOR PRETENSIONES (EN $)</t>
  </si>
  <si>
    <t>MONTO DE LA PROVISION (EN MILLONES) 2017</t>
  </si>
  <si>
    <t>% PROVISIÓN Años anteriores</t>
  </si>
  <si>
    <t>% PROVISIÓN
2015</t>
  </si>
  <si>
    <t>HONORARIOS</t>
  </si>
  <si>
    <t>FOGAFIN</t>
  </si>
  <si>
    <t>INSTANCIA</t>
  </si>
  <si>
    <t>CAUSA</t>
  </si>
  <si>
    <t>VALLEDUPAR</t>
  </si>
  <si>
    <t>Colombia</t>
  </si>
  <si>
    <t>Abogado proceso civil</t>
  </si>
  <si>
    <t>Pago honorarios Procesos Laborales</t>
  </si>
  <si>
    <t>Conciliado</t>
  </si>
  <si>
    <t>Luis Augusto Gonzalez Pimienta</t>
  </si>
  <si>
    <t xml:space="preserve">En septiembre de 2006 se envió para el archivo:                • Memorial de desistimiento
• Resumen del proceso: 23/12/1996
• Presentación demanda: 17/10/1995
Continuación 4 de tramite: 05/03/1997
</t>
  </si>
  <si>
    <t>Reintegro, indemnización</t>
  </si>
  <si>
    <t>Conciliado 1999 08  - terminado</t>
  </si>
  <si>
    <t xml:space="preserve">pensión sanción, nulidad del despido ordenando, reintegro, </t>
  </si>
  <si>
    <t>Jairo Villegas Arbeláez</t>
  </si>
  <si>
    <t>Declaratoria nulidad despido</t>
  </si>
  <si>
    <t>Conciliado 1999 09 06  - autoriza Fogafin</t>
  </si>
  <si>
    <t>Reajuste y Compatibilidad de pensión</t>
  </si>
  <si>
    <t>Conciliado 2000</t>
  </si>
  <si>
    <t>Prestaciones y salarios</t>
  </si>
  <si>
    <t>Pide que las vacaciones e liquiden con el salario promedio</t>
  </si>
  <si>
    <t>Pensión de jubilación.</t>
  </si>
  <si>
    <t>Jubilado 1978, reconocimiento ISS 1991</t>
  </si>
  <si>
    <t xml:space="preserve">Favorable </t>
  </si>
  <si>
    <t>99 - 042</t>
  </si>
  <si>
    <t>Reajuste pensional y compatibildad de pensión, el banco compartió su pensión otorgada el 3 ag. 82</t>
  </si>
  <si>
    <t>bic</t>
  </si>
  <si>
    <t>Indemnización</t>
  </si>
  <si>
    <t>Conciliado 2000 04 24</t>
  </si>
  <si>
    <t>Luis Felipe Robles Palacio</t>
  </si>
  <si>
    <t>Indemnización despido injusto y extemporáneo.</t>
  </si>
  <si>
    <t>Conciliado 2000 06 27</t>
  </si>
  <si>
    <t>679 - 00</t>
  </si>
  <si>
    <t>Indemnizacion retencion</t>
  </si>
  <si>
    <t>Cajera, se retiró mediante conciliación,  el banco hizo descuentos por $1.437.500 d ela liquidacion por un faltante en caja, sin soporte</t>
  </si>
  <si>
    <t>Conciliado 2001</t>
  </si>
  <si>
    <t>Despido sin  justa causa, ajuste sueldo y prestac.</t>
  </si>
  <si>
    <t>Era gerente Barrios unidos, se despido en el 87 con 16 añs de servicio, no se pideon experticios dew cheques mal pagados</t>
  </si>
  <si>
    <t>Desfavorable 1993</t>
  </si>
  <si>
    <t>El banco desiste de casación</t>
  </si>
  <si>
    <t>RAD. 34.920 - 34771</t>
  </si>
  <si>
    <t>Desfavorable 1998</t>
  </si>
  <si>
    <t>???</t>
  </si>
  <si>
    <t>Pensión de Jubilación</t>
  </si>
  <si>
    <t>Desfavorable 1999</t>
  </si>
  <si>
    <t>No casa 26 ene 99</t>
  </si>
  <si>
    <t>Nestor Anzola</t>
  </si>
  <si>
    <t>PUERTO BOYACA</t>
  </si>
  <si>
    <t>CIVIL CIRCUITO</t>
  </si>
  <si>
    <t xml:space="preserve">Indemnización por despido indirecto, </t>
  </si>
  <si>
    <t>no</t>
  </si>
  <si>
    <t>SOGAMOSO</t>
  </si>
  <si>
    <t>Dotación Vestido calzado Labor</t>
  </si>
  <si>
    <t xml:space="preserve">Reintegro y pago de los salarios dejados  </t>
  </si>
  <si>
    <t>No se apeló</t>
  </si>
  <si>
    <t>Reajuste pensional</t>
  </si>
  <si>
    <t>Corretaje</t>
  </si>
  <si>
    <t>Reconocimiento rel laboral Pago Prestaciones Sociales</t>
  </si>
  <si>
    <t xml:space="preserve">Desfavorable 1999 </t>
  </si>
  <si>
    <t>Luciano Barrientos García</t>
  </si>
  <si>
    <t>Reajuste mesada adicional junio 94</t>
  </si>
  <si>
    <t>El Plato</t>
  </si>
  <si>
    <t>2 civil del circ</t>
  </si>
  <si>
    <t>Pensión de jubilación, a partir feb 19 95</t>
  </si>
  <si>
    <t>Reintegro.Indemnización por despisdo injusto, pensión sanción, reliquidación  prest.y salarios</t>
  </si>
  <si>
    <t>PALMIRA</t>
  </si>
  <si>
    <t>Indemnización despido s J.C.</t>
  </si>
  <si>
    <t>Reintegro, salarios dejados de percibir, pensión</t>
  </si>
  <si>
    <t>Pago de cheques sin visación y huella</t>
  </si>
  <si>
    <t>1999 08 04 Casa parcialmente</t>
  </si>
  <si>
    <t>Nivelación salarial</t>
  </si>
  <si>
    <t>Desfavorable 2000</t>
  </si>
  <si>
    <t xml:space="preserve">En septiembre de 2006 se envió para el archivo:                             • Audiencia de juzgamiento: 23/11/1998
• Audiencia pública: 21/06/2000 
• Liquidación: 28/07/2000
</t>
  </si>
  <si>
    <t>Reintegro. Salarios y prestaciones sociales, cotizaciones, indemnización subsidiariamente</t>
  </si>
  <si>
    <t>Dejo abierto el cofre de seguridad, dejó $127734 expuestos, presetó faltante en caja  de 1mm</t>
  </si>
  <si>
    <t>Desfavorable 2000 11 02</t>
  </si>
  <si>
    <t>RAD: 220  - 35578</t>
  </si>
  <si>
    <t>Reintegro, pensión jubilación</t>
  </si>
  <si>
    <t>obtuvo anticipo por $150.000 en Caicedonia sin aurorización</t>
  </si>
  <si>
    <t>Desfavorable 2000 05 26</t>
  </si>
  <si>
    <t>Se compara con Carlos Fernando salazar</t>
  </si>
  <si>
    <t>1 Promiscuo</t>
  </si>
  <si>
    <t>Indemnización por despido</t>
  </si>
  <si>
    <t>José Carlos Ramos Vives</t>
  </si>
  <si>
    <t xml:space="preserve">Indemnización por DSJC, </t>
  </si>
  <si>
    <t>Se le imputó mal pago de cheques</t>
  </si>
  <si>
    <t>Tumaco</t>
  </si>
  <si>
    <t>unico</t>
  </si>
  <si>
    <t>Indemnización por despido sin justa causa</t>
  </si>
  <si>
    <t>Despedida con justa causa, por habilitar el sistema y permitir indebidamente un pago - tenemos problemas de inmediatez</t>
  </si>
  <si>
    <t>Desfavorable 2001</t>
  </si>
  <si>
    <t xml:space="preserve">En septiembre de 2006 se envió para el archivo:
• Audiencia pública: 24/01/2001
• Liquidación de costas: 14/02/2001
• Traslado liquidación: 16/02/2001
</t>
  </si>
  <si>
    <t>Nulidad acta conciliación</t>
  </si>
  <si>
    <t>RAD. 20.867</t>
  </si>
  <si>
    <t>nulidad acta conciliación</t>
  </si>
  <si>
    <t>Pensión de invalidez por accidente que pretendia se declarara AT</t>
  </si>
  <si>
    <t>Isabel Pérez de C.</t>
  </si>
  <si>
    <t>CIVIL ÚNICO</t>
  </si>
  <si>
    <t>?</t>
  </si>
  <si>
    <t>Reintegro. Subsidiariamente: Indemnización</t>
  </si>
  <si>
    <t>Favorable 1996</t>
  </si>
  <si>
    <t>96 01 25</t>
  </si>
  <si>
    <t xml:space="preserve">Salarios dejados de percibir </t>
  </si>
  <si>
    <t>Fallo inhibitorio 12 julio 95</t>
  </si>
  <si>
    <t>No sabemos que pasó en la consulta</t>
  </si>
  <si>
    <t>Favorable 1997</t>
  </si>
  <si>
    <t>Favorable 1998</t>
  </si>
  <si>
    <t>Cotización al Seguro Social</t>
  </si>
  <si>
    <t>En septiembre de 2006 se envió para el archivo:              • Contestación demanda: 20/03/1997</t>
  </si>
  <si>
    <t>Pensión de jubilación</t>
  </si>
  <si>
    <t>??</t>
  </si>
  <si>
    <t>Declarado desierto</t>
  </si>
  <si>
    <t>Nulidad acta de conciliación</t>
  </si>
  <si>
    <t>RAD. 12.637 - 34267</t>
  </si>
  <si>
    <t>Reintegro, salarios caídos</t>
  </si>
  <si>
    <t>Pensión sancion</t>
  </si>
  <si>
    <t>Favorable 1999 10 05</t>
  </si>
  <si>
    <t>Se abstuvó de sustentar el recurso</t>
  </si>
  <si>
    <t>RAD. 14.818</t>
  </si>
  <si>
    <t>RAD. 21.325</t>
  </si>
  <si>
    <t>Nulidad acta conciliación. Reintegro</t>
  </si>
  <si>
    <t>Dotación Vestido y calzado de Labor</t>
  </si>
  <si>
    <t>Pensión jubilación</t>
  </si>
  <si>
    <t>RAD. 34.288</t>
  </si>
  <si>
    <t>Pensión jubilación,</t>
  </si>
  <si>
    <t>Favorable 1999 05 28</t>
  </si>
  <si>
    <t>RAD. 50.811</t>
  </si>
  <si>
    <t>ÚNICO</t>
  </si>
  <si>
    <t>Reintegro salarios y prest. Subsidio Indemn. Pensión sanción</t>
  </si>
  <si>
    <t>1999 07 28 Favorable</t>
  </si>
  <si>
    <t>Reintegro, por D S J C,subsidio indemniza -</t>
  </si>
  <si>
    <t>Reliquidación de las prestaciones sociales,</t>
  </si>
  <si>
    <t xml:space="preserve">Terminado </t>
  </si>
  <si>
    <t>Jubilacion</t>
  </si>
  <si>
    <t>Favorable 1999</t>
  </si>
  <si>
    <t>Favorable 1999 11 15</t>
  </si>
  <si>
    <t>Indemnización por despido injusto, calzado y vestido de labor</t>
  </si>
  <si>
    <t>sustituto</t>
  </si>
  <si>
    <t>Sustitución pensión de su hermano Jesús Antonio Marulanda Arias.</t>
  </si>
  <si>
    <t xml:space="preserve">En septiembre de 2006 se envió para el archivo:               • Presentación demanda: 19/11/1998
• Conciliación 1 de trámite: 28/09/1998
• Contestación demanda: 24/08/1998
</t>
  </si>
  <si>
    <t>Cotización sanción</t>
  </si>
  <si>
    <t>Reajuste pension</t>
  </si>
  <si>
    <t>Nuilidad acta conciliación</t>
  </si>
  <si>
    <t>Pensión sanción y otras prestaciones</t>
  </si>
  <si>
    <t>Dice no se haber sido afiliado al ISS, se concilió</t>
  </si>
  <si>
    <t>Condene al I.S.S. al reconocimiento y pago pensión sobreviviente</t>
  </si>
  <si>
    <t>Condenatoria vs ISS</t>
  </si>
  <si>
    <t>Confirma 19 jun 98</t>
  </si>
  <si>
    <t>jubilada desde 16 sep 74</t>
  </si>
  <si>
    <t>Pide jubilación reglamentaria a partir 29 octubre 96, fue afiliado IVM en 1967 menos de 10 años</t>
  </si>
  <si>
    <t>Pensión por retiro voluntario + 19 años scios</t>
  </si>
  <si>
    <t>RAD. 4.250</t>
  </si>
  <si>
    <t>RAD. 8.425</t>
  </si>
  <si>
    <t>Nulidad acta de conciliación Indemnización DSJC</t>
  </si>
  <si>
    <t>RAD. 33.408</t>
  </si>
  <si>
    <t>Pensión de jubilación al cumplir 55 años</t>
  </si>
  <si>
    <t xml:space="preserve">En septiembre de 2006 se envió para el archivo:                    • Presentación demanda: 02/08/2005
• Admisión demanda: 11/04/2005
• Contestación: 25/07/2005
• Historia laboral
• Demanda: 18/11/2004
• Conciliación: 17/06/1991
• Audiencia juzgamiento: 23/04/1999
• Audiencia juzgamiento: 02/06/1999
</t>
  </si>
  <si>
    <t>RAD. 70.049</t>
  </si>
  <si>
    <t>RAD. 36.793</t>
  </si>
  <si>
    <t>RAD. 51.783</t>
  </si>
  <si>
    <t>RAD. 57.447</t>
  </si>
  <si>
    <t>Favorable 1999 03 11 No casa costas a cargo ddte</t>
  </si>
  <si>
    <t>Reintegro. Subsidio indemnización</t>
  </si>
  <si>
    <t>Cucuta</t>
  </si>
  <si>
    <t>Pensión de Jubilación, corrección</t>
  </si>
  <si>
    <t>Angel María Corzo Labrador</t>
  </si>
  <si>
    <t>Indemnización - Salarios dejados de percibir</t>
  </si>
  <si>
    <t>Favorable 1999 Banco no acude en casación</t>
  </si>
  <si>
    <t xml:space="preserve">En septiembre de 2006 se envió para el archivo:                        • Liquidación: 17/03/1998
• Admisión demanda: 08/05/1998
</t>
  </si>
  <si>
    <t>Indemnizacion</t>
  </si>
  <si>
    <t>Favorable 2000</t>
  </si>
  <si>
    <t>Se compara con secretaria ejecutiva</t>
  </si>
  <si>
    <t xml:space="preserve">En septiembre de 2006 se envió para el archivo:                            • Admisión:28/11/1997
• Presentación:04/12/1997
• Contestación demanda: 02/03/1998
</t>
  </si>
  <si>
    <t>Pensión sanción -despido sin justa causa en 1984</t>
  </si>
  <si>
    <t>Favorable 2000 05 22</t>
  </si>
  <si>
    <t>Reintegro, salarios caidos</t>
  </si>
  <si>
    <t>Despedida por exceso de atribuciones como gerenta de la suc la América. Al ser administrador no acción de reintegro</t>
  </si>
  <si>
    <t>Pension 3 nov 96</t>
  </si>
  <si>
    <t>Favorable 2000 10 19</t>
  </si>
  <si>
    <t>Reajuste pensional 75, 76, 77, 78, 79</t>
  </si>
  <si>
    <t>0019 - 99</t>
  </si>
  <si>
    <t>Nulidad acta de conciliación- Reintegro</t>
  </si>
  <si>
    <t>5932 - 97</t>
  </si>
  <si>
    <t>Declarado desierto recurso</t>
  </si>
  <si>
    <t>Pensión extralegal</t>
  </si>
  <si>
    <t>Ingresó banco 1 jul. 66 y por ivm 1 enero 67, presnte que se consagre derecho a pension RIT como extralegal y no legal, segunprevé 269 cst, contrario a la unidad del régimen pensional</t>
  </si>
  <si>
    <t>Favorable 2000 06 07</t>
  </si>
  <si>
    <t>Pago mesadas desde octubre 20 de 1996</t>
  </si>
  <si>
    <t>Indemnizacion Pension sancion - indexacion</t>
  </si>
  <si>
    <t>Favorable 2000 04 03</t>
  </si>
  <si>
    <t>6016/97</t>
  </si>
  <si>
    <t>Reajustes a partir de 1990, se retiró en 1978</t>
  </si>
  <si>
    <t>Favorable 2000 01 13</t>
  </si>
  <si>
    <t>Indemnización despido s J.C., pensión</t>
  </si>
  <si>
    <t>23 dic 92 se presentó a trabajar en estado embraguez, escandalos, no abrió bóveda</t>
  </si>
  <si>
    <t>Favorable 2000 07 06</t>
  </si>
  <si>
    <t>faltan autorizaciones de descuentos en la liquidación - Crs. Fondo y Fundación</t>
  </si>
  <si>
    <t>favorable 2000</t>
  </si>
  <si>
    <t>Johana Patricia Correa Racedo</t>
  </si>
  <si>
    <t>RAD. 32.234 - 34373</t>
  </si>
  <si>
    <t>Presentó renuncia al cargo el 15 sep 93, trabajó en aniguo Country hubo asalto</t>
  </si>
  <si>
    <t>Declarado desierto el recurso</t>
  </si>
  <si>
    <t>3883 - 95</t>
  </si>
  <si>
    <t>Favorable 2000 06 30</t>
  </si>
  <si>
    <t xml:space="preserve">En septiembre de 2006 se envió para el archivo:
• Recurso casación: 30/06/2000
</t>
  </si>
  <si>
    <t>Hizo mal una liquidación de nómina</t>
  </si>
  <si>
    <t>Reportó como entregadas chequeras que sirvieron para fraude</t>
  </si>
  <si>
    <t>Se jubiló en 1992 - No aparece ahora como jubilado</t>
  </si>
  <si>
    <t>Favorable 1999 11 26</t>
  </si>
  <si>
    <t>RAD.56.626 - 24988</t>
  </si>
  <si>
    <t>Reintegro</t>
  </si>
  <si>
    <t>Indemnización DSJC</t>
  </si>
  <si>
    <t>Sbgte operaciones despedido</t>
  </si>
  <si>
    <t>Indemnización dsjc</t>
  </si>
  <si>
    <t xml:space="preserve">Pide que de declare injusto el despido, hubo descuentos del fondo de empleados y dice que fueron no autorizados. Se despidió cjc por tramitar desde su terminal una consignacion para la cuenta de su cónyuge con base en un cheque de canje; además prsewntó exceso de cupo en su caja y reportó $200.000 en una consigacion de 300.000 </t>
  </si>
  <si>
    <t>Se extraviaron 13 cheques de gerencia el 5 de noviembre de 1996 y el no los viso al pagarlos</t>
  </si>
  <si>
    <t>Declarado desierto recurso interpuesto por la actora</t>
  </si>
  <si>
    <t>Desde agosto 92</t>
  </si>
  <si>
    <t>Favorable 2000 003 03 demandó nuevamente</t>
  </si>
  <si>
    <t>Favorable 2000 003 03 declarada excepcion petición anticipada</t>
  </si>
  <si>
    <t>Prestación de servicios</t>
  </si>
  <si>
    <t>Reitegro por despido en embarazo al sevicio de un contratista del Banco</t>
  </si>
  <si>
    <t>Favorable 2000 Conciliado por el contratista pendiente acta</t>
  </si>
  <si>
    <t>Reliquidacion, salarios caidos</t>
  </si>
  <si>
    <t>Se retuvieron dineros por autorización de él; se tumbó de manera continuida dineros</t>
  </si>
  <si>
    <t>Favorable 2001</t>
  </si>
  <si>
    <t>Favorable 2001 02 13</t>
  </si>
  <si>
    <t xml:space="preserve">En septiembre de 2006 se envió para el archivo:                       • Recurso casación: 13/02/2001
• Alegatos de conclusión: 26/04/1999
• Audiencia de juzgamiento: 14/05/1999
• Apelación: 20/05/1999
• Audiencia juzgamiento: 28/06/2000
• Presentación demanda
• Admisión demanda: 18/03/1998
• Contestación demanda: 08/06/1998
• Recurso casación: 13/02/2001
• Solicitud revocación sentencia: 20/05/99
</t>
  </si>
  <si>
    <t>Nivelación salarial Despido SJC, reliquidación prestaciones y salarios. El se jubiló con el Banco 1 nov 94</t>
  </si>
  <si>
    <t>El actor alega que se presentó una discrimación salarial antes de su jubilación</t>
  </si>
  <si>
    <t>Favorable 2001 03 07</t>
  </si>
  <si>
    <t>Reintegro. salarios dejados de percibir</t>
  </si>
  <si>
    <t>Favorable 2004   Lo teniamos como terminado, al parecer sigue en curso, en carta de agosto 4 00 nos confirman la ejecutoria de la sentencia</t>
  </si>
  <si>
    <t>RAD. 57.667</t>
  </si>
  <si>
    <t>Terminado</t>
  </si>
  <si>
    <t>Valores atradados por $51.124.000 mas incrementos de ley y aspira a una pensión a 1999 de $1,305.000</t>
  </si>
  <si>
    <t>terminado 2000 - Juzgado devuelve por por no subsanar irregularidad</t>
  </si>
  <si>
    <t>Jesús Mercado Vásquez</t>
  </si>
  <si>
    <t>RAD. 10.488</t>
  </si>
  <si>
    <t>Reintegro Reliquidación prestaciones por despido s JC</t>
  </si>
  <si>
    <t>Extravío deuna llavebanco</t>
  </si>
  <si>
    <t>Adolfo Escobar Altamar</t>
  </si>
  <si>
    <t>Indemnización por despido injusto.</t>
  </si>
  <si>
    <t>GIRARDOT</t>
  </si>
  <si>
    <t>Indemnización por despido injusto</t>
  </si>
  <si>
    <t>Pensión de Jubilación, incrementos desde 94 cotización</t>
  </si>
  <si>
    <t xml:space="preserve">Gustavo Arbeláez Arbeláez </t>
  </si>
  <si>
    <t>Pasto</t>
  </si>
  <si>
    <t>HE, nocturno, sanción moratoria por retardo, alega tener fuero sindical, 3 julio 97 recibió consignaciones con u sobrante respecto a lo cosigando y no lo devolvió, la diferencia era de $233.000, en principio le negó el sobrante al cliente luego le entregó $172.000</t>
  </si>
  <si>
    <t>ESPECIAL</t>
  </si>
  <si>
    <t>Levantamiento de Fuero Sindical.</t>
  </si>
  <si>
    <t>Perdida de 2mm en feb. 97y ella no microfilmó, banco conoció en marzo y presentó dda. 18 dic</t>
  </si>
  <si>
    <t>Proceso Especial de Fuero Sindical.</t>
  </si>
  <si>
    <t>13.228 - 34606</t>
  </si>
  <si>
    <t>Fuero sindical - Reintegro, salarios caídos.</t>
  </si>
  <si>
    <t>Acción de restitución - Fuero Sindical</t>
  </si>
  <si>
    <t>No procede</t>
  </si>
  <si>
    <t>trabajador</t>
  </si>
  <si>
    <t>Desistimiento 1999</t>
  </si>
  <si>
    <t>7 y 8</t>
  </si>
  <si>
    <t>OJO El Banco concilió con este señor y se retiró del Banco, pendiente auto de archivo del proceso</t>
  </si>
  <si>
    <t>Desistimiento 2001</t>
  </si>
  <si>
    <t>Fuero Sindical. Levantamiento</t>
  </si>
  <si>
    <t>27 mayo 97 visó y autorizó el pago fraudulento de 2 chques por $16MM</t>
  </si>
  <si>
    <t>Acción de restitución de fuero sindical.</t>
  </si>
  <si>
    <t>Se "tumbó" más de 100 mm en unos fajos de $ y en unas operaciones del Dpto del Meta</t>
  </si>
  <si>
    <t>Ejecutivo</t>
  </si>
  <si>
    <t>Intereses moratorios</t>
  </si>
  <si>
    <t>Confirma fallo del juzgado</t>
  </si>
  <si>
    <t>unico laboral</t>
  </si>
  <si>
    <t>Pagos insolutos</t>
  </si>
  <si>
    <t>Pago sumas conciliadas para embargos y no pagados</t>
  </si>
  <si>
    <t>Felix Joaquin Bermudez Rojas</t>
  </si>
  <si>
    <t xml:space="preserve"> Ordinario</t>
  </si>
  <si>
    <t>Reliquidación de  Prestaciones, reajustes</t>
  </si>
  <si>
    <t>Otorgar sobregiros en su cuenta y sus familares, No tenía atribuciones y cubría sobregiros con sobregiros</t>
  </si>
  <si>
    <t>Favorable 2001 05 03</t>
  </si>
  <si>
    <t>Laboró masde 10 años sin cobertura ISS OJO puede demandar más adelante</t>
  </si>
  <si>
    <t>Pago irregular de cheques , falta sello de canje. Mala digitación en abril y despido el agosto</t>
  </si>
  <si>
    <t>Favorable 2001 04 23</t>
  </si>
  <si>
    <t>Reintegrarle un retroactivo  por compartirle la pensión con ISS, 15 nov 97 banco le reduce en un smml por tener vocación compartir, iss reconoce pensión 13 dic 99</t>
  </si>
  <si>
    <t>Conciliado 2001;  pagar el reajuste y los intereses moratorios hasta la fecha del pago</t>
  </si>
  <si>
    <t>Reintegro, salarios caidos, jubilación</t>
  </si>
  <si>
    <t>Favorable 2001 04 24</t>
  </si>
  <si>
    <t>Reintegro, pago salarios prestaciones</t>
  </si>
  <si>
    <t>El iss le otorgó pensión de invalidez permanente y total; en dic 1993 el ISS le suspendió  definitivamente la pensión</t>
  </si>
  <si>
    <t>Favorable 2001 03 27</t>
  </si>
  <si>
    <t>laboral del cto</t>
  </si>
  <si>
    <t>1999 - 068</t>
  </si>
  <si>
    <t>Despedida con justa causa, por habilitar el sistema y permitir indebidamente un pago</t>
  </si>
  <si>
    <t>Desfavorable 2001 pendiente cumplimiento</t>
  </si>
  <si>
    <t xml:space="preserve">En septiembre de 2006 se envió para el archivo:                         • Presentación demanda: 10/05/1999
• Admisión demanda: 03/05/1999
• Conciliación: 15/01/1999
• Terminación contrato: 04/11/1998
• Audiencia juzgamiento: 05/10/2000
• Copia contrato: 01/06/1995
• Versión libre: 13/03/1998
</t>
  </si>
  <si>
    <t>114 - 99</t>
  </si>
  <si>
    <t>Pension proporcional por retiro voluntario</t>
  </si>
  <si>
    <t>Ingreso: 4 sep 61, Bogotá, Retiro: 1 agosto 78, Nto: 27 agosto 38, Afiliación ISS 010450632 de enero 1/67</t>
  </si>
  <si>
    <t>Favorable 2001 05 23</t>
  </si>
  <si>
    <t>Indemnizacion dsjc horas extras, cesantías, intereses a la cesantía, indeminzación moratoria, indexación</t>
  </si>
  <si>
    <t>Desatendió  una orden y tiró hoja al piso</t>
  </si>
  <si>
    <t xml:space="preserve">Conciliado 2001 </t>
  </si>
  <si>
    <t xml:space="preserve">En septiembre de 2006 se envió para el archivo:                        • Presentación demanda: 30/09/1999
• Admisión demanda: 11/10/1999
• Contestación demanda
• Terminación contrato: 07/09/1999
• Desistimiento de la acción: 03/04/2000
• Audiencia 4 continuación de tramite: 04/04/2001
</t>
  </si>
  <si>
    <t>Aux litografia se compara con un experto que es Antonio Morales Valdes</t>
  </si>
  <si>
    <t>Pensión sanción</t>
  </si>
  <si>
    <t>414 - 98</t>
  </si>
  <si>
    <t>En proceso de visacio´n pagó cheque 85900779 adulterado, $3.674.207 girado por Drogas Tolima</t>
  </si>
  <si>
    <t>desfavorable 2000 pendiente de cumplir sentencia, 29 junio regreso al juzgado julio 6 01 reintegro</t>
  </si>
  <si>
    <t>desfavorable2000/11/30</t>
  </si>
  <si>
    <t>Dotación Vestido calzado Labor de los 3 últimps años y ajuste en la indemnización</t>
  </si>
  <si>
    <t>Reintegro. Salarios dejados de percibir, cotización</t>
  </si>
  <si>
    <t>Oficina fue atracada, cajero ppal y no verificó que la puerta principal estaba abierta, función qu era del subgte</t>
  </si>
  <si>
    <t>Desfavorable 2001 03 30</t>
  </si>
  <si>
    <t>Gerente la Dorada, renunció, dice que fue presionado</t>
  </si>
  <si>
    <t>Pago cheques sin sello protector</t>
  </si>
  <si>
    <t xml:space="preserve">En septiembre de 2006 se envió para el archivo:
• Alegato segunda instancia: 06/09/2000
</t>
  </si>
  <si>
    <t>Reintegro, salarios; subsidio indeminización</t>
  </si>
  <si>
    <t>Giró cheques  a su favor y exceso de atribuciones en sobregiros, otorgamiento de créditos a personas mal calificadas</t>
  </si>
  <si>
    <t>El 17 de enero de 2002 se aceptó desistimiento recurso casación interpuesto por el demandante.</t>
  </si>
  <si>
    <t xml:space="preserve">En septiembre de 2006 se envió para el archivo:                        • Audiencia juzgamiento: 18/04/2001
• Sustentación apelación: 24/04/2001
• Audiencia juzgamiento: 11/09/2001
</t>
  </si>
  <si>
    <t>Nulidad acta conciliación OJO Presentó una nueva demanda por los mismos hechos</t>
  </si>
  <si>
    <t>Firmó conciliación y dice que fue constreñido a renunciar</t>
  </si>
  <si>
    <t>Manuel E. Pérez Díaz</t>
  </si>
  <si>
    <t xml:space="preserve">En septiembre de 2006 se envió para el archivo:                       • Incidente de desacato: 13/06/2005
• Acta de conciliación: 13/06/2005
• Recurso de reposición: 9/03/2005
• Recurso de casación: 11/04/2003
• Recurso de apelación:11/02/2005
• Liquidación: 30/02/2005
• Audiencia de juzgamiento: 08/03/2002
• Acción de tutela: 08/06/2004 
• Audiencia de fallo: 15/10/2002
• Terminación contrato: 28/06/1999
</t>
  </si>
  <si>
    <t>Estuvo por 7 años si afiliacion por no inicio cobertura</t>
  </si>
  <si>
    <t>Luis Robles</t>
  </si>
  <si>
    <t xml:space="preserve">En septiembre de 2006 se envió para el archivo:
• Audiencia juzgamiento: 07/06/2000
</t>
  </si>
  <si>
    <t>laboró entre 11 sept 52 y 4de oct 68</t>
  </si>
  <si>
    <t>Desfavorable 2001 Banco desisitió Casación pendiente cumplimiento fallo</t>
  </si>
  <si>
    <t>Desistimos</t>
  </si>
  <si>
    <t>María Elena Alzate C.</t>
  </si>
  <si>
    <t>331 - 99</t>
  </si>
  <si>
    <t>Madre de extrabajadora fallecida en accidente de transito</t>
  </si>
  <si>
    <t>Indemnización y acción reintegro.</t>
  </si>
  <si>
    <t>Era analista de crédito, despedido cjc por incapacidad superior a 180 días</t>
  </si>
  <si>
    <t>Reintegro, subsidio indemnización, pensión sanción</t>
  </si>
  <si>
    <t>Favorable 2001   Se declara desierto recurso de casación del demandante por falta de personería/ 4 sept.2001</t>
  </si>
  <si>
    <t>Reintegro al cargo de Gerente, pago por el tiempo cesante; y subsidiarias, reajustes cesantía e Intereses;Indemnización  por terminación unilateral del Contrato de Trabajo sin justacausa; Indemnización Moratoria; Pensión sanción; Indexación y costasjudici</t>
  </si>
  <si>
    <t>Desfasvorable 2001</t>
  </si>
  <si>
    <t>Favorable 12 de Septiembre de 2001</t>
  </si>
  <si>
    <t>Pide que la pension de reglamento i t se le aplique desde 1995 cuando cumplió 55 años</t>
  </si>
  <si>
    <t>Favorable 2001 Declarado desierto el recurso</t>
  </si>
  <si>
    <t>0083 - 98</t>
  </si>
  <si>
    <t>Jubilación, incrementos desde  27 de agosto de 19993</t>
  </si>
  <si>
    <t>Pide que la pension de reglamento i t se le aplique</t>
  </si>
  <si>
    <t>Pensión sanción, indemnización despido injusto</t>
  </si>
  <si>
    <t>Favorable 9 de Octubre de 2001</t>
  </si>
  <si>
    <t xml:space="preserve">En septiembre de 2006 se envió para el archivo:
• Audiencia juzgamiento: 12/12/2000
• Audiencia de juzgamiento: 09/12/2000
</t>
  </si>
  <si>
    <t xml:space="preserve">Pagar reajuste salarial y de primas, vacaciones etc desde 1 enero 96; se compara con juan manuel davila suarez </t>
  </si>
  <si>
    <t>Conciliado 2002</t>
  </si>
  <si>
    <t xml:space="preserve">2 promiscuo circ </t>
  </si>
  <si>
    <t>Reintegro, pago salarios, pensión sanción</t>
  </si>
  <si>
    <t>Nivelación salarial.</t>
  </si>
  <si>
    <t>Se retiró mediante acta conciliada</t>
  </si>
  <si>
    <t>Trabajó entre el 1 de octubre 59 y 4 de febrero 95, afiliado oportunamente al ISS</t>
  </si>
  <si>
    <t xml:space="preserve">Se autosubió cupo de avances TC - </t>
  </si>
  <si>
    <t>Favorable 2002   Al parecer ya terminó - espero respuesta Dr Charria - Pendiente casacion ddte 26 enero 2001 inició traslado al recurrente ddte para que sustente recurso</t>
  </si>
  <si>
    <t xml:space="preserve">En septiembre de 2006 se envió para el archivo:• Audiencia de juzgamiento: 21/01/2000
• Alegatos: 10/03/2000
• Historia laboral
</t>
  </si>
  <si>
    <t>Descuadre en la bóveda de carabobo era administradora efectivo</t>
  </si>
  <si>
    <t>Favorable 2002</t>
  </si>
  <si>
    <t>Favorable 2002 02 27 Declarado desierto el recurso</t>
  </si>
  <si>
    <t>Reintegro por despido indirecto</t>
  </si>
  <si>
    <t>Señala que fue presionado para presentar carta de renuncia</t>
  </si>
  <si>
    <t>Ruth Criado de Vera</t>
  </si>
  <si>
    <t>025 / 2000</t>
  </si>
  <si>
    <t>Salarios y prestaciones</t>
  </si>
  <si>
    <t>25 enero 99 se les cambió jornada de la noche al día sin hacer el incremento convencional</t>
  </si>
  <si>
    <t xml:space="preserve">Desfavorable 2002 </t>
  </si>
  <si>
    <t>0103 98</t>
  </si>
  <si>
    <t>Favorable 2002 04 10</t>
  </si>
  <si>
    <t>Deficiencias administrativas manejos de seguridad en menejo de efectivo - nvío de emesas</t>
  </si>
  <si>
    <t>Firmó actas arqueo sin verificar que se hiciera en efecto el arqueo</t>
  </si>
  <si>
    <t xml:space="preserve">Favorable 2002 </t>
  </si>
  <si>
    <t>00 - 1249</t>
  </si>
  <si>
    <t>Sobreviviente</t>
  </si>
  <si>
    <t>Pension de sobreviviente</t>
  </si>
  <si>
    <t>Compañera permanente de Luis Humberto Rojas Mayor QEPD, el Banco consigna a favor del juzgado mientras se resuelve titularidad del derecho. Hay dos hijos con el 50% Luis Adolfo Rojas Panneso y Jose Luis Rojas Barguil</t>
  </si>
  <si>
    <t>Neutro 2002</t>
  </si>
  <si>
    <t>ejecutivo</t>
  </si>
  <si>
    <t>Pagada la  pension pide una moratoria</t>
  </si>
  <si>
    <t>Indemnizacion dsjc</t>
  </si>
  <si>
    <t>Gerente de zona. Contrato terminó por art 6 el 21 de oct/96 por violaciones gravies a procedimientos, en especial pagos por ventanilla y código de ética. Autorizó pago de muchos  MM sin que se elaborara el formato para declaración de operaciones en efecti</t>
  </si>
  <si>
    <t>Desfavorable 2002</t>
  </si>
  <si>
    <t>Desfavorable 2002 05 07</t>
  </si>
  <si>
    <t>Nivelacion salarial</t>
  </si>
  <si>
    <t>1´500.000</t>
  </si>
  <si>
    <t>En septiembre de 2006 se envió para el archivo:• Audiencia pública: 28/06/2002</t>
  </si>
  <si>
    <t>Sahagun</t>
  </si>
  <si>
    <t>Civil Circ.</t>
  </si>
  <si>
    <t>Nulidad acta conciliacion</t>
  </si>
  <si>
    <t>Se firmó acta de retiro y dice que se violaron derechos ciertos e indiscutibles</t>
  </si>
  <si>
    <t>Jose Gabiel Ramirez Echeverria</t>
  </si>
  <si>
    <t>$780.318 y 2 smmlv si fallo favorable</t>
  </si>
  <si>
    <t>Humberto Oyola Ordosgoitia</t>
  </si>
  <si>
    <t xml:space="preserve">En septiembre de 2006 se envió para el archivo:• Terminación contrato: 15/04/1994
• Conciliación extrajuicio: 03/06/1994
• Presentación demanda
• Contestación demanda: 16/09/199
• Inspección judicial: 05/04/2001
• 2da trámite: 04/09/2000
• Historia laboral
</t>
  </si>
  <si>
    <t>Gerente de sucural que extralimitó sus funciones al conceder sobregiros</t>
  </si>
  <si>
    <t xml:space="preserve">En septiembre de 2006 se envió para el archivo:                       • Presentación demanda
• Admisión demanda: 27/04/1999
• Contestación demanda: 14/07/1999
• Audiencia juzgamiento: 17/04/2001
• Audiencia pública: 04/12/2001
• Recurso casación: 04/09/2002
</t>
  </si>
  <si>
    <t>Por mandato de tutela el Banco le viene pagando el 50% de una sustitución pensional en su calidad de hija con limitacion físca; el padre Baldomero Contreras Sales también reclama derecho sobre la pensión de Beliza Contreras (QEPD)</t>
  </si>
  <si>
    <t>Day Celina Rodríguez Diaz</t>
  </si>
  <si>
    <t xml:space="preserve">Libardo Barreto laboró al servicio del Banco entre el 13 de noviembre de 1967 y el 12 de junio de 1983 en Venadillo (tolima) </t>
  </si>
  <si>
    <t>7 smml/2</t>
  </si>
  <si>
    <t>Elizabeth Acosta Varón</t>
  </si>
  <si>
    <t>1999-11609 y 1999-0270</t>
  </si>
  <si>
    <t>Cajero  endosó 2 cheques para pago 2 vez, se perdieron $ 2648000</t>
  </si>
  <si>
    <t>Winston H. Rubio Segura</t>
  </si>
  <si>
    <t>Zurelta Rojas Molina</t>
  </si>
  <si>
    <t>indemnizacion dsjc</t>
  </si>
  <si>
    <t>Analista de crédito dice ser Ejecutivo de ventas, pide además prima proorcional priemr semestre 99, indexacion , mora</t>
  </si>
  <si>
    <t>4 smmlv + 4 smmlv al fallo</t>
  </si>
  <si>
    <t xml:space="preserve">En septiembre de 2006 se envió para el archivo:• Audiencia: 27/02/2002
• Audiencia pública: 23/10/2001
• Presentación demanda 
• Contestación
</t>
  </si>
  <si>
    <t>Retuvo dineros de un recibos varios varios días</t>
  </si>
  <si>
    <t>6 smmlv</t>
  </si>
  <si>
    <t xml:space="preserve"> </t>
  </si>
  <si>
    <t>94 - 99</t>
  </si>
  <si>
    <t>Pagó impuestos con su TC</t>
  </si>
  <si>
    <t>6 smmlv/2</t>
  </si>
  <si>
    <t xml:space="preserve">En septiembre de 2006 se envió para el archivo:                    • Audiencia Pública: 12/07/2002
• Audiencia de juzgamiento: 06/05/2002
• Alegatos: 02/07/2002
• Presentación demanda: 08/02/2000
• Admisión demanda: 16/02/2000
• Contestación demanda: 21/03/2000
• Traslado de la demanda
</t>
  </si>
  <si>
    <t>Despedido con jsc por no presentarse  atrabajar en INDEGA despues de darsele esa orden</t>
  </si>
  <si>
    <t>6 smmlv + 1 sm fallo favorable</t>
  </si>
  <si>
    <t>Accion de restitucion</t>
  </si>
  <si>
    <t xml:space="preserve"> Que se declare el despido nulo.</t>
  </si>
  <si>
    <t>6.5 smmlv</t>
  </si>
  <si>
    <t>0464/98</t>
  </si>
  <si>
    <t>4946 - 96</t>
  </si>
  <si>
    <t>Irregularidades en manejo y cuadre de caja a su cargo en 1993 y violacion de reserva bancaria</t>
  </si>
  <si>
    <t>7 smmlv</t>
  </si>
  <si>
    <t>Edgar Guevara Ibarra</t>
  </si>
  <si>
    <t>316/99</t>
  </si>
  <si>
    <t>Se presentó a laborar borracho, se descuadró en caja</t>
  </si>
  <si>
    <t>Favorable 2003</t>
  </si>
  <si>
    <t>6 s.m.l.</t>
  </si>
  <si>
    <t>Despdidos cjc, no la alegan, dicen haber ejercido cargos superiores por más de un año y piden aplicación del artículo convencional que refiere a reemplazo de cargos superiores (convención 82-84)</t>
  </si>
  <si>
    <t>Defavorable 2003</t>
  </si>
  <si>
    <t>Fany Osorio salazar</t>
  </si>
  <si>
    <t>Favorable 2003 Corte Suprema de Justicia declara desierto recurso de casación.</t>
  </si>
  <si>
    <t>12 - 22096</t>
  </si>
  <si>
    <t>Trabajó 16 años en el Banco, pide la pensión del RIT; uubo un acuerdo conciliatorio en el 68 y luego la carta de Michelsen</t>
  </si>
  <si>
    <t xml:space="preserve">Favorable 2003 03 05 </t>
  </si>
  <si>
    <t>Villeta</t>
  </si>
  <si>
    <t xml:space="preserve">Accion de Reintegro </t>
  </si>
  <si>
    <t>Excedió atribuciones para otorgar sobregiro</t>
  </si>
  <si>
    <t xml:space="preserve">
• Audiencia juzgamiento: 19/07/2002
• Contestación demanda: 01/03/200
</t>
  </si>
  <si>
    <t>2000 1339</t>
  </si>
  <si>
    <t>Facilitó su clave y por ese medio se defraudó al Banco por otro empleado Jair Quesada</t>
  </si>
  <si>
    <t>Desfavorable 2003</t>
  </si>
  <si>
    <t>Conciliado 2003</t>
  </si>
  <si>
    <t>18F483</t>
  </si>
  <si>
    <t xml:space="preserve">En septiembre de 2006 se envió para el archivo:
• Contestación demanda: 10/04/2000
• Audiencia pública: 03/02/1999
• Audiencia juzgamiento:14/11/2003
</t>
  </si>
  <si>
    <t>0200 - 01</t>
  </si>
  <si>
    <t>Levantamiento fuero sindical</t>
  </si>
  <si>
    <t>El  11 de Mayo de 2001 . Investigación Auditoria 178.  2001. Fraude al Banco</t>
  </si>
  <si>
    <t>William Amaya Fonseca</t>
  </si>
  <si>
    <t>Prestó servicios entre el 20 Agosto de 1968 y el 11 de marzo de 1991, en Venadillo, Purificación e Ibagué</t>
  </si>
  <si>
    <t>Edilberto Rumbo Brochero</t>
  </si>
  <si>
    <t>335 2001</t>
  </si>
  <si>
    <t xml:space="preserve">Palmira </t>
  </si>
  <si>
    <t xml:space="preserve">Reclama dinero póliza de salud </t>
  </si>
  <si>
    <t>Desfavorable 2003 se paga y el demandante desiste de la pretensión</t>
  </si>
  <si>
    <t>{</t>
  </si>
  <si>
    <t>7 smmlv/2</t>
  </si>
  <si>
    <t>Nemesio Camelo poveda</t>
  </si>
  <si>
    <t xml:space="preserve">En septiembre de 2006 se envió para el archivo:              • Conciliación: 15/05/1996
• Poder
• Presentación demanda
• Contestación demanda
• Historia laboral
</t>
  </si>
  <si>
    <t>118 - 98</t>
  </si>
  <si>
    <t>TERMINADO SE DECLARA DESIERTA CASACION DEL DEMANDANTE 26 DE MAYOD E 2.003</t>
  </si>
  <si>
    <t>12 smmlv</t>
  </si>
  <si>
    <t>056 - 00</t>
  </si>
  <si>
    <t>Subgerente de op en Niza autorizó y supervisó 5 traslados de fondos entre cuentas corrientes sin cumplir con las normas y procedi/ de seguridad</t>
  </si>
  <si>
    <t>Jose guillermo Pachón rojas</t>
  </si>
  <si>
    <t xml:space="preserve">En septiembre de 2006 se envió para el archivo:
• Presentación demanda
</t>
  </si>
  <si>
    <t>1 civil del circ</t>
  </si>
  <si>
    <t>Pagos insolutos $16.910.430.97 que es el saldo que el Juzgado indica que falta por pagar</t>
  </si>
  <si>
    <t>10 smmlv</t>
  </si>
  <si>
    <t>430 - 2000</t>
  </si>
  <si>
    <t>pension de sobreviviente</t>
  </si>
  <si>
    <t>Deamanda jublacion</t>
  </si>
  <si>
    <t>Neutro 2004</t>
  </si>
  <si>
    <t>Charria Camacho Lopez</t>
  </si>
  <si>
    <t>Prestación de Servicios</t>
  </si>
  <si>
    <t>Honorarios profesionales</t>
  </si>
  <si>
    <t>Atendión un proceso civil en representación del BIC, a pesar d esu mala actuacio´n solcita el reconocimiento de unos honorarios</t>
  </si>
  <si>
    <t>en 1984 se jubiló con el Banco,  el ISS por resolución 005570 del 3 de septiembre de 1996 reconoció pensión de vejez y el Banco le compartí la pensión</t>
  </si>
  <si>
    <t>Favorable 2003 08</t>
  </si>
  <si>
    <t>8 smmlv</t>
  </si>
  <si>
    <t>Sandra Patricia Melizo Bazante</t>
  </si>
  <si>
    <t xml:space="preserve">En septiembre de 2006 se envió para el archivo:• Tasación del interés: 28/06/2002
• Traslado: 03/07/2002
• Objeción dictamen pericial: 05/07/2002
• Audiencia de juzgamiento: 02/05/2002
• Recurso casación: 17/05/2002
• Audiencia de juzgamiento: 28/11/2001
• Presentación demanda
• Contestación demanda
</t>
  </si>
  <si>
    <t>Reinstalacion - Reintegro por fuero</t>
  </si>
  <si>
    <t>Se le asignó un cargo igual al que traía, pide reconocer diferencias aux. alimentación y perjuicios</t>
  </si>
  <si>
    <t>149 2001</t>
  </si>
  <si>
    <t>Laboró al servicio del Banco entre 22/03/75 y el 20/06/96</t>
  </si>
  <si>
    <t>Sergio Andres Sierra Gomez</t>
  </si>
  <si>
    <t>Como asesor de servicios d ea suc Oviedo suministró en el mismo día varias veces saldos de cuentas que no eran de sus sucursal; cuentas que fueron fruto de fraudes</t>
  </si>
  <si>
    <t xml:space="preserve">En septiembre de 2006 se envió para el archivo:                  • Recurso de apelación: 25/02/2003
• Sustentación contra fallo de 18 de febrero 2003
• Admisión demanda: 08/06/1995
• Presentación demanda: 27/04/1995
• Contestación demanda: 30/06/1995
• Respuesta de oficios
</t>
  </si>
  <si>
    <t>Desfavorable 2002. OJO REVISAR FALLO TRIBUNAL</t>
  </si>
  <si>
    <t>Laboral del circuito</t>
  </si>
  <si>
    <t>Laboró entre el 17 de abril de 1961 y el 31 de octubre de 1986. En 1990 hubo fallo a favor del banco. Dice que pedrdió la visión por culpa del Banco</t>
  </si>
  <si>
    <t>Manuel Wilson Villareal Arevalo</t>
  </si>
  <si>
    <t>levantamiento fuero sindical</t>
  </si>
  <si>
    <t>El trabajador pago un cheque que tenía firma adulterada y el Banco tuvo que responder al titular de la cuenta</t>
  </si>
  <si>
    <t xml:space="preserve">Terminado desistimiento 2003 </t>
  </si>
  <si>
    <t>Carlos Fernando Serrano Mantilla</t>
  </si>
  <si>
    <t>Se le perdieron $20 mm y no fue posible determinar la causa</t>
  </si>
  <si>
    <t xml:space="preserve">En septiembre de 2006 se envió para el archivo:
• Apelación: 04/03/2000
</t>
  </si>
  <si>
    <t>Se le descontó de la liquidación el bono de traslado a ley 50 de 1990, por $7.140.667; se retiró por mutuo acuerdo</t>
  </si>
  <si>
    <t>Fernando Naranjo Valencia</t>
  </si>
  <si>
    <t>Jose Ignacio Gaitan Lopez</t>
  </si>
  <si>
    <t xml:space="preserve">En septiembre de 2006 se envió para el archivo:
• Presentación demanda: 12/09/2002
</t>
  </si>
  <si>
    <t>Cajero principal de Villeta, no cerró  conjuntamente con el subgerente la bóveda, hubo un atraco y se llevaron todo el dinero</t>
  </si>
  <si>
    <t>Favorable 2003. Pendiente pago moratoria</t>
  </si>
  <si>
    <t>9,5 smmlv</t>
  </si>
  <si>
    <t>Marco Tulio Uribe Angel</t>
  </si>
  <si>
    <t>0205 01</t>
  </si>
  <si>
    <t>Bic</t>
  </si>
  <si>
    <t>Dice estar amparado por fuero circunstancial, fue despedido el 14 de septiembre de 1999 y dice haber conocido el  hecho e 28 de septiembre, un día despues de presentado el pliego de peticiones.</t>
  </si>
  <si>
    <t>Rosalba Sierra Redondo</t>
  </si>
  <si>
    <t xml:space="preserve">En septiembre de 2006 se envió para el archivo:                 • Conciliación 01/12/2003 
• Terminación contrato 1/12/2003
• Reintegro 01/12/2003 (Copia)
• Audiencia de juzgamiento (Copia)16/10/2002
• Apelación 21/10/2002 y decisión 31/03/2003 (Copia) 
• Liquidación 31/03/2003 
• Presentación demanda: 14/06/2000
• Contestación demanda: 04/09/2000
• Demanda de divorcio
• Fallo de divorcio: 23/07/1998
Historia laboral
</t>
  </si>
  <si>
    <t xml:space="preserve">Nulidad acta conciliacion </t>
  </si>
  <si>
    <t>Favorable 2003 10</t>
  </si>
  <si>
    <t>Amaury Castro Julio</t>
  </si>
  <si>
    <t>Pide sustitucion de Rafael Gómez Pinto, quien no estuvo por fura de IVM durante diez ó más años.       Desvirtuar el tiempo de servicios  de 15 años que se alega en el libelo. Ya que en el contrato de trabajo aparece  que se vinculó 1o de Septiembre de 1964 y laboró hasta el 29 de enero de  1979.
El demandante no tenía más de 10  años de servicio a favor del Banco a la fecha de entrada en vigencia el  cubrimiento de los riesgos de IVM en la ciudad de Santa Marta por parte del  ISS.
Esto se demuestra con la  inspección  judicial que se practicó el día 30 de enero de 2002 en las  oficinas del ISS seccional del Magdalena, en la cual se demostró que el señor  RAFAEL GOMEZ PINTO fue afiliado por Bancolombia desde el 1o de enero de 1967  hasta la fecha de terminación del contrato que fue  29 de enero de 1979,  habiendo cotizado 4412 semanas al ISS.
En resumidas cuentas el  extrabajador estuvo apenas 3 años no cubierto por el ISS por los riesgos de  IVM, que entre otras cosas no fue por voluntad del Banco, por cuanto el ISS  extendió la cobertura fue a partir del año de 1967, fecha en la que fue  afiliado inmediatamente.</t>
  </si>
  <si>
    <t xml:space="preserve">En septiembre de 2006 se envió para el archivo:
• Sentencia:09/10/2003
</t>
  </si>
  <si>
    <t>Ingresó el 21 de junio de 1961 al 10 de mayo de 1991</t>
  </si>
  <si>
    <t>Dice haber laborado más de 10 años antes de ser afiliado al ISS, se despidió cjc por haber permitido un fraude</t>
  </si>
  <si>
    <t>1.000.000 Conestación demanda, $350.000 1 Inst. 350.000 2 Ins</t>
  </si>
  <si>
    <t xml:space="preserve">En septiembre de 2006 se envió para el archivo:                 • Presentación demanda: 08/05/1999
• Contestación demanda: 21/06/1999
• Conciliación: 25/09/1998
</t>
  </si>
  <si>
    <t>Tunja</t>
  </si>
  <si>
    <t>Dice que entre el 80 y el 93 no se hicieron aportes por IVM</t>
  </si>
  <si>
    <t>Fallo primera instancia de 17 de junio de 2.003 ordena al Banco averiguar ante el ISS por unas cotizaciones.</t>
  </si>
  <si>
    <t>Cesar Fernando Torres Serrano</t>
  </si>
  <si>
    <t>Fue despedida por no atender unos oficios de un juzgado, razón por la cual al Banco se le sancionó; el Banco no fue debidamente notificado del fuero</t>
  </si>
  <si>
    <t>Desfavorable 2003. Pendiente pago costas</t>
  </si>
  <si>
    <t>7.5 smmlv</t>
  </si>
  <si>
    <t>Dice que las vacaciones se le liquidaron mal</t>
  </si>
  <si>
    <t>6 SMLV</t>
  </si>
  <si>
    <t>159 2001</t>
  </si>
  <si>
    <t>Gerente de cuenta empresarial. Despedido con justa causa el 26 de Octubre de 1998</t>
  </si>
  <si>
    <t>Favorable 2003 pendiente fallo quede en firme</t>
  </si>
  <si>
    <t>Jose Ricardo Barbosa Murcia</t>
  </si>
  <si>
    <t xml:space="preserve">En septiembre de 2006 se envió para el archivo:             
• Audiencia juzgamiento:14/11/2003
</t>
  </si>
  <si>
    <t>0168 - 2003</t>
  </si>
  <si>
    <t>Heliodoro Juan Muñoz Bedoya</t>
  </si>
  <si>
    <t>822 - 98</t>
  </si>
  <si>
    <t>Concilió el 1 septiembre de 1995, hoy dice que esa acta es nula porque se liquidó con un salario diferente, también  pide jubilación</t>
  </si>
  <si>
    <t>Favorable 2004. El 15 de abril de 2004, regresó del Tribunal Superior confirmando Sentencia Absolutoria.  El expediente se encuentra archivado</t>
  </si>
  <si>
    <t xml:space="preserve">En septiembre de 2006 se envió para el archivo:                • Solicitudes y respuestas, 
• Liquidación: 29/08/1995
• Conciliación:24/08/1995
• Despachos comisorios
• Presentación de la demanda
• 1 audiencia de trámite: 17/02/1999
• 2 audiencia de trámite: 14/09/1999  
</t>
  </si>
  <si>
    <t>Pide indexacion priemra mesada pensional</t>
  </si>
  <si>
    <t>111-03</t>
  </si>
  <si>
    <t>Solicita que el Banco  le cancele el recargo  de trabajo nocturno del 35% que dejó de percibir desde marzo 1 de 1996, El demandante fue trasladado a jornada diurna desde 1996 y perdió los correspondientes beneficios.  Tiene fuero sindical y permiso permanente.</t>
  </si>
  <si>
    <t xml:space="preserve">Favorable 2004.  Tribunal  declaró probada excepción de cosa juzgada. </t>
  </si>
  <si>
    <t>Problable</t>
  </si>
  <si>
    <t>Reclama una jubilacion a cargo del Banco</t>
  </si>
  <si>
    <t>Favorable 2004.  TERMINADO.-  NO CASO  FALLO ABOSLUTORIO AL BANCO</t>
  </si>
  <si>
    <t>Por apoderamiento de dienros se inciia proceso de levantamiento de fuero sindical</t>
  </si>
  <si>
    <t>Ricardo Caviedes del Hierro</t>
  </si>
  <si>
    <t>$1.500.000 + $1.500.000 si fallo positivo</t>
  </si>
  <si>
    <t>bogota</t>
  </si>
  <si>
    <t>595/2002</t>
  </si>
  <si>
    <t>pago de la pension jubilatoria aopartir de la fecha en que el demandante cumpla la edad requerida para dicha pretension , las mesadas indexadas, condenar al banco a  realizars los aortes correspondientes a los reisgos IVM por le periodo comprendido entre octubre 22 de 1970 y diciembre 30 de 1981</t>
  </si>
  <si>
    <t>Reclama una jubilacion a cargo del Banco a partir de la fecha en que el demandante cumpla la edad requerida para dicha pretension , las mesadas indexadas, condenar al banco a  realizar los aportes correspondientes a los riesgos IVM por le periodo comprendido entre octubre 22 de 1970 y diciembre 30 de 1981</t>
  </si>
  <si>
    <t xml:space="preserve">Favorable 2004.  SENTENCIA 2A INSTANCIA FAVORABLE QEDÓ EJECUTORIADA- </t>
  </si>
  <si>
    <t>6.5 smlmv</t>
  </si>
  <si>
    <t>andres bojaca lopez</t>
  </si>
  <si>
    <t>Laboró entre 6 de mayo de 1964 y 16 de agosto de 1995; se afilió al ISS en 1967</t>
  </si>
  <si>
    <t>Favorable 2004 /  El 05 de marzo de 2004, regresó del Tribunal Superior confirmando Sentencia Absolutoria.  El expediente se encuentra archivado</t>
  </si>
  <si>
    <t>Buenaventura</t>
  </si>
  <si>
    <t>No conforme con la justa causa imputada</t>
  </si>
  <si>
    <t>Elvia Lucy Abonce B.</t>
  </si>
  <si>
    <t xml:space="preserve">En septiembre de 2006 se envió para el archivo:                • Presentación demanda: 24/06/1999
• Conciliación: 29/10/1999
• Terminación del contrato: 21/02/1997
• Contestación demanda: 02/07/1999
</t>
  </si>
  <si>
    <t>El sr se jubiló en el 71 y siguió laborando hasta 30 enero 88, pide que se liquide tomando el segundo contrato</t>
  </si>
  <si>
    <t xml:space="preserve">Favorable 2004  </t>
  </si>
  <si>
    <t>800000 contestacion - 350000 primera inst. 350000 seg inst</t>
  </si>
  <si>
    <t>2003-0901</t>
  </si>
  <si>
    <t>Fue despedido por colocar un sello en un recibos varios cuyo dienro no recibió</t>
  </si>
  <si>
    <t xml:space="preserve">En septiembre de 2006 se envió para el archivo:                 • Historia laboral
• Terminación del contrato: 24/08/2003
</t>
  </si>
  <si>
    <t>Laboró al servicio del Banco entre 20/02/1974 y 30 /12/96</t>
  </si>
  <si>
    <t xml:space="preserve">favorable 2004 </t>
  </si>
  <si>
    <t>Saray Lizcano Blum</t>
  </si>
  <si>
    <t>10988-02</t>
  </si>
  <si>
    <t>Reconocimiento relacion laboral - Pago salarios y prestaciones sociales</t>
  </si>
  <si>
    <t>El demandante era la persona que cuidaba una finca que se le adjudicó al Banco en agosto de 2.002 dentro de un proceso ejecutivo hipotecario</t>
  </si>
  <si>
    <t>22 enero 2004 declara probada excepción cosa juzgada</t>
  </si>
  <si>
    <t>Dorada</t>
  </si>
  <si>
    <t>Civil Circuito</t>
  </si>
  <si>
    <t>Irregularidades en operaciones de caja, se prestaba dinero a los clientes de manera personal</t>
  </si>
  <si>
    <t>Favorable 2004</t>
  </si>
  <si>
    <t>Juan Carlos Alvarez H.</t>
  </si>
  <si>
    <t>Se despidió con justa causa, dice que no se computó un almuerzo y se hicieron descuentos sin autorización</t>
  </si>
  <si>
    <t>Desfavorable 2003. Pendiente ejecucion y pago condena y costas</t>
  </si>
  <si>
    <t xml:space="preserve">En septiembre de 2006 se envió para el archivo:                    • Historia laboral
• Liquidación: 05/11/1999
• Presentación demanda: 28/04/2000
• Contestación: 23/05/2000
• Conciliación: 23/08/2000
</t>
  </si>
  <si>
    <t>0201 - 01</t>
  </si>
  <si>
    <t>No confirmar carta pidiendo cheques, no identificar al reclamante, no visar carta en la que se pidio chequera</t>
  </si>
  <si>
    <t>paz y salvo</t>
  </si>
  <si>
    <t>Reclamación cliente FOPEP Irma Ramirez quien no recibió su pensión pero aparece pagada.</t>
  </si>
  <si>
    <t>Arturo Fuquene Macías</t>
  </si>
  <si>
    <t>Servicio público no ingresado a caja, y no reportado el sobrante</t>
  </si>
  <si>
    <t>Alega que como no se pidió en el pleito anterior ni los intereses moratorios del art.141 ley 100, ni tampoco se pidio la indemnización moratoria del artículo 8 ley 10/72, procede ahora su reclamo ya que no hubo cosa juzgada sobre esos conceptos.</t>
  </si>
  <si>
    <t>Nestor Raul Anzola Martínez</t>
  </si>
  <si>
    <t>Subgerente de operaciones; Se perdieron 200 cheque en blanco en centro Andino 2, los guardó en el escritorio y no entregó al aux.</t>
  </si>
  <si>
    <t>Se fue por renuncia voluntaria, pretende establecer que se le obligó a renunciar, pide sancion por retardo injustificado 26 días para el pago de la liquidación</t>
  </si>
  <si>
    <t xml:space="preserve">En septiembre de 2006 se envió para el archivo:             • Cobro condena judicial: 01/07/2004
• Audiencia: 29/04/2004
• Audiencia de juzgamiento: 20/02/2004
• Recibos de paz y salvo: 07/07/2004
• Contestación demanda: 06/07/2001
</t>
  </si>
  <si>
    <t>99 - 525</t>
  </si>
  <si>
    <t>Conductor de Alexander Vernot, pide reliquidar y pago  de horas extras</t>
  </si>
  <si>
    <t xml:space="preserve">En septiembre de 2006 se envió para el archivo:
• Presentación demanda: 
• Audiencia: 03/03/1999 
</t>
  </si>
  <si>
    <t>especial</t>
  </si>
  <si>
    <t>Levantamiento de Fuero Sindical</t>
  </si>
  <si>
    <t>Conciliado 2005</t>
  </si>
  <si>
    <t xml:space="preserve"> 10 6930</t>
  </si>
  <si>
    <t>Canceló retiros de cuentas ahorros con libretas falsificadas para su beneficio $</t>
  </si>
  <si>
    <t xml:space="preserve">En septiembre de 2006 se envió para el archivo:              • Historia laboral
• Audiencia juzgamiento: 10/03/2000
• Alegatos: 10/03/2000
• Audiencia de juzgamiento: 21/01/2000
• Presentación demanda: 12/01/1993
• Contestación demanda: 04/03/1992
• Audiencia 4 trámite: 26/07/1995 y continuación: 02/08/1999, 03/11/1999
• Pruebas: 02/06/1998
• Inspección judicial: 26/07/1995
• Audiencia de juzgamiento: 13/08/1997
Audiencia de juzgamiento: 12/06/1997
</t>
  </si>
  <si>
    <t>nulidad acta conciliacion</t>
  </si>
  <si>
    <t>Hubo ilícito en 1993, se concilió por eso,  dice habersele presionado por el proceso penal a que negociara</t>
  </si>
  <si>
    <t>Favorable 2004 07 30</t>
  </si>
  <si>
    <t>Jose Alfonso Vivas Bautista</t>
  </si>
  <si>
    <t>Sin establecer</t>
  </si>
  <si>
    <t>Terminado 2003</t>
  </si>
  <si>
    <t>En septiembre de 2006 se envió para el archivo:                      Audiencia pública:24/10/2001</t>
  </si>
  <si>
    <t>471 - 00</t>
  </si>
  <si>
    <t>Maria Rodriguez alega ser la cónyuge del difunto, los demnadantes Mercedes soto Florez, Eliecer Navarro Soto (menor), Raul Navarro Soto(estudiante) piden la sustitución pensional</t>
  </si>
  <si>
    <t>Neutro 2005</t>
  </si>
  <si>
    <t>399 - 98</t>
  </si>
  <si>
    <t>Firmó acta de conciliación al retiro,  (Cesantías e intereses, valores  descontados, auxilio anteojos, salarios caídos desde el 14 de dic 1994)</t>
  </si>
  <si>
    <t xml:space="preserve">monteria </t>
  </si>
  <si>
    <t>Firmó acta de conciliación y pide nulidad</t>
  </si>
  <si>
    <t>257 - 2003</t>
  </si>
  <si>
    <t>2004-0666</t>
  </si>
  <si>
    <t>solicito auxilio educativo sin derecho al mismo</t>
  </si>
  <si>
    <t>Favorable 2005 por desistimiento</t>
  </si>
  <si>
    <t xml:space="preserve">En septiembre de 2006 se envió para el archivo:              • Terminación contrato: 15/06/2004
• Audiencia de conciliación: 07/07/2005
• Contestación demanda: 27/01/2005
• Admisión demanda: 27/08/2004
• Presentación demanda: 06/07/2004
• Historia laboral
</t>
  </si>
  <si>
    <t>ordinario</t>
  </si>
  <si>
    <t>0rdinario</t>
  </si>
  <si>
    <t>397 - 2003</t>
  </si>
  <si>
    <t>despedido el 10 de mayo del 2000 con justa causa /descuadres de dienro en el cargo de operador integral de caja, distracion de dineros de consignaciones de clientes, incumpliento de horario laboral, caja numero 4, cobraba más dinero en las consiganciones, no colocaba el sello en los fagos de dinero entregado a los clientes.. Demandados solodariamente con Fernando Mayor Becerra</t>
  </si>
  <si>
    <t>Favorable 2004 - condena mora en pago</t>
  </si>
  <si>
    <t>guillermo castro espitia</t>
  </si>
  <si>
    <t>Mandamiento de pago</t>
  </si>
  <si>
    <t>Dice que no se le ha pagado la condena del proceso ordinario; el Banco consignó mla los dineros</t>
  </si>
  <si>
    <t>Desfavorable 2003.   Tribunal  confirma el mandamniento de pago, pendiente de hacer el pago y recuperar los $ que están a órdenes d eotro juzgado</t>
  </si>
  <si>
    <t>Civil ccto</t>
  </si>
  <si>
    <t>Se estaban prestando en la oficina dineros a los clientes con el subgerente</t>
  </si>
  <si>
    <t xml:space="preserve">En septiembre de 2006 se envió para el archivo:             • Continuación audiencia pública especial: 15/08/2002
• Conciliación: 18/05/2001
• Contestación demanda: 18/09/2000
• Conciliación: 27/03/2001
• Declaración extraprocesal: 08/03/1999
• Continuación audiencia conciliación: 17/08/2001
• Presentación demanda: 
• Inspección judicial: 29/07/2002
</t>
  </si>
  <si>
    <t>RAD: 25.660 - 35586</t>
  </si>
  <si>
    <t>Cometió irregularidades en el antiguo BIC en operaciones en caja}  fue despedido con JC por haber   falsificado una firma para hacer un retiro fraudulento de la cuenta de un cliente; con base en la prueba grafológica el juzgado falló a favor, a pesar de que en el proceso penal  se había dictado la preclusión de la investigación porque la acción se encontraba prescrita</t>
  </si>
  <si>
    <t>Mala visacon de varios cheques - cheques aduterados por más de 50mm</t>
  </si>
  <si>
    <t xml:space="preserve">En septiembre de 2006 se envió para el archivo:                  • Audiencia pública: 29/08/2003 </t>
  </si>
  <si>
    <t>pago retiros por pin pad el 19 de octubre de 2001 a personas diferentes a las titualares de las cuentas ( asesoras comerciales, NACIRA) por valor de 4.950.000 y $4mm, eran retiros de créditos fraudulentos. No visó los soportes</t>
  </si>
  <si>
    <t>434 - 2000</t>
  </si>
  <si>
    <t>Renunció a su cargo y alega un despido indirecto</t>
  </si>
  <si>
    <t xml:space="preserve">En septiembre de 2006 se envió para el archivo:
• Presentación demanda
• Contestación demanda
</t>
  </si>
  <si>
    <t xml:space="preserve">2001 01 54 </t>
  </si>
  <si>
    <t>Siendo asesor de EN LINEA navegó por internet utilizando la clave de un cliente del banco, clave que conoció en razón de sus funciones</t>
  </si>
  <si>
    <t>2004 00087 -0</t>
  </si>
  <si>
    <t>laboró entre 01 06 1960 y el 01 de nov de 1988; se jubiló el 19 de junio de 1994. Es una pensión para compartirl con el ISS</t>
  </si>
  <si>
    <t>Entre 16 julio y 16 de septiembre de 1999 se apoderó fraudulentamente de más de $50mm a través de manejo indebido de 6 cuentas de ahorro, adulteracio´n de firmas, utilizacio´n de comprobantes que no correspondían a las libretas de ahorro y en casos timbra</t>
  </si>
  <si>
    <t>Carlos Alberto Ospino Guzman</t>
  </si>
  <si>
    <t xml:space="preserve">En septiembre de 2006 se envió para el archivo:           • Presentación demanda: 14/09/2000
• Contestación demanda: 18/09/2000
</t>
  </si>
  <si>
    <t>Reclaman la pension del difunto Rosa Diazgranados Osias y María Teresa Pastor Buitrago. El señor falleció 10 sep 2000</t>
  </si>
  <si>
    <t>Cesar Augusto Carrillo Martinez</t>
  </si>
  <si>
    <t>Laboró desde 1958 hasta 1979 en Santa Marta, no mas de 10 años sin IVM</t>
  </si>
  <si>
    <t>Marco Antonio diaz Bolaño</t>
  </si>
  <si>
    <t>99 - 0378</t>
  </si>
  <si>
    <t>Titulo pensional - cotizaciones seguridad social</t>
  </si>
  <si>
    <t>Un jubilado que demanda al iss y en subsidio pide condenar al Banco al pago de cotizaciones</t>
  </si>
  <si>
    <t>61-2003</t>
  </si>
  <si>
    <t>reintegro o indemnización por DSJC</t>
  </si>
  <si>
    <t>fue despedido con JC  el 8 de abril de 2.003 por descuadres no reportados</t>
  </si>
  <si>
    <t>Unica</t>
  </si>
  <si>
    <t>2003 - 0675</t>
  </si>
  <si>
    <t>Revocar sancion  disciplinaria</t>
  </si>
  <si>
    <t>Fuen sancionado 4 días por pago irregular de un cheque</t>
  </si>
  <si>
    <t>Magangue</t>
  </si>
  <si>
    <t>Laboró en magangué  entre el 11 de julio 62 y 3 de febrero 71</t>
  </si>
  <si>
    <t xml:space="preserve">En septiembre de 2006 se envió para el archivo:                  • Audiencia de juzgamiento: 12/12/2003
• Liquidación prestaciones: 23/03/1971
• Renuncia: 03/02/1971
• Primera de trámite: 18/08/1971
• Conciliación: 29/11/1971
• Conciliación: 09/05/1972
• Presentación demanda: 05/07/1971
• Contestación: 21/07/1971
• Historia laboral
</t>
  </si>
  <si>
    <t>273-00</t>
  </si>
  <si>
    <t>Demandan los mismos beneficios del BIC</t>
  </si>
  <si>
    <t>Desfavorable 2004</t>
  </si>
  <si>
    <t>0821 - 2003</t>
  </si>
  <si>
    <t>cotizaciones</t>
  </si>
  <si>
    <t>Laboró como auditor hasta 1984; reclama reliquidar con base en unos viaticos y por ende aportes a la seguridad social</t>
  </si>
  <si>
    <t>Jose Antonio Escobar Lozada</t>
  </si>
  <si>
    <t>130 - 2000</t>
  </si>
  <si>
    <t>Afirma tener derecho a la pension del RIT, art 53</t>
  </si>
  <si>
    <t>En septiembre de 2006 se envió para el archivo:               Ya habia demandado y el Tribnal declaró probada la excepción de peticion anticipada en 20 enero 1999</t>
  </si>
  <si>
    <t>1° LABORAL</t>
  </si>
  <si>
    <t>conavi</t>
  </si>
  <si>
    <t>La terminación del contrato se produjo con justa causa fundamentada en los procesos disciplinarios requeridos para tal efecto. Contingencia remota.</t>
  </si>
  <si>
    <t>Estuvo desvinculado y pide cesantia por ese período</t>
  </si>
  <si>
    <t>99 - 0723</t>
  </si>
  <si>
    <t>Se le disminuyó la pensión por ser compartible com la del ISS</t>
  </si>
  <si>
    <t>Favorable 2005</t>
  </si>
  <si>
    <t>Cajero, participó en irregularidad faltantate $6.500.000</t>
  </si>
  <si>
    <t xml:space="preserve">Desfavorable 2004 09  21 </t>
  </si>
  <si>
    <t xml:space="preserve">En septiembre de 2006 se envió para el archivo:                     • Admisión demanda: 08/09/1999
• Presentación demanda: 
• Contestación demanda: 12/10/1999
</t>
  </si>
  <si>
    <t>2002 0704</t>
  </si>
  <si>
    <t>Trabajaba en las horas d ela noche, desaparece el proceso de canje y se traslada al día, dice que se violó el fuero</t>
  </si>
  <si>
    <t>Caucasia</t>
  </si>
  <si>
    <t xml:space="preserve">CIVIL </t>
  </si>
  <si>
    <t>2003 0086</t>
  </si>
  <si>
    <t>Hubo conciliaciones y la excepcion de cosa juzgada debe prosperar</t>
  </si>
  <si>
    <t>Remota</t>
  </si>
  <si>
    <t>Trabajó en palmeras d ela costa: concilamos un proceso por ls mismos hechos</t>
  </si>
  <si>
    <t>2003 0188</t>
  </si>
  <si>
    <t>2003 0190</t>
  </si>
  <si>
    <t>2003 0189</t>
  </si>
  <si>
    <t>2005 0209</t>
  </si>
  <si>
    <t>El 10 de abril del 95 se le nombró en un cargo y se le dieron funciones de otro</t>
  </si>
  <si>
    <t>Sabel Reinerio Arevalo A</t>
  </si>
  <si>
    <t>Ubate</t>
  </si>
  <si>
    <t>Civil Circuito Ubate</t>
  </si>
  <si>
    <t>0289 - 01</t>
  </si>
  <si>
    <t>Fue despedida por cuanto desde su clave de usuario se hicieron fraudes en contra del Banco.</t>
  </si>
  <si>
    <t>197-02</t>
  </si>
  <si>
    <t>fue despedido con jc el 31 de mayo de 2.001 por haberse excedido en atribuciones crediticias como gerente.</t>
  </si>
  <si>
    <t>7.5 smlm</t>
  </si>
  <si>
    <t xml:space="preserve">Gonzalo Peñaloza </t>
  </si>
  <si>
    <t>OJO QUÉ PASÓ EN CORTE, NO HAY REPORTE DE CAMACHO A.</t>
  </si>
  <si>
    <t>Conciliado 1999  - No autoriza Fogafin</t>
  </si>
  <si>
    <t>No dda</t>
  </si>
  <si>
    <t>civil cto.</t>
  </si>
  <si>
    <t>Se integra litis consorcio con fiducolombia,palmeras de la costa y nacional de chocolates, es un proceso de alto riesgo, positivo repeticion ante el co demandado nacional de chocolates, es un proceso de alto riesgo.</t>
  </si>
  <si>
    <t>2003 04 14 audiencia de fallo en Tribunal. Fallo primera instancia, absolvio de uno, declara peticion antes de tiempo en dos(2) y uno condena a pension en contra de Nal de Chocolates, se presento recurso de apelacion</t>
  </si>
  <si>
    <t>25 MM /29</t>
  </si>
  <si>
    <t>Arturo Fadul V.</t>
  </si>
  <si>
    <t>e integra litis consorcio con Fiducolombia, Palmeras de la Costa y nal de chocolates</t>
  </si>
  <si>
    <t>0277/ 2000</t>
  </si>
  <si>
    <t>2002 858</t>
  </si>
  <si>
    <t>En el enlace operativo de Bucaramanga las funciones de la noche se trasladaron al día</t>
  </si>
  <si>
    <t>Conciliado 2004</t>
  </si>
  <si>
    <t>2403 423</t>
  </si>
  <si>
    <t>Laboró por mas de 15 años sin cobertura IVM y se retiró voluntariamente</t>
  </si>
  <si>
    <t>Mala visación de cheques en junio de 1996</t>
  </si>
  <si>
    <t xml:space="preserve">El señor Moncaleano laboro desde 1972 y finalizo en 1998 , por muerte     </t>
  </si>
  <si>
    <t>Jaime Gustavo Rengifo Quintero</t>
  </si>
  <si>
    <t>282 - 01</t>
  </si>
  <si>
    <t>Mala visacion de 4 cheques pagados por el proceso de canje</t>
  </si>
  <si>
    <t>CONCILIADO 2004</t>
  </si>
  <si>
    <t xml:space="preserve">En septiembre de 2006 se envió para el archivo:                      • Presentación demanda: 06/05/2003
• Contestación demanda: 12/06/2003
• Conciliación: 24/07/2003
• Audiencia pública: 03/03/2004
• Terminación contrato: 09/12/2002
• Liquidación: 18/12/2002
• Historia laboral
• Audiencia: 31/10/1997 (Contra Banco industrial Colombiano)
• Audiencia juzgamiento: 03/06/1997 (Contra Banco industrial Colombiano)
• Admisión demanda: 09/05/1996 (Contra Banco industrial Colombiano)
• Presentación demanda: 20/02/1996
• Contestación demanda: 30/05/1996 (Contra Banco industrial Colombiano)
</t>
  </si>
  <si>
    <t>Trabajo en dos etapas en Banco de Colombia: 01 08 57 al 29 02 60, y del 25 07 61 al 31 05 69.</t>
  </si>
  <si>
    <t>Señala haber trabajado entre17 enero de 1968 y el 1 de Octubre de 1997 , y que por tener más de 55 años le resulta aplicable la pensión de Jubilación prevista en su contrato de trabajo.</t>
  </si>
  <si>
    <t>Favorable 2005 09 07</t>
  </si>
  <si>
    <t>Miguel Francisco Entrena Lopez</t>
  </si>
  <si>
    <t xml:space="preserve"> 068 - 02</t>
  </si>
  <si>
    <t>Trato irrespetuos a un superior mediante un e - mail</t>
  </si>
  <si>
    <t>Pide la jubilacion del RIT</t>
  </si>
  <si>
    <t>Favorable 12 10 2005</t>
  </si>
  <si>
    <t>488 - 99</t>
  </si>
  <si>
    <t>Se hizo un cambio de un cheque en operaciones</t>
  </si>
  <si>
    <t>Era aux de operaciones en Avenida 82</t>
  </si>
  <si>
    <t>Trib. Sup. de Bogotá</t>
  </si>
  <si>
    <t>2001-0772</t>
  </si>
  <si>
    <t>La justa causa se encuentra debidamente sustentada en los constantes descuadres de la exempleada. Contingencia remota</t>
  </si>
  <si>
    <t>se celebraron varios contratos de prestación de servicios con la "Gutierrez y Alarcón Ltda"</t>
  </si>
  <si>
    <t>Cesar Fernando Serrano Rangel</t>
  </si>
  <si>
    <t>8° LABORAL</t>
  </si>
  <si>
    <t>540-2002</t>
  </si>
  <si>
    <t>el ersultado es muy inciertoy  por tanto la probailidad de fallo adverso es latente</t>
  </si>
  <si>
    <t>Fallo 1a instancia favoralbe a CONAVI. Pendiente de fallo 2a instancia.   Alega despido injusto. Probabilidades de éxito para el Banco 95%  por  contar con los procesos disciplinarios requeridos.</t>
  </si>
  <si>
    <t>2002-0952</t>
  </si>
  <si>
    <t>Piden reliquidar la prima extralegal de vacaciones y todos los demás conceptos que de allí se deriven</t>
  </si>
  <si>
    <t>9 smmlv (acumulado)</t>
  </si>
  <si>
    <t>Sin establecer; figuraba en contabilidad y no en informe d eEdgar</t>
  </si>
  <si>
    <t>321 - 2000</t>
  </si>
  <si>
    <t>Cometió irregularidades operativas como asesor de servicios</t>
  </si>
  <si>
    <t>6° LABORAL</t>
  </si>
  <si>
    <t>006-1997-300901</t>
  </si>
  <si>
    <t xml:space="preserve">Es un asunto comercial que corresponde a una obligación de un deudor hipotecario que pretende generar una sustitución patronal. Contingencia remota por no haber conexidad </t>
  </si>
  <si>
    <t>2002 0621</t>
  </si>
  <si>
    <t>Era jubilado y se le compartió con la del ISS</t>
  </si>
  <si>
    <t>600-00</t>
  </si>
  <si>
    <t>terminación contratos de outsorcing</t>
  </si>
  <si>
    <t>solicitan se declare el incumplimiento del artículo 28 de la Convención del Banco de Colombia de 1989 y  se den por terminados los contratos de 3os que ocupen cargos de ascenso celebrados  “Con personal de Agencias de Servicios Temporales o personal de Contratistas particulares”, para que, en su lugar, se contrate/vincule a los trabajadores demandantes “para la realización” de las correspondientes laborales.</t>
  </si>
  <si>
    <t xml:space="preserve">El Tribunal Superior del D.J. de Bogotá D.C., Sala Laboral, ha confirmado el auto que declaró probada la Excepción Previa de Falta de Jurisdicción. Está pendiente de devolución del Expediente al Juzgado de origen.                  </t>
  </si>
  <si>
    <t>prestó servicios al Banco en Bucaramanga mediante diferentes sociedades, durante más de 30 años,  repartiendo cheques y extractos Bancarios.</t>
  </si>
  <si>
    <t>Carlos Fernando Serrano Rangel</t>
  </si>
  <si>
    <t>Pedro Orlando Cruz Landinez</t>
  </si>
  <si>
    <t>Laboró solo 13 años en el banco y su retiro fue voluntario. Ya hbái demandado por los mismos hechos, con sentencia favorable del juzgado 3 de clai de 14 de feb de 1997. Pide su reconocimiento desde julio de 1995 e intereses del art 141 ley 100</t>
  </si>
  <si>
    <t>Margarita Victoria Calderon</t>
  </si>
  <si>
    <t>2000-3216</t>
  </si>
  <si>
    <t>Gerente de sucursal; La terminación del contrato se produjo con justa causa por el incumplimiento de procedimientos. El Tribunal consieró que no se probó la misma</t>
  </si>
  <si>
    <t>Desfavorable 2005</t>
  </si>
  <si>
    <t>Se pide indexar la mesada pensional</t>
  </si>
  <si>
    <t>desfavorable 13 octubre-04 condena al banco  a indexar mesada pensional</t>
  </si>
  <si>
    <t>1 MM + 4 smmlv</t>
  </si>
  <si>
    <t>Nemesio Camelo Poveda</t>
  </si>
  <si>
    <t>Melgar</t>
  </si>
  <si>
    <t>Civil del circuito</t>
  </si>
  <si>
    <t>Laboró del 18 noviembre de 1963 al 19 noviembre de 1988, fue afiliado por IVM el 3 de agosto de 1970 y trasladado a Melgar el 16 de octubre de 1974 ypor ende retirado de estos riesgos</t>
  </si>
  <si>
    <t xml:space="preserve">Desfavorable 2005 </t>
  </si>
  <si>
    <t xml:space="preserve">desfavorable  </t>
  </si>
  <si>
    <t xml:space="preserve">0016 2001 </t>
  </si>
  <si>
    <t>Subgerente de la Sucursal La Soledad. Fraude con cheques supuestamente incinerados por el demandante.</t>
  </si>
  <si>
    <t>conciliado 2005</t>
  </si>
  <si>
    <t>El banco actúa como demandante</t>
  </si>
  <si>
    <t xml:space="preserve"> el trabajador pbtuvo auxilio educativo sin estar estudiando, presentó certificaciones falsas pero posteriormente la univesidad  certificó al Banco que él no se había matriculado</t>
  </si>
  <si>
    <t xml:space="preserve">376 2001 </t>
  </si>
  <si>
    <t>El Banco actua como demandate</t>
  </si>
  <si>
    <t>El Sr Carlos Duica pago 3 cheques de la tesorería de la alcaldia de magangue por valor de 45 MM y estos tenian firmas falsas detectables en un proceso normal de visación</t>
  </si>
  <si>
    <t>Terminadop or conciliacion 2005</t>
  </si>
  <si>
    <t>Concilado 2005</t>
  </si>
  <si>
    <t>2000-1111</t>
  </si>
  <si>
    <t>extrabajador</t>
  </si>
  <si>
    <t>Favorable 2006</t>
  </si>
  <si>
    <t>Favorable 30 11 2005</t>
  </si>
  <si>
    <t>Julio César Carrillo Guarin</t>
  </si>
  <si>
    <t>901-2001</t>
  </si>
  <si>
    <t xml:space="preserve">reintegro </t>
  </si>
  <si>
    <t>fue despedida sin JC en estado de embarazo en 1999</t>
  </si>
  <si>
    <t>conciliado 2004</t>
  </si>
  <si>
    <t>no hubo fallo</t>
  </si>
  <si>
    <t>el resultado  es muy incierto ypor tanto la probabilidad de fallo adverso es latente</t>
  </si>
  <si>
    <t>a partir de mayo de 2.002 el banco le reconoció pensión de jubilación teniendo en cuenta el SMLMV</t>
  </si>
  <si>
    <t xml:space="preserve">nemesio camelo poveda </t>
  </si>
  <si>
    <t>752 - 2000</t>
  </si>
  <si>
    <t>obtuvo una pension legal del Banco y pide que no se le comparta con la del ISS de26 de agosto de 1983, no se probó que el Banco siguiera haciendo aportes pot IVM</t>
  </si>
  <si>
    <t xml:space="preserve"> Desfavorable 2005</t>
  </si>
  <si>
    <t xml:space="preserve">se desistió recurso de casación del banco. </t>
  </si>
  <si>
    <t>2004 - 0255</t>
  </si>
  <si>
    <t>Laboró entre el 26 de feb 47 y 16 sep. 73; se jubiló el 8 de abril de 1978, pide se areajuste su primera mesada pensional</t>
  </si>
  <si>
    <t xml:space="preserve">NO CASA CON COSTAS. </t>
  </si>
  <si>
    <t>José Roberto Herrera Vergara</t>
  </si>
  <si>
    <t>12 LABORAL</t>
  </si>
  <si>
    <t>890-02</t>
  </si>
  <si>
    <t>Alega despido injusto. Probabilidades de éxito para el Banco 95%  por justa causa establecida en el RIT</t>
  </si>
  <si>
    <t>Manuel Osorio Urrea</t>
  </si>
  <si>
    <t>05-0750</t>
  </si>
  <si>
    <t>Accion de reintegro</t>
  </si>
  <si>
    <t>Falla en procedimiento de recibo de caja perincipal de la sucursal Junin como supernumerario recibió al cajero principal con un faltante de $49 mm</t>
  </si>
  <si>
    <t>CONCILIADO 2006</t>
  </si>
  <si>
    <t xml:space="preserve">En septiembre de 2006 se envió para el archivo:                        • Presentación demanda: 07/07/2005
• Informe interno: 08/03/2005
• Paz y salvo: 27/03/2006
• Conciliación: 13/03/2006
</t>
  </si>
  <si>
    <t>Cajero, presentó faltates y sobranten ensu caja</t>
  </si>
  <si>
    <t>6 smmlv + 1 si favorable</t>
  </si>
  <si>
    <t>Julio Hernando Arevalo A.</t>
  </si>
  <si>
    <t>0224 2003</t>
  </si>
  <si>
    <t>Retiró documentos de la entidad para realizar unas operasciones por fueras de la ofiicna</t>
  </si>
  <si>
    <t>Desfavorable 2006</t>
  </si>
  <si>
    <t>Jorge Cadavid Jaller</t>
  </si>
  <si>
    <t>2002-0955</t>
  </si>
  <si>
    <t>Arengas e insultos en su jornada de trabajo y sin permiso sinduial ese día - se sancionó con 1 día</t>
  </si>
  <si>
    <t>En septiembre de 2006 se envió para el archivo: 
• Liquidación: 10/10/2005
Propuesta de conciliación: pagar el día y mantenr la decisión y 0.5 smlv de costas</t>
  </si>
  <si>
    <t>088 - 2000</t>
  </si>
  <si>
    <t>Aprobacion irregular de un credito el 5 septiembre 96, para comprar un vehículo de propiedad del actor, supimos por reclamo del cliente vencido</t>
  </si>
  <si>
    <t>$1.523.899 por moratoria en el pago</t>
  </si>
  <si>
    <t>Montelibano</t>
  </si>
  <si>
    <t>Promiscuo Circuito</t>
  </si>
  <si>
    <t>Trabajó menos de 20 años en le Basnco y pide una pensión a cargo del Banco</t>
  </si>
  <si>
    <t xml:space="preserve">6 smmlv </t>
  </si>
  <si>
    <t xml:space="preserve">En septiembre de 2006 se envió para el archivo:                       • Liquidación costas: 24/02/2006
• Aprobación liquidación: 03/03/2006
• Audiencia pública: 15/02/2006
• Conciliación: 29/09/2005
• Presentación demanda: 15/03/2005
• Contestación demanda: 06/06/2005
• Acta de no conciliación: 08/11/2004
</t>
  </si>
  <si>
    <t>241 - 01</t>
  </si>
  <si>
    <t>Fueron afiliados oportunamente por IVM - alegan cláusula contrato de trabajo</t>
  </si>
  <si>
    <t>(8.000.000/11) 50% y 50%</t>
  </si>
  <si>
    <t>Leopoldo Mena Fernandez</t>
  </si>
  <si>
    <t>0103-01</t>
  </si>
  <si>
    <t>548 - 2002</t>
  </si>
  <si>
    <t>Reajuste de la primera mesada pensional</t>
  </si>
  <si>
    <t>Amado de Jesús Gómez Fonseca</t>
  </si>
  <si>
    <t>Demanda acumulada piden indexación</t>
  </si>
  <si>
    <t xml:space="preserve">favorable 28 de marzo 2006 </t>
  </si>
  <si>
    <t>5924 - 01</t>
  </si>
  <si>
    <t xml:space="preserve">Despido con justa causa </t>
  </si>
  <si>
    <t>2003 - 0020</t>
  </si>
  <si>
    <t>Fue despedido cjc por irregularidades en procesos de arqueo en la sucursal, en la cual se desempeñaba como administrador de efectivo</t>
  </si>
  <si>
    <t xml:space="preserve">En septiembre de 2006 se envió para el archivo:
• Liquidación costas: 14/06/2006
</t>
  </si>
  <si>
    <t>el resultado es muy incierto  y por tanto la probabilidad de fallo adverso es latente</t>
  </si>
  <si>
    <t>Pide que su indemnización sea con las tablas de la ley 50 de 1990</t>
  </si>
  <si>
    <t>$7,225,556,80 (Reajuste del monto de la Indemnización por despido injusto), $432,544,94 (Indexación); $2mm costas</t>
  </si>
  <si>
    <t xml:space="preserve"> En septiembre de 2006 se envió para el archivo:
• Audiencia juzgamiento: 10/05/2006
• Copia del pago: 19/07/2006</t>
  </si>
  <si>
    <t>Itagui</t>
  </si>
  <si>
    <t>072 - 2006</t>
  </si>
  <si>
    <t>el resultado es muy inciertoy  por tanto la probailidad de fallo adverso es latente</t>
  </si>
  <si>
    <t>Se despidio sin justa cuasa; por una lesion en una rodilla dice que no se le podía despedir sin autorización del Ministerio</t>
  </si>
  <si>
    <t>Conciliado 2006</t>
  </si>
  <si>
    <t>Luis Alfonso Cuellas Valencia</t>
  </si>
  <si>
    <t xml:space="preserve">En septiembre de 2006 se envió para el archivo:                     • Presentacion demanda: 14/02/2006
• Admisión demanda: 03/05/1999
• Conciliación: 15/01/1999
• Conciliación: 06/07/2006
• Terminación contrato: 04/11/1998
• Audiencia juzgamiento: 05/10
• Paz y salvo: 14/07/2006
</t>
  </si>
  <si>
    <t>Libano</t>
  </si>
  <si>
    <t>civil</t>
  </si>
  <si>
    <t>La demandante  inicio labores  en  1967 en la sucursal del libano tolima  y sólo se afilia   hasta 1978,</t>
  </si>
  <si>
    <t>2003 / 0324</t>
  </si>
  <si>
    <t>Favorable 2006 06 21 21/6/06 SENTENCIA: NO CASA CON COSTAS. Expediente devuelto al tribunal de origen el 31/7/06</t>
  </si>
  <si>
    <t>El valor inicial de pension se hizo con el promedio salarial del ultimo año de servicios.</t>
  </si>
  <si>
    <t>En septiembre de 2006 se envió para el archivo:                    • Liquidación crédito: 20/04/2006</t>
  </si>
  <si>
    <t>2005-064</t>
  </si>
  <si>
    <t>honorarios</t>
  </si>
  <si>
    <t xml:space="preserve">fue abogado de procesos ejecutivos y demanda honorarios por 40 mm. </t>
  </si>
  <si>
    <t>Pasó a jurídica</t>
  </si>
  <si>
    <t>1.800.00 (50%, 20% 1 ins y 30 2 i)</t>
  </si>
  <si>
    <t>Reconocimiento relacion laboral</t>
  </si>
  <si>
    <t xml:space="preserve">Fue celador de un edifico donde  Conavi tenjía 3 aptos,   entre diciembre de 2000 y  diciembre de 2.003.  Demanda a todos los copropietarios. </t>
  </si>
  <si>
    <t>2.000.00 (50%, 20% 1 ins y 30 2 i)</t>
  </si>
  <si>
    <t xml:space="preserve">086 2006 </t>
  </si>
  <si>
    <t xml:space="preserve">pide la compatiblidad de la pensión con la del  ISS, ya que sentró a comartir en 1997 cuando no habia lugar a ello. </t>
  </si>
  <si>
    <t>CUCUTA</t>
  </si>
  <si>
    <t>Laboró entre el 1 de febrero de 1970 y el 16 de octure de 1996, reclama una pensión reglamentaria</t>
  </si>
  <si>
    <t>Favorable 2005 10 12</t>
  </si>
  <si>
    <t>El 19 de nov cumplío 55 años y pide la pensión desde entonces</t>
  </si>
  <si>
    <t>desfavorable 14 de febrero de 2006</t>
  </si>
  <si>
    <t xml:space="preserve">0245 2002  </t>
  </si>
  <si>
    <t>Trabajo en el Banco de Colombia desde el  1 de julio de 1957 al 30 de diciembre de 1966.Con “Bancolombia S.A.” esta solidariamente demandado el “Banco Ganadero S.A.”.</t>
  </si>
  <si>
    <t>Edgar Piñeros Rubio</t>
  </si>
  <si>
    <t>200-279</t>
  </si>
  <si>
    <t>Existe antecedente de fallos favorables  al banco por los mismos hechos</t>
  </si>
  <si>
    <t xml:space="preserve">pide la nivelación salarial comparándose con trabajadores del BIC que desarrollan las mismas funciones. </t>
  </si>
  <si>
    <t>Favorable 2006 04 25</t>
  </si>
  <si>
    <t xml:space="preserve">• Recurso casación: 25/04/2006
• Presentación demanda
Audiencia tribunal: 28/08/2003
</t>
  </si>
  <si>
    <t>2005 01194</t>
  </si>
  <si>
    <t>Reajuste indemnizacion</t>
  </si>
  <si>
    <t>Se despidio sin justa cuasa; solicita reajuste de indemnizacion de acuerdo con la tabla convencional y la ley 50 de 1990</t>
  </si>
  <si>
    <t>Jorge Orlando Tamayo Lopera</t>
  </si>
  <si>
    <t>Recibió chequera y no la custodió ni verificó cheuques y laertas. Se perdieron 13 cheques y hubo fraude</t>
  </si>
  <si>
    <t>Era abogado externo civil del Banco, se presentó demanda de reconvención</t>
  </si>
  <si>
    <t>No casa        01-09-2008</t>
  </si>
  <si>
    <t>Proceso que por pretensión pertenece al área juridica se entrega a aAgeueda Herrrera en agosto de 2006</t>
  </si>
  <si>
    <t>Era abogado externo civil del Banco</t>
  </si>
  <si>
    <t>00199-2005</t>
  </si>
  <si>
    <t>Existe fallo en contra en 2 instancia</t>
  </si>
  <si>
    <t>Cambió un cheque por $5.323.762 a favor de persona juridica con el cual se iba a pagar una TC Cayman</t>
  </si>
  <si>
    <t xml:space="preserve">• Paz y salvo: 24/07/2006
• Presentación demanda: 23/02/2005
• Admisión demanda: 10/03/2005
• Recurso de apelación: 30/11/2005
• Liquidación costas: 07/07/2006
</t>
  </si>
  <si>
    <t>0157/2005</t>
  </si>
  <si>
    <t>el resultado es muy incierto y por tanto la probabilidad de fallo adverso es latente</t>
  </si>
  <si>
    <t>pide jubilación a cargo del banco, alnaxzó a trabajar  10 años sin cobertra del ISS</t>
  </si>
  <si>
    <t>REAJUSTE PENSION</t>
  </si>
  <si>
    <t>El 18 de octubre de 2002, se alegó de conclusión ante el ad-quem y se dictó sentencia el 13 de abril de 2004, que confirmó la sentencia de primera instancia (Juzgado Primero Laboral del Circuito), que absolvió al Banco de todas las pretensiones de la demanda. En el Juzgado de origen fue archivado en Octubre de 2004</t>
  </si>
  <si>
    <t>Externa</t>
  </si>
  <si>
    <t>Se le inpuso una sancion disciplinaria</t>
  </si>
  <si>
    <t>Primera</t>
  </si>
  <si>
    <t>Persona</t>
  </si>
  <si>
    <t>312 99</t>
  </si>
  <si>
    <t>Concilió con el Banco por algunas irregularidades que condujeron a un robo, hoy dice que fue por presión el arreglo</t>
  </si>
  <si>
    <t>Favorable 2006 08 15. SENTENCIA: NO CASA CON COSTAS. Expediente devuelto al tribunal de origen</t>
  </si>
  <si>
    <t>Israel mendoza Villamizar</t>
  </si>
  <si>
    <t>EL PRESENTE PROCESO SE FIJA EL LIQUIDACION DE COSTAS POR EL TERMINO DE UN DIA, PERMANEZCA EN SECRETARIA PARA LAS PARTES POR EL TERMINO DE TRES, SE?ALA COMO AGENCIAS EN DERECHO LA SUMA DE $ 1;300;000, GASTOS JUDUCIALES</t>
  </si>
  <si>
    <t>Trabajó en Anserma entre el 65 y el 82; tuvo cobertura ISS desde 1971, pide una pension a cargo del Banco, la carpeta de empleada se extravió</t>
  </si>
  <si>
    <t>Segunda</t>
  </si>
  <si>
    <t>banco lo  pensión en 1988, pensión compatible</t>
  </si>
  <si>
    <t>REVOCA DECISION, DECLARA PROBADA LA EXCEPCION; COSTAS EN AMBAS INSTANCIAS PARTE DEMANDANTE</t>
  </si>
  <si>
    <t>No</t>
  </si>
  <si>
    <t>0916-2005</t>
  </si>
  <si>
    <t>940 2001</t>
  </si>
  <si>
    <t>Despido por incumplir prohibiciones establecidas en el Codigo de Conducta.</t>
  </si>
  <si>
    <t>6,5 smmlv</t>
  </si>
  <si>
    <t>0500131050032003003600</t>
  </si>
  <si>
    <t>ACCION REINTEGRO</t>
  </si>
  <si>
    <t>Conciliacion irregular d epartidas contables, ocultamiento de sus irregualridades, impostor de firmas  y hacer firmas a subalternos operaciones que aquellos no realizaron</t>
  </si>
  <si>
    <t xml:space="preserve">• Contestación: 26/04/2005
• Audiencia juzgado: 28/11/2005
• Audiencia tribunal: 17/03/2006
• Historia laboral
</t>
  </si>
  <si>
    <t>2003-0702</t>
  </si>
  <si>
    <t>05001310500420030070200</t>
  </si>
  <si>
    <t>Fue despedida por realizar operaciones en el enlinea con claves de clientes</t>
  </si>
  <si>
    <t>2004-1106</t>
  </si>
  <si>
    <t>05001310500620040110600</t>
  </si>
  <si>
    <t>Alega despido injusto. Probabilidades de éxito 95% por contar con los procesos disciplinarios requeridos</t>
  </si>
  <si>
    <t>2006-086</t>
  </si>
  <si>
    <t>11001310501120060008600</t>
  </si>
  <si>
    <t>Pide pension extralegal de jubilacion</t>
  </si>
  <si>
    <t>360 - 00</t>
  </si>
  <si>
    <t>Se retiró por mutuo acuerdo</t>
  </si>
  <si>
    <t>2003-0873</t>
  </si>
  <si>
    <t>05001310500520030087300</t>
  </si>
  <si>
    <t>Fue despedido por un faltante en caja de $47000</t>
  </si>
  <si>
    <t>10/10/06   AUTO DECLARA DESIERTO EL RECURSO.  09/08/06 30145 Radicado</t>
  </si>
  <si>
    <t>2006-290</t>
  </si>
  <si>
    <t>OBEDEZCASE Y CUMPLASE LO RESUELTO POR EL SUPERIOR , ADMITE DEMANDA ORDENA NOTIFICAR AL DEMANDADO CORRE TRASLADO;JC,; .    TRIB. SUPERIOR DEL DISTRITO JUDICIAL SALA LABORAL 10/10/06 REVOCA AUTO, SIN COSTAS; SALVAMENTO DE VOTO DRA; DAZA FERNANDEZ</t>
  </si>
  <si>
    <t>Ejecitivo</t>
  </si>
  <si>
    <t>2005-675</t>
  </si>
  <si>
    <t>11001310501820050067500</t>
  </si>
  <si>
    <t xml:space="preserve">luego de proceso ordinario  sobre indexacion de pension,  el  banco  liquido condena teniendo en cuenta compartibilidad de la pension,  con la que no estuvo  de acuerdo el abogado  demandante.  </t>
  </si>
  <si>
    <t>Favorable 2006.  29/09/06  CONFIRMA AUTO; SIN COSTAS,.     LABAL  TRIB. SUPERIOR DEL DISTRITO JUDICIAL SALA LABORAL  ORDINARIO  2005-675  JOSE VICENTE SANCHEZ  BANCOLOMBIA  12/09/06  ESTADOS ART. 321 C.P.C.     BOGOTA  Resuelve:  AUTO FIJA FECHA DE FALLO PARA EL DIA 29-09-06 A LAS 3:00PM; AUTO CORRE TRASLADO A LAS PARTES POR EL TERMINO DE 5 DIAS DEL ART; 40 DE LA LEY 712 DE 2001;CM,; 
.     PREVIO, PASAR AL DESPACHO DEL DR; MONTOYA MILLAN;CM  TRIB. SUPERIOR DEL DISTRITO JUDICIAL SALA LABORA</t>
  </si>
  <si>
    <t>primera</t>
  </si>
  <si>
    <t>0906-05</t>
  </si>
  <si>
    <t>indexacion mesada pensional</t>
  </si>
  <si>
    <t>existen antecedentes  favorables por los mismos hechos</t>
  </si>
  <si>
    <t>demandante solicita indexacion de pension reconocida en 1988,  Hubo proceso anterior sobre lo mismo y el  banco lo gano</t>
  </si>
  <si>
    <t>7 SMLMV</t>
  </si>
  <si>
    <t>Señala que en el año 1998 fue designado "verbalmente" para el cargo de Cajero, al cual sólo fue ratificado el 27 de Julio de 2000.</t>
  </si>
  <si>
    <t>Paula Cristina Vega Hernández</t>
  </si>
  <si>
    <t>SE CONCILIO POR 27.300.000 YA QUE LA CUANTIA NO  DABA PARA RECURRIR EN CASACION.</t>
  </si>
  <si>
    <t>155-2005</t>
  </si>
  <si>
    <t>el resultado es muy incierto ypor tanto la probabiildad de fallo adverso es latente</t>
  </si>
  <si>
    <t>pide indexacion de mesada pensional</t>
  </si>
  <si>
    <t>Charria &amp; Camacho Abogados Asociados Limitada &lt;chacalop@cable.net.co&gt;</t>
  </si>
  <si>
    <t>0448 2004</t>
  </si>
  <si>
    <t>Presentó un faltante en caja por $2 mm y no lo reportó</t>
  </si>
  <si>
    <t>Favorable 2006 12 05</t>
  </si>
  <si>
    <t xml:space="preserve">La demandante laboró desde e1972 y fue afiliada desde 1982 porque antes  el ISS no teníoa cobertura.  </t>
  </si>
  <si>
    <t>Favorable 2006 11 26</t>
  </si>
  <si>
    <t>Alega que no se incluyeron en la liquidación todos los factores, en esepcial por vacaciones</t>
  </si>
  <si>
    <t>Favorable 25/4/06 Auto que declara desierto el recurso a la demandante recurrente. El proceso fue devuelto al tribunal.</t>
  </si>
  <si>
    <t>244 - 02</t>
  </si>
  <si>
    <t xml:space="preserve">laboró entre el 5 de juniio de 1975  y mayo de 1996.  Reclama pensión de jubilación por cumplir más de 20 años de servicios. </t>
  </si>
  <si>
    <t xml:space="preserve">21/02/06 SENTENCIA: NO CASA SIN COSTAS </t>
  </si>
  <si>
    <t>523 2001</t>
  </si>
  <si>
    <t>11001310501420010052300</t>
  </si>
  <si>
    <t>Declarar que no hubo justa causa .  Pago indemnización, moratoria, Fue despedido por activación indebida de tarjeta crédito para cumplir metas.</t>
  </si>
  <si>
    <t>125 2002</t>
  </si>
  <si>
    <t>11001310500120020012500</t>
  </si>
  <si>
    <t>Trabajo en el Banco por mas de 25 años y cumplio los 55 años de edad.</t>
  </si>
  <si>
    <t>Victor Manuel Cardenas Valero</t>
  </si>
  <si>
    <t>22540???</t>
  </si>
  <si>
    <t>Incapacidad superior a 180 días</t>
  </si>
  <si>
    <t>99 - 0166</t>
  </si>
  <si>
    <t>11001310500519990016600</t>
  </si>
  <si>
    <t>Deamanda jublacion RELIQUIDACION DE CESANTÍAS, INTERESES, PAGO DE PRIMA, BONIFICACIONES ESTRALEGALES, PENSION DE JUBILACIÓN, INTERESES MORATORIOS, INDEMNIZACION MORATORIA, RELIQUIDACIÓN DE INDEMNIZACIÓN, INDEXACIÓN Y COSTAS</t>
  </si>
  <si>
    <t>auto acepta desistimiento 13 feb/07. AUTO QUE ORDENA TRASLADO AL RECURRENTE, INICIO DEL TRASLADO EL 5-12-2006.    09/10/06 AUTO CONCEDE RECURSO EXTRAORDINARIO DE CASACION INTERPUESTO POR EL APODERADO DE LA PARTE DEMANDANT</t>
  </si>
  <si>
    <t xml:space="preserve">723 2000 </t>
  </si>
  <si>
    <t>11001310501120000072300</t>
  </si>
  <si>
    <t>El esposo de la demandante, Santiago Sanchez, laboro del 17 de Octubre de 1950 y el 1 de Julio de 1977,</t>
  </si>
  <si>
    <t>TERMINADO.  10/02/2007 CSJ no  casa absolutorio.  30 marzo 2006  al  despacho para fallo.  Rad CSJ 28175; 28 de nov 2005 inicio traslado al recurrente.   Está cursando en la Corte Suprema de Justicia, Sala Laboral (Exp. 28.175), el recurso interpuesto por la accionante contra el fallo absolutorio de segunda instancia.</t>
  </si>
  <si>
    <t>10/02/2007 CSJ no  casa absolutorio.</t>
  </si>
  <si>
    <t>686/2003</t>
  </si>
  <si>
    <t>11001310501020030068600</t>
  </si>
  <si>
    <t>se terminó el contrato a término fijo, pero ella alega que  nunca se le dio el aviso de no prórroga.</t>
  </si>
  <si>
    <t xml:space="preserve">TERMINADO.   25 DE ABRIL  BANCO  CANCELO A LA DEMANDANTE $7.236.000 A QUE FUE CONDENANDO EN FALLO DE 1 INSTANCIA.   FIJA FECHA AUDIENCIA DE FALLO,CITA PARA LECTURA DEL FALLO EL 12 DE DICIEMBRE DE 2006 A LAS 8:30AM .       fallo 22 de noviembre de 2.006.  2006 06 01 fallo primera instancia.    Está señalado el 14 de Octubre del año 2.005 para la expedición de la sentencia de primera instancia  </t>
  </si>
  <si>
    <t>rafael antonio celys salamanca</t>
  </si>
  <si>
    <t>2 laboral de Florencia</t>
  </si>
  <si>
    <t>en octubre de 2.001 recibió una consignación por 1.200.000 que no aparece registrada en el sistema</t>
  </si>
  <si>
    <t>TEMRINAOD.  NINIEGAN PERMISO PARA DESPEDIRLA. pendiente apelacion demandante.  23 de febrero de 2.006 banco aporta convención coLectiva</t>
  </si>
  <si>
    <t>10 SMLMV</t>
  </si>
  <si>
    <t>2005 - 1032</t>
  </si>
  <si>
    <t>11001310502020050103200</t>
  </si>
  <si>
    <t>CORFINSURA</t>
  </si>
  <si>
    <t>funcionaria que laboró en Corfinsura, que posteriormente paso a Suleasing y finalmente quedo en Suleasing Internacional y de allí fue despedida sin justa causa y liquidada legalmente, todos esos cambios fueron soportados con su renuncia y un nuevo contrato en cada una de las Entidades mencionadas, sin embargo en el momento de su desvinculación ella estaba alegando sustitución patronal y por esto creo que nos demando.</t>
  </si>
  <si>
    <t>24 04 06 1T;pendiente resolver excepciones</t>
  </si>
  <si>
    <t>Jorge Borrero Zea</t>
  </si>
  <si>
    <t>3 mm + 5 smmlv</t>
  </si>
  <si>
    <t>432/2.002</t>
  </si>
  <si>
    <t>11001310500120020043200</t>
  </si>
  <si>
    <t>Pensión de Sobrevivientes a favor de los demandantes, como herederos de la extrabajadora de  “Bancolombia S.A.”, Señora GLORIA ESMERALDA  MONTENEGRO RUBIO, así como reajustes, intereses moratorios e indexación sobre aquella. Es demandado el I.S.S. y “Bancolombia S.A.”  se encuentra vinculado como “Litis consorte necesario”.</t>
  </si>
  <si>
    <t>TERMINADO PARA EL  BANCO.  31 de enero de 2007 codnen al  ISs a pensión de sobrevivientes,  ISS no apeló. El 31 de enero de 2007 a las 3:00 p.m., se llevará a cabo la audiencia de juzgamiento..   26 de julio de 2.006 inspección judicial.  2006 02 22 8:30 a.m. Interrogatio parte.     El Banco está interviniendo desde el 5 de Noviembre del 2004. Las pruebas que tiene solicitadas,  serán decretadas en próxima fecha</t>
  </si>
  <si>
    <t xml:space="preserve"> 0933-2000</t>
  </si>
  <si>
    <t>Se despidió por algunas irregularidades en el manejo de dieneros en la suc Unicentro</t>
  </si>
  <si>
    <t xml:space="preserve">terminado.    Banco  cancela ante el  Banco  agrario la condena y el  valor de las costas $5.000.000,  pendiente opr el  abogado entrega del  títuo.   NIEGA EL RECURSO DE CASACION PRESENTADO POR LA PARTE DEMANDADA.    banco interpone casacion 11 de agosto  2006.  AUTO FIJA FECHA DE FALLO PARA EL 31 DE JULIO DE 2006 A LAS 3:00 P;M;CM,Está en el Tribunal Superior del D.J. de Bogotá, Sala Laboral, tramitándose la alzada  interpuesta por la parte actora, contra el fallo absolutorio de primera instancia. Fue inicialmente señalado el 31 de Marzo del año que avanza, para la expedición del proveído que debe resolver dicho recurso, pese a lo cual no se produjo la decisión y se carece aún de nueva fecha al efecto. </t>
  </si>
  <si>
    <t>$6.250.578 más $1.560.000 por costas</t>
  </si>
  <si>
    <t>Antonio Julio angulo Kleber</t>
  </si>
  <si>
    <t>En 1997 interrumpió la prescripción de la acción</t>
  </si>
  <si>
    <t>el banco actúa como demandante</t>
  </si>
  <si>
    <t>el trabajador tuvo descuadres no reportados manejando la caja en maizaro Villavicencio</t>
  </si>
  <si>
    <t>pendiente apelacion del  banco.  26 DE ENERO DE 2006 RESPUESTA A OFICIOS Y DESPACHOS COMISORIOS</t>
  </si>
  <si>
    <t xml:space="preserve">8 marzo 2007 niegan permiso para depedirlo. </t>
  </si>
  <si>
    <t>El demandante laboró desde 1973 en Libano y fue afiliado en 1982</t>
  </si>
  <si>
    <t>TERMINADO PARA TODOS MENOS PAAR MANUEL  DAVILA RIOS, PENDIENTE CASACION DEL  BANCO PUES HUBO  FALLO CONDENATORIO.  .  Para el  caso de Myriam Peña Ortega la CSJ niega casacion de la demandante, favorable al  banco y se termina el  proceso.  casación presentada el  04-12-2006. pendiente casacion del  banco  respecto de Manuel  Davila. Para Rosa margarita Sáenz Peña se terminó el  proceso,  ya que se concilió por 24 mm y  se ingresó a la nómina de jubilados.  el  Tribunal   de Ibagué para el  caso de Peláez y Bonilla fallo favorablemente al  Banco,  pero en el  caso de Manuel  Dávila condenó a pensión restringida  a partir del  2011.  este señor fue despedido con justa causa, por lo que no  habría lugar a la pensión del  art. 8 de la Ley 171 de 1961.  es de anotar que él entabló pleito contra el  banco por el  depsido,  pero  fue ganado en 1997 con fallo de 2 instancia. Pendiente apelación demandante.</t>
  </si>
  <si>
    <t>320-2004</t>
  </si>
  <si>
    <t>Se otorgó una pension y pide su reajuste</t>
  </si>
  <si>
    <t>TERMINADO.  SE CONCILIO EN L MINISTERIO DE TRABAJO POR  $72.480.025 EL  12 DE ABRIL DE 2.007.  30-11-200 se presenta oposición del  banco a casación.  AUTO QUE RECONOCE PERSONERIA JURIDICA AL DR; JOSE ROBERto HERRERA VERGARA COMO APODERADO DEL OPOSITOR.    AUTO ORDENA TRASLADO AL OPOSITOR, INICIO DEL TRASLADO AL OPOSITOR 1-11-2006.     ORDENA CORRE TRASLADO A LA RECURRENTE FECHA DE INCIO 13-09-06 FECHA FINAL 25-10-06.   ADMITE RECURSO 24 agosto 2006 CSJ admite casacion demandante.  EN 2 INSTANCIA (TRIBUNAL SUPERIOR) CONCEDE PRORROGA PERITO ; CONCEDE EN EFECTO SUSPENSIVO APELACION DEL FALLO FECHADO 12/08/05.     Pendiente apelación</t>
  </si>
  <si>
    <t>Jorge Fernando Perdomo Polanía</t>
  </si>
  <si>
    <t>Revisar posibilidad de conciliar el proceso</t>
  </si>
  <si>
    <t>TERMINADO.  CUANTIA NO DA PARA RECURRIR EN CASACION. pendiente audiencia fallo Tribunal.   2003 11 10 audiencia de conciliacion</t>
  </si>
  <si>
    <t>0407 99</t>
  </si>
  <si>
    <t>Trabajó entre el 9 de marzo 60 y 1 de abril 80, afiliado oportunamente al ISS</t>
  </si>
  <si>
    <t>Pendiente si se acudió o no en casasión</t>
  </si>
  <si>
    <t>2004 00407 00</t>
  </si>
  <si>
    <t>Presentó un faltante en caja de $3,990,000</t>
  </si>
  <si>
    <t>2a audiencia de trámite 8 febrero 2.005</t>
  </si>
  <si>
    <t>José Bedoya de la Ossa</t>
  </si>
  <si>
    <t>0046/2004</t>
  </si>
  <si>
    <t>11001310501920040004600</t>
  </si>
  <si>
    <t>la pensionada solicita reajuste de la mesada pensional  por haber reconocido la pension en vigencia de la ley 100 de 1993</t>
  </si>
  <si>
    <t>Desfavorable 2007</t>
  </si>
  <si>
    <t>2005-0299</t>
  </si>
  <si>
    <t>05001310500820050029900</t>
  </si>
  <si>
    <t>No declaró sobrante en  caja, fallas de procedimiento</t>
  </si>
  <si>
    <t>Conciliado 2007</t>
  </si>
  <si>
    <t>Acción de reintegro prescrita pues no se pidió en la demanda</t>
  </si>
  <si>
    <t>1089 2006</t>
  </si>
  <si>
    <t>05001310501520060108900</t>
  </si>
  <si>
    <t>el resultado es muy incierto y por tanto la probailidad de fallo adverso es latente</t>
  </si>
  <si>
    <t>Cajero en Av Nutibara (Conavi) no hicieron bien un arqueo y se perdieron $10 mm</t>
  </si>
  <si>
    <t>2007-309</t>
  </si>
  <si>
    <t>El resultado es incierto y por tanto la probabilidad de fallo adverso es latente</t>
  </si>
  <si>
    <t xml:space="preserve">Despido con justa causa por bajo rendimiento; malos resultados en evaluaciones de desempeño. </t>
  </si>
  <si>
    <t>Valor conciliado $100</t>
  </si>
  <si>
    <t>Trabajó al serviico del Banco sin derecho a una pensión a cargo de este</t>
  </si>
  <si>
    <t>Esta pendiente señalen fecha de fallo, con respuesta que debe realizar el ISS Risaralda.    FALLO:  OCTUBRE 07 A LAS 4:00 P.M</t>
  </si>
  <si>
    <t>No casa        10-07-2007</t>
  </si>
  <si>
    <t>6 smlv</t>
  </si>
  <si>
    <t>0038 - 2000</t>
  </si>
  <si>
    <t>11001310500520000003800</t>
  </si>
  <si>
    <t>Era ejecutivo de b.p. En Bogotá</t>
  </si>
  <si>
    <t>Pendiente si procecede casacion</t>
  </si>
  <si>
    <t>Adriana Bautista Carrero calle 59 C 38-29 sur de bogotá</t>
  </si>
  <si>
    <t>0408 - 2000</t>
  </si>
  <si>
    <t>Manejo irregular de comprobantes contables -gastos cafeteria en la calera</t>
  </si>
  <si>
    <t xml:space="preserve">Se encuentra en trámite ante la Corte suprema de Justicia Sala de Casación Laboral por el recurso de casación interpuesto por el apoderado de la demandante contra la sentencia de segunda instancia que revocó las condenas impuestas por el Juzgado Sexto Laboral..   desde 18 julio de 2.006 pendiente fallo casacion.  Pendiente casacion ddte; banco  presentó oposición el  pasado  29 de julio de 2006. </t>
  </si>
  <si>
    <t>2003 11</t>
  </si>
  <si>
    <t>2005 04 29</t>
  </si>
  <si>
    <t>No casa</t>
  </si>
  <si>
    <t>Felipe a. Vela Valderrama</t>
  </si>
  <si>
    <t>Accion de reintegro prescrita</t>
  </si>
  <si>
    <t>Arauca</t>
  </si>
  <si>
    <t>existen antecedentes de fallos favorables al banco por los mismsos hechos</t>
  </si>
  <si>
    <t>9 de julio de 2003 fue despedida con JC por haber hecho transferencia a cuenta de su esposo desde  la cuenta del cliente sin autorizacion</t>
  </si>
  <si>
    <t xml:space="preserve">.Condenan al  pago de $13.573.562 como  indemnizacion legal,  no mencionan la convenciona.  10 de abril de 2007 niegan casacion del  banco por falta de cuantia,  pendite pagod e condena. Pendiente apelación  del  banco. .  fallo 28 de febrero de 2.006.  </t>
  </si>
  <si>
    <t>Maritma Perez Huertas</t>
  </si>
  <si>
    <t>7.5 smlmv:  50% a la contestacion y 50% al fallo 1 o 2 instancia</t>
  </si>
  <si>
    <t>Hernan Javier Tocaria</t>
  </si>
  <si>
    <t>Condenaron al pago de la indemnización legal por $13.573.562.</t>
  </si>
  <si>
    <t>0085-2004</t>
  </si>
  <si>
    <t>17 de octubre demandante interpone recurso de suplica contra fallo absolutorio de 2 instancia, pendiente de resolver.  31 de julio de 2.006 se corre traslado a las partes para alegatos ante el  tribunal . 14/06/2006: NO HABIENDOSE INTERPUESTO RECURSO ALGUNO, SE ORDENA CONSULTA ANTE EL TRIBUNAL; CONTINUAR CON LA TERCERA AUDIENCIA, SE PRESENTO EL APODERADO DE LA PARTE DEMANDANTE, SE SUSPENDE LA PRESENTA Y PARA SU CONTINUACION SE FIJA 07/03/06 4:00PM.      TERCERA AUDIENCIA; SE PRESENTO EL APODERADO DE LA PARTE DEMANDANTE; SE ACCEDE A LO SOLICITADO POR LA PARTE DEMANDANTE EN SUSPENDER LA PRESENTE DEMANDA;CONTINUACION 02/02/06 11:00AM.    pendiente  respuesta oficio al Banco 16 septiembre/05</t>
  </si>
  <si>
    <t>2004-00040</t>
  </si>
  <si>
    <t>El demandante laboro desde 1 de marzo de 1954 hasta el 1 de agosto de 1962, cobertura ISS a partir de agosto 1967</t>
  </si>
  <si>
    <t>Tribunal   falló favorablemente al  Banco el  pasado  28 de junio de 2006, pendiente apelación demandante.</t>
  </si>
  <si>
    <t>Jorge Hernando Rangel Echeverry</t>
  </si>
  <si>
    <t>0540 2000</t>
  </si>
  <si>
    <t xml:space="preserve">Se retiró mediante acta conciliada, pide qye se reliquiden prestaciones y salarios moratorios </t>
  </si>
  <si>
    <t xml:space="preserve">SE ALEGO EN EL TRIBUNAL. PENDIENTE  FALLO  DE SEGUNDA INSTANCIA </t>
  </si>
  <si>
    <t>Luis Leones Serrano</t>
  </si>
  <si>
    <t>0108 03</t>
  </si>
  <si>
    <t>Gestor</t>
  </si>
  <si>
    <t xml:space="preserve">El señor presto sus servicios al banco entregando tarjetas en Monteria durante 15 años en la actualidad pide se le reconzca que existio contrato de trabajo </t>
  </si>
  <si>
    <t>Fallo el 10-03-2006. 22 de julio de 2005 fallo pero no se realizó pendiente nueva fecha.      4T.    Inspección judicial el 22 de octubre de 2003.   se contesto demanda el dia 16 de amyo de 2003</t>
  </si>
  <si>
    <t>120 04</t>
  </si>
  <si>
    <t>Presentó sobrantes en caja los días 24 y 25 de febrero de 2002</t>
  </si>
  <si>
    <t>S E CONCEDE LA APELACION CONTRA SENTENCIA DE 4 SEP/06      4A AUD DE TRÁMITE EN ESPERA D.C. LIBRO JUZGADO LABORAL RPTO B/QUILLA, 23 MZO/06/8:00 AM.    9 de junio de 2005  2T. Inspección judicial       8 02 2005 inspeccion judiical  2 nov 2004 2T</t>
  </si>
  <si>
    <t>042500-2004</t>
  </si>
  <si>
    <t>Alega no haber justa causa. Altas probabilidades de éxito para el Banco por el incumplimiento de normas y procedimientos</t>
  </si>
  <si>
    <t>Fallo 2a Instancia</t>
  </si>
  <si>
    <t>MANDAMIENTO DE PAGO</t>
  </si>
  <si>
    <t>luego de proceso ordinario el  banco  fue condenado a indexar mesada pensional;  Las expectativas del  demandante ascendian a 140 mm pero  el  banco  liquido 44 mm que cosigno al  juzgado,  por conpartibilidad de la pension</t>
  </si>
  <si>
    <t>Fija fecha para fallo 2a instancia el 31-08-2007 a las 4:00 PM. 1-12-2006 CORRE TRASLADO DE LAS EXCEPCIONES PROPUESTAS Y DE LA NULIDAD PROPUESTA.   pendiente objecion del  banco a mandamiento de pago</t>
  </si>
  <si>
    <t>7 smlmv</t>
  </si>
  <si>
    <t>2003 - 916</t>
  </si>
  <si>
    <t>05001310501320030091600</t>
  </si>
  <si>
    <t>Realizó transacciones en nombre de una cliente sin autorización de ella, retuvo dieneros d cliente</t>
  </si>
  <si>
    <t xml:space="preserve">FIJA FECHA DE CUARTA AUDIENCIA 04 DICIEMBRE DE 2006 8:30AM; 2006 06 29 3t.    FIJA FECHA AUDIENCIA PARA 22 DE OCTUBRE/2004 A LAS 2:30 P.M. </t>
  </si>
  <si>
    <t>La condena fue por $9.559.190</t>
  </si>
  <si>
    <t>00193-05</t>
  </si>
  <si>
    <t>EL TRABAJADOR DESPUES DE QUE FUE REINTEGRADO AL BANCO EN EL AÑO 2004 NOS DEMANDO ALEGANDO QUE EL BANCO NO HABIA CANCELADO LOS APORTES CORRESPONDIENTES A PENSION, DURANTE EL TIEMPO QUE ESTUVO DESVINCULADO CON EL BANCO.</t>
  </si>
  <si>
    <t>3 T el 05-07-2007. SE LLEVO A CABO LA SEGUNDA AUDIENCIA DE TRAMITE EL DÍA 18 DE OCTUBRE DE 2006 CITANDO AL DR. DANIEL MENDEZ</t>
  </si>
  <si>
    <t xml:space="preserve">Desistido        </t>
  </si>
  <si>
    <t>Jesús Serrano Ochoa</t>
  </si>
  <si>
    <t>El Banco hizo un pago al ISS por $11.000.000 para completar aportes a pensión.</t>
  </si>
  <si>
    <t>Firmó acta conciliacion el 7 septiembre 1999; en la liquidación quedó faltando $1.018.880</t>
  </si>
  <si>
    <t>pendiente apelacion ddte VERIFICAR SI PROCESO FINALIZÓ</t>
  </si>
  <si>
    <t>Riohacha</t>
  </si>
  <si>
    <t xml:space="preserve">No aparece en reporte Dr Valega  a dic. 05.    10 de mayo de 2005 audiencia de fallo.          4T  16  02 2005    SEÑALA FECHA AUDIENCIA PARA OCTUBRE 7/2004 A LAS 2:30 P.M., SE RECIBIRAN LOS TESTIMONIO DE GILBERTO ALZATE Y JAIME HUMBERTO CONTRERAS MORA </t>
  </si>
  <si>
    <t>11001310500119990562000</t>
  </si>
  <si>
    <t>despedido con justa causa</t>
  </si>
  <si>
    <t>fallo 2 instancia 30 abril de 2007.  pendiente fallo del  tribunal 28 febrero de 2.0007.  pendiente apelación demandante</t>
  </si>
  <si>
    <t>Acción de reintegro prescrita</t>
  </si>
  <si>
    <t xml:space="preserve">278 2001 </t>
  </si>
  <si>
    <t>11001310500920010027800</t>
  </si>
  <si>
    <t>Cumplió 50 años de edad y laboró por más de 30 años al Banco de Colombia.</t>
  </si>
  <si>
    <t>En trámite en segunda instancia por apelación del apoderado del actor. Pendiente de nueva fecha para fallo. El proceso fue enviado por descongestión judicial al tribunal de Antioquia para que profiera sentencia.     Se encuentra en el Tribunal Superior del D.J. de Bogotá, Sala Laboral, para el trámite  del recurso interpuesto por la parte actora, contra el fallo absolutorio de primera instancia. Pese ha haberse fijado el 14 de Noviembre del 2.003 para el pronunciamiento de la correspondiente decisión, ésta no se produjo y hasta el momento no hay nueva fecha  para tal fin</t>
  </si>
  <si>
    <t>99-1336</t>
  </si>
  <si>
    <t>11001310501119990133600</t>
  </si>
  <si>
    <t>Aux .cartera</t>
  </si>
  <si>
    <t xml:space="preserve">.     Por descongestión judicial el proceso fue enviado al Tribunal de Florencia para que se profiera sentencia.Está en el Tribunal Superior del D.J. de Bogotá D.C., Sala Laboral, tramitándose  la  alzada interpuesta por el actor contra la sentencia absolutoria de primera instancia. Aunque fue señalado el 29 de Octubre último para el pronunciamiento de la providencia decisoria del mencionado  recurso, ésta no se produjo y aún no se halla fijada nueva fecha para el efecto. </t>
  </si>
  <si>
    <t>108 - 2000</t>
  </si>
  <si>
    <t>11001310501420000010800</t>
  </si>
  <si>
    <t>Descuentos no autorizados, reajuste de cesantia por los días 9 y 10 julio 97</t>
  </si>
  <si>
    <t>Se halla en el Tribunal Superior de Bogotá, Sala Laboral, tramitándose la alzada interpuesta  por el accionante contra el fallo absolutorio de primera instancia. El proceso fue enviado por descongestión judicial al Tribunal de San André.   Se halla en el Tribunal Superior de Bogotá, Sala Laboral, tramitándose la alzada interpuesta  por el accionante contra el fallo absolutorio de primera instancia. Se fijó el 12 de Diciembre del año 2.003 para la expedición de la sentencia que debe resolver  el citado recurso, pero no se produjo tal pronunciamiento y hasta el momento está sin señalamiento de nueva fecha</t>
  </si>
  <si>
    <t>Lorenzo Torres R</t>
  </si>
  <si>
    <t>Condena a pagar $187.917</t>
  </si>
  <si>
    <t>521 2001</t>
  </si>
  <si>
    <t>11001310501720010052100</t>
  </si>
  <si>
    <t>en febrero de 2.001 se le impuso sanción de suspensión de 8 días por contestar groseramente a la Gerente.  Se apeló la decisión y se confirmó. Nulidad de la sanción disciplinaria de suspensión del Contrato de Trabajo. Pago de  Salarios dejados de percibir entre el 12 y el 22 de Febrero del año 2.001. Auxilio convencional  de alimentación, así como perjuicios por lucro cesante y daño emergente</t>
  </si>
  <si>
    <t>Está en el Tribunal Superior del D.J. de Bogotá, Sala Laboral, con el objeto de que sea revisada la sentencia absolutoria de primera instancia.  El proceso fue enviado por descongestión judicial al Tribunal de San Gil..   Pendiente fecha de audiencia fallo.      Está en el Tribunal Superior del D.J. de Bogotá, Sala Laboral, a fin de que sea revisada la sentencia absolutoria de primera instancia.  Para la expedición del fallo de segundo grado, nuevamente se señaló el 11 de Febrero del año 2.005</t>
  </si>
  <si>
    <t>777/2003</t>
  </si>
  <si>
    <t>11001310501820030077700</t>
  </si>
  <si>
    <t>despedido con justa causa a raiz de la reclamacion presentada por un cliente el 19 de julio de 2002 por el no pago de la factura ETB  por la suma 245,800 el empleaddo no ingraso la opracion al sistema ni reporta sobrante en el cuadre de caja.</t>
  </si>
  <si>
    <t>Fallo 2a Instancia el 25-05-2007. En el Tribunal Superior del D.J. de Bogotá, Sala Laboral, está tramitándose la revisión de la sentencia absolutoria de primera instancia. El proceso fue enviado por descongestión judicial al Tribunal de Pasto.      En el Tribunal Superior del D.J. de Bogotá, Sala Laboral, está tramitándose la revisión de la sentencia absolutoria de primera instancia. A pesar de que fue  señalado el 15 de Octubre último, para la respectiva decisión, ésta no se produjo y   hasta el momento no se fijará al efecto nueva fecha../   Continuacion interrogatorio del Banco el 15 de abril de 2004.---- el 29 de enero del 2004 a las 3:00 PM audiencia de conciliacion asistir representante legal.</t>
  </si>
  <si>
    <t>fabio rogelio cardenas higuera</t>
  </si>
  <si>
    <t>Despedido cjc por incumplir las normas de seguridad para la custodia del efectivo dejando expuestos $214'</t>
  </si>
  <si>
    <t>No aparece en reporte Dr Valega  a dic. 05..      12 de abril de 2005 4T.</t>
  </si>
  <si>
    <t>15 marzo de 2007 se concede recurso de casación. Se despidió sin justa causa y dice que por tal circunstacia no podrá aaceder a una pensión</t>
  </si>
  <si>
    <t>Declarado desierto el recurso de casación. El expediente fue remitido a la Sala de Decisión Laboral del Tribunal Superior del Distrito Judicial de Cali, para el trámite de la segunda instancia, donde se encuentra pendiente el señalamiento de fecha y hora para dictar el respectivo fallo</t>
  </si>
  <si>
    <t>2006 - 0208</t>
  </si>
  <si>
    <t>05001310501520060020800</t>
  </si>
  <si>
    <t>Trato irespetuoso a funcionarios del Banco en una oficina del Banco</t>
  </si>
  <si>
    <t>17 07 06  De lo resuelto en la continuación de la audiencia que fueron las excepciones, se concedio el recurso de apelación.    3 de mayo de 2006 1T</t>
  </si>
  <si>
    <t>?????</t>
  </si>
  <si>
    <t>Desistido</t>
  </si>
  <si>
    <t>204-02</t>
  </si>
  <si>
    <t xml:space="preserve">pendiente coprrer traslado a laspartes del  dictamenque disminuyó la cuantía el  7 de junio de 2.006. dictamen pericial $74.991.215, demandnate objetó, pendiente decisión del tribunal </t>
  </si>
  <si>
    <t>2003-00150</t>
  </si>
  <si>
    <t>despedida sin justa causa el 30 de abril del 2002 trabajo como auxiliar de proceso diurnos, auxiliar de departamento I , auxiliar de produccion,reclama reajuste del salario a partir de mayo 2001 según ascenso en el escalafon , un dia de descanso compesantorio , cesantias  intereses a las cesantias diferencia entre lo pagado y lo ganado apartir de la fecha  de ascenso, primas semestrales , indemnizacion moratoria, indenizacion por despido sin justa causa , pago de perjuicios morales, indexacion de las condenas , costas laborales, intereses moratorios a partir del momento en que la obligacion ser cancelada por el empleador.</t>
  </si>
  <si>
    <t>29 marzo/07 fallo segunda instancia.  pedniente apelación demandante.</t>
  </si>
  <si>
    <t>raul martinez nuñez paez</t>
  </si>
  <si>
    <t>Condena a pagar $2mm</t>
  </si>
  <si>
    <t>ocaña</t>
  </si>
  <si>
    <t>0110-2005</t>
  </si>
  <si>
    <t>Existen antecedentes de fallos favorables al banco por los mismsos hechos</t>
  </si>
  <si>
    <t>Laboró en  ocaña entre 1967 a 1995 y se afilió oportunamente al ISS</t>
  </si>
  <si>
    <t>21 junio  de 2.007 fallo segunda instancia. Pendiente apelación demandante. 17 noviembre 2006 fallo.  suspende fallo y llama en litisconsorcio al  ISS.  29 de set. De 2006 audiencia de fallo</t>
  </si>
  <si>
    <t>enero de 2007</t>
  </si>
  <si>
    <t>7.5</t>
  </si>
  <si>
    <t>Candelario Albor</t>
  </si>
  <si>
    <t>0109-2005</t>
  </si>
  <si>
    <t>Laboró  en ocaña entre el 2 de noviembre de 1967 al  20 de enero de 1997 y fue afiliado al ISS desde 1968</t>
  </si>
  <si>
    <t>22 de mayo de 2.007 fallo segunda instancia.  Pendinete apelación demandante. se aplaza fallo y llaman en litis consorcio al  ISS.   15 sept. 2006 auidencia de juzgamiento</t>
  </si>
  <si>
    <t>26 septiembre 2006 banco apela. 21 10 04 PRUEBA TESTIMONIAL    2 septiembre-04 testigos del Banco -</t>
  </si>
  <si>
    <t>Maria Candelaria Torres Barrera</t>
  </si>
  <si>
    <t>Condena en costas $1.784.500</t>
  </si>
  <si>
    <t>4</t>
  </si>
  <si>
    <t>El resultado es muy incierto y por tanto la probailidad de fallo adverso es latente</t>
  </si>
  <si>
    <t>Este proceso pasó a especiales de Agueda Herrera, ya que no es realmente laboral. Es un cliente que reclama los fondos de una cuenta de pensionado que  ilícitamente fueron retirados</t>
  </si>
  <si>
    <t xml:space="preserve">Pasó a Jca. por ser un proceso especial </t>
  </si>
  <si>
    <t>Proceso especial de Agueda Herrera; realmente no es laboral</t>
  </si>
  <si>
    <t>0637-2007</t>
  </si>
  <si>
    <t>11001310502020070063700</t>
  </si>
  <si>
    <t>el  resultado es muy incierto y por tanto la probabilidad de fallo adverso es latenteel  resultado es muy incierto y por tanto la probabilidad de fallo adverso es latente</t>
  </si>
  <si>
    <t>Fue despedido en juloio de 2007 por acoso sexual y  laboral con dos empleadas de la oficina</t>
  </si>
  <si>
    <t>Conciliado el 28-01-2008</t>
  </si>
  <si>
    <t>7.5 smlmv</t>
  </si>
  <si>
    <t>Conciliado el 28-01-2008 en $152.557.271,26</t>
  </si>
  <si>
    <t>11001310501519940764400</t>
  </si>
  <si>
    <t>cometió irregularidades   como gerente</t>
  </si>
  <si>
    <t>Ordena archivo el 11-09-2007. El proceso fue enviado por descongestión judicial al Tribunal de Pasto..    Se halla en el Tribunal Superior del D.J. de Bogotá D.C., Sala Laboral, tramitándose  la alzada  interpuesta por el actor contra la sentencia absolutoria de primera instancia. Fue fijado el 13 de Septiembre del año 2.002 para la expedición del fallo que desate dicho recurso, pero  tal providencia no se produjo, ni ha sido señalada nueva fecha al respecto</t>
  </si>
  <si>
    <t>Junio de 2007</t>
  </si>
  <si>
    <t>Gilberto Salazar Parada</t>
  </si>
  <si>
    <t>Conciliable pide $ 180MM</t>
  </si>
  <si>
    <t>627-2002</t>
  </si>
  <si>
    <t>11001310501320020062700</t>
  </si>
  <si>
    <t>Despedido con justa causa por inconsistencias en una acta de incineracio´n de chequeras en la sucursal la soledad</t>
  </si>
  <si>
    <t>Ordena archivo el 15-03-2007. Pendiente apelacion demandante.  AUTO CORRE TRASLADO A LAS PARTES POR EL TERMINO DE 5 DIAS DEL ART; 40 DE LA LEY 712 DE 2001   15 mayo 2006 testigos bco. 2006 01 30  9 a.m. 2T testimonios.      23 de agosto2005 fracasa audiencia conciliación</t>
  </si>
  <si>
    <t>276-00</t>
  </si>
  <si>
    <t xml:space="preserve">se venció plazo  del perito para rendir dictamen (28 junio/05),  pendiente nuevo nombramiento </t>
  </si>
  <si>
    <t>Conciliado en $30.000.000</t>
  </si>
  <si>
    <t xml:space="preserve">pte respuesta del  baco a un oficio desde el  3 de abril de 2.006 que nunca ha llegado.  demandante objetó dictamen pericial a favor del banco, pendiente de resolver.  </t>
  </si>
  <si>
    <t>279-00</t>
  </si>
  <si>
    <t>13 mayo/05 perito dio  $34.546.949, no se objetó dictamen.  Pendiente auto que niegue casaicón para recurrirlo</t>
  </si>
  <si>
    <t>271-00</t>
  </si>
  <si>
    <t xml:space="preserve">14 de abril/05 Banco pidió 2a aclaración al dictamen que no dio cuantía casación, pendiente resolver y oficiar al banco pidiendo informaicón.  .  </t>
  </si>
  <si>
    <t>272-00</t>
  </si>
  <si>
    <t xml:space="preserve">7 de junio de 2.006 dictamen desfavlorable al  banco,  se pidio aclaracion,  oponiendose el  demandante el  19 de julio de 2006.   se envió al tribunal apelación 16 de agosto 2005 </t>
  </si>
  <si>
    <t>0280/2000</t>
  </si>
  <si>
    <t xml:space="preserve">pendiente recurso de reposición  contra auto que negó´casación luego de que dictamen no diera cuantía. </t>
  </si>
  <si>
    <t>0276 /2.000</t>
  </si>
  <si>
    <t>11 diciembre/03 se negó casación, pendiente resolver recurso contra dicho auto ya que cuantía al banco arroja 55 mm</t>
  </si>
  <si>
    <t>abril de 2003</t>
  </si>
  <si>
    <t>0281 /2.000</t>
  </si>
  <si>
    <t>pendiente de resolver  obejción a peritazgo</t>
  </si>
  <si>
    <t xml:space="preserve">demandante pide aclaracion al  dictamen que dio la cuantia para recurrir.  se interpuso casación,  19 octubre/05 se adicionará sentencia pedida ´por el demandante.  </t>
  </si>
  <si>
    <t>278-00</t>
  </si>
  <si>
    <t xml:space="preserve">10 de julio de 2006 perito se ratifica en su  dictamen que no  da la cuantia y banco objeta dictamente por error grave.  pendiente aclaración  dictamen que ratificó el perito, pedida por el  Banco.  </t>
  </si>
  <si>
    <t>demandan  los mismos beneficios del  BIC</t>
  </si>
  <si>
    <t>pendiente objecion demandante sobre peritazgo a favor del banco. (57 mm)</t>
  </si>
  <si>
    <t xml:space="preserve">pendiente nombramiento nuevo perito. </t>
  </si>
  <si>
    <t>0282 - 2003</t>
  </si>
  <si>
    <t>05001310501320030028200</t>
  </si>
  <si>
    <t>Solicitan reliquidacion de conceptos de vacaciones</t>
  </si>
  <si>
    <t>19/ 07/ 06 traslado para apelar.      pendiente apelacion ddte</t>
  </si>
  <si>
    <t>9 smmlv (11 demandantes)</t>
  </si>
  <si>
    <t>pide jubilación del RIT</t>
  </si>
  <si>
    <t>Corte declara desierto recurso de Casación. Corte admite recurso de Casación. pendiente dictamen perito que detrmine cuantía para casación demandante</t>
  </si>
  <si>
    <t xml:space="preserve"> junio 2004</t>
  </si>
  <si>
    <t>2005 1257</t>
  </si>
  <si>
    <t>05001310501120050125700</t>
  </si>
  <si>
    <t>No reportó sobrante en un eecibo de EPM que tampoco diligenció</t>
  </si>
  <si>
    <t>Archivo definitivo 20-02-2009 (Caja 903). La tercera audiencia de trámite para el día 18 DEOCTUBRE A LAS 8:30 A.M para la recepción de los testimonios de la parte demandante, 12/07/2006 audiencia segunda, 2 de mayo de 2006 1T</t>
  </si>
  <si>
    <t>$60,425,513</t>
  </si>
  <si>
    <t>El Tribunal condenó al pago de indemnización por $50.777.742 más costas por $9.647.771</t>
  </si>
  <si>
    <t>562 - 2000</t>
  </si>
  <si>
    <t>11001310500120000056200</t>
  </si>
  <si>
    <t>Se hicieron defraudaciones con libretines de ahorro (6 retiros de 6 mm cada uno) en 6 sucursales diferentes; él registro unos datos en la libreta, pide además vacaciones proporcionales</t>
  </si>
  <si>
    <t>Fecha fallo 2a instancia 14-09-2007. NO ACEPTAN PONENCIA DEL DR; DIEGO ROBERTO MONTOYA, PASAR AL DESPACHO DEL DR; SERRANO BAQUERO.    AUTO FIJA FECHA DE pendiente nueva efcha fallo. FALLO PARA EL DIA 14-12-2006 A LAS 4:00PM.    pendiente apelacion demandante.  AUTO FIJA FECHA DE FALLO PARA EL fallo 2 isntancia 20 de noviembre 2006. DIA 18-10-06 A LAS 3:00PM; AUTO CORRE TRASLADO A LAS PARTES POR EL TERMINO DE 5 DIAS DEL ART; 40 DE LA LEY 712 DE 2001. Se señaló el 27 de julio de 2.006  para fallo primera instancia.  2006 04 20 10:30 continuación inspeccion judicial.        El 22 de Febrero del año 2.005, a las  nueve y media de la mañana, se oirá  uno de los  testimonios de la parte actora.       Testimonio de aristobulo camargo  cliente del banco el 24 de febrero del 2004 a la 9:30AM.</t>
  </si>
  <si>
    <t>Luis Felipe Pareja Yepes</t>
  </si>
  <si>
    <t>221 2001</t>
  </si>
  <si>
    <t>11001310500420010022100</t>
  </si>
  <si>
    <t>Piden anular art 4 de convencion colectiva de trabajo</t>
  </si>
  <si>
    <t>Fallo 2a instancia el 13-12-2007 a las 3:00 PM. Se encuentra en trámite en el Tribunal Superior de Bogotá D.C. Sala Laboral, para resolver la apelación que interpuso el apoderado del Banco contra el fallo condenatorio de primera instancia. Pendiente de fecha para fallo. Actuación registrada el 13/12/2004 a las 18:59:17.
El 29 de Octubre del cursante año, se produjo sentencia condenatoria de primera instancia. Está siendo remitido al Tribunal Superior de Bogotá, por apelación que interpuso el Banco contra el  mencionado fallo</t>
  </si>
  <si>
    <t>Se declaró una nulidad parcial en artículo de la Convención Colectiva.</t>
  </si>
  <si>
    <t>Ordena archivo 02-03-2007. Pendiente si procecede casacion</t>
  </si>
  <si>
    <t xml:space="preserve"> 0403 - 2000</t>
  </si>
  <si>
    <t>11001310500620000040300</t>
  </si>
  <si>
    <t>Despedida con justa causa</t>
  </si>
  <si>
    <t xml:space="preserve">pendiente fallo 2 instancia prograda inicialmente para el  31 de enero de 2.007 En trámite en segunda instancia por apelación interpuesta por el apoderado del demandante contra el fallo de primera instancia. Pendiente de fecha para audiencia de juzgamiento..    pendiente fecha juzgamiento 2 instancia. </t>
  </si>
  <si>
    <t xml:space="preserve">0207 2005 </t>
  </si>
  <si>
    <t>11001310501320050020700</t>
  </si>
  <si>
    <t>Entre el  2003 y el 2004 se retiraba todos los miércoles  en las tardes para reailzar un tratamiento médico, cosa que nunca ocurrió</t>
  </si>
  <si>
    <t xml:space="preserve"> Fecha fallo 2a instancia 31-01-2008 a las 4:00 PM. Audiencia 30-05-2007. FIJA FECHA AUDIENCIA O DILIGENCIA EL 25 DE ENERO DE 2007 A LAS 9:00AM PARA TESTIMONIO .       27 noviembre 2006 testigos demandada.  FIJA FECHA AUDIENCIA O DILIGENCIA CONTINUACION TESTIMONIO EL 8 DE NOVIEMBRE DE 2006 A LAS 8:15AM [79446446].   FIJA FECHA AUDIENCIA O DILIGENCIA SUSPENDE AUDIENCIA Y FIJA CONTINUACION EL 16 DE AGOSTO DE 2006 A LAS 8:15AM TESTIMONIO PARTE ACTORA [79446446]ALFONSO CASTRO MARTINEZ;JC,; 1 audiencia de conciliación  9 de febrero de 2.006 </t>
  </si>
  <si>
    <t>Ivan ferreira Duitama</t>
  </si>
  <si>
    <t>99-0455</t>
  </si>
  <si>
    <t>11001310501319990045500</t>
  </si>
  <si>
    <t>Trabajaron menos de 10 años sin cobertura ISS</t>
  </si>
  <si>
    <t>Aprueba liquidación de costas $150.000 y ordena archivo el 25-04-2007. Pendiente de fecha para fallo por apelación del apoderado del actor contra la sentencia absolutoria de primera instancia. El proceso fue enviado por descongestión judicial al tribunal de San Andrés..    Se encuentra en el Tribunal Superior del D.J. de Bogotá D.C., Sala Laboral, para el  trámite de la apelación interpuesta contra el fallo absolutorio de       primera instancia. Aunque se había fijado el 10 del cursante mes para  el pronunciamiento de la providencia que resolviera dicho recurso, ésta no se produjo y se halla sin fecha para la misma</t>
  </si>
  <si>
    <t>Aprueba liquidación de costas $150.000 y ordena archivo el 25-04-2007. . Se encuentra en el Tribunal Superior del D.J. de Bogotá D.C., Sala Laboral, para el  trámite de la apelación interpuesta contra el fallo absolutorio de       primera instancia. Aunque se había fijado el 10 del cursante mes para  el pronunciamiento de la providencia que resolviera dicho recurso, ésta no se produjo y se halla sin fecha para la misma</t>
  </si>
  <si>
    <t>2006-0195</t>
  </si>
  <si>
    <t>41001310500220060019500</t>
  </si>
  <si>
    <t>el  resultado es muy incierto y por tanto la probabilidad de fallo adverso es latente</t>
  </si>
  <si>
    <t>se despidio el 27 de marzo de  2006 debido a que maltrato verbalmente a la empleada  Adriana Mora martinez.</t>
  </si>
  <si>
    <t>Pendiente apelacion demandante. demanda contestada el  2 de agosto de 2.006</t>
  </si>
  <si>
    <t>7.5  smmlv</t>
  </si>
  <si>
    <t>orlando andres rodriguez alfaro</t>
  </si>
  <si>
    <t>despedido el 3 de septiembre de 2002 por haber sumisnitrado información confidencial de  saldo de cuenta.</t>
  </si>
  <si>
    <t xml:space="preserve">Tribunal admite recurso de Casación. Sentencia de primera instancia favorable al BANCO. Apelada ante el Tribunal. Fallo para el 24 de mayo de 2007..    pendiente apelación demandante,. EN ABRIL DE 2005 4t.       en diciembre 2.004 se envió información a abogado sobre vacaciones  de demandante, conform solicitud del juzgado. </t>
  </si>
  <si>
    <t>Fermín vargas Buenaventura</t>
  </si>
  <si>
    <t>cancelacion prima de manejo de efectivo desde 1 nov 1999 según la cláusula 17 de la CCT vigente 1997-1999,  establece prima por manejo de efectivo</t>
  </si>
  <si>
    <t xml:space="preserve">Fallo 2a Instancia el 31-05-2007. 3 de abril de 2006 paso al despacho del Magistrado Ponente para su estudio. PENDIENTE REPARTO EN EL TRIBUNAL, 13/12/2005 audiencia de juzgamiento fallo absolutorio, </t>
  </si>
  <si>
    <t>Rafael Rodríguez Mesa</t>
  </si>
  <si>
    <t>Cerete</t>
  </si>
  <si>
    <t>1 civil del circuito</t>
  </si>
  <si>
    <t>23162310300120060004300</t>
  </si>
  <si>
    <t>Fue gerente de Cereté, laboró entre el 2 de septiembre de 1957 y el 1 de marzo de 1973, renunció, pide pension por retiro voluntario</t>
  </si>
  <si>
    <t>Pendiente de oficions en Medellín</t>
  </si>
  <si>
    <t>Cometió irregularidades con recibos de servicios publicos de la propia sucusal</t>
  </si>
  <si>
    <t>23 SEP 2005 AUDIENCIA, 31 de mayo de 2005 inspeccion judicial, interrogatorio de partes.</t>
  </si>
  <si>
    <t>$2.308.500 Costas</t>
  </si>
  <si>
    <t>Condena en costas $2.308.500</t>
  </si>
  <si>
    <t>Lerida</t>
  </si>
  <si>
    <t>030-05</t>
  </si>
  <si>
    <t>Prestó sus servicios al Banco de colombia en Lerida entre 12 de julio de 1956 y el 1 de julio de 1969 sin que existiera para entonces cobertura de IVM</t>
  </si>
  <si>
    <t>El  banco  instauró tutela contra el  fallo condenatorio, pendiente admisión (ver tutelas)1 instancia condena al  banco al pago de los aportes dejados de realizar durante 12 años en Armero.  Se pidió liquidación de los mismos al  ISS. Se integró litis consorcio con el ISS, por solicitud del Banco.   12/07/2006 fallo, 1a audiencia 22 septiembre/05. NO APARECE EN REPORTE DE ABOGADO</t>
  </si>
  <si>
    <t>139,094,651</t>
  </si>
  <si>
    <t>Ramiro Suarez</t>
  </si>
  <si>
    <t>34135-1994</t>
  </si>
  <si>
    <t>11001310500319943413500</t>
  </si>
  <si>
    <t>Operaciones irregualres en Maicao</t>
  </si>
  <si>
    <t>Ordena archivo del expediente el 10-04-2008. Tribunal aprueba liquidación de costas 15-02-2008. 06-02-2008 Tribunal corre traslado de la liquidación de costas $433.700. Fecha fallo 2a instancia 26-10-2007 a las 3:00 PM. TRIB. SUPERIOR DEL DISTRITO JUDICIAL FIJA FECHA DE FALLO PARA EL DIA 18-09-07. Se encuentra en el Tribunal Superior del D.J. de Bogotá D.C., Sala Laboral, para la decisión del recurso contra la sentencia absolutoria de primera instancia. Está aún sin señalamiento de fecha para fallo. AUTO FIJA FECHA DE FALLO PARA EL DIA 28-02-07 A LAS 3:00PM</t>
  </si>
  <si>
    <t>Mirian Josefina Ruiz Castro</t>
  </si>
  <si>
    <t>Apoderado pide conciliación</t>
  </si>
  <si>
    <t>0339-2003</t>
  </si>
  <si>
    <t>|05001310501220030033900</t>
  </si>
  <si>
    <t>El resultado es muy inciertoy  por tanto la probailidad de fallo adverso es latente</t>
  </si>
  <si>
    <t>Alega despido inusto. Probabilidades de éxito 95% por contar con los procesos disciplinarios requeridos</t>
  </si>
  <si>
    <t>Presentación alegatos de conclusión por parte del Banco 26-11-2007. Te confirmo que el Juzgado 12 Laboral del Circuito aplazó para el 16 de marzo de 2.007, a las 2 de la tarde, la audiencia de juzgamiento o fallo en el proceso de la referencia.    Auto fija fecha para sentencia 10 06 2006 2 p.m.</t>
  </si>
  <si>
    <t>Condena a pagar $4.854.700, por indemnización, más 4 días de salario por suspensiones $103.987, mas las costas $1.213.675 Total $6.172.362.</t>
  </si>
  <si>
    <t>466 2001</t>
  </si>
  <si>
    <t>11001310501120010046600</t>
  </si>
  <si>
    <t>Fuimos condenados a cotización sancion y no hicimos oportunamente los aportes</t>
  </si>
  <si>
    <t>Enviado al Tribunal Superior del D.J. de Bogotá D.C. 25-10-2004. Sala Laboral, con sentencia absolutoria de primera instancia. Por descongestión judicial el proceso fue enviado al Tribunal de Pereira para que profiera sentencia. .    Se encuentra en el Tribunal Superior del D.J. de Bogotá D.C., Sala Laboral, con sentencia absolutoria de primera instancia. No ha sido señalada aún la fecha para  el pronunciamiento del correspondiente fallo decisorio</t>
  </si>
  <si>
    <t>360 - 01</t>
  </si>
  <si>
    <t>08001310500720010036000</t>
  </si>
  <si>
    <t>Dice tener derecho a una pensión sanción</t>
  </si>
  <si>
    <t>ACLARACION DE SENTENCIA.     SENTENCIA COMPLEMENTARIA EL DIA 21 DE NOVIEMBRE DE 2006 A LAS 5 P;M.     AUDIENCIA DE JUZGAMIENTO PARA EL 10/10/2006 A LAS 5:PM;.     19/09/2006 A LAS 5:PM AUDIENCIA DE JUZGAMIENTO;    AUDIENCIA DE JUZGAMIENTO EL 15/AGOSTO/2006 A LAS 5:PM; FALLO ABRIL/25/2006 5:PM;     4A. AUDIENCIA DE TRÁMITE INSP. JUDICIAL, 23 DE FEB/2006, 10:30 A.M..    AUDIENCIA DE TRAMITE PARA EL 24;08;05 A LAS 9:30 A;M; E INTERROGATORIO DE PARTE.     2T 2005 03 09  SE SE?ALA FECHA PARA LA SEGUNDA AUDIENCIA DE TRAMITE TESTIMONIO DEMANDADA.     tribunal superior sala laboral traslado por 5 dias para alegar, salio 12 de febrero por estado.         Se apeló auto que llamó al ISS en litisconsorcio necesario y no llamamiento en garantia - 2002 03 07 1T.  23 de agosto de 2.002 audiencia de conciliación.</t>
  </si>
  <si>
    <t>Exceso de atribuciones, jineteo</t>
  </si>
  <si>
    <t>Pendiente apelacion ddte</t>
  </si>
  <si>
    <t>Acción de reintwegro al parecer prescrita</t>
  </si>
  <si>
    <t>01 919</t>
  </si>
  <si>
    <t>11001310501120010091900</t>
  </si>
  <si>
    <t>Desde el usuario de la funcionaria se cometieron fraudes en contra del Banco.</t>
  </si>
  <si>
    <t>Fallo 2a instancia el 28-03-2008 a las 3:00 PM. 2 noviembre 2006 se CONCEDE RECURSO DE APELACION EN EFECTO SUSPENSIVO DE LA SENTENCIA CONDENATORIA, ORDENA REMITIR AL H; TRIBUNAL SUPERIOR DE BOGOTA SALA LABORAL .   FIJA FECHA AUDIENCIA O DILIGENCIA INCORPORA LIGUIDACION DE PRESTACIONES SOCIALES, FIJA EL 26 DE OCTUBRE DE 2006 A LAS 3:00PM PARA FALLO.     FIJA FECHA AUDIENCIA O DILIGENCIA CONCEDE RECURSO DE APELACION EN EFECTO DEVOLUTIVO INTERPUESTO CONTRA PROVIDENCIA QUE REABRIO DEBATE, SE?ALA EL 2 DE OCTUBRE DE 2006 A LAS 10:30 AM ALLEGAR PRUEBA SOLICITADA.    2006 07 06 fallo primera instancia.      El 4 de Abril del año 2.005, a las ocho y cuarto de la mañana,  se practicará el interrogatorio de parte a  la actora.       26 de julio de 2004 a las 9:15 de la mañana continuacion interrogatorio del Banco.----- 2003 11 25 interrogatorio parte.     3 de septiembre de 2003 interrogatorio Banco</t>
  </si>
  <si>
    <t xml:space="preserve">Revoca parcialmente       </t>
  </si>
  <si>
    <t>Idemnización $1.155.636</t>
  </si>
  <si>
    <t>Libardo Antonio Juez Rubio</t>
  </si>
  <si>
    <t>Juzgado Familia</t>
  </si>
  <si>
    <t>Obtuvo primero una pensión por condena, luego demandó ejecutivamente.    Demanda nuevamente para el reajuste de la misma</t>
  </si>
  <si>
    <t>Recurso de Casación interpuesto por el demandante. TERCERA AUDIENCIA DE TRÁMITE  TESTIMONIO DEL DEMANDANTE, 23 DE AGOSTO DE 2005, 10:00 A.M..   12 de abril de 2005 continua 1T</t>
  </si>
  <si>
    <t xml:space="preserve">Desierto        </t>
  </si>
  <si>
    <t>Gilberto Madroñero Galindo</t>
  </si>
  <si>
    <t>2003-00036</t>
  </si>
  <si>
    <t>05001310500320030003600</t>
  </si>
  <si>
    <t>Se apoderaba de dinero destinado al pago de restaurante y papeleria y pagaba posteriormente</t>
  </si>
  <si>
    <t>Concede apelacion ddte 11-07-06, auto ordena enviar proceso para el H. Tribunal Superior de Medellin. Sala Laboral para tramite de consulta.</t>
  </si>
  <si>
    <t>DCJC; pide la nulidad del despido</t>
  </si>
  <si>
    <t>Recurso de Casación por el demandante (13-03-2007 pasó a despacho para fallo). 1/11/06 Inició otraslado al recurrente que es el demandante. Vence 15/12/06. El expediente fue devuelto con demanda de casación.    CSJ    26/10/06.   AUTO QUE ORDENA CORRER TRASLADO AL RECURRENTE, INICIO DEL TRASLADO AL RECURRENTE 1-11-2006;.    T.S. HONORARIOS DE PERITO $300;000</t>
  </si>
  <si>
    <t xml:space="preserve">No casa          </t>
  </si>
  <si>
    <t>2002-0925</t>
  </si>
  <si>
    <t xml:space="preserve">05001310500220020092500 </t>
  </si>
  <si>
    <t>Siendo cajero reversó transacciones correspondientes a su propia cueta con el fin de cubrir sobregiros</t>
  </si>
  <si>
    <t>C.S.J. declara desierto el recurso de Casación el 04-06-2008. Tibunal concede recurso de Casación 30-11-2007. Fecha Fallo 2a instancia el 25-10-2007 a las 10:00 AM.  FIJA FECHA DE FALLO PARA EL 03 DE NOVIEMBRE DE 2006 5;30PM.  Aplaza audiencia para el 3 de noviembre; FECHA PARA SENTENCIA PARA EL DIA 13/10/2006 A LAS 5:30 P;M; Fallo mayo 26 de 2006.       Fallo para noviembre 15 de 2005.    FECHA AUDIENCIA PARA EL 14/10/2004 A LAS 2:30 P.M. INTERROGATORIO A LAS PARTES, SANCION POR INASISTENCIA.    AUDIENCIA DE CONCILIACION PARA DICIEMBRE 4/2003 A LAS 3:00 P.M</t>
  </si>
  <si>
    <t xml:space="preserve">Desierto          </t>
  </si>
  <si>
    <t>Vr. De la pretension $53'</t>
  </si>
  <si>
    <t>2002 - 05</t>
  </si>
  <si>
    <t>11001310500720020000500</t>
  </si>
  <si>
    <t>Exfuncionario despedido sin justa causa.  Venía solicitando nivelación salarial de tiempo atrás.</t>
  </si>
  <si>
    <t>Trib. Sup. corre traslado liquidación de costas $400.000. Fecha fallo 2a instancia el 27-03-2008 a las 5:00 PM. El día 22 de enero de 2007 a las 11:30 a.m., para la respuesta a los oficios librados por el despacho..   17 de mayo de 2.006 entrega de pruebas.  2006 03 02 10 a.m. Inspeccion judicalEstá señalado  el 7 de Abril próximo, a las nueve y cuarto de la mañana, para la declaración  de uno de los testigos pedidos por el demandante.</t>
  </si>
  <si>
    <t>Carlos Eduardo Paez Morales</t>
  </si>
  <si>
    <t>Vr. Pretensiones $20</t>
  </si>
  <si>
    <t>337-2007</t>
  </si>
  <si>
    <t>13001310500420070033700</t>
  </si>
  <si>
    <t>RECONOCIMIENTO RELACION LABORAL</t>
  </si>
  <si>
    <t xml:space="preserve">La funcionaria está vinculada al Banco mediante un contrato a término fijo; días después del preaviso de su terminación con la debida antelación (30 días), la funcionaria presentó al Banco notificación de su estado de embarazo. No obstante se le terminó el contrato a término fijo, y mediante acción de tutela el juez ordenó su reintegro condicionado a la demanda laboral ordinaria.  </t>
  </si>
  <si>
    <t>Proceso terminado por conciliación. 1T Conciliación el 13-05-2008.</t>
  </si>
  <si>
    <t>Shirley Garcés Pérez</t>
  </si>
  <si>
    <t>Termina por conciliación</t>
  </si>
  <si>
    <t>Civil del Cto de Cereté.</t>
  </si>
  <si>
    <t>2007-00147-00</t>
  </si>
  <si>
    <t>La funcionaria hace parte de la junta directiva de Sintrabancol en la ciudad de Montería. El banco decidió iniciarle un procesod e levantamiento de furro sindical debido a los múltiples errores procedimentales en los que ha incurrido en el área de caja. Tuvo dos llamados a descargos de los cuales obtivo en el primero, un llamado de atención, en el segundo un día de suspensión y en el tercero se tomo la desción de iniciar el proceso de levantamiento.</t>
  </si>
  <si>
    <t>Se presentó la demanda el 16 de Octubre de 2007, hubo audiencia de conciliación el pasado 05 de Febrero de 2008, la audiencia especial del fuero se dio el día 25 de Febrero de 2008 donde el juzgado resolvió declarar probadas las excepciones propuestas por la demandada y denegó la auotización para despedirla. Se apeló la desición. Se ordenó su remisión al tribunal para su conocimiento.</t>
  </si>
  <si>
    <t>18 LABORAL</t>
  </si>
  <si>
    <t>0379-2005</t>
  </si>
  <si>
    <t>11001310501820050037900</t>
  </si>
  <si>
    <t>Banco la pensionó en junio de 2.002 con el SMLV</t>
  </si>
  <si>
    <t xml:space="preserve">Pendiente Casación del Banco. pendiente apelación del  Banco. </t>
  </si>
  <si>
    <t>Daniel Arango Gómez</t>
  </si>
  <si>
    <t>Cuantificación de las pretensiones $90'. Costas liquidadas por el Tribunal en $2.204.000</t>
  </si>
  <si>
    <t>2007-0260</t>
  </si>
  <si>
    <t>05001310500220070026000</t>
  </si>
  <si>
    <t>Hizo un retiro en efectivo por pinpad para consignar a otra cuenta según instrucciones del cliente a quien entregó copia sellada de la consignación, pero no ingresó al sistema la misma lo que le debió haber generado un sobrante que tampoco reportó.</t>
  </si>
  <si>
    <t>2T Interrogatorio de partes el 15-09-2008 a las 8:30 AM. 1T Conciliación el 20-05-2008 a la 2:00 PM</t>
  </si>
  <si>
    <t>Vr. Pretensión $92'5.       Conciliado en $75'</t>
  </si>
  <si>
    <t>561 2005</t>
  </si>
  <si>
    <t>05001310500520050056100</t>
  </si>
  <si>
    <t>Pagó dos (2) cheques sin que en ambos casos se cumpliera satisfactoriamente el proceso de visación establecido y, como consecuencia de tal irregularidad, al Banco le correspondió reconocerle al cliente los valores reclamados fruto de los pagos  irregularmente efectuados.</t>
  </si>
  <si>
    <t>4T Interrogatorio de partes el 07-05-2008 a las 3:30 PM. Juzgado 4° de Descongestión. Enviado a Juzgados de descongestión 15-02-2008. 3T el 28-02-2008 (No hay testigos del Banco porque uno falleció y la otra fue despedida). 2T. 18 DE ABRIL DE 2.007, A LAS NUEVE DE LA MAÑANA .     FECHA AUDIENCIA PARA EL DIA 04/08/2006 A LAS 9:00 A;M; SE RECONOCE PERSONERIA AL APODERADO DE LA PARTE DEMANDADA; pendiente contestación dda</t>
  </si>
  <si>
    <t>Pretensión $50'                     Conciliado en $35'</t>
  </si>
  <si>
    <t>Demanda solidaria tambien la ISS; laboró desde el 8 de agosto de 1972 en Plato hasta el 26 de febrero de 1997</t>
  </si>
  <si>
    <t>SE ENCUENTRA EN TRASLADO, radicado 677-06, TRIB. SUPERIOR DEL DISTRITO JUDICIAL SALA LABORAL,  SENTENCIA SEÑALADA 15 DE DIC/05, APLAZADA, espera d enueva fecha.      16 02 2005 interogatorio parte       5 agosto 04 1T</t>
  </si>
  <si>
    <t>Fanny Mercedes Castro mesa</t>
  </si>
  <si>
    <t>Vr. pretensiones $45'</t>
  </si>
  <si>
    <t>sahagun</t>
  </si>
  <si>
    <t>Civil del Circuito</t>
  </si>
  <si>
    <t>3426 0210 03</t>
  </si>
  <si>
    <t>al momento de perpetrarse UN HURTO en contra de esta Entidad tenía en el Billetero de la caja a su cargo la suma de $44.197.771.oo, valor que excede en extremo el tope de $10.000.000.oo previsto por el Banco como valor máximo que puede estar disponible en su billetero</t>
  </si>
  <si>
    <t>14 febrero 2006 audiencia fallo.   PRUEBAS 2 02 2005, teercera audiencia de trámie</t>
  </si>
  <si>
    <t>Vr. pretensiones $60'</t>
  </si>
  <si>
    <t>2005 0868</t>
  </si>
  <si>
    <t>05001310500120050086800</t>
  </si>
  <si>
    <t>no ingresó al sistema el pago de siete (7) facturas de servicios públicos el mismo día que se efectuó dicho pago por parte de varios  clientes, sino que los abonos en el sistema de las sumas de dinero los realizó días después de haber recibido tales operaciones y los correspondientes dineros</t>
  </si>
  <si>
    <t>Corte admite recurso el 09-04-2008. Recurso de casación presentado por el demandante el 18-10-2007. Audiencia de fallo MAYO 28/07 5.      15 02 06 2T</t>
  </si>
  <si>
    <t>Juan Manuel Gómez Arias</t>
  </si>
  <si>
    <t>Vr. Pretensiones $70'</t>
  </si>
  <si>
    <t>55 - 2002</t>
  </si>
  <si>
    <t>11001310500920020005500</t>
  </si>
  <si>
    <t>Omision en la custodia de unas tarjetas de credito, con lo que se facilito la sustraccion de las mismas, y perdida economica a la entidad</t>
  </si>
  <si>
    <t>C.S.J. traslado al recurrente el 04-07-2008. Trib. concede recurso de Casación a la ddte. 07-04-2008. Fecha fallo 2a instancia 14-12-2007 a las 3:00 PM. Concede recurso apelación ddate. 17-11-2004; se encuentra en el Tribunal Superior del D.J. de Bogotá, Sala Laboral, con sentencia absolutoria de primera instancia, y pendiente de fecha para fallo. Por descongestión judicial el proceso fue enviado al tribunal de Quibdo.
 .    Esta siendo enviado al Tribunal Superior del D.J. de Bogotá, con sentencia absolutoria de primera instancia.    Fallo primera instancia 17 de septiembre de 2004..------ 2003 11 12 destigos ddte.</t>
  </si>
  <si>
    <t xml:space="preserve">Desierto            </t>
  </si>
  <si>
    <t>Vr. Pretensiones $56'</t>
  </si>
  <si>
    <t>2002-00527</t>
  </si>
  <si>
    <t>76001310500320020052700</t>
  </si>
  <si>
    <t>17 junio 2002 por omitir el cumplimiento de obligaciones especiales y funciones de su cargo - no haber reportado sobrate de efectivo en la caja a su cargo en varias oportunidades</t>
  </si>
  <si>
    <t>Fallo 2a instancia el 30-04-2008 a las 3:30 PM. Avoca el conocimiento el Trib. Sup. Cali de Descongestión el 08-04-2008. Pendiente apelación demandante. Noviembre 7/06: Fallo de 1a instancia  favorable al Banco.     Febrero 23/2006: Para interrogatorio de parte y testimonio.       28 de sept. De 2005 interrogatorio de parte y testimonio Carlos Julio Roldan.       2005 04 04 prueba testimonial.     2004 02 10 2T  Testimonios Elcy Garcia y jose fernando garces</t>
  </si>
  <si>
    <t>Vr. Pretensiones $20'</t>
  </si>
  <si>
    <t>14 JULIO DE 2008 CSJ ADMITE RECURSO. PENDIENTE CASACION DEMANDANTE</t>
  </si>
  <si>
    <t>2008 MAYO</t>
  </si>
  <si>
    <t>11001310500119970582340</t>
  </si>
  <si>
    <t>NULIDAD ACTA CONCILIACIÓN</t>
  </si>
  <si>
    <t>Corte admite recurso de Casación el 04-12-2007. Tribunal concede recurso de Casación demandante. Audiencia para fallo el 30-08-2007 a las 4:00 PM. Por descongestión judicial el proceso fue enviado al Tribunal de San Andrés para que se profiera sentencia.
 Está en el Tribunal Superior del D.J. de Bogotá D.C., Sala Laboral, para el trámite  del recurso de apelación interpuesto por el actor contra la sentencia  absolutoria de primera instancia. A pesar de que fue señalado el 30 de Julio del corriente año, para el pronunciamiento del proveído que debe resolver el mencionado recurso,  no se produjo aquel y nos encontramos pendientes de la fijación de nueva fecha.</t>
  </si>
  <si>
    <t xml:space="preserve">No casa           </t>
  </si>
  <si>
    <t>Si, sin provisión al 31 enero 94 (hechos 93)</t>
  </si>
  <si>
    <t>795 2001</t>
  </si>
  <si>
    <t>11001310501720010079500</t>
  </si>
  <si>
    <t xml:space="preserve">Fue despedido con JC debido a que  se desempeñaba como  gerente de la sucursal   Ambalema y  utilizó las instalaciones del Banco para celebrar una reunión con sus amigos dejando la oficina  con las puertas abiertas hasta medianoche.  </t>
  </si>
  <si>
    <t>CSJ no casó el fallo por lo que procece el reintegro. Pendiente recurso de casación presentado por el  Banco</t>
  </si>
  <si>
    <t xml:space="preserve">No casa        </t>
  </si>
  <si>
    <t>Vr. Reintegro $282.939.238</t>
  </si>
  <si>
    <t>2008-0248</t>
  </si>
  <si>
    <t>050001310501620080024800</t>
  </si>
  <si>
    <t>REVOCAR SANCION DISCIPLINARIA</t>
  </si>
  <si>
    <t xml:space="preserve">A la empleada se le hizo proceso disciplinario y se suspendió 03 días con motivo del pago de una mesada de FOPEP a quien no correspondía, en cuya transacción no participó la empleada. </t>
  </si>
  <si>
    <t>Decreta terminación del proceso por transacción el 24-10-2008.Primera y única audiencia el 23-10-2008</t>
  </si>
  <si>
    <t>Se le paga a la empleada el vr. de 04 días de salarios y al Abogado $230.000 por costas</t>
  </si>
  <si>
    <t>641 2005</t>
  </si>
  <si>
    <t>05001310500420050064100</t>
  </si>
  <si>
    <t>Se desvinculó por una serie de irregularidades en los procedimientos que condujeron a varias sanciones disciplinarias</t>
  </si>
  <si>
    <t>Audiencia para fallo 11-09-2007 a las 4:00 PM. Cuarta audiencia (testigos) 13-06-2007  2:30 pm.</t>
  </si>
  <si>
    <t>7smlvl</t>
  </si>
  <si>
    <t>Vr. Pretensiones $30'</t>
  </si>
  <si>
    <t>2004-0699</t>
  </si>
  <si>
    <t>05001310500320040069900</t>
  </si>
  <si>
    <t>Alega despido injusto. Probabilidades de éxito para el Banco 95% por justa causa demostrable</t>
  </si>
  <si>
    <t>Juzgado declara desierto el recurso de apelación; envía al Tribunal para Consulta el 11-10-2007. Audiencia de juzgamiento 24-09-2007 a las 4:00 PM.</t>
  </si>
  <si>
    <t>189 - 98</t>
  </si>
  <si>
    <t>08001310500719980018900</t>
  </si>
  <si>
    <t>Tuvo varios contratos a término fijo, pide que se le reconozca un período que tuvo sin contrato</t>
  </si>
  <si>
    <t>En el Tribunal Superior del D. J. de Bogotá D.C., Sala Laboral, no se ha señalado aún fecha para el pronunciamiento correspondiente a la apelación interpuesta por  el Banco contra la sentencia condenatoria  de primera instancia. El proceso fue enviado por descongestión judicial al Tribunal de Manizales.    Se encuentra en el Tribunal Superior del D. J. de Bogotá D.C., Sala Laboral, por apelación que interpuso el Banco contra la sentencia de primera instancia,  sin que hasta el momento se haya señalado fecha para el pronunciamiento respectivo</t>
  </si>
  <si>
    <t>Vr. Pretensiones $25'</t>
  </si>
  <si>
    <t>1999-0372</t>
  </si>
  <si>
    <t>76001310501019990037200</t>
  </si>
  <si>
    <t>Extravió dineros en su poder como cajero</t>
  </si>
  <si>
    <t>Apelacion Banco</t>
  </si>
  <si>
    <t>Costas $3.000.000</t>
  </si>
  <si>
    <t>1500000+2smml 1Ins. y 2smml 2 inst</t>
  </si>
  <si>
    <t>Condena en costas $3.000.000</t>
  </si>
  <si>
    <t>243-2008</t>
  </si>
  <si>
    <t>11001310502120080024300</t>
  </si>
  <si>
    <t>JUBILACION</t>
  </si>
  <si>
    <t>Laboró por más de 20 años en el Banco de Colombia; está pensionado por el ISS y reclama pensión del RIT</t>
  </si>
  <si>
    <t>Termina proceso por reconocimiento de excepción previa de cosa juzgada. 1T Conciliación el 04-11-2008. 1T Conciliación el 10-09-2008 (aplazada por paro Jcial.). Notificado el 02-05-2008.</t>
  </si>
  <si>
    <t>7.5 SMLMV</t>
  </si>
  <si>
    <t>Vr. Pretensiones $30' Hubo igualmente desistimiento por el ddante.</t>
  </si>
  <si>
    <t>2003-031</t>
  </si>
  <si>
    <t>Cometió una falta grave y el Banco solicitó el levantamiento del fuero</t>
  </si>
  <si>
    <t xml:space="preserve">Aprueba liquidación de costas 20-02-2009. SE SEÑALA EL 14 DE FEBRERO DE 2007 A LA 1:30 PM PAR ALA CONTINUACION DE LA AUDIENCIA EN LA CUAL SE RECEPCIONARAN TESTIMONIOS QUE HACEN FALTA DE LA PARTE DEMANDANTE.    PENDIENTE APELACION DEL  BANCO.  20 octubre -04   cotinuación contestación demanda  y aporte documentos. </t>
  </si>
  <si>
    <t>Vr. Costas 1a. instancia $1´000.000, y de 2a. instancia $300.000</t>
  </si>
  <si>
    <t>2000-0485</t>
  </si>
  <si>
    <t>76001310500620000048500</t>
  </si>
  <si>
    <t>Se apoderó de$700.000 para cubrir su prima de vacaciones y luego los reintegró</t>
  </si>
  <si>
    <t>Fecha fallo 2a instancia el 24-10-2008. Suspendida fecha de fallo 1a instancia. 13 febrero 2007 fallo 1 instancia.  31 de enero de 2007 seespera devolución expediente para cierre de debate probatorio.      Febrero 22/2006 - 08:30 a.m. Está a la de recurso ante Tribunal.     10 de mayo de 2005 interrogatorio parte ddte.            2005 02 16    pendiente respuesta a oficios   2003 10 20 4T Inspeccion judicial.     Julio  21  2003 / 9:00AM Inspección Judicial;        2003 04 01 3T Testimonio Maria Andrea claros .......2002 04 22 Declaración Fernando girón</t>
  </si>
  <si>
    <t>León Arturo García de la Cruz</t>
  </si>
  <si>
    <t>Ajuste indexación condena $1.927.655. Condena en costas al Banco 2a. Instancia $1.000.000</t>
  </si>
  <si>
    <t>339 2001</t>
  </si>
  <si>
    <t>11001310501120010033900</t>
  </si>
  <si>
    <t>Sobrante en caja no reportado por el exfuncionario. Sucursal Mercantil</t>
  </si>
  <si>
    <t xml:space="preserve">Fecha fallo 2a. instancia 29-08-2008. Concede apelación al demandante 28-08-2007. El día 14 de febrero de 2007 a las 9:45 a.m., para interrogatorio de parte al demandante..     6 junio 2006 interrogatorio dte.  006 02 03 9:45 interrogatorio.     30 de junio de 2005 testimonio del cliente carlos Eduardo Corredor. </t>
  </si>
  <si>
    <t>Ordenó pagar la prima de servicios proporcional. Vr. Pretensiones $34'</t>
  </si>
  <si>
    <t xml:space="preserve">2004-076 </t>
  </si>
  <si>
    <t>11001310501220040007600</t>
  </si>
  <si>
    <t>La empleada fue despedida con JC en diciembre de 2000 porque a través de su usuario se habilitaron unas trajetas débito que facilitaron fraudes contra clientes antiguos del Banco.</t>
  </si>
  <si>
    <t>Corre traslado a las partes de la liquidación de costas 09-03-2009. Pendiente apelación ddante. Fallo 1a instancia el 30-04-2008 a las 4:00 PM. Enviado a Juzgados de Descongestión el 06-02-2008. Fija fecha aud. 13-02-2008 a las 10:30 AM. Fija fecha Audiencia 26-07-2007 a las 10:30 AM. FIJA FECHA AUDIENCIA O DILIGENCIA EL 7 DE 29 marzo/07 inspeccion judicial.  FEBRERO DE 2007 A LAS 11:00AM CONCRETAM PUNSTOS INSPECCION JUDICIAL; .    FIJA FECHA AUDIENCIA O DILIGENCIA EL 1 DE NOVIEMBRE DE 2006 A LAS 9:00 AM TESTIMONIO PARTE DEMANDADA [52127213]ALFONSO CASTRO MARTINEZ.   5 de juilio de 2.006 testimonios. 2006 02 13 9 a.m testimonios.      El 10 de Marzo venidero, a las ocho y media de la mañana, se espera la recepción de uno de los testimonios pedidos por la demandante..    aviso para notificación personal llegó el 43agosto-04</t>
  </si>
  <si>
    <t>Tribunal se abstuvo de conocer por Consulta por falta de competencia por derogatoria de la norma que la consagraba. Vr. Pretensiones $30'</t>
  </si>
  <si>
    <t>0087 - 2004</t>
  </si>
  <si>
    <t>08001310500720040008700</t>
  </si>
  <si>
    <t>Laboró entre el 14 de junio de 1956 y el 6 de abril de 1973 (16 años) reclama una pension por retiro voluntario, aunque fue despedido con justa causa por no presentarse a laborar</t>
  </si>
  <si>
    <t>Auto archivo del proc. el 09-12-2008. Fallado a favor del Banco. 3? AUDIENCIA CONTINUACION INSPECCION JUDICIAL REQUIRIENDOSE A LA DEMANDADA PARA QUE PONGA A DISPOSICION LOS DOCUMENTOS MATERIA DE LA INSPECCION JUDICIAL Y SI ES POSIBLE EL INTERROGATORIO</t>
  </si>
  <si>
    <t xml:space="preserve">4 smmlv a la contestación, 2 smmlv a primera instancia, 2 smmlv a segunda instancia, </t>
  </si>
  <si>
    <t>Santiago Avila Tilano</t>
  </si>
  <si>
    <t>Vr. Pretensiones $50'</t>
  </si>
  <si>
    <t>0152-04</t>
  </si>
  <si>
    <t>La trabajadora fue despiedida con justa causa en abril de 2.004, previo proceso de levantameinto de fuero.   Recbió el pagod e un servicio y no lo ingreso al sistema</t>
  </si>
  <si>
    <t xml:space="preserve">pendiente apelacion demandante.  1 de diciembre de 2.005 audiencia para recibir respuesta a oficios.  </t>
  </si>
  <si>
    <t xml:space="preserve">490-02 </t>
  </si>
  <si>
    <t>11001310500820020049000</t>
  </si>
  <si>
    <t>El jubilado solició en noviembre 21 de 1999. El pagod el auxilio de anteojos y se le negó por cuanto ello debía ser cubierto por la EPS.</t>
  </si>
  <si>
    <t>Admitido recurso de casación 09-10-2007. Pendiente si procede casacion demandante.  AUTO FIJA FECHA DE FALLO PARA EL DIA 03-11-06 A LAS 3:00PM.    .  Pendiente fallo 2 instancia.  2006 03 03 fallo primera instancia.       El  17 de Marzo del 2005, a las nueve de la mañana, terminará uno de los testimonios que solicitó el actor..     2004 02 02 interrogatorio parte ddte..   29 de septiembre de 2003 audiencia de conciliación.</t>
  </si>
  <si>
    <t xml:space="preserve">Casa Parcialmente </t>
  </si>
  <si>
    <t>Condena a reconocer aux. de anteojos $2.157.034</t>
  </si>
  <si>
    <t>2001-46</t>
  </si>
  <si>
    <t>11001310500520010004600</t>
  </si>
  <si>
    <t>Gerente que se excedió en atribuciones Sucursal las Granjas</t>
  </si>
  <si>
    <t>Fecha fallo 2a instancia el 31-03-2008 a las 3:00 PM. Pendiente de fecha para fallo en segunda instancia. El fallo en primera instancia fue absolutorio..    AUTO CORRE TRASLADO A LAS PARTES POR EL TERMINO DE 5 DIAS DEL ART; 40 DE LA LEY 712 DE 2001.   pendiente apelación demandante.  006 06 30 Fallo pimera instancia.     El 15 de Febrero del año 2.005, a las once y cuarto de la mañana, ha de iniciarse la Inspección Judicial     29 de enero de 2004  a las 10: 15 Am interrogatorio representante legal .----- 2003 10 23 testimonios.    9 de julio de 2003, testigo del banco.</t>
  </si>
  <si>
    <t>Juanita Galvis Calderón</t>
  </si>
  <si>
    <t>Vr. Pretensiones $40'</t>
  </si>
  <si>
    <t>424-2001</t>
  </si>
  <si>
    <t>11001310500520010042400</t>
  </si>
  <si>
    <t>Despedido con justa causa por manejo irregular de dineros</t>
  </si>
  <si>
    <t>Señala agencias en derecho 15-12-2008. Fecha fallo 2a. instancia el 31-10-2008. El día 17 de noviembre de 2006 se notificó el fallo proferido por los juzgados de descongestión, el cual absolvió a la demandada de todas las pretensiones de la demanda. El proceso será enviado al Tribunal Superior por apelación del demandante..     . 13 de junio de 2.006 continuación inspección judicial.  2006 02 08 inspección judicial.    cotinuación interrogatorio banco  7 de junio</t>
  </si>
  <si>
    <t>205-2002</t>
  </si>
  <si>
    <t>11001310500520020020500</t>
  </si>
  <si>
    <t>despedida con jc, por haber certificado mal unos cheques y haber recibido dinero de clientes.</t>
  </si>
  <si>
    <t>05-12-2008 Juzgado fija costas por $500.000. Enviado al Tribunal en Consulta el 12-10-2007. Audiencia Fallo 2a Instancia para el 14-09-2007 a las 3:00 PM. El proceso será enviado al Tribunal Superior en consulta, toda vez que la apelación presentada por el apoderado de la demandante, fue extemporánea..   SENTENCIA DE PRIMERA INSTANCIA ABSOLUTORIA [51958999].     AUTO ORDENA ENVIAR PROCESO AL H; TRIBUNAL SUPERIOR DE BOGOTA SALA LABORAL EN CONSULTA DE LA SENTENCIA.    SENTENCIA DE PRIMERA INSTANCIA ABSOLUTORIA [51958999.   SUSPENDE Y FIJA CONTINUACION EVACUAR INSPECCION JUDICIAL EL 6 DE OCTUBRE DE 2006 A LAS 10:15AM.    6 de junio de 2.006 inspección judicial. 2006 01 19 9:15 a.m. Interrogatorio parte.     El 2 de Marzo del año 2.005, a las diez y cuarto de la mañana, deberá  escucharse a uno se los testigos pedidos por el Banco.       1 diciembre 04 testigos banco</t>
  </si>
  <si>
    <t>__-10-2008</t>
  </si>
  <si>
    <t>274 - 2003</t>
  </si>
  <si>
    <t>11001310500720030027400</t>
  </si>
  <si>
    <t>despedido el 01 de abril del 2000 sin justa causa</t>
  </si>
  <si>
    <t xml:space="preserve">Fecha fallo 2a. instancia el 22-05-2008 a las 3:00 PM. Enviado a Tribunal de descongestión el 13-03-2008. Enviado al Tribunal en Consulta el 09-12-2005; pendiente de fecha para fallo en segunda instancia. El fallo en primera instancia fue absolutorio para la demandada..     29 se tpiembre 2006 fallo 2 instancia. </t>
  </si>
  <si>
    <t xml:space="preserve">margarita teresa rojas </t>
  </si>
  <si>
    <t>634 - 2001</t>
  </si>
  <si>
    <t>11001310500820010063400</t>
  </si>
  <si>
    <t xml:space="preserve">Fue despedida con JC el   12 de octubre de 2000 por haber abonado a la cuenta de una persona varios cheques  girados a otros beneficiarios, certificando que habian sido abonados a éstos.  </t>
  </si>
  <si>
    <t xml:space="preserve">Aprueba liquidación de costas y ordena archivo del proceso 06-11-2008. Fecha fallo 2a instancia el 16-05-2008 a las 3:00 PM. El día 25 de enero de 2007 a las 9:00 a.m., se llevará a cabo la audiencia para la recepción de testimonios solicitados por la demandada..   30 de mayo de 2.006 testigos dte.  23 de febrero 06 testigios del Banco. </t>
  </si>
  <si>
    <t>Vr. Pretensiones $53'</t>
  </si>
  <si>
    <t>812 2000</t>
  </si>
  <si>
    <t>11001310501020000081200</t>
  </si>
  <si>
    <t>Altero créditos sin autorización en el Fondo de Empleados</t>
  </si>
  <si>
    <t>Fecha fallo 2a instancia el 30-05-2008 a las 4:00 PM. En trámite en segunda instancia por apelación interpuesta por el apoderado del actor contra la sentencia absolutoria proferida en primera instancia. Pendiente de nueva fecha para fallo.
Pendiente apelacion ddte</t>
  </si>
  <si>
    <t>Vr. Pretensiones $35'</t>
  </si>
  <si>
    <t>335-04</t>
  </si>
  <si>
    <t>73001310500420040033500</t>
  </si>
  <si>
    <t>Demandante fue desvinculada SJC y se le pagó la indemnización.  Alega que padece una enfermedad ocasionada por el trabajo, pero es una atritis reumatoidea crónica y no una enfermedad profesional.  Pidió compensatorio por las elecciones, pero no aportó el certificado dentro del término.</t>
  </si>
  <si>
    <t>Traslado oposición CSJ 11-09-2008. C.S.J. Traslado al recurrente 10-07-2008. CSJ admite recurso el 08-05-2008. 28 febrero/07 testigos del  Banco.  AUTO ORDENA COMISION EL 7 DE FEBRERO DE 2007 A LAS 10:30AM TESTIMONIO juzgado 18 laboral Bogotá5 de diciembre 05  audiencia conciliación</t>
  </si>
  <si>
    <t xml:space="preserve">No Casa          </t>
  </si>
  <si>
    <t>Carlos Javier Alzate Trujillo</t>
  </si>
  <si>
    <t>Tribunal condenó a pagar moratoria más costas por $3.301.076. Vr. Pretensiones $56'</t>
  </si>
  <si>
    <t>2003-0570</t>
  </si>
  <si>
    <t>05001310500720030057000</t>
  </si>
  <si>
    <t>Reclama una jubilacion a cargo del ISS y cuota pensional a cargo del Banco</t>
  </si>
  <si>
    <t>Ordena el archivo del expediente 13-01-2009. Fallo 2a. instancia el 04-11-2008. Pendiente recurso de apelación por parte del Banco. Fija fecha para fallo el 16-11-2007 a las 4:30 PM. FIJA FECHA DE AUDIENCIA INCIDENTAL EL DIA 29 ENERO DE 2007 4PM; .    FIJA FECHA DE SENTENCIA 27 OCTUBRE 2006 430PM;     Martes 26 de Julio /Hora: 9:0am 3° Audiencia / Rdo: 0570/2003 Testigo: Dr. Francisco Javier Aguilar.    FIJA FECHA AUDIENCIA PARA ENERO 25/2005 A LAS 9:00 A.M.       APLAZA AUDIENCIA PARA JULIO2/2004 A LAS 2:30 P.M. 
AUDIENCIA PARA EL 22 DE ABRIL/2004 A LAS 9:00 A.M., RECONOCE PERSONERIA</t>
  </si>
  <si>
    <t>Vr. Pretensiones $45'</t>
  </si>
  <si>
    <t>2006-796</t>
  </si>
  <si>
    <t>05001310500720060079600</t>
  </si>
  <si>
    <t>El pensionado reclama el vr. Del retroactivo porque el Bco. no lo desafilió de pensiones oportunamente.</t>
  </si>
  <si>
    <t>No hubo apelación del ddante. y el fallo quedó en firme (Ver observaciones) El fallo de 1a. instancia fue apelado extemporáneamente por el ddante. quedando en firme.Cierre debate probatorio y fecha para fallo el 12-09-2008 a las 4:30 PM. Continuación 1T Conciliación 15-05-2008 a las 4:00 PM. El Juzgado aceptó la integración del litisconsorcio necesario con el ISS (continuación 1T). 1T Conciliación el 11-10-2007 a  las 9:00 AM</t>
  </si>
  <si>
    <t>Ricardo Alonso Vergara Arango</t>
  </si>
  <si>
    <t>El fallo de 1a. instancia no fue apelado quedando en firme de acuerdo con el D. 3930/2008 (Por fuera de término). Vr. Pretensión $28`</t>
  </si>
  <si>
    <t>2008-248</t>
  </si>
  <si>
    <t>11001310502020080024800</t>
  </si>
  <si>
    <t>Laboró por más de 20 años desde julio de 1966 hasta octubre de 1993 y reclama jubilación del RIT</t>
  </si>
  <si>
    <t>Terminó el proceso por desistimiento del ddante. 28-01-2009. 1T Conciliación el 28-01-2009 a las 10:30 AM.</t>
  </si>
  <si>
    <t>Terminado por desistimiento del demandante. Vr. Pretensión $50`</t>
  </si>
  <si>
    <t>05-0276</t>
  </si>
  <si>
    <t>05001310500620050027600</t>
  </si>
  <si>
    <t>Siedo cajero principal de la suc Junin Presentó irregularidades en la entrega de puesto y operaciones por cerca de 50 mm</t>
  </si>
  <si>
    <t>Ordena el archivo del proceso 16-04-2009. Tribunal declara en firme las costas y ordena devolver al Juzgado. Tribunal se abstuvo de conocer por Consulta por falta de competencia por derogatoria de la norma que la consagraba 15-12-2008. Declarado desierto el recurso de apelación; se envía al Trib. en Consulta 15-08-2008. Fija fecha fallo 1a instancia 21-07-2008. Enviado a Juzgados de Descongestión el 07-02-2008.  4T Interrogatorio de partes y testigo Banco, el 14-11-2007 a las 9:00 AM. FIJA FECHA DE TERCERA AUDIENCIA 25 ABRIL DE 2007 9AM.   FIJA SEGUNDA FECHA DE AUDIENCIA 19 OCTUBRE DE 2006 9AM; Testimonios Gilberto Arcila y Cecilia Marin Marin; Contestada la demanda</t>
  </si>
  <si>
    <t>Tribunal se abstuvo de conocer por Consulta por falta de competencia por derogatoria de la norma que la consagraba. Vr. Pretensiones $140'</t>
  </si>
  <si>
    <t>161-2008</t>
  </si>
  <si>
    <t>11001310501820080016100</t>
  </si>
  <si>
    <t>Trabajó por más de 20 años y solicita pensión del RIT</t>
  </si>
  <si>
    <t>7,5 SMLMV</t>
  </si>
  <si>
    <t>Terminado por desistimiento del demandante. Vr. Pretensión $30`</t>
  </si>
  <si>
    <t>Fue sancionado con un día por descuadres de $479.460 y $199.678</t>
  </si>
  <si>
    <t>Pendiente reposicion ddte</t>
  </si>
  <si>
    <t>Vr. Pretensiones $15`</t>
  </si>
  <si>
    <t>2004-232</t>
  </si>
  <si>
    <t>68001310500120040023200</t>
  </si>
  <si>
    <t>Laboro ente 1969 y 1992y  reclamo pension de jubilacion del RIT</t>
  </si>
  <si>
    <t>Pendiente consulta 2 instancia</t>
  </si>
  <si>
    <t>Vr. Pretensiones $45`</t>
  </si>
  <si>
    <t>161-05</t>
  </si>
  <si>
    <t>68001310500220050016100</t>
  </si>
  <si>
    <t>siendo cajero  ingresó un pago por menor valor y no reportó descuadre por sobrante en caja</t>
  </si>
  <si>
    <t>Se tramitó la audiencia de conciliación, se practicaron pruebas y se fijó el 16 de febrero de 2.007 a las 3 p.m. como fecha para la audiencia de juzgamiento.-.     pendiente notificación de sintrabancol en Bogotá</t>
  </si>
  <si>
    <t>10 smlmv  + 16% IVA</t>
  </si>
  <si>
    <t>Vr. Pretensiones $20`</t>
  </si>
  <si>
    <t>0204 2002</t>
  </si>
  <si>
    <t>54001310500320030020400</t>
  </si>
  <si>
    <t>Conciliado en 2007. Etapa probatoria.  Recepcion testigos demandante</t>
  </si>
  <si>
    <t>El demandante laboró desde 1973 hasta 1992 y fue afiliado al ISS en 1977</t>
  </si>
  <si>
    <t>Pendiente apelación demandante.</t>
  </si>
  <si>
    <t xml:space="preserve">Casa Parcialmente  </t>
  </si>
  <si>
    <t>Vr. Pretensiones $50`</t>
  </si>
  <si>
    <t xml:space="preserve">no </t>
  </si>
  <si>
    <t>El 28-02-2007 entró a despacho sin oposición del demandante. ESTE PROCESO  ERA ACUMULADO,  SÓLO ESTA VIGENTE PARA L  CASO DE MANUEL DAVILA RIOS.  .  Para el  caso de Myriam Peña Ortega la CSJ niega casacion de la demandante, favorable al  banco y se termina el  proceso.  casación presentada el  04-12-2006. pendiente casacion del  banco  respecto de Manuel  Davila. Para Rosa margarita Sáenz Peña se terminó el  proceso,  ya que se concilió por 24 mm y  se ingresó a la nómina de jubilados.  el  Tribunal   de Ibagué para el  caso de Peláez y Bonilla fallo favorablemente al  Banco,  pero en el  caso de Manuel  Dávila condenó a pensión restringida  a partir del  2011.  este señor fue despedido con justa causa, por lo que no  habría lugar a la pensión del  art. 8 de la Ley 171 de 1961.  es de anotar que él entabló pleito contra el  banco por el  depsido,  pero  fue ganado en 1997 con fallo de 2 instancia. Pendiente apelación demandante.</t>
  </si>
  <si>
    <t>Vr. Pretensiones $120`</t>
  </si>
  <si>
    <t>El demandante laboró desde 1972 hasta 1995 y se afilió al ISS en 1972</t>
  </si>
  <si>
    <t>civil cto</t>
  </si>
  <si>
    <t>Solicita pension a cargo del Banco</t>
  </si>
  <si>
    <t>civil de Lerida</t>
  </si>
  <si>
    <t>00066/2004</t>
  </si>
  <si>
    <t xml:space="preserve">demandante laboro en Lerida cuando el  ISS aun no  tenia cobertura pero  no  alcanzo a tener mas de 10 años sin cobertura.  reclama pension a cargo del  banco </t>
  </si>
  <si>
    <t>Pendiente apelación demandante. Audiencia para fallo 2a instancia el 04-10-2007. pendiente apelación demandante.  pendiente audiencia juzgamiento</t>
  </si>
  <si>
    <t>Mario Tuffy Chabur Duran</t>
  </si>
  <si>
    <t>00067/2004</t>
  </si>
  <si>
    <t>Pendiente apelación demandante. pendiente audiencia juzgamiento</t>
  </si>
  <si>
    <t>00065/2004</t>
  </si>
  <si>
    <t>Pendiente apelación demandante.  pendiente audiencia juzgamiento</t>
  </si>
  <si>
    <t>00064/2004</t>
  </si>
  <si>
    <t>00068/2004</t>
  </si>
  <si>
    <t xml:space="preserve">Demandante laboro en Lerida cuando el  ISS aun no  tenia cobertura pero  no  alcanzo a tener mas de 10 años sin cobertura.  reclama pension a cargo del  banco </t>
  </si>
  <si>
    <t>00115-2002</t>
  </si>
  <si>
    <t>50001310500220020011500</t>
  </si>
  <si>
    <t>La demandante era la persona que cuidaba una finca que se le adjudicó al Banco  en agosto de 2.002 dentro de un proceso ejecutivo hipotecario. Son codemandados Carlos Arturo Melo Torres, Juan Carlos Melo Fernandez, jose Joaquin Neira Baquera</t>
  </si>
  <si>
    <t>Fecha fallo 1a. Instancia el 01-06-2008. El 7 de julio de 2005 se decreto la nulidad de la sentencia y se ordenó publicar el emplazamiento de los codemandados.</t>
  </si>
  <si>
    <t>Tribunal se abstuvo de conocer por Consulta por falta de competencia por derogatoria de la norma que la consagraba. Vr. Pretensiones $95`</t>
  </si>
  <si>
    <t>25 de septiembre de 2.001 es despedido con JC por haber entregado mal un talonario que facilitó un ilícito.</t>
  </si>
  <si>
    <t>6 septiembre/05 traslado  para que demandante sustente casación presentada por él. Al parecer no acudio en casación</t>
  </si>
  <si>
    <t>Vr. Pretensiones $60</t>
  </si>
  <si>
    <t>2.000-0041</t>
  </si>
  <si>
    <t>68001310500120000004100</t>
  </si>
  <si>
    <t xml:space="preserve">demandante labotró como celador de Cooviescol  entre 1995 y 1997 y prestó servicios de vigilancia en la finca  La Siberia, El Edén  que fue de propiedad del Banco.   Tuvo un accidente y reclama por ello la indemnización que el ISS le  negó .   Demanda al ISS  empelador y al banco lo llamaron en garantía. </t>
  </si>
  <si>
    <t>Fallo segunda instancia para 22 de mayo de 2.007 Se fijó fecha para fallo de segundo grado para el día 7 de diciembre de 2.006 pero fue suspendido y está pendiente de fijar nueva fecha.-.     AUTO CONCEDE RECURSO DE APELACION EN EFECTO SUSPENSIVO INTERPUESTO POR EL APODERADO DE LA PARTE DEMANDADA Y LE RECONOCE PERSONERIA; pendiente apelación demandante</t>
  </si>
  <si>
    <t>claudia moreno</t>
  </si>
  <si>
    <t>Vr. Pretensiones $40</t>
  </si>
  <si>
    <t>2004-0432</t>
  </si>
  <si>
    <t>11001310502020040043200</t>
  </si>
  <si>
    <t xml:space="preserve">En el antiguo escalafón del banco de Colombia se encoentraba como  Asistentes Nivel VII y a partir de la nueva clasificación quedó como Auxiliar administrativo  Nivel VII.  Reclama nombrameinto  como asistentes en el nivel IX y  aumento salarial.pide nombrameinto en cargo de superior categoría al de auxiliar admisnitrativo (actual) y nivelación salarial </t>
  </si>
  <si>
    <t>En trámite en segunda instancia por apelación interpuesta por el apoderado del demandante (Enviado al Tribunal el 23-11-2005). El proceso fue enviado por descongestión judicial al Tribunal de Cundinamarca.</t>
  </si>
  <si>
    <t xml:space="preserve">160  2006 </t>
  </si>
  <si>
    <t xml:space="preserve">se pide el  levatmamiento de fuero por   descuadre en caja de $5 mm sin justificación. </t>
  </si>
  <si>
    <t xml:space="preserve">5 diciembre 2006 continuacion audiencia testigos. 12 octubre 2006 testigos. 24 de julio de 2.006 notificado sintrabancol. demanda persentada el  24 de abril de 2.006: pendiente fecha 1 audiencia. </t>
  </si>
  <si>
    <t>6800131050032005</t>
  </si>
  <si>
    <t xml:space="preserve">Fue despedido en mayo/05 por  cambiar unos cheques  con sus cesantías girados por el Fondo a  favor de la Universidad,  pago que ésta nunca recibió completamente. </t>
  </si>
  <si>
    <t>Fallo 2a instancia el 26-02-2009. Pendiente apelación del ddante. Devuelven Despacho Comisorio 19-05-2008. Pendiente Despacho Comisorio Bogotá. 03-07-2007 testigos del Banco. se fijó el día 8 de febrero de 2.007 a las 2 p.m. como fecha para recibir testimonios de la parte demandante..    demanda notificada 16 de febrro de 2.006, pendiente contestación del banco</t>
  </si>
  <si>
    <t>Vr. Pretensiones $30`</t>
  </si>
  <si>
    <t>0649-99</t>
  </si>
  <si>
    <t>11001310500619990064900</t>
  </si>
  <si>
    <t>Perdida de talonarios de cheques</t>
  </si>
  <si>
    <t xml:space="preserve">Fallo Segunda Instancia el 31-05-2007.En trámite en segunda instancia por apelación interpuesta por el apoderado del demandante contra el fallo de primera instancia. El proceso fue enviado por descongestión judicial al Tribunal de Valledupar..    En trámite en segunda instancia por apelación interpuesta por el apoderado del demandante contra el fallo de primera instancia. Pendiente apelación demandante. </t>
  </si>
  <si>
    <t>Rene Alejandro Perez de los Rios</t>
  </si>
  <si>
    <t>Hubo un ilicito por 4 mm, al empleado inicialmente se le concilió y luego se le terminó el contrato cjc</t>
  </si>
  <si>
    <t xml:space="preserve">Fallo 2a. instancia 18-05-2007. Por descongestión judicial el proceso fue enviado al Tribunal de San Gil para que se profiera sentencia..   pendiente apelacion ddte. El 11 de Julio del año 2.005 se profirió fallo ABSOLUTORIO en primera instancia. El proceso se encuentra en trámite en segunda instancia por apelación interpuesta por el apoderado del actor. Pendiente de fecha para fallo.
</t>
  </si>
  <si>
    <t>326 - 2000</t>
  </si>
  <si>
    <t>11001310500120000032600</t>
  </si>
  <si>
    <t>Pensionados del Banco que solicitan ajuste de pensión indexado.</t>
  </si>
  <si>
    <t xml:space="preserve">Concede apelacion ddte. el 11-11-2005. El día 25 de octubre de 2005 se profirió fallo ABSOLUTORIO en primera instancia. El proceso se encuentra en trámite en segunda instancia por apelación presentada por el apoderado del actor. Pendiente de señalamiento para fallo de segunda instancia.
</t>
  </si>
  <si>
    <t>6,5 smmlv (VALIDAR ACUMULADO)</t>
  </si>
  <si>
    <t>Vr. Pretensiones $80`. No se ha encontrado carpeta de hoja de vida de Graciela Trujillo Londoño, según informa arehivo.</t>
  </si>
  <si>
    <t>Yolanda García de Carvajalino</t>
  </si>
  <si>
    <t>527.02</t>
  </si>
  <si>
    <t>11001310500420020052700</t>
  </si>
  <si>
    <t xml:space="preserve"> El 16 de noviembre de 2.00 recibió un pago de teléfono por $163.000 y no lo ingresó al sisterma</t>
  </si>
  <si>
    <t xml:space="preserve"> 
Fecha fallo 2a instancia el 09-11-2007 a las 5:00 PM. Pendiente apelación demandante. El día 15 de febrero de 2007 a las 9:30 a.m., se llevó a cabo la audiencia de interrogatorio de parte al Representante Legal de la demandada.    El día 2 de mayo de 2006 a las 3:15 p.m., se llevó a cabo la audiencia de interrogatorio de parte al demandante. Pendiente de nueva fecha para la próxima diligencia. 2006 04 17 2:15 p.m. Interrogatorio parte.     17 noviembre2005 testigos del banco</t>
  </si>
  <si>
    <t>Jorge Danilo Guarin Obando</t>
  </si>
  <si>
    <t>2003-0223</t>
  </si>
  <si>
    <t>76001310500720030022300</t>
  </si>
  <si>
    <t>Presentó dos faltantes en cajapor 1988500 y 233000</t>
  </si>
  <si>
    <t>Fecha fallo 2a instancia el 16-05-2008 a las 4:00 PM. Trib. Sup. de Descongestión avoca conocimiento 08-04-2008. Pendiente apelacion ddte</t>
  </si>
  <si>
    <t>Otoniel Gonzalez Orozco</t>
  </si>
  <si>
    <t>Vr. Pretensiones $25`</t>
  </si>
  <si>
    <t>2000-00429</t>
  </si>
  <si>
    <t>76001310500920000042900</t>
  </si>
  <si>
    <t>El 31 de enero 2000 presentó un faltante en caja por $683.310, pagó un cheque lavado por $7.5mm</t>
  </si>
  <si>
    <t>Fallo 2a instancia sala de descongestión el 18-04-2008 a las 9:30 AM. Pendiente apelacion ddte</t>
  </si>
  <si>
    <t>2002-0221</t>
  </si>
  <si>
    <t>76001310500920020022100</t>
  </si>
  <si>
    <t xml:space="preserve">Pendiente apelación del Banco. Octubre 31/2005 - 10:30 a.m. - Interrogatorio parte.     30 de junio de 2005 pruebas.      3T 2005 02 09 espera de respuesta d eoficios Sintrabancol y Minprotección        2003 11 12 3T.    Julio 17 10:00AM Interrogarorio Rep, Legal </t>
  </si>
  <si>
    <t>Raul Trujillo</t>
  </si>
  <si>
    <t>2007-00026</t>
  </si>
  <si>
    <t>Laboró del 16/11/73 al 24/05/96 reclama pensión</t>
  </si>
  <si>
    <t>Pendiente apelación demandante. audiencia de conciliación  13 de abril de 2007.  Demanda contestda el  7 de marzo de 2.007</t>
  </si>
  <si>
    <t>Vr. Pretensiones $40`</t>
  </si>
  <si>
    <t>433 - 00</t>
  </si>
  <si>
    <t>Ya había demandado y nos condenaron en 1 y 2, la corte casó por petición anticipada,  debemos probar que se afilió oprtunamente al ISS</t>
  </si>
  <si>
    <t>Sustentación recurso de Casación por el Banco 30-01-2008. Recurso de Casación interpuesto por el Banco 15-05-2007. Enviado por descongestión judicial al Tribunal de Riohacha. Pendiente de señalamiento para audiencia de juzgamiento..   Se encuentra en el Tribunal Superior del D.J. de Bogotá, Sala Laboral, para la decisión del recurso interpuesto por el Banco contra la sentencia condenatoria de primera instancia. Pese a que se fijó el 29 de Noviembre del año 2.002,  con dicho objeto,  el respectivo fallo no se produjo y tampoco ha sido señalada nueva  fecha.</t>
  </si>
  <si>
    <t xml:space="preserve">No casa         </t>
  </si>
  <si>
    <t>Debemos conseguir historia laboral ISS</t>
  </si>
  <si>
    <t>236 2001</t>
  </si>
  <si>
    <t>11001310501020010023600</t>
  </si>
  <si>
    <t>Demandante laboro en el Banco entre: 25 de mayo de 1969 a 6 de Agosto de 1974; y  de Mayo 25 de 1975 a 31 de Octubre de 1989</t>
  </si>
  <si>
    <t>Oposción a casación el 08-05-2008. Tribunal admite recurso de Casación al demandante 08-11-2007. En trámite en segunda instancia por apelación interpuesta por el apoderado del actor contra la sentencia absolutoria proferida en primera instancia. Pendiente de nueva fecha para fallo. POR DESCONGESTIÓN JUDICIAL EL PROCESO FUE ENVIADO AL Tribunal de Pereira para que se profiera sentencia..    En trámite en segunda instancia por apelación interpuesta por el apoderado del actor contra la sentencia absolutoria proferida en primera instancia. Pendiente de nueva fecha para fallo; Pendiente apelación dte</t>
  </si>
  <si>
    <t>11001310500119970582050</t>
  </si>
  <si>
    <t>Oposicion a casacion presentada por el Banco  10 septiembre de 2008. CSJ ordena traslado al recurrente 16-05-2008. Corte admite recurso de Casación a la demandante 29-04-2008. Fecha fallo 2a instancia 31-10-2007 a las 3:00 PM. Por descongestión judicial el proceso fue enviado al Tribunal de San Andrés para que se profiera sentencia.
 .   Se encuentra en el Tribunal Superior del D.J. de Bogotá D.C., Sala Laboral, para el trámite del recurso interpuesto por la parte actora contra el fallo absolutorio de primera instancia.  Habiendo sido señalado el 30 de Enero de este año para la expedición de la providencia que ha de desatar dicho recurso, no se produjo ésta y está sin señalamiento de nueva fecha para el efecto</t>
  </si>
  <si>
    <t>250-2008</t>
  </si>
  <si>
    <t>11001310502120080025000</t>
  </si>
  <si>
    <t>Trabajó entre noviembre de 1964 y abril de 1992; solicita pensión a cargo del Banco.  Ya está pensionada por el ISS</t>
  </si>
  <si>
    <t xml:space="preserve">Trib. corre traslado liquidación de costas 25-03-2009. Fallo 2a. instancia el 20-02-2009. Concede recurso de apelación a la ddante. 18-11-2008. 3T el 18-11-2008. 3T el 29-10-2008 (aplazada). 2T el 12-08-2008. 1T Conciliación el 23-07-2008. DEMANDA CONTESTADA 19 MAYO 08. </t>
  </si>
  <si>
    <t>2007-00726</t>
  </si>
  <si>
    <t>63001310500320070072600</t>
  </si>
  <si>
    <t>REAJUSTE INDEMNIZACIÓN</t>
  </si>
  <si>
    <t>La exempleada fue despedida sjc y reclama el reajuste de la indemnización con base en la Ley 50/90</t>
  </si>
  <si>
    <t>La apoderada de la dte. no estaba deacuerdo con las sumas consignadas por condena laboral y costas y presentó recurso contra la desición del Juzgado, pero por auto del 31-08-2009 el Juzgado señaló que el auto no es recurrible. Por auto del 29-04-2009 Juzgado fija costas en $4.349. 727. 8, las cuales fueron aprobadas por auto del 14 de mayo de 2009, pendiente pagar. Se inadmite el recurso de casación por la cuantía. Recurso de Casación interpuesto por el Banco el 13-03-2009. Fallo 2a. instancia el 05-03-2009. Fallo 1a. instancia el 28-11-2008</t>
  </si>
  <si>
    <t>6smmlv</t>
  </si>
  <si>
    <t>José Gabriel Restrepo García</t>
  </si>
  <si>
    <t>El Tribunal Superior modifica el fallo y condena a la sanción moratoria. Valor pagado $40.419.308</t>
  </si>
  <si>
    <t>2008-0136</t>
  </si>
  <si>
    <t>05001310501720080013600</t>
  </si>
  <si>
    <t>El ddante. fue despedido cjc por suministrar información de un cliente a un tercero violando la reserva Bancaria.</t>
  </si>
  <si>
    <t>Aprueba transacción y ordena el archivo del expediente el 04-06-2009. 4T el 03-06-2009 a las 8:30 AM Interrogatorio de partes y testigos Banco. 3T el 25-03-2009 a las 8:30 AM (Testigo). 2T el 26-11-2008 a las 8:30 AM (Testigos). 1T Conciliación el 14-08-2008 a las 11:00 AM.</t>
  </si>
  <si>
    <t>Se concilió en $110´</t>
  </si>
  <si>
    <t>2008-224</t>
  </si>
  <si>
    <t>05001310501420080022400</t>
  </si>
  <si>
    <t>Fue despedida con justa causa el 10-07-2007 por incumplimiento de sus obligaciones como arqueos de efectivo, control de topes de efectivo, control efectivo en bóveda, claves de seguridad, cheques de Gerencia, y no tramitar requerimiento de la Secretaría de Hacienda de Mpio. de Chigorodó.</t>
  </si>
  <si>
    <t>Se concilió en $2.000.000</t>
  </si>
  <si>
    <t>532 - 2001</t>
  </si>
  <si>
    <t>11001310500320010053200</t>
  </si>
  <si>
    <t>Despedido cjc</t>
  </si>
  <si>
    <t>Corre traslado de la liqudiación de costas a cargo del dte por $1.900.000 el 30-07-2009. Oposición presentada el 06-05-2008. En CSJ en casación. Enviado por descongestión judicial al Tribunal de Riohacha. Pendiente de fecha para fallo..   Está en el Tribunal Superior del D.J. de Bogotá, Sala Laboral, para el trámite  del recurso de apelación interpuesto por el actor contra la sentencia absolutoria de primera instancia. Aunque fue señalado el 11 de Abril del año 2.003 para el pronunciamiento de la correspondiente decisión, ésta no se produjo, ni ha sido fijada nueva fecha.</t>
  </si>
  <si>
    <t>Dic. 2007</t>
  </si>
  <si>
    <t xml:space="preserve">351-01 </t>
  </si>
  <si>
    <t>68001310500120010035100</t>
  </si>
  <si>
    <t>Fue despedido cjc</t>
  </si>
  <si>
    <t>Costas en 2a. instancia por valor de $400.000. Fija agencias en derecho 14-07-2009 por valor de  $30.660.000. El Banco desiste del recurso de casación. Recurso de casación presentado por el Banco. Pendiente apelacion del  banco.  23-04-2007 condena al  banco al  pago de $306 mm por indemnización indexada.  Pendiente de fijar fecha para fallo.    AUTO FIJA FECHA AUDIENCIA Y/O DILIGENCIA: SE?ALA EL 17 DE NOVIEMBRE DEL A?O EN CURSO A LAS TRES DE LA TARDE PARA AUDIENCIA DE JUZGAMIENTO;; AUTO FIJA FECHA PARA LA CONTUACION DE LA CUARTA AUDIENCIA DE TRAMITE PARA EL DIA 5/04/2006 2:30 P;M.    26 de mayo de 2006 inspeccion judicial. 20 septiembre/2005 Banco entrega documentos a perito conforme a despacho comisorio inspección judicial juzgado 11 Bogotá</t>
  </si>
  <si>
    <t>Norman León Arias Sepúlveda</t>
  </si>
  <si>
    <t>Condena al pago de indemnización indexada.</t>
  </si>
  <si>
    <t>2008-01223</t>
  </si>
  <si>
    <t>05001310500120080122300</t>
  </si>
  <si>
    <t>El ddante. laboró para el contratista Comercial y Servicios LARCO. Demanda en solidaridad al Banco.</t>
  </si>
  <si>
    <t>Terminado por transacción entre el ddante. y Comercializadora LARCO el 23-06-2009. Pendiente 1T. Contestada el 27-04-2009</t>
  </si>
  <si>
    <t>Terminado por transacción entre el ddante. y Comercializadora LARCO el 23-06-2009</t>
  </si>
  <si>
    <t>2004-00472</t>
  </si>
  <si>
    <t>23001310500120040047200</t>
  </si>
  <si>
    <t>Despedida por irregularidades</t>
  </si>
  <si>
    <t>Fallado el 30-09-2008. 5 de mayo de 2005 inspeccion judicial</t>
  </si>
  <si>
    <t>La condena fue por $912.212</t>
  </si>
  <si>
    <t>2009-00853</t>
  </si>
  <si>
    <t>05001310500920080085300</t>
  </si>
  <si>
    <t>Terminó por transacción entre el ddante. y Comercializadora LARCO el 15-07-2009. Pendiente 1T. Contestada el 24-03-2009.</t>
  </si>
  <si>
    <t>Terminado por transacción entre el ddante. y Comercializadora LARCO el 15-07-2009</t>
  </si>
  <si>
    <t>2007-110</t>
  </si>
  <si>
    <t>05001310501020070011000</t>
  </si>
  <si>
    <t>Recibió consignación en efectivo por valor de $130.000 y más tarde la reversó sin reportar ningún sobrante. Al día siguiente volvió a efectuar la consignación por el mismo valor y para el mismo cliente.</t>
  </si>
  <si>
    <t>Aud. Fallo 1a. Instancia el 04-11-2008. 4T Interrogatorio de partes el 14-08-2008 a las 9:00 AM. 3T el 23-06-2008 a las 2:00 PM (Testigos). 2T 10-04-2008 a las 9:00 AM (2 testigos del Banco). 1T el 29-10-2007 a las 10:30 AM -Conciliación.</t>
  </si>
  <si>
    <t>2007-168</t>
  </si>
  <si>
    <t>05001310501320070016800</t>
  </si>
  <si>
    <t>Fue despedido con justa causa porque se negó a recibir una consignación en monedas a un cliente por valor de $190.000</t>
  </si>
  <si>
    <t>El Banco resolvió no apelar el fallo de 1a. instancia. El Juzgado fijó fecha para fallo 1a. instancia el 23-06-2009, a solicitud de los apoderados de clausurar el debate probatorio. 3T Interrogatorio de parte (Ddada.) el 18-03-2009 a las 8:30 AM. 2T el 08-09-2008 a las 8:30 AM Interrogatorio al ddte. 1T el 28-03-2008 a las 8:30 AM Conciliación.</t>
  </si>
  <si>
    <t>Valor pagado $4.300.000</t>
  </si>
  <si>
    <t>2007-125</t>
  </si>
  <si>
    <t>11001310500320070012500</t>
  </si>
  <si>
    <t xml:space="preserve">Fue desvinculada SJC y  solicita la reliquidacion de la indemnizacion con base en la ley 50/90 por disposicion convencional y no con la Ley 789 de 2003 con la que el  Banco  hizo la liquidacion dada la fecha de su ingreso.   </t>
  </si>
  <si>
    <t>El 04-09-2009 pone en conocimiento titulo de deposito judicial. El 20-08-2009 corre trasaldo de liquidación de costas en el Juzgado. Por auto del 28-07-2009 ordena practicar liquidación de costas e incluir la suma de $2.000.000 por concepto de agencias en derecho. Nueva fecha fallo 2a. instancia el 12-06-2009. Fija fecha fallo 2a. Instancia para el 27-05-2009 a las 3:00 PM. Alegatos de conclusión mayo de 2008. 3T 12-12-2007. 2T 21-08-2007 Testigos Banco. 1 T el 21-06-2007 a las 9:30 AM. demanda admitida el  2 de marzo de 2.007,  pendiente notificacion</t>
  </si>
  <si>
    <t>Valor condena $15.613.559. Vr. Costas $2´000.000</t>
  </si>
  <si>
    <t>446 - 2000</t>
  </si>
  <si>
    <t>11001310501620000044600</t>
  </si>
  <si>
    <t>El 14 de marzo de 2000 presntó un faltante en caja por $146.000 - impuesto recibido; el 15 de marzo un faltante por $150.000, 14 de febrero y 27 de abril faltantes por $200.000 y $2.115.000</t>
  </si>
  <si>
    <t>Auto aprob. costas y ordena archivo 13-01-2009. Devuelto por el Trib. sin surtir consulta 25-11-2008. Enviado al Trib. en consulta el 01-07-2008. Fecha fallo de descongestión el 22-02-2008 a las 3:00 PM. 21 de febrero de 2007 a las 11:00 a.m., para inspección judicial en las instalaciones del juzgado..  10 de mayo de 2006 inspección judicial. 2006 05 10 respuesta oficio por parte del Banco.      El 1º de Febrero del próximo año, a las nueve y cuarto de la mañana, se encuentra destinado para el contrainterrogatorio de uno de los testigos pedidos por la accionante.</t>
  </si>
  <si>
    <t>9° LABORAL</t>
  </si>
  <si>
    <t>1999-0592</t>
  </si>
  <si>
    <t>76001310500919990059200</t>
  </si>
  <si>
    <t>La terminación del contrato se produjo con justa causa fundamentada en las reclamaciones de los clientes, en cuyas transacciones aparece el carné del exempleado</t>
  </si>
  <si>
    <t>Pendiente apelación demandante. Fallo 13-04-2006</t>
  </si>
  <si>
    <t>76001310500120020009100</t>
  </si>
  <si>
    <t>Alega despido injusto. Probabilidades altas de éxito para el Banco por justa causa establecida en el RIT</t>
  </si>
  <si>
    <t>Apelacion presentada el  29 enero/07. Noviembre 28/2005 - 09:30 a.m. Práctica inspeccion judicial.     Continuación 3a audiencia 22-08-2005</t>
  </si>
  <si>
    <t>Ivan Ferreira Duitama</t>
  </si>
  <si>
    <t xml:space="preserve">0001  2005 </t>
  </si>
  <si>
    <t>11001310500420050000100</t>
  </si>
  <si>
    <t>Fue despedido el 8 de enero de 2.002 por entregar una chequera a quien no era titular</t>
  </si>
  <si>
    <t xml:space="preserve">Traslado liquidación de costas 11-08-2009. Fija fecha fallo 2a. instancia el 27-05-2009. Pendiente apelación ddante. Fecha fallo 1a instancia 30-04-2008 a las 5:00 PM.Juzg. 2° de Descongestión. FIJA FECHA AUDIENCIA O DILIGENCIA EL 30 DE ENERO DE 2007 A LAS 10:00AM ULTIMA OPORTUNIDAD EVACUA PRUEBA TESTIMONIAL PARTE ACTORA [79625468]ALFONSO CASTRO MARTINEZ.    2006 03 29 1T.     demanda contestada el   3 de octubre de 2.005 </t>
  </si>
  <si>
    <t>503 - 2003</t>
  </si>
  <si>
    <t>11001310501620030050300</t>
  </si>
  <si>
    <t>Despedido por justa causa 03 de abril del 2003; pide retintrego al ultimo cargo desempeñado, pago de salarios y prestaciones sociales dejadas de recibir desde al dia  de la terminacion del contratto que vinvulo las partes, pago por indemnizacion por despido por despido, reconocimiento de la pension sancion</t>
  </si>
  <si>
    <t>Corre traslado liquidación de costas 22-07-2009. Fecha fallo 2a. instancia el 29-05-2009. Enviado a Trib. de descongestión el 27-10-2008. Concede Apelación al ddte. 01-04-2008. Fallo el 22-02-2008 a las 3:00 PM. El día 21 de marzo de 2007 a las 11:30 a.m., para resolver inasistencia del demandante al interrogatorio de parte..    12 mayo 2006 interrogatior bco.  2002 02 22 interrogatorio parts.    En la audiencia a celebrarse el 9 de Marzo del año 2.005, a las nueve y cuarto de la mañana, se recibirán  testimonios de la parte actora../    audiencia de conciliacion obligatoria el 31 de marzo del 2004  a las 9:15 AM</t>
  </si>
  <si>
    <t>11001310500420050065000</t>
  </si>
  <si>
    <t>Banco lo pensionó a aprtir de julio de 2.002 cojn el SMLMV</t>
  </si>
  <si>
    <t>El Banco desistió del recurso de Casación. Trib. concede recurso de casación al ddado. el 24-06-2008. Fallo 2a instancia el 28-03-2008 a las 3:00 PM. AUTO ORDENA ENVIAR PROCESO AL H; TRIBUNAL SUPERIOR DE BOGOTA SALA CONCEDE RECURSO DE APELACION DE LA SENTENCIA EN EFECTO SUSPENSIVO[5683284] .    1 diciembre 2.006 fecha fallo 1a instancia.  Contestada la demanda por Bancolombia el 19 de diciembre de 2005. Proceso al Despacho</t>
  </si>
  <si>
    <t>Vr. Condena $55`</t>
  </si>
  <si>
    <t xml:space="preserve">158-2008 </t>
  </si>
  <si>
    <t>11001310501520080015800</t>
  </si>
  <si>
    <t>Solicita pensión de jubilación por haber laborado más de 20 años entre 1958 hasta 1987, pero ya está pensionado por el ISS</t>
  </si>
  <si>
    <t>Según informe del 15-05-2009 el demandante en la audiencia desistió de la demanda, pendiente que nos remitan copia del acta de la audiencia. Fija fecha respuesta oficios el 29-01-2009. 1T Conciliación el 11-11-2008.</t>
  </si>
  <si>
    <t>Terminado por desistimiento del demandante</t>
  </si>
  <si>
    <t>150-2008</t>
  </si>
  <si>
    <t>11001310501720080015000</t>
  </si>
  <si>
    <t>Laboró por más de 20 años entre agosto de 1964 y mayo de 1987 y solicita pensión del ISS</t>
  </si>
  <si>
    <t xml:space="preserve">Por auto del 23-07-2009 aprueba liquidación de costas. Por auto del 13-07-2009 ordena practicar liquidación de costas. Concede apelación a la ddante. 28-11-2008. Fecha fallo 1a. instancia el 14-11-2008. 2T Interrogatorio de partes el 28-08-2008. 1T Conciliación el 25-07-2008. </t>
  </si>
  <si>
    <t>603/2003</t>
  </si>
  <si>
    <t>11001310500520030060300</t>
  </si>
  <si>
    <t>El Juzgado ordena practicar liqudiación de costas -Auto del 22 de julio de 2009 . Fecha fallo 2a. instancia el 29-05-2009 a las 3:00 PM. Sala remite exp. a la Dra. Martha Ávila para lo de la Descongestión el 16-03-2009. Enviado al Trib. Sup. Descongestión 11-02-2009. Audiencia de juzgamiento el día 24 de agosto de 2007 a las 3:00 p. m.  FIJA FECHA AUDIENCIA DE FALLO EL 16 DE FEBRERO DE 2007 A LAS 3:00PM .   FIJA FECHA AUDIENCIA O DILIGENCIA INSPECCION JUDICIAL EL 17 DE NOVIEMBRE DE 2006 A LAS 10:15AM [52494226].    FIJA FECHA AUDIENCIA O DILIGENCIA EL 8 DE SEPTIEMBRE DE 2006 A LAS 11:15AM PARA INSPECCION JUDICIAL [52494226]ALFONSO CASTRO MARTINEZ;JC,; 4 de mayo de 2.006 audiencia para respuesta de oficios.  2006 02 20 2 p.m. Se decide la practica de inspección judical.      La audiencia fijada para el 1º de Marzo del 2.005, a las diez y cuarto de la mañana, se halla destinada para la declaración de uno de los testigos solicitados por el Banco</t>
  </si>
  <si>
    <t>Contrato terminó CJC Reclama reajuste salarial y pago de recargos nocturnos e indemnización moratoria</t>
  </si>
  <si>
    <t>Pendiente apelación demandante. 07 de Febrero de 2006 a las 2:30 p.m., fecha y hora para 1T</t>
  </si>
  <si>
    <t>1900000 + 2,5 sm + 2,5</t>
  </si>
  <si>
    <t>Herman Trujillo García</t>
  </si>
  <si>
    <t>El Tribunal Superior de Armenia condena a pagar diferencia por $2.938.296,16</t>
  </si>
  <si>
    <t>918-04</t>
  </si>
  <si>
    <t>11001310501220040091800</t>
  </si>
  <si>
    <t>El contrato terminó con justa causa sustentado en los procesos disciplinarios efectuados al exempleado. Existen altas probabilidades de éxito para el Banco; fue despedido con JC el 25 de agosto 2003 por continuos descuadres</t>
  </si>
  <si>
    <t>Juzgado ordena archivo del proceso el 05-11-2009. Trib. devuelve expediente al Juzgado el 27-07-2009 ya que el ddante. no interpuso recurso de casación. 23 enero de 2007 testigos del  banco. 21 DE MARZO DE 2006 INTERROGATORIO DE PARTE</t>
  </si>
  <si>
    <t>2 mm y 10 smlmv</t>
  </si>
  <si>
    <t>247-07</t>
  </si>
  <si>
    <t>11001310500120070024700</t>
  </si>
  <si>
    <t>Fue despedido SJC EL 1 DE MAYO DE 2.005 ,  solicita reliquidación con base en la ley 50/90 (CCT)</t>
  </si>
  <si>
    <t>2002-0178</t>
  </si>
  <si>
    <t>76001310500920020017800</t>
  </si>
  <si>
    <t>En el  momento en que iba a comenzar un arqueo le manifestó al subgerente que su caja presentaba un faltante por valor de Un Millón de pesos m.l. ($1.000.000.oo), sin que se recibiera de parte suya explicación satisfactoria sobre el origen del faltante y sin que hayamos podido establecer la causa del mismo ni determinar el destino que finalmente tuvo el efectivo faltante. El 2 de Agosto 01 había presentado otro faltante por valor de Quinientos Mil Pesos M/Cte $500.000, en el cual tampoco fue posible establecer su origen</t>
  </si>
  <si>
    <t>La apoderada del actor solicito se adicionara la sentencia con el fin de que se ordenen la indexación de la condena y el juzgado por auto del 22-04-2010 ordenó remitir al Tribunal. El 19 de octubre se dicta auto de obedezcase y cumplase y se liqudian costas en primera instancia por $2.731.228. Nueva fecha fallo 2a. instancia el 25-08-2009. Fecha fallo 2a. instancia el 30-06-2009. Apelación ddante. pendiente de fallo. Fallo 1a instancia 07-02-2008. 15 de febrero 2007 continuación inspeccion juducual.      Noviembre 10/2005 - 10:30 a.m. Testimonios.      20 de junio de 2005 testimonios.                 3T  17 02 2005    prueba testimonial  2003 12 03 3T.2003 01 30 2T interrogatorio partes</t>
  </si>
  <si>
    <t>El Trib. revoca parcialmente el fallo absolutorio de 1a. instancia y condena al pago de la indemnización en $13.656.139.78. Costas 2a. instancia $500.000. Costas 1a. Instancia $2´731.228</t>
  </si>
  <si>
    <t>Prestaba servicios esporadicos entregando docuentos y haciendo arreglos; se concilió hace algunos años cualquier eventual relacio´n laboral. Pide Que se declare la nulidad del acta de conciliación que suscribieron las partes ante el Ministerio de Trabajo, reconocimiento de pensión de jubilación, indexación, sanción moratoria del artículo 65 del C.S.T. y costas judiciales. Estado del proceso: SUBSIDIARIAS: Que se declare la nulidad del acta de conciliación que suscribieron las partes ante el Ministerio de Trabajo, reconocimiento de pensión sanción, indexación, sanción moratoria del artículo 65 del C.S.T. y costas judiciales.</t>
  </si>
  <si>
    <t xml:space="preserve">El 23-11-2007 liquida costas de 1a. instancia por $433.700. Fecha Audiencia Fallo 2a Instancia 23-10-2007 a las 5:00 PM. 07 de Febrero de 2006 a las 10:30 a.m., fecha y hora para que rinda declaración un testigo de la parte actora y un testigo del Banco. </t>
  </si>
  <si>
    <t>Tramitar el desembolso de un crédito, en calidad de gerente, sin el leno de los requisitos del Banco</t>
  </si>
  <si>
    <t xml:space="preserve">Pendiente fallo 2a. Instancia. Alegatos de conclusión Trib. Sup. 11-12-2008. 5 de sept. Inspección Judicial. 29 de Marzo de 2006 alas 2.30 p.m., fecha y hora para que rindan declaración las testigos Claudia Mora y Gustavo Narvaez 2T        </t>
  </si>
  <si>
    <t>2002-00781</t>
  </si>
  <si>
    <t>76001310500320020078100</t>
  </si>
  <si>
    <t>Justa Causa- Recibió el 27 de feb. 2002 una consignación en efectivo por $660,000para abonar a cuenta de ahorros y no la hizo, además no reportó el faltante.</t>
  </si>
  <si>
    <t xml:space="preserve">Nueva fecha fallo 2a. instancia 15-04-2009. Fija fecha fallo 2a. instancia el 25-03-2009. Concede Apelación a la ddte. el 28-03-2008. Fija fecha para fallo el 21-02-2008 a las 4:30 PM. Fija fecha Audiencia 26-11-2007 a las 10:00 AM. 17 de julio de 2006 inspeccion judicial Marzo 01/2006 3:00 p.m. - Interrogatorio parte.      11 de agosto de 2005 interrogatorio de parte.       2005 03 07 interrogatorios de parte .     Hay contradiiocnes en los testimonios / señal de alerta  2004 01 29 2T testimonios de William Pelaez y Jaime Martinez.      Agosto 5 / 3:30 audiencia de conciliación </t>
  </si>
  <si>
    <t>Alvaro Roberto Enrique Hidalgo</t>
  </si>
  <si>
    <t>Pendiente despacho comisorio a Medellin testimionio de Alejandro Velez???</t>
  </si>
  <si>
    <t>Palmira</t>
  </si>
  <si>
    <t>2006-0220</t>
  </si>
  <si>
    <t>76001310500920060022000</t>
  </si>
  <si>
    <t>Al señor no le pagan retroactivo del Iss entre nov. De 2004 y mayo de 2005; el Banco no le reportó la novedad de retiro al ISS; es una demanda contra el ISS y el Banco</t>
  </si>
  <si>
    <t>14 de mayo de 2007 testimonio de Orlando Espinosa. 04/07/2006: contestación demanda</t>
  </si>
  <si>
    <t xml:space="preserve">14 de mayo de 2007 testimonio de Orlando Espinosa. </t>
  </si>
  <si>
    <t>Recibe consiganción por $948.298 y no los abona en esa misma fecha; lo hace despues con fondos d eun cheque de ella</t>
  </si>
  <si>
    <t>Suspendida fecha fallo. 20 de marzo de 2007 fallo primera instancia.      Noviembre 24/2005 - 08:30 a.m. Declaracion testigo.      3 de mayo de 2005 interrogatorio de parte.    2 T  2005 02 10      20 10 2004 1T</t>
  </si>
  <si>
    <t>2008-151</t>
  </si>
  <si>
    <t>11001310501420080015100</t>
  </si>
  <si>
    <t>Laboró por más de 20 años entre julio de 1957 y febrero de 1995 y solicita jubilacion del RIT</t>
  </si>
  <si>
    <t>El 02-07-2009 el Juzgado acepta el desistimiento y declara terminado el proceso. El apoderado del dte. desistió del proceso y nuestro apoderado coadyuvó.  4T el 02-07-2009 a las 11:00 AM. Nueva fecha 3T el 20-05-2009. 3T el 12-03-2009 respuesta oficios. 2T Interrogatorio de partes el 02-12-2008 a las 8:30 am. 1T Conciliación el 27-10-2008</t>
  </si>
  <si>
    <t>2009-00349</t>
  </si>
  <si>
    <t>05001310500320090034900</t>
  </si>
  <si>
    <t>Fue despedida sjc y se le pagó la indemnización de acuerdo con la Ley 789/2002, reclama reliquidación de acuerdo con la Ley 50/90.</t>
  </si>
  <si>
    <t>Se concilió en $1.700.000 el 25-09-2009. Nueva fecha 1T conciliación el 25-09-2009 a las 10:30 am. 1T conciliación el 29-07-2009 a las 11:00 am. Aplazada</t>
  </si>
  <si>
    <t>Luis Javier Naranjo Lotero</t>
  </si>
  <si>
    <t>Se concilió en $1.700.000</t>
  </si>
  <si>
    <t>2006-1050</t>
  </si>
  <si>
    <t>05001310501720060105000</t>
  </si>
  <si>
    <t>El  resultado es muy incierto y por tanto la probabilidad de fallo adverso es latente</t>
  </si>
  <si>
    <t>Directora de servicio en Av Nutibara (Conavi) no hicieron bien un arqueo y se perdieron $10 mm</t>
  </si>
  <si>
    <t>Nueva fecha fallo 2a. instancia el 21-04-2009. Fallo 2a. instancia el 31-03-2009. Aplazado fallo para el 13-06-2008 a las 3:00 PM. Fecha fallo 1a instancia Juzgado 5° de Descongestión 20-05-2008 a las 4:00 PM. Enviado a Juzgados de descongestión el 11-02-2008. Fija fecha fallo 1a instancia 20-06-2008 a las 4:00 PM. 4T el 30-01-2008 a las 8:30 AM (Testigos). 3T el 14-08-2007 a las 3:00 PM Testimonios. 2T Interrogatorio partes 24-04-2007 a las 3:00 PM. 1t 23 de Enero del 2007 alas 3:00 p.m.</t>
  </si>
  <si>
    <t xml:space="preserve">Tribunal confirmó las costas de 1a. instancia en $8´830.175 mediante fallo del 23-04-2010. En primera instancia la condena fue de $93.828.618. El Tribunal la modifica y quedó en $44.150.877. Pendiente liquidación de costas las cuales fueron objetadas por el Abo. Ddante. </t>
  </si>
  <si>
    <t>0049-2206</t>
  </si>
  <si>
    <t>13001310500320060004900</t>
  </si>
  <si>
    <t>El demandante solicita le sea cancelada una pensión cnvencional. El juzgado absolvió al Banco en el fallo de 1° instancia.</t>
  </si>
  <si>
    <t>Juzgado dictó sentencia favorable al Banco, actualmente se encuentra en el tribunal para consulta.</t>
  </si>
  <si>
    <t>Fecha fallo 2a. Instancia el 18-06-2008 a las 9:00 AM. Fecha fallo 1a. Instancia el 29-02-2008. Continuación 4a Aud. El 29-05-2007. 3ª DE TRAMITE, INSP JUD 15 MAZO/06/9:00 AM</t>
  </si>
  <si>
    <t>546 - 2000</t>
  </si>
  <si>
    <t>08001310500320000054600</t>
  </si>
  <si>
    <t>Se despidió por malos manejos de dineros "jineteo" con servicios públicos</t>
  </si>
  <si>
    <t>Fallo 2a. instancia el 16-06-2009. Sigue en estudio la apelación en el Trib. según informe de la Abo. externa del 17-12-2008. 11-11- 2004 sube despacho Magistrado Ponente para su estudio, Rad. Trib. 19.647 MP. María Olga Henao. 6-08-2004 se presentó recurso de apelación contra esta sentencia,  ahora se surte la segunda instancia ante la Sala Laboral del Tribunal Superior de Distrito Judicial de Barranquilla y se encuentra el proceso en trámite de radicación ante el Tribunal Superior para efectos de estudio del recurso</t>
  </si>
  <si>
    <t>Victor Julio Daza</t>
  </si>
  <si>
    <t>Fusagasuga</t>
  </si>
  <si>
    <t>093-98</t>
  </si>
  <si>
    <t>08001310500319980009300</t>
  </si>
  <si>
    <t>Exempleado con accionde reintegro por antigüedad. Alega despido injusto. El contrato terminó con justa causa por incumplir los procedimientos para los billetes falsos, pasándolos además a sus compañeros en los fajos que les entregaba</t>
  </si>
  <si>
    <t xml:space="preserve">Fallo 1a instancia favorable a CONAVI. En el Tribunal en apelación; 23 oct. 2002 a estudio del magistrado Efrain Arguello Patiño </t>
  </si>
  <si>
    <t>oct. 2002</t>
  </si>
  <si>
    <t>civil de fusagasuga</t>
  </si>
  <si>
    <t>El resultado es muy incierto y por tanto la probabilidad de fallo adverso es latente; es un caso parecido al de domingo Ortiz con fallo adverso e 1 y 2</t>
  </si>
  <si>
    <t>Inicio contrato el 19 de abril de 1967 hasta el 30 de junio de 1992.  Sin cobertura ISS en esa ciudad</t>
  </si>
  <si>
    <t>Se envía expediente al Tribunal el  27 febrero de 2007.  Pendiente apelacion demandante.  continua al despacho el expediente; este proceso se debe concliar es el mismo caso de Domingo Ortiz</t>
  </si>
  <si>
    <t>Indemnización de perjuicios materiales generados en no afiliación ni pago de cotizaciones al I.S.S..</t>
  </si>
  <si>
    <t>Según información de la Abogada el ddte. no interpuso recurso extraordinario de casación y está el proceso en liqudiación de costas. El Trib. Sup. mediante sentencia de fecha 28 de agosto de 2008  revocó la sentencia de 1ra. instancia y absolvió al Banco de las pretensiones de la demanda, sin condena en costas en la 2a. instancia e imponiendo las de 1a.  al demandante. Desfavorable 2006</t>
  </si>
  <si>
    <t>Envigado</t>
  </si>
  <si>
    <t>00947-2006</t>
  </si>
  <si>
    <t>05201310500120060094700</t>
  </si>
  <si>
    <t>ninguna</t>
  </si>
  <si>
    <t>El resultado es muy incierto y por lo tanto la probabilidad de fallo adverso es latente.</t>
  </si>
  <si>
    <t xml:space="preserve">Entregó a un supuesto titular de una cta. (impostor) una libreta con la firma falsificada, mediante la cual se hicieron varios retiros fraudulentos. </t>
  </si>
  <si>
    <t>Aud. Fallo 1a Instancia el 08-08-2008. Continuación 2T el 06-05-2008 a las 8:00 AM. 2T el 07-02-2008 a las 8:05 AM. 1 T el 21-06-2007 a las 2:00 PM.</t>
  </si>
  <si>
    <t>2005-00332</t>
  </si>
  <si>
    <t>11001310501220050033200</t>
  </si>
  <si>
    <t>Era trabajador de seguridad Orión y fue despedido con JC por incumplir sus obligaciones, prestó sus servicios como vigilante en  Conavi UGI opr cerca de 4 meses y  por ello demandan también al banco. Tambien demanda solidariamente a Davivienda</t>
  </si>
  <si>
    <t xml:space="preserve">Aprueba liquidación de costas y ordena el archivo del expediente el 07-07-2008. Liquidación de costas 12-06-2008. Declara ejecutoriada la stcia. el 21-05-2008 y ordena liquidación de costas. El Ordena adicionar stcia. el 18-04-2008. Fallo 1a. Instancia el 11-04-2008. 31 octubre 2006 testigos demandante.  8 de febrero de 2006 1T.    demanda contestada noviembre 05. Pendiente fecha 1 audiencia. </t>
  </si>
  <si>
    <t>2008-0052</t>
  </si>
  <si>
    <t>05001310500520080005200</t>
  </si>
  <si>
    <t>El ddante. fue despedido cjc por malos tratos a empleados del Banco cuando el sindicato bloqueó el ingreso a la Sucursal.</t>
  </si>
  <si>
    <t>Fernando Cruz Kronfly</t>
  </si>
  <si>
    <t>Se efectuó transacción por vr. De $180´</t>
  </si>
  <si>
    <t>Presentó un descuadre en la caja a su cargo por la suma de $4.449.833</t>
  </si>
  <si>
    <t>El expediente fue remitido a la Sala de Decisión Laboral del Tribunal Superior del Distrito Judicial de Cali, para que se surta la segunda instancia, donde se encuentra pendiente el señalamiento de fecha y hora para dictar el respectivo fallo</t>
  </si>
  <si>
    <t>Isnardo Pardo Mateus</t>
  </si>
  <si>
    <t>16 LABORAL</t>
  </si>
  <si>
    <t>998-03</t>
  </si>
  <si>
    <t>11001310501620030099800</t>
  </si>
  <si>
    <t>La terminación  del contrato se produjo con justa causa sustentada en el hecho de haberse encontrado en su residencia implemantos de CONAVI (Conavitel y tarjetas débito); laboró entre agosto de 1995 y  noviembre de 2001 y fue despedido por unos fraudes con Conavitel</t>
  </si>
  <si>
    <t>El 22-07-2009 a despacho para resolver sin demanda. Traslado al recurrente el 20-05-2009. Secretaría de la Sala de Casación pasa expediente a Magistrado Ponente 19-03-2009. Trib. concede recurso de Casación al ddante. 23-01-2009. Pendiente fallo 2a. instancia 06-11-2008. Enviado a Juzgados de descongestión el 17-10-2007. febrero/2007 juzgado de medellín devuelve despacho comisorio sin practicar testigos del  Banco.  El día 5 de septiembre de 2006 el Juzgado Dieciséis Laboral del Circuito de Bogotá, libró el despacho comisorio No. 24 dirigido al Juez Laboral del Circuito de Medellín para recibir la declaración del señor Mario Arango Arango, en cumplimiento de lo ordenado en la Audiencia celebrada el 30 de Agosto de 2006, diligencia en la cual se calificaron los cuestionarios presentados por las partes.  El día 14 de febrero de 2007 se espera obre en el expediente debidamente diligenciado el despacho comisorio antes enunciado.     interrogatorios de parte 29 de septiembre/05. NO APARECE EN REPORTE DEL ABOGADO</t>
  </si>
  <si>
    <t>Bello</t>
  </si>
  <si>
    <t>2009-00114</t>
  </si>
  <si>
    <t>REAJUSTE INDEMNIZACION</t>
  </si>
  <si>
    <t>Fue despedido sjc y se le pagó la indemnización de acuerdo con la Ley 789/2002, reclama reliquidación de acuerdo con la Ley 50/90.</t>
  </si>
  <si>
    <t>Se concilió en $25.500.000 por lo que el Juzgado ordenó el archivo del proceso. 1T Conciliación el 19-11-2009 a las 9:15 AM.</t>
  </si>
  <si>
    <t>Se concilió en $25´500.000</t>
  </si>
  <si>
    <t>2005-00159</t>
  </si>
  <si>
    <t>Pide jubilacion, ya había demandado al Banco</t>
  </si>
  <si>
    <t>Del 04-08-2009 al 06-09-2009 corre traslado al recurrente. A reparto en la CSJ el 08-07-2009. Trib. concede recurso de casación al ddante. Nueva fecha fallo 2a. instancia el 11-02-2009. Fecha fallo 2a instancia el 28-01-2009. Fallo el 20-10-2006. 2006 01 26 1T</t>
  </si>
  <si>
    <t>2007-0371</t>
  </si>
  <si>
    <t>05001310500320070037100</t>
  </si>
  <si>
    <t>Fecha fallo 2a. instancia el 30-09-2009 a las 4:00 PM. Enviado a Magistrados de descongestión 02-04-2009. Traslado por 05 días para alegar 03-03-2009. Concede recurso de apelación 20-11-2008. Fecha fallo 1a. instancia el 27-10-2008 a las 4:00 PM. El Juzgado cerró el debate probatorio y fijó fecha para fallo el 15-09-2008. 2T interrogatorio de partes el 21-07-2008 a las 9:00 AM. 1T el 15-04-2008 a las 2:00 PM Conciliación.</t>
  </si>
  <si>
    <t>Vr. Total condena con idexación y costas $33´489.076      (Costas $6´697.815)</t>
  </si>
  <si>
    <t>0179 2005</t>
  </si>
  <si>
    <t>Aprueba liquidación de costas y ordena el archivo del proceso 10-12-2009. Liquidación de costas el 23-11-2009. Fallo 2a instancia el 27-08-2008 a las 11:30 AM. Fallo el 30-11-2006. para cierre debate probatorio 2006 03 08</t>
  </si>
  <si>
    <t>UNICO LABORAL</t>
  </si>
  <si>
    <t>Se solicita permiso para despedir por reconocimiento de la pensión de vejez por parte del ISS</t>
  </si>
  <si>
    <t>Pendiente apelación ddante. Nueva fecha para fallo 14-11-2008. Audiencia para fallo el 05-09-2008. DEMANDA PRESENTADA 16 MAYO 08</t>
  </si>
  <si>
    <t>Al solicitarse el permiso para despedir, la Resolución no estaba en firme ya que fue apelada por la empleada</t>
  </si>
  <si>
    <t>El sr. Victor Ruiz fue condenado penalmente por el tribunal de santa marta por el delito de falsedad en documento privado, falsedad personal y estafa.</t>
  </si>
  <si>
    <t>Carolina Plata atendió la diligencia en representación del Banco en la ciudad de Bogotá, es decir contestó el interrogatorio de parte que estaba programado para el Dr. Javier Alarcón. Despacho Comisorio 20-11-2007. CONT. AUDIENCIA PÚBLICA TEST DDO (VICTOR  RUIZ) ABRIL 6/06/10:00 A.M. .     25 de abril de 2005   inspeccion judicial.       Inspeccion judicial -  etapa probatoria 20 01 2005</t>
  </si>
  <si>
    <t>Vr. Condena en costas $3´605.000</t>
  </si>
  <si>
    <t xml:space="preserve">se pide el  levantamiento de fuero  por  descuadre no reportado. </t>
  </si>
  <si>
    <t>Juzgado aprueba liquidación de costas 21-10-2009 por $1´490.700. El 07-09-2009 se aprueban las costas en el Tribunal por $450.000. El 20-08-2009 corre traslado liquidación de costas. Fecha fallo 2a. instancia el 10-08-2009. Se envía al Tribunal Superior el 21-04-2009 por apelación del ddante. contra auto. 11-02-2009 interrogatorio al demandado y testigos. La demanda fue contestada y se propusieron excepciones y se fijó el  día 10 de mayo de 2.007 a las 8 ½ a.m. para recibir dos (2) testigos de la parte demandante.    11 agosto de 2.006 1 audiencia.  pendiente notificación al  demandado</t>
  </si>
  <si>
    <t>10 smlmv</t>
  </si>
  <si>
    <t>David Gonzalo Cuartas Soto</t>
  </si>
  <si>
    <t>Condena en costas 1a. instancia $1´490.700 y 2a. instancia $450.000</t>
  </si>
  <si>
    <t>00663-2006</t>
  </si>
  <si>
    <t>05001310500220060066300</t>
  </si>
  <si>
    <t>Liquidación costas 03-12-2009. Enviado al Tribunal Sala piloto de la Oralidad el 30-10-2008. Admite recurso de apelación al ddado. 25-06-2008. Fija fecha audiencia para resolver sobre la aclaración de sentencia para el 17-06-2008 a las 4:00 PM. Enviado a Juzgados de Descongestión el 14-02-2008. Fecha fallo 1a instancia 03-07-2008 a las 4:30 PM. 1T Conciliación el 25-06-2007 a las 4:00 PM.</t>
  </si>
  <si>
    <t>Condena al reajuste de la indemnización $19´614.630 indexada ($23´218.619), más moratoria por $506.995,20, más costas $5´030.406</t>
  </si>
  <si>
    <t>2008-00353</t>
  </si>
  <si>
    <t>05001310500520080035300</t>
  </si>
  <si>
    <t>Fecha fallo 1a. Instancia el 06-11-2009 a las 4:30 PM. Las partes de común acuerdo solicitaron el cierre de la etapa probatoria y que pasara para fallo. 1T Conciliación el 03-06-2009 a las 11:00 AM.</t>
  </si>
  <si>
    <t>Por error en la liquidación del Juzgado se concilió en $28´2 antes del fallo de segunda instancia.</t>
  </si>
  <si>
    <t>19 Oralidad</t>
  </si>
  <si>
    <t>2009-00279</t>
  </si>
  <si>
    <t>05001310501920090027900</t>
  </si>
  <si>
    <t>En esta aud. se surtió todo el procedimiento dictando fallo condenatorio en la misma. 1T Conciliación, decisión de excepciones previas, saneamiento, fijación del litigio y decreto de pruebas 05-08-2009 a las 2:00 PM.</t>
  </si>
  <si>
    <t>2009-00136</t>
  </si>
  <si>
    <t>05001310501920090013600</t>
  </si>
  <si>
    <t>John Jairo Vallejo Zuluaga</t>
  </si>
  <si>
    <t>889-2006</t>
  </si>
  <si>
    <t>05001310501720060088900</t>
  </si>
  <si>
    <t xml:space="preserve">Solicita que se le pague el incentivo de caja en su permiso sindical permanente  </t>
  </si>
  <si>
    <t>Nueva fecha fallo 2a. instancia el 23-11-2009 a las 4:00 PM. Fallo 2a. instancia el 30-10-2009 a las 3:30 PM. Enviado a Magistrados de Descongestión 26-03-2009. Aplaza fecha fallo para el 08-08-2008 a las 4:00 PM. Fecha para fallo el 04-04-2008 a las 2:00 PM. 4a Aud. 19-09-2007 a las 9:00 AM (Testigos).Tercera Aud. 25-05-2007 a las 10:30 AM. Segunda de tramite 19 de febrero 3: 00 pm interrogatorio de partes; Resuelve:  SE?ALA AUDIENCIA PRIMERA PARA OCTUBRE 18/06 A LAS 10:30AM.    12/06/2006: Admision demanda</t>
  </si>
  <si>
    <t>Gestor de TC, entre 2 de eenro de 1995 y 31 de agosto de 1999</t>
  </si>
  <si>
    <t>Carlso Heli Torres Baquero</t>
  </si>
  <si>
    <t>13</t>
  </si>
  <si>
    <t>2006-0469</t>
  </si>
  <si>
    <t>11001310501320060046900</t>
  </si>
  <si>
    <t>El resultado es muy incierto  y por tanto la probabilidad de fallo adverso es latente</t>
  </si>
  <si>
    <t xml:space="preserve">Fue despedido con JC el 21 de abril de 2.006 por enmendar unas declaracioens de cambio y franccionar una operación.  </t>
  </si>
  <si>
    <t xml:space="preserve">Liquidación costas 15-12-2009. Trib. niega recurso de reposición interpuesto por el demandante por ser improcecente 27-11-2009. Ddante. interpone recurso de Reposición ante el Trib. el 07-10-2009 para que modifique el vr. de la condena. Nueva fecha fallo 2a. instancia el 30-09-2009 a las 3:00 PM. Fija fecha fallo 2a. instancia el 18-09-2009 a las 3:00 PM. Enviado a Trib. de Descongestión el 13-03-2009. Concede Apelación al ddte. 28-02-2008. Aud. atención Despacho Comisorio en Medellín 04-10-2007 (Testigo Banco). Testigos Banco el 20-09-2007. Interrogatorio del  banco el  23 de abril de 2.007.  </t>
  </si>
  <si>
    <t>Rosa María Cuesta vanegas</t>
  </si>
  <si>
    <t>Condena al pago de la indemnización por valor de $38´942.566,40 más las costas de 1a. Instancia $5´000.000</t>
  </si>
  <si>
    <t>622-2004</t>
  </si>
  <si>
    <t>11001310500520040062200</t>
  </si>
  <si>
    <t>PENSIÓN DE SOBREVIVIENTES</t>
  </si>
  <si>
    <t xml:space="preserve">Al Sr. Carlos Alberto Martínez  le el Banco le  reconoció  la pensión legal en 1980.  En mayo de 2.001 muere y su esposa legítima se persenta a reclamar la pensión.  Se oponen 2 hojas extramatrimoniales, las cuales no reclaman nigún derecho.  El banco se niega a cancelar las mesadas por la contrversia que hay. </t>
  </si>
  <si>
    <t xml:space="preserve">El 24-08-2009 fue devuelto expediente con oposición. Del 04 al 26-08-2009 en traslado al opositor. Sustentación recurso en la Corte el 25-06-2009. CSJ admite casación 31-03-2009. Trib. concede recurso de Casación al ddado. 16-12-2008. Fecha fallo 2a. instancia el 24-10-2008. 6 feberro 2007 se concede recurso de apelacion dte  y se remite al  tribunal.  Proceso enviado a juzgados de descongestión para que profieran sentencia, pendiente de fecha para fallo..     17 de mayo de 2.006 testigo dte. 2006 02 06 9:15 a.m. Declaracion testigos.      Para el 9 de Febrero del año 2.005, a las dos de la tarde, está prevista la celebración de  la audiencia obligatoria de Conciliación.     </t>
  </si>
  <si>
    <t>Condena al pago de la pensión de sobrevivientes con indexación de las mesadas adeudadas desde el 21-05-2001 $60´904.135. Costas 1a. Instancia $2´000.000, de 2a. instancia $600.000</t>
  </si>
  <si>
    <t>2007-1231</t>
  </si>
  <si>
    <t>11001310501020070123100</t>
  </si>
  <si>
    <t>Laboró por más de 20 años entre agosto de 1960 y julio de 1988 y solicita pension de jubilacion del  RIT, ya esta pensionada por el  ISS</t>
  </si>
  <si>
    <t>Liquida costas el 04-02-2010 y ordena cumplir lo resuelto por el superior. Fecha fallo 2a. instancia el 30-10-2009 a las 5:00 PM. El 08-10-2009 corre traslado a las partes para alegatos de conclusión. Enviado a Consulta al Trib. el 14-08-2009. Fecha fallo 1a. Instancia el 27-07-2009. 4T el 10-07-2009. 3T interrogatorio de parte al ddante. 13-05-2009 siempre y cuando justifique inasistencia a la anterior. 2T el 02-03-2009 interrogatorio de parte. 1T el 20-11-2008 conciliación</t>
  </si>
  <si>
    <t>Chinchina</t>
  </si>
  <si>
    <t>586-2001</t>
  </si>
  <si>
    <t>11001310500820010058600</t>
  </si>
  <si>
    <t>Se trata de un despido con justa causa hecho por incapacidad continua superior a 180 días. Reintegro al cargo de Gerente Cuenta Banca Corporativa, por no haber obtenido previa autorización para despido estando incapacitada.</t>
  </si>
  <si>
    <t>Trib. concede recurso de Casación a la ddante. 09-03-2009. Nueva fecha fallo 2a. instancia 30-01-2009. Nueva fecha fallo 2a. instancia el 28-11-2008. Fija fecha para fallo 2a. instancia el 30-10-2008. Enviado a Sala de Descongestión el 16-05-2008. AUTO FIJA FECHA DE FALLO PARA EL DIA 15-12-06 A LAS 3:00PM;CM,; T.S. CORRE TRASLADO A LAS PARTES POR EL TERMINO DE 5 DIAS DEL ART 40 DE LA LEY 712 DE 2001.    Enviado al Trib. Sup. el 18-07-2006.  9 de junio de 2.006 fallo 1 instancia.  2006 03 17 Fallo primera instacnia.     En la audiencia de Febrero 3  del 2.005, a las once de la mañana, se espera contar con respuesta a un oficio solicitado por “Bancolombia S.A.”..        2003 10 20 inspeccion judicial.       1 de julio de 2.003, audiencia de conciliación.</t>
  </si>
  <si>
    <t xml:space="preserve">Desierto         </t>
  </si>
  <si>
    <t>Ivan  Dario  Boetro Muñoz</t>
  </si>
  <si>
    <t>civil circuito</t>
  </si>
  <si>
    <t>77-2006</t>
  </si>
  <si>
    <t>Se despidió en el  2005 CJC debido a que  pagó cheques de cuentas de otros Bancos, autorizó sobregiros que excedían los cupos y  vendió efectivo a otros Bancos sin autorización.</t>
  </si>
  <si>
    <t>Pendiente apelación demandante. Aplazada audiencia conicliacion.  conciliacion  o priemra de tramite 28 septiembre 2006</t>
  </si>
  <si>
    <t>082-2004</t>
  </si>
  <si>
    <t>54001310500420040008200</t>
  </si>
  <si>
    <t>Inspeccion judicial sobre HV 1 junio/05</t>
  </si>
  <si>
    <t>0560/2003</t>
  </si>
  <si>
    <t>54001310500320030056000</t>
  </si>
  <si>
    <t>Por tutela se suspende fallo; fecha 29/11/06 5:00 PM. Resuelve:  Por fallo de tutela suspende sentencia 02/10/06 5:00PM; Por fallo de tutela, se suspende sentencia; Nueva fecha 28/07/06; fallo 8 noviembre/05</t>
  </si>
  <si>
    <t>00946-2006</t>
  </si>
  <si>
    <t>05201310500120060094600</t>
  </si>
  <si>
    <t>Grabó en forma indebiba la huella dactilar del supuesto titular de una cta. (Impostor) y autorizó  en forma errada un retiro por $8.500.000 sin cumplir los procedimientos definidos.</t>
  </si>
  <si>
    <t>Enviado a Magistrados de Descongestión 26-03-2009. Aud. Fallo 1a. Instancia 05-09-2008. 4T el 25-06-2008 a las 8:05 AM. (Testigos). 3T el 04-03-2008 a las 2:05 PM (testigos). Aplazada 2T para el 22-11-2007 a las 8:05 AM. (Testigos). 2 T 29-08-2007 a las 8:05 AM. 1a Aud. Conciliación 23-05-2007 a las 10:30 AM.</t>
  </si>
  <si>
    <t>Confirma y Modifica el vr. a pagar para un total de $10´316.581. Costas $2´063.316,20</t>
  </si>
  <si>
    <t>11001310501119990114800</t>
  </si>
  <si>
    <t>Oposicion a casacion presentada por el  banco el  12 de noviembre de 2008. Pendiente de fecha fallo tribunal. Concede apelación 23-09-2004. Se encuentra señalado el 31 de Mayo de 2005, para el pronunciamiento de la sentencia de segunda instancia.</t>
  </si>
  <si>
    <t>Oposicion a casacion presentada por el  banco el  12 de noviembre de 2008. Fallo 2a instancia el 28-11-2008. Pendiente de fecha fallo tribunal. Concede apelación 23-09-2004. Se encuentra señalado el 31 de Mayo de 2005, para el pronunciamiento de la sentencia de segunda instancia.</t>
  </si>
  <si>
    <t xml:space="preserve">Oposicion a casacion presentada por el  banco el  12 de noviembre de 2008. </t>
  </si>
  <si>
    <t>Oposicion a casacion presentada por el  banco el  12 de noviembre de 2008. Tribunal concede recurso de Casación al ddte. El 25-02-2008. Pendiente de fecha fallo tribunal. Concede apelación 23-09-2004. Se encuentra señalado el 31 de Mayo de 2005, para el pronunciamiento de la sentencia de segunda instancia.</t>
  </si>
  <si>
    <t>Pendiente de fecha fallo tribunal. Concede apelación 23-09-2004. Se encuentra señalado el 31 de Mayo de 2005, para el pronunciamiento de la sentencia de segunda instancia.</t>
  </si>
  <si>
    <t>Oposicion a casacion presentada por el  banco el  12 de noviembre de 2008. CSJ da traslado al opositor 23-10-2008. Traslado al recurrente el 24-07-2008. C.S.J admite recurso de Casación el 10-07-2008. Concede apelación 23-09-2004. Se encuentra señalado el 31 de Mayo de 2005, para el pronunciamiento de la sentencia de segunda instancia.</t>
  </si>
  <si>
    <t>Vr. Costas casación $2´5</t>
  </si>
  <si>
    <t>Se indemnizó al momento del despido</t>
  </si>
  <si>
    <t>Pide perjuicios morales por dsjc, horas extras diurnas y nocturnas, reajuste de cesantia y de vacaciones, por estar enfermo</t>
  </si>
  <si>
    <t>CSJ admite recurso el 28-01-2010 y ordena correr traslado al recurrente. Trib. Sup. concede recurso de casación el 22-09-2009. Pendiente fecha de fallo de 2da instancia. Admite recurso de apelación el 05-02-2008. Pendiente contestación de oficios. nov8 de 2006 se tuvo por rendido el dictame pericial.2006 08 09 continuacion cuarta audiencia de tramit.    Octubre 20/2005 - 08:30 a.m. Declaración testigos.      mayo 31 de 2005 2T testigos ddte.          pendiente 1T       22 10 2004 se contestó dda</t>
  </si>
  <si>
    <t>Desierto</t>
  </si>
  <si>
    <t>7300131050042008</t>
  </si>
  <si>
    <t>Banco solicita permiso para despedirla por haber  procesado y  aprobado unas tarjetas de credito sin  conocimiento de la gerente</t>
  </si>
  <si>
    <t>Aplazada continuación 1T para el 12-02-2009. Continuación 1T el 13-11-2008 (testigos del Banco). 1T el 04-08-2008 (testigos del ddado). demanda contestada  18 de junio de 2008</t>
  </si>
  <si>
    <t>Condena costas $1´030.000</t>
  </si>
  <si>
    <t>2007-01050</t>
  </si>
  <si>
    <t>05001310501020070105000</t>
  </si>
  <si>
    <t>La exempleada fue despedida sjc y reclama el reajuste prestaciones sociales por las bonificaciones por cumplimiento de metas (Estas no son constitutivas de salario).</t>
  </si>
  <si>
    <t>Fecha fallo 1a. instancia el 26-05-2009 a las 4:00 PM. Fija nueva fecha 3T el 15-04-2009 a las 8:30 AM. Enviado a Juzgado 10 Laboral Adjunto el 23-02-2009. 3T el 07-05-2009 a las 3:00 PM Testigos.  2T el 09-02-2009 a las 9:00 AM. (testigos).  2T el 16-10-2008 (testigos) Aplazada. 1T Conciliación el 06-08-2008 a las 2:00 PM.</t>
  </si>
  <si>
    <t>Hernando Mondragón Agudelo</t>
  </si>
  <si>
    <t>2007-0128</t>
  </si>
  <si>
    <t>76109310500320070012800</t>
  </si>
  <si>
    <t xml:space="preserve">El cliente hidropacifico reclama que consignó $4.500.000.oo y aparece timbrada por $450.000.oo </t>
  </si>
  <si>
    <t>Respuesta oficio ddo. 15-07-2009</t>
  </si>
  <si>
    <t xml:space="preserve">2.5MM contest. 2SMLM fallo primera y 2 SMLM fallo segunda </t>
  </si>
  <si>
    <t>674-02</t>
  </si>
  <si>
    <t>11001310501720020067400</t>
  </si>
  <si>
    <t>Fue despedida con justa causa en mayo de 2002 por reiterados incumplimientos en sus obligaciones como visadora.  La terminación  del contrato se produjo con justa causa. A la terminación la empleadora canceló la totalidad de las acreencias. NO APARECE EN REPORTE DEL ABOGADO</t>
  </si>
  <si>
    <t>Liquidación de costas 30-09-2010. A Despacho para fallo desde el 10-11-2008. 07-11-2008 Banco presenta oposición a casación. Repartido CSJ casación 29-04-2008. El 28 de Julio de 2006, el Tribunal Superior del Distrito Judicial de Bogotá, remitió el expediente al Tribunal Superior del Distrito Judicial de San Gil, para que dicha Corporación dicte el respectivo fallo, en cumplimiento del Acuerdo 3430 de 2006 del Consejo Superior de la Judicatura, relacionado con la descongestión del Tribunal Superior del Distrito Judicial de Bogotá..    Fallo desfavorable para el Banco en primera instancia.</t>
  </si>
  <si>
    <t>Casa Parcialmente</t>
  </si>
  <si>
    <t>La CSJ confirmó en su integridad la stcia. de 1er. grado. Condena idemnización por $18´556.761,71 con la corrección monetaria. Costas 2a. instancia $515.000. Costas 1a. instancia $3´700.000</t>
  </si>
  <si>
    <t>422 - 2002</t>
  </si>
  <si>
    <t>11001310501820020042200</t>
  </si>
  <si>
    <t>Dice que la cestaia le fue mal liquidada</t>
  </si>
  <si>
    <t>A Despacho para fallo desde el 22-05-2008. Oposición  a casación 16-05-2008. Corte admite recurso de Casación. Se concede recurso de Casación 08-10-2007. Para el día 28 de abril de 2006  estaba prevista la audiencia de juzgamiento en segunda instancia. El proceso fue enviado por descongestión judicial al Tribunal de Florencia..     Se encuentra en el Tribunal Superior del D. J. de Bogotá D.C., Sala Laboral, por interposición de la alzada contra el fallo absolutorio de primera instancia.  A pesar de haber sido señalado el 17 de Septiembre último para la expedición de la sentencia que decida el mencionado recurso, tal providencia no se produjo, ni ha sido fijada nueva fecha al efecto.Para el día 28 de abril de 2006  estaba prevista la audiencia de juzgamiento en segunda instancia, sin que a la fecha de hoy se encuentre registrado el fallo en la secretaría del Tribunal.</t>
  </si>
  <si>
    <t>2006-00879</t>
  </si>
  <si>
    <t>63001310500220060087900</t>
  </si>
  <si>
    <t>2 de julio de 1993,  auxiliar de servicios hasta el  3 de octubre de 2005,  se despidió sjc</t>
  </si>
  <si>
    <t>Fallo 1a. Instancia el 20-05-2009. 1T Conciliación el 17-07-2008.  demanda contestada 10 diciembre de 2007</t>
  </si>
  <si>
    <t>7.5 mlmv</t>
  </si>
  <si>
    <t xml:space="preserve">Victor Julio Quijano Melo </t>
  </si>
  <si>
    <t>2008-00139</t>
  </si>
  <si>
    <t>52001310500320080013900</t>
  </si>
  <si>
    <t>Violó el procedimiento que el Banco tiene estipulado para el pago de cheques de gerencia</t>
  </si>
  <si>
    <t>Fecha fallo 2a. instancia el 17-02-2010. El 25-06-2009 se interpuso apelación por condena en mora en el pago de prestaciones. Fecha fallo 1a. Instancia el 18-06-2009. 4T. 26-11-2008 testigos. 2T el 16-07-2008 a las 10:00 AM (Testigos). Se contestó la demanda .   Agosto 1/ 2007 a las 5:00PM  Diligencia de Conciliación obligatoria</t>
  </si>
  <si>
    <t>6 SMLMV</t>
  </si>
  <si>
    <t xml:space="preserve"> Condena parcial (Mora x retardo en pago acreencias laborales $952.074). Confirmada por el Tribunal). Costas por $95.208</t>
  </si>
  <si>
    <t>2006-158</t>
  </si>
  <si>
    <t>11001310500420060015800</t>
  </si>
  <si>
    <t xml:space="preserve">Despedido con JC el  28 de febrero de 2.003 por  haber tramitado consignaciones por menor valor a las persentadas por el cliente. </t>
  </si>
  <si>
    <t>Fabian Felipe Rozo Villamil</t>
  </si>
  <si>
    <t>Calarca</t>
  </si>
  <si>
    <t>7300131050220090002600</t>
  </si>
  <si>
    <t>La demandante pide el reconocimiento de la pension consagrada en el Reglamento Interno de Trabajo, indexando la primero mesada y con el pago de los rejustes correspondientes.</t>
  </si>
  <si>
    <t>El 13 de noviembre declara desierto recurso de apelación interpuesto po la actora por no haberlo sustentado, pendiente que remitan en consulta. Fecha fallo el 30-10-2009 fallo. 3T el 20-10-2009 se evacuó exhibición de documentos. 2T el 06-10-2009 se evacuó un testigo de la demandante e interrogatorio de la misma. 1T Conciliación el 28-05-2009 a las 10:00 am. El 25-11-2008 se contesta la demanda.</t>
  </si>
  <si>
    <t xml:space="preserve">7mslmv </t>
  </si>
  <si>
    <t>juzgado civil de circuito</t>
  </si>
  <si>
    <t>se pide levantameinto de fuero debido a que consigno cheques con sello  restrictivo  de beneficiario a cuentas del  hermano</t>
  </si>
  <si>
    <t>21-11-2007 interrogatorio demandante.audiencia 5 de diciembre de 2006 para contestar demanda.  demanda radicada el  4 de septiember de 2.006,  pedniente notificacion al  sindicato</t>
  </si>
  <si>
    <t>10 smlv</t>
  </si>
  <si>
    <t>258-2008</t>
  </si>
  <si>
    <t>11001310502120080025800</t>
  </si>
  <si>
    <t>Pendiente si el ddante. presenta recuso de Casación. Enviado a Juzgado de descongestión el  24-06-2008</t>
  </si>
  <si>
    <t>6600131050</t>
  </si>
  <si>
    <t>Se solicita el  levantamiento de fuero por un descuadre  no  reportado  y por haber amenazado al  cliente para que devolviera el  dinero</t>
  </si>
  <si>
    <t>El 27-01-2010 se suscribió mutuo acuerdo para la termianción conciliada del contrato de trabajo, se esta ubicando al abogado para la firma del memorial al juzgado. Fecha fallo 1a. instancia el 20-01-2010. El 11-05-2009 el Juzgado Segundo Laboral del Circuito de Pereira, libró el despacho comisorio N° 0030 dirigido al Juez Laboral del Circuito de Medellín (reparto) para recibir el testimonio de la señora Clara Ines Velasquez Dávila. Demanda radicada 27 de enero de 2009</t>
  </si>
  <si>
    <t>Terminó el contrato de trabajo por mutuo acuerdo</t>
  </si>
  <si>
    <t>Pamplona</t>
  </si>
  <si>
    <t>0413.02</t>
  </si>
  <si>
    <t>11001310501920020041300</t>
  </si>
  <si>
    <t xml:space="preserve"> el 14 de mayo de 2.001 pagó un cheque visiblemente adulterado</t>
  </si>
  <si>
    <t xml:space="preserve">El 10-02-2009 el Juzgado liquidó costas por $100.000. Enviado al Trib. en consulta pero fue devuelto por improcedente.  Fecha fallo 1a. instancia 27-06-2008. Enviado a Juzgados de descongestión el 04-02-2008. El día 5 de marzo de 2007 a las 8:15 a.m., para respuesta a oficios librados por el despacho..    5 de julio de 2.006 continacion inspeccion judicial. 2006 04 19 se espera contar con respuesta de la fiscalia.     20 abril 2005 testigos del banco.  </t>
  </si>
  <si>
    <t>Eduardo Martínez Chipagra</t>
  </si>
  <si>
    <t>0042 - 2009</t>
  </si>
  <si>
    <t>La demandante fue despedida de manera unilateral y con justca causa y alega que su despido fue injusto y alega que se violó el procedimiento establecido para dar por termiando su contrato, pues para ella debió agotarse el procedimieto disciplinario establecido en la convención colectiva, además que se le adeudan un sinúmero de horas extras laboradas por ella.</t>
  </si>
  <si>
    <t>Como el demandante no apeló el proceso subió en consulta.  Se señaló nueva fecha para el 09-11-2009 a las 8 am . 1T Conciliación el 29-09-2009 a las 8 am. El 06-06-2009 se recibió aviso sin copias en la oficina de Pamplona y a los tres días se retiró el traslado.</t>
  </si>
  <si>
    <t>Olga Lucía Bernal García</t>
  </si>
  <si>
    <t>2010-00226</t>
  </si>
  <si>
    <t>05001310501420100022600</t>
  </si>
  <si>
    <t>La ddte. fue despedida sin justa causa y se le pagó la indemnización de acuerdo con la Ley 50/1990</t>
  </si>
  <si>
    <t>Nueva fecha 1T Conciliación el 06-07-2010 a las 10:00 am. 1T Conciliación el 04-06-2010 a las 10:00 am (Aplazada).</t>
  </si>
  <si>
    <t>Terminado por desistimiento de la demandante</t>
  </si>
  <si>
    <t>0194 2003</t>
  </si>
  <si>
    <t>13001310500220030019400</t>
  </si>
  <si>
    <t>Tramitacion de creditos ficticios y retiros sin autorizacion de los titulares de las cuentas</t>
  </si>
  <si>
    <t>Nueva fecha fallo 2a. instancia el 27-08-2008. Fecha fallo 2a. instancia 30-07-2008 a las 10:45 AM. Aud. 29-01-2007 rendir experticio. continuación 4T 2006 01 25 nombramiento periro ingeniero de sistemas.      4T   25 11 05  inspeccion judiicial      2 T 19 de febrero de 2004 notificación dr. Jose Fortich 11 de julio de 2003</t>
  </si>
  <si>
    <t>0380 - 2000</t>
  </si>
  <si>
    <t>08001310500920000038000</t>
  </si>
  <si>
    <t xml:space="preserve">Al cliente Luis Pinto Ortiz le consignan Fopep en la cuenta de ahorros 447-5360669-49, sella una operacio´n el 26 de octubre y la reversa por el saldo mínimo pero se queda con el volante, valor $507.000, alcanzó a colocar el sello de pagado, luego empezó </t>
  </si>
  <si>
    <t>Declara desierto el 27-01-2010. Desde el 16-12-2009 está a despacho para resolver sin demanda. CSJ corre traslado al recurrente el 22-10-2009. Trib. admite recurso de Casación el 15-10-2009. Fallo 2a. Instancia el 30-06-2009. Sigue en estudio el recurso de apelación en el Trib. según informe de la Abo. externa del 17-12-2008.15 abril 2004 alegatos de 2 instancia.   Pendiente apelacion ddte MP Maria Olga Henao</t>
  </si>
  <si>
    <t>620/2003</t>
  </si>
  <si>
    <t>11001310500520030062000</t>
  </si>
  <si>
    <t>Pide incremento de su mesada pensional</t>
  </si>
  <si>
    <t>Se desistió del recurso de Casación por recomendación del Dr. JRH por estar el fallo acorde con los lineamientos de la CSJ. CSJ reconoce personería al Dr. José Roberto Herrera el 05-05-2010. CSJ admite recurso y ordena correr traslado al recurrente 03-03-2010. Trib. concede recurso de Casación al ddante. y reconoce personería a su apoderado 05-11-2009. Recibido en el Trib. el 05-02-2008. Concede apelacion del  banco  y se remite al  tribunal  15-01-2008. -  FIJA FECHA AUDIENCIA DE FALLO EL 1 DE FEBRERO DE 2007 A LAS 3:00PM PARA SENTENCIA [6237515]ALFONSO CASTRO MARTINEZ;JC,17 de mayo de 2.006 respuesta a oficios.  2006 02 28 2 p.m.  Se espera respuesta iss a informacion pedida por Banco. En la audiencia de Enero 20 del año 2.005, a las dos de la tarde, se espera contar con respuesta del I.S.S., a una información pedida por el Banco.    Demanda contestada el 30 de marzo de 2004</t>
  </si>
  <si>
    <t>German H. Becerra Martinez</t>
  </si>
  <si>
    <t>Vr. Condena indexada $291´598.191. Costas por $1´800.000.</t>
  </si>
  <si>
    <t>2008-054</t>
  </si>
  <si>
    <t>05001310500920080005400</t>
  </si>
  <si>
    <t>El ddante. fue despedido cjc por suministrar información de clientes a terceros violando la reserva Bancaria.</t>
  </si>
  <si>
    <t>Conciliado en $135´ por ambos demandantes y por todas las pretensiones.</t>
  </si>
  <si>
    <t xml:space="preserve">No </t>
  </si>
  <si>
    <t>2009-00347</t>
  </si>
  <si>
    <t>05001310501320090034700</t>
  </si>
  <si>
    <t>Marie Helene Duvaltier Botero</t>
  </si>
  <si>
    <t xml:space="preserve">Conciliado en $25´5 </t>
  </si>
  <si>
    <t>2010-00368</t>
  </si>
  <si>
    <t>05001310501720100036800</t>
  </si>
  <si>
    <t>Conciliado en $28´</t>
  </si>
  <si>
    <t>777-2007</t>
  </si>
  <si>
    <t>05001310500320070077700</t>
  </si>
  <si>
    <t>Fue despedido cjc por haber autorizado el pago de un cheque que había sido devuelto por fondos insuficientes, sin tener facultades para ello</t>
  </si>
  <si>
    <t>Fija fecha fallo 2a. instancia para el 19-07-2010 a las 3:00 pm. Tribunal corre traslado por 05 días para alegatos de conclusión 26-03-2010. Fecha fallo 1a. Instancia el 18-05-2009 a las 4:00 PM. 4T el 16-04-2009 a las 9:00 AM (Testigos). 3T el 11-11-2008 a las 9:00 AM. (testigos). 2T el 06-08-2008 a las 9:00 AM. Interrogatorio de partes. 1T Conciliación el 24-04-2008 a las 2:00 PM.</t>
  </si>
  <si>
    <t>Vr. Condena $45´482.600. Costas por $3´411.195.</t>
  </si>
  <si>
    <t>1504-2006</t>
  </si>
  <si>
    <t>05001310501420060150400</t>
  </si>
  <si>
    <t>Pagó con firma falsificada un retiro por $23.000.000 sin identificar en debida forma a la persona ya que aunque le tomó la huella no sirvió para identificarlo. La firma presenta varias diferencias detectables en un proceso normal de visación.</t>
  </si>
  <si>
    <t>Enviado a los Magistrados de Descongestión el 05-04-2010 para conocer de la apelación de la demandante. Nueva fecha fallo 1a. instancia el 14-09-2009 a las 4:30 PM. Fecha fallo 1a. instancia el 31-07-2009 a las 4:30 PM. Continuación 4T el 14-07-2009 a la 1:30 PM. testigo ddante. 4T el 02-04-2009 a la 1:30 PM Testigos (suspende).  3T el 04-11-2008 a las 8:30 AM Testigos. 2T el 16-07-2008 a las 8:30 AM Interrogatorio de partes. 1a T Conciliación 03-04-2008 a las 10:30 AM. 1a T Conciliación 07-02-2008 a las 11:00 AM.(Aplazada)</t>
  </si>
  <si>
    <t>1062/2003</t>
  </si>
  <si>
    <t>11001310500720030106200</t>
  </si>
  <si>
    <t>Despido por justa causa debido a omitir los procedimientos establecidos por el banco al pagar un cheque con diferente firma facilitando un fraude por $4,874,000,oo</t>
  </si>
  <si>
    <t xml:space="preserve">Nueva fecha fallo 2a. instancia el 10-08-2010 a las 3:00 pm. Fecha fallo 2a. instancia el 30-07-2010 a las 3:00 pm. Fija fecha para Fallo 26-10-2007 a las 4:00 PM. Fija fecha Audiencia 13-06-2007 a las 11:30 AM. FIJA FECHA AUDIENCIA O DILIGENCIA EL 21 DE FEBRERO DE 2007 A LAS 8:30AM INTERROGATORIO DE PARTE AL DEMANDANTE JOSE ANDRES TORO.     FIJA FECHA AUDIENCIA O DILIGENCIA EL 15 DE NOVIEMBRE DE 2006 A LAS 9:15 AM TESTIMONIO DE JOSE ANGEL CASTRO GUTIERREZ  25 mayo 2006 testigos dte. 2006 01 24 10 a.m. Se insististirá en solicitud de peritazgo.     24 MAYO 2005 TESTIMONIO CLIENTE DEL BANCO. </t>
  </si>
  <si>
    <t>Roldanillo</t>
  </si>
  <si>
    <t>0433-2007</t>
  </si>
  <si>
    <t>11001310500820070043300</t>
  </si>
  <si>
    <t>Fue despedido el 13 de diciembre de 2005 debido a que proceso mal una operación en comercio internacional generando una perdida econocmica para el  Banco de US6300</t>
  </si>
  <si>
    <t>Trib. Sup. niega recurso de Casación al ddante. 11-10-2010. Fallo 2a. instancia el 30-07-2010 a las 4:00 pm. A Despacho para fallo 16-02-2009. Concede apelación al ddante. 16-12-2008. Nueva fecha para fallo el 28-10-2008. Fija fecha fallo 1a. Instancia el 05-09-2008. Continuación 3T el 07-07-2008. 3T Inspección Jcial. el 04-06-2008. Continuación 2T el 29-04-2008 a las 8:15 AM. 2T Interrogatorio partes y testigos ddte. El 19-02-2008 a las 8:14 AM. 1T 12-02-2008 a las 11:00 AM.</t>
  </si>
  <si>
    <t xml:space="preserve">Jaime Pulido Espinal </t>
  </si>
  <si>
    <t>UNICO</t>
  </si>
  <si>
    <t>26 Noviembre-2002 faltante $1.mm y 28 Noviembre-2002 $220.000.oo</t>
  </si>
  <si>
    <t>Fallo 2a. Instancia el 03-08-2010. Pendiente fallo de 2a. Instancia. Presentación alegatos de conclusión el 27-11-2008. Pendiente contestación Oficio 382</t>
  </si>
  <si>
    <t xml:space="preserve">$1734.800.oo Contest. + 2 SMLMV Primera + 2 SMLMV Segunda </t>
  </si>
  <si>
    <t>Condena parcial por mora en el pago de la liquidación $952.074</t>
  </si>
  <si>
    <t>2008-510</t>
  </si>
  <si>
    <t>11001310502020080051000</t>
  </si>
  <si>
    <t>Trabajó para el Banco de Colombia por más de 20 años, estuvo afiliada al ISS y ahora reclama pensión del RIT</t>
  </si>
  <si>
    <t>Liquid. costas $515.000 01-09-2010. Fecha fallo 2a. instancia el 16-07-2010 a las 3:00 pm. Trib.corre traslado para alegatos de conclusión 09-12-2009. Concede rec. de apelación a la ddante. el 28-10-2009. Fecha fallo 1a. instancia el 30-09-2009 a las 4:00 PM. 4T el 28-08-2009 a las 10:30 am incorporar despacho comisorio. Continuación 3T el 24-07-2009 a las 11:00 am. 3T el 28-04-2009 a las 11. am respuesta oficios. 2T el 01-04-2009 a las 8:30 AM testigos. 1T Conciliación el 03-03-2009 a las 10:30 am. Notificada el 19-08-2008.</t>
  </si>
  <si>
    <t>7.5 smmv</t>
  </si>
  <si>
    <t>461-2009</t>
  </si>
  <si>
    <t>11001310500620090046100</t>
  </si>
  <si>
    <t>La ddte. fue desvinculada sin justa causa el 18 de febrero de 2009</t>
  </si>
  <si>
    <t>Guillermo Vélez Rivera</t>
  </si>
  <si>
    <t>Conciliado en $35´</t>
  </si>
  <si>
    <t>2008-0192</t>
  </si>
  <si>
    <t>76001310500720080019200</t>
  </si>
  <si>
    <t>Fue despedido sjc y solicita la reliquidación de la indeminización con base en la L. 50/90</t>
  </si>
  <si>
    <t xml:space="preserve">Fallo 2a. instancia el 31-08-2010 a las 4:30 pm. Trib. corre traslado para alegatos de conclusión el 28-10-2009. Fallo 1a. instancia el 30-09-2009. Nueva fecha 2T el 18-08-2009 a las 8:30 am. en la cual se recepcionario los interrogatorios de parte y un testimonio. Remitido a Juzgados de descongestión el 19-05-2009. 2T el 27-07-2009 a las 8:30 AM. testigos. 1T Conciliación el 03-04-2009. Demanda contestada octubre de 2008. </t>
  </si>
  <si>
    <t>Condena al pago de $18.366.654 por reajuste de indemnización indexada. Vr. Costas $1´000.000. Costas 1a. instancia $3´497.431</t>
  </si>
  <si>
    <t>0457-2007</t>
  </si>
  <si>
    <t>11001310500220070045700</t>
  </si>
  <si>
    <t xml:space="preserve">Fue despedida por  JC debido a que reibió una consignación de 2 mm que no  procesó y  no reportó el  descuadre. </t>
  </si>
  <si>
    <t>Fecha fallo 2a. instancia el 24-09-2010 a las 3:00 pm. Corre traslado a las partes para alegar de conclusión 02-07-2009. Concede apelación al ddante. 21-05-2009. Fecha fallo 1a. instancia el 03-04-2009. 4T el 28-01-2009. Aud. Despacho Comisorio en el Juzgado 12 Lab. Medellín el 29-08-2008 a las 9:00 AM. Continuación 3T el 09-04-2008 a las 8:15 AM Testigos. 3T el 11-03-2008 a las 8:15 AM Testigos. 2T el 06-02-2008 Interrogatorio de partes. 1T Conciliación el 22-11-2007 a las 10:00 AM. demanda contestada el  11 de septiembre de 2007</t>
  </si>
  <si>
    <t>164-2008</t>
  </si>
  <si>
    <t>11001310500720080016400</t>
  </si>
  <si>
    <t>Trabajó por más de 20 años entre 1964 Y 1993 y solicita pensión del RIT</t>
  </si>
  <si>
    <t>El 28-11-2009 fue enviado al Tribunal. 20-11-2008 concede apelación al ddante. Fecha fallo 1a. Instancia el 04-11-2008. 3T el 30-09-2008. 2T Interrogatorio de partes el 27-08-2008. 1T el 06-08-2008.</t>
  </si>
  <si>
    <t>2007-1106</t>
  </si>
  <si>
    <t>11001310500520070110600</t>
  </si>
  <si>
    <t>Laboró por más de 20  años entre marzo de 1966 y  junio de 1987 y reclama pension de RIT</t>
  </si>
  <si>
    <t>Fallo 2a. instancia el 31-08-2010 a las 4:00 pm. Trib. corre traslado a las partes para alegatos de conclusión 15-07-2009. Cierra debate probatorio, fija fecha fallo 1a. Instancia el 28-04-2009. Continuación 2T el 20-03-2009. 2T el 13-02-2009. 1T diligencia respuesta oficios para el 06-02-2009.</t>
  </si>
  <si>
    <t>Cartago</t>
  </si>
  <si>
    <t>2006-00024</t>
  </si>
  <si>
    <t>El demandante trabajó en el Banco de Colombia en el período comprendido entre Enero de 1968 y Julio de 1976.</t>
  </si>
  <si>
    <t>El 06-09-2010 registra proyecto. A Despacho para fallo desde el 28-04-2009. Trib. Superior admite recurso de casación al ddte. y envía expediente a la CSJ . Fecha fallo 1a. Instancia el 28-02-2008. El juzgado inicialmente había declarado la excepción de cosa juzgada y en la Región Caribe sacaron el proc. del cuadro. Esa decisión fue apelada y el superior revocó, por lo que continuó su trámite.</t>
  </si>
  <si>
    <t xml:space="preserve">Julieta Barco Llanos </t>
  </si>
  <si>
    <t>2007-00242</t>
  </si>
  <si>
    <t>Despedida con justa causa por faltantes múltiples y continuos</t>
  </si>
  <si>
    <t xml:space="preserve">Se ha señalado para el 10-06-2010 fecha y hora para fallo segunda inst.  El 16 de Abril-09 se presentaron alegatos en segunda instancia. El 14 Feb-09 se profirió fallo primera instancia absolutoria al Bco .  </t>
  </si>
  <si>
    <t>2009-00720</t>
  </si>
  <si>
    <t>05001310502020090072000</t>
  </si>
  <si>
    <t>La ddante. fue despedida CJC el 03-10-2006 por pagar un retiro de $28´ con una firma falsificada.</t>
  </si>
  <si>
    <t>Fecha fallo 1a. instancia el 30-09-2010 a las 11:00 am. 2T testigos 09-09-2010 a las 10:00 am. Nueva fecha 1T Conciliación, práctica de toda la prueba y fallo, el 16-06-2010 a las 8:30 am.  1T Conciliación, práctica de toda la prueba y fallo el 16-02-2010 a las 8:30 am (Juzgado de Oralidad).</t>
  </si>
  <si>
    <t>Condena al pago de la indemnización por valor de $1´326.317 ya indexada, y costas por $220.787</t>
  </si>
  <si>
    <t>2010-00001</t>
  </si>
  <si>
    <t>05001310500420100000100</t>
  </si>
  <si>
    <t>La ddante. fue despedida cjc por incumplimiento de procedimientos en la aprobación de créditos.</t>
  </si>
  <si>
    <t>Conciliado en $42´</t>
  </si>
  <si>
    <t>29-2008</t>
  </si>
  <si>
    <t>Trabajó de marzo de 1995 a junio de 2007 solicita reliquidacion de indemnizacion con base en ley  50 de 1990</t>
  </si>
  <si>
    <t xml:space="preserve">Al despacho de la magistrada Dra. Miryam Rodríguez Torres desde el 26-03-2010. La demandante interpuso recurso de apelación. El 11-12-2009 se profiere fallo favorable al Banco. Cierre debate probatorio el 11-11-2009. El  22-07-2009 el perito rindió dictamen y se señala para el 10-09-2009 a las 10 am. para continuación de la audiencia. El 04-06-2009 en Girardot tomó posesión el perito y se fijó para el 22-07-2009 a las 10:30 am para dictamen. Se envio despacho comisorio al Juz 22 de Btá. en el cual se evacuó el testimonio de Juan Manuel Rincón y se suspendió para testigos del demandante para el 07-05-2009 a las 3:30 pm. Se suspendió 2T y fijó continuación para el 04-06-2009 a las 10:30 am para rta. a despacho comisorio de Btá. Nueva fecha 2T el 16-04-2009. 2T Interrogatorio de partes 18-02-2009. Nueva fecha 1T Conciliación el 21-11-2008. 1T Conciliacion el 09-09-2008. demandacontestada 25 julio de 2008.  </t>
  </si>
  <si>
    <t>Vr. Condena por $20´811.096,51. Costas 1a. instancia $4´000.000 y 2a. instancia $800.000</t>
  </si>
  <si>
    <t>514-2006</t>
  </si>
  <si>
    <t>11001310500620060051400</t>
  </si>
  <si>
    <t>Fue despedido CJC en enero de 2006  por  ordenar una   consignacion ficticia de 30 mm a la cuenta de un  cliente para que pasara en el  comité de credito el  sobregiro.</t>
  </si>
  <si>
    <t xml:space="preserve">Liquid. costas $515.000 01-09-2010. Fija fecha fallo 2a. instancia el 02-08-2010 a las 3:00 pm. A Despacho el 23-10-2009 para fijar fecha para fallo. Tribunal corre traslado por 05 días para alegatos de conclusión 15-10-2009. Concede recurso de apelación al ddante. el 19-08-2009. Fija fecha fallo 1a. instancia el 30-07-2009 a las 4:00 pm. Continuación 4T el 17-07-2009 a las 11:30 am en la cual se decidirá sobre la inasistencia de los testigos. Continuación 4T el 25-06-2009 10:30 am. testigos ddada. 4T el 27-05-2009 a las 8:15 am Testigos. Continuación 3T 14-04-2009 testigo ddada. Nueva fecha continuación 3T para el 16-02-2009 testigos ddante. 3T el 18-11-2008 que había sido aplazada. Continuación 3T el 15-09-2008 testimonios. 3T el 16-04-2008 testimonios. Suspende aud. y señala continuación para el 28-02-2008 a las 9:15 AM interrogatorio al demandante. 2T Interrogatorio de partes 18-10-2007. 1T conciliacion 20 febrero de 2007 </t>
  </si>
  <si>
    <t>José Antonio Rodríguez Peña</t>
  </si>
  <si>
    <t xml:space="preserve">0004-2006 </t>
  </si>
  <si>
    <t>11001310501020060000400</t>
  </si>
  <si>
    <t>Firmó acta de conciliacion y ahora pide que se declare su nulidad</t>
  </si>
  <si>
    <t>Fecha fallo 2a. instancia el 30-08-2010. Concede apelación del ddante. Continuación 3T Juzgado 7° de Descongestión el 18-06-2008 (Testigo). Enviado a Juzgados de descongestión 15-02-2008.  Continuación 3T el 05-02-2008 Testigos. Fija fecha audiencia 27-09-2007 a las 9:15 AM (Testimonios). FIJA FECHA AUDIENCIA O DILIGENCIA EL 17 DE ENERO DE 2007 A LAS 11:00AM INTERROGATORIO .    SURTE I AUDIENCIA PARA EL 14 NOVIEMBRE-06 A LAS 9:30 AM INTEROGATORIO DEMANDADA .    27 de julio de 2006 1T</t>
  </si>
  <si>
    <t>Orlando López Rojas</t>
  </si>
  <si>
    <t>2007-0124</t>
  </si>
  <si>
    <t>76001310500320070012400</t>
  </si>
  <si>
    <t>Abonó erradamente $13.607.920.oo a una cuenta que no pertenecía, dinero retirado por el dueño de la cuenta donde se le consignó por error y no fué posible la recuperación.</t>
  </si>
  <si>
    <t>Fecha fallo 2a. instancia el 28-10-2010 a las 4:00 pm. Fue enviado a Sala de Descongestión el 05-10-2010. Fecha fallo 2a. instancia el 30-07-2010 a las 4:30 pm. Presentados alegatos de conclusión el 13-11-2009. Fallo 1a. Instancia el 30-09-2009 para fallo de 1ra instancia. 4T el 07-07-2009 para respuesta a oficios remitidos a Comfandi. 3T 18-02-2009 inspección judicial. 2T 18-10-2007 Testigos del  Banco. 1T Conciliación 19-07-2007 a las 8:30 AM.</t>
  </si>
  <si>
    <t>Manuel Antonio Muñoz Uribe</t>
  </si>
  <si>
    <t>2005-0079</t>
  </si>
  <si>
    <t>05001310500820050007900</t>
  </si>
  <si>
    <t>Alega despido injusto. Probabilidades de éxito 95% por justa causa probada</t>
  </si>
  <si>
    <t>Corre traslado por 05 días para alegatos el 30-07-2009. Continuación 4T (testigos) el 20-09-2007 a las 8:30 AM. Cuarta audiencia (testigos) 25-04-2007 8:30am</t>
  </si>
  <si>
    <t>2006-00260</t>
  </si>
  <si>
    <t>76001310500120060026000</t>
  </si>
  <si>
    <t>El 16 de marzo de 2006 presentó un faltante e n caja por $3 mm</t>
  </si>
  <si>
    <t xml:space="preserve">Fecha fallo 1a. instancia el 02-09-2010 a las 4:30 pm. Este proceso fue acumulado con el proceso que cursaba en el Juzgado Noveno Laboral y que actualmente se encuentra en el Juzgado Tercero Laboral de Descongestión del Circuito de Cali. Aud. respuesta oficios del Banco y del Ministerio de Protección Social el 27-08-2009. Inspección Judicial el 16-02-2009.  Audiencia de Conciliación el 29- 06- 2007. </t>
  </si>
  <si>
    <t>Este proceso fue acumulado con el proceso que cursa en el Juzgado 9° Laboral y  en el Juzgado 7°, actualmente los tres cursan  acumulados en el Juzgado 3° Laboral de Descongestión del Circuito de Cali</t>
  </si>
  <si>
    <t>149-2008</t>
  </si>
  <si>
    <t>11001310501720080014900</t>
  </si>
  <si>
    <t>Laboró entre marzo de 1961 y julio de 1988 y solicita pensión. Está pensionada por el ISS</t>
  </si>
  <si>
    <t>Aprueba liquidación de costas 21-01-2011. Está a despacho para fallo. Desierto el recurso de apelación; enviado al Trib. en Consulta el 14-01-2009. Fija fecha fallo 1a. instancia el 28-11-2008. 2T Interrogatorio de partes el 10-11-2008. 1T Conciliación el 21-08-2008. Notificada el 11-062008</t>
  </si>
  <si>
    <t>2004/104</t>
  </si>
  <si>
    <t>11001310501120040010400</t>
  </si>
  <si>
    <t>Fue despedido  JC  el  11 de septiembre de 1999 por haber incumplido varios procesos en certificacion de cheques y microfilmacion de documentos,  lo que facilitó un fraude de  $248 mm.</t>
  </si>
  <si>
    <t>Trib. Sup. niega recurso de casación 07-12-2010. Recurso de Casación presentado por el Banco 20-10-2010. Nueva fecha fallo 2a. instancia el 30-09-2010 a las 4:00 pm. Fecha fallo 2a. instancia el 30-08-2010 a las 4:00 pm. Por información del Abogado externo de fecha 07-01-2010 señala que este proceso está desde el 21-05-2008  en el Tribunal de Bogotá para que se profiera sentencia de 2a. instancia. El 14-04-2008 fue enviado al Tribunal con recurso de apelación. Observa que apelaron ambas partes pero solo fue concedido al ddante. por lo que ordena la devolución de expediente al Juzgado 16-01-2008. Apelación Banco 14-12-2007. Fallo 27-09-2.007 a las 3:00 PM. 7 de febrero de 2007 a las 9:45 a.m., para interrogatorio de parte ..      31 de mayo 2006 testimonios.  2006 03 15 9:45 a.m. Testimonos.        27 de julio de 2005  testigo del banco</t>
  </si>
  <si>
    <t>Condena al pago de $1´7 debidamente indexados. Costas $535.600</t>
  </si>
  <si>
    <t>325-07</t>
  </si>
  <si>
    <t>11001310500920070032500</t>
  </si>
  <si>
    <t>Fue DSJC el  2 de noviembre de 2006,  solicita reliquidación de la indemnización con base en la ley 50/90 (CCT)</t>
  </si>
  <si>
    <t>Fecha fallo 2a. instancia el 30-11-2010 a las 3:00 pm. 2T el 31-10-2008 aplazada por paro Jcial. Aplaza audiencia 2T para el 30-09-2008. Enviado a Juzgados de descongestión el 08-02-2008. 1T (continuación) interrogatorio ddante. el 31-01-2008 a las 8:15 AM. 1T interrogatorio ddado. el 14-11-2007 a las 8:15 AM. demanda contestada el 11 de agosto de 2.007</t>
  </si>
  <si>
    <t>Carlos Mauricio Durán Ruiz</t>
  </si>
  <si>
    <t>Condena al pago de $15´576.911,12 incluida la indexación</t>
  </si>
  <si>
    <t>2008-886</t>
  </si>
  <si>
    <t>11001310502220080088600</t>
  </si>
  <si>
    <t>El resultado es inicierto y por tanto la probabilidad de fallo adverso es latente</t>
  </si>
  <si>
    <t>Suscribió transaccion para acordar retiro en Conavi en el  2003, devengaba salario integral cuyo valor se siguió pagando a título de pension extralegal y ahora solicita que las cotizaciones al  ISS debieron ser sobre el  100% de ese valor y no  sobre el  70% como  se venía haciendo mientras estuvo  vigente el  contrato</t>
  </si>
  <si>
    <t xml:space="preserve"> Las partes apelaron y el recurso se concedió en el efecto suspensivo. Fija fallo de 1a. instancia el 14-04-2010. El 22-09-2009 por despacho comisorio en medellín se evacuó el testimonio de Edgar Calle y se ordenó devolver las diligencias al juzgado de orígen. El 06-05-2009 Libra despacho comisorio a Juzgado Laboral de Medellín para testimonios. 1T Conciliación el 06-05-2009 a las 9:00 AM. </t>
  </si>
  <si>
    <t>En el fallo se condeó al Banco a pagar las mesadas adicionales del 2005 en cuatía de $7,223,348,69 y las del 2006 en cuantía de $15,394,400,74, se declaró probada parcialmente la excepción de prescripción y condenó en costas en un 30%,Proceso tramitado en el Juzgado 22 Piloto de Oralidad</t>
  </si>
  <si>
    <t>0098-2009</t>
  </si>
  <si>
    <t>11001310501520090009800</t>
  </si>
  <si>
    <t xml:space="preserve">La demandante al no compartir las razones que el banco tuvo para terminar su contrato de trabajo de manera unilateral y con justa causa reclama la indemnzaición </t>
  </si>
  <si>
    <t xml:space="preserve">Fecha fallo 2a. instancia el 30-04-2010. Fecha fallo 1a. instancia 09-10-2009. 3T el 02-09-2009  a las  8:30 Testigos ddada. 2T Interrogatorio de partes el 03-08-2009 a las 9:30 AM. 1T Conciliación el 30-06-2009. El 10-03-2009 se recibe citatorio. </t>
  </si>
  <si>
    <t>948-2007</t>
  </si>
  <si>
    <t>11001310500820070094800</t>
  </si>
  <si>
    <t>Hasta el  23 de julio de 2007 con jc por mala prestacion del servicio</t>
  </si>
  <si>
    <t>Fue enviado a descongestión al despacho de la Dra. Stella María Bautista para fallo. El 20-01-2009 el proceso fue enviado al Tribunal. El 15-12-2008 concede recurso de apelación. 3T el 11-11-2008 (testigos). Continuación 2T 25-08-2008 (testigos). Continuación 2T 22-07-2008 (testigos del banco). 2T Interrogatorio de partes y testimonios el 20-05-2008. 1T Conciliación el 22-04-2008</t>
  </si>
  <si>
    <t xml:space="preserve">Condena al pago de la indemnización indexada la cual asciende a $41´251.842,36. Costas $6'357.727.95 </t>
  </si>
  <si>
    <t>La demandante fue despedida de manera unilateral y con justca causa y alega que su despido fue injusto y alega que se violo el procedimiento establecido para dar por termiando su contrato, pues para ella debió agotarse el procedimieto disciplinario establecido en la convención colectiva, además que se le adeudan un sinúmero de horas extras laboradas por ella.</t>
  </si>
  <si>
    <t>Como el demandante no apeló el proceso subió en consulta. Se señaló nueva fecha fallo 1a. instancia el 08-02-2010. 2T el 09-11-2009 a las 8:00 am. 1T Conciliación el 29-09-2009 a las 8:00 am. El 06-06-2009 se recibió aviso sin copias en la Oficina de Pamplona y a los tres días se retiró el traslado.</t>
  </si>
  <si>
    <t>0255 2002</t>
  </si>
  <si>
    <t>08001310500820020025500</t>
  </si>
  <si>
    <t>No ingresó orden de no pago de un cheque por la suma de 9 MM</t>
  </si>
  <si>
    <t>Enviado a Magistrados de descongestión el 07-05-2010. Fija fecha fallo 1a. instancia el 19-12-2008. 21 MAR 2007 8:30 AM CONT 4T interrogatorio de partes . 20 de abril de 2006, 8:30am se celebrará, la cuarta audiencia de Trámite para continuar con la recepción de testimonios.     3 de agosto de 2005 2T testimonios     1T 29 10 2004</t>
  </si>
  <si>
    <t>Vr. Condena por $10´830.063,79 más indexación Total $17´449.829,50. Costas $2´678.000.</t>
  </si>
  <si>
    <t>13001310500420050047100</t>
  </si>
  <si>
    <t>El banc pagó lo que considero deber como consecuencia de la condena</t>
  </si>
  <si>
    <t>Aud. complementaria del fallo el 24-03-2010 a las 11:45 am. Nueva fecha fallo apelación auto 16-09-2009. Decide Trib. apelación de auto el 26-08-2009. Está en apelación de auto que liquidó intereses. Fecha fallo 2a instancia el 12-03-2008 a las 11:48 AM.  AUDIENCIA DE DECISION EL DIA 25/10/2006 A LAS 11: 42 AM; 23/06/2006: Se accede a lo solicitado por el Banco de la República, librese oficio; En traslado las excepciones propuestas por el Banco</t>
  </si>
  <si>
    <t>Vr. Condena por $63´970.780. Costas por $13´736.947</t>
  </si>
  <si>
    <t>2009-00715</t>
  </si>
  <si>
    <t>76001310501420090071500</t>
  </si>
  <si>
    <t>El ddante. fue despedido cjc por reversar consignación de $8´ sin autorización, y solicita la indemnización.</t>
  </si>
  <si>
    <t>El 03-08-2010 se evacúa toda la prueba y se dicta fallo. 1T Conciliación el 04-05-2010</t>
  </si>
  <si>
    <t>Evaristo Pérez Parra</t>
  </si>
  <si>
    <t>Condena por valor de $9,782,633,85. Vr. Costas 2a. Instancia $1´002.000; 1a. Instancia $1´000.000</t>
  </si>
  <si>
    <t>2008-00323</t>
  </si>
  <si>
    <t>Fue despedido sjc y solicita la reliquieación de la indeminización con base en la L. 50/90</t>
  </si>
  <si>
    <t>Nueva fecha fallo 1a. instancia el 05-04-2010. Se fijó el 19-03-2010 para audiencia de juzgamiento. 2T el 28-07-2009 interrogatorio al demandante y se evacuó la exhibición de documentos. Pendiente 1T. Demanda notificada el 07-11-2008</t>
  </si>
  <si>
    <t>Gabriel Jaime Aguilar Ramírez</t>
  </si>
  <si>
    <t>Vr. Condena reliquidación indemnización, más costas $32´640.925. Intereses moratorios $2'676.887.</t>
  </si>
  <si>
    <t>2009-01113</t>
  </si>
  <si>
    <t>05001310500820090111300</t>
  </si>
  <si>
    <t>PENSIÓN DE INVALIDEZ E INDEMNIZACION DE PERJUICIOS POR CULPA EN ACCIDENTE DE TRABAJO</t>
  </si>
  <si>
    <t>El ddante. laboró para APLICAMOS LTDA. subcontratista de MUROS y TECHOS; reclama en solidaridad pensión de invalidez, prestaciones, salarios e indemnización por accidente de trabajo.</t>
  </si>
  <si>
    <t>Mario Alberto Peña Onzaga</t>
  </si>
  <si>
    <t>290-2008</t>
  </si>
  <si>
    <t>05001310501420080029000</t>
  </si>
  <si>
    <t>Al ddte. el Banco le reconoció jubilación el 19-07-1982 y pretende que el Banco le indexe la primera mesada.</t>
  </si>
  <si>
    <t xml:space="preserve">Declara desierto el recurso 25-01-2011. Al Despacho para resolver sin demanda el 06-12-2010. CSJ admite recurso y corre traslado al recurrente el 26-10-2010. Reparto el 12-10-2010 (Dr. Luis Javier Osorio López). Ddante. interpone recurso de Casación el 24-08-2010. Fallo 2a. Instancia el 05-08-2010. Fija fecha fallo 1a. Instancia el 28-09-2009 a las 4:00 PM. Por tratarse de un asunto de puro derecho, las partes solicitaron al Despacho fijar fecha para fallo. 1T Conciliación el 24-04-2009 a las 8:30 am. </t>
  </si>
  <si>
    <t>2007-00068</t>
  </si>
  <si>
    <t>73001310500620070006800</t>
  </si>
  <si>
    <t>Mediante tutela de 1999 obtuvo pension a la que legalmente no  tenia derecho,  ahora reclama el  reajuste de la misma</t>
  </si>
  <si>
    <t>A Despacho para fallo desde el 19-03-2009. Recurso de casación por parte del Banco. Trib. Superior admite apelación 18-07-2008. Fecha fallo 2a. Instancia el 18-06-2008 a las 5:00 PM. Concede recurso de apelación 30-01-2008. Declara clausurado el debate probatorio 23-11-2007. Continuación 1T 30-08-2007. 1T el 21-06-2007 a las 3:00 PM. Demanda contestada el 19 de abril/07</t>
  </si>
  <si>
    <t>Trib. Sup. Corrige providencia 29-02-2012</t>
  </si>
  <si>
    <t>Por fallo de la CSJ en equidad obtuvo pension de 1 smlmv por no haber cotizado  durante 8 años,  ahora reclama el  reajuste de la misma</t>
  </si>
  <si>
    <t>A Despacho para fallo desde el 19-03-2009. Pendiente casacion del banco. 18 de junio/08 desfavorable, condenan a pagar $1.091.396 desde abril de 2004. Trib. Superior admite apelación 18-07-2008. Fecha fallo 2a. Instancia el 18-06-2008 a las 5:00 PM. Concede recurso de apelación 30-01-2008. Declara clausurado el debate probatorio 23-11-2007. Continuación 1T 30-08-2007. 1T el 21-06-2007 a las 3:00 PM. Demanda contestada el 19 de abril/07</t>
  </si>
  <si>
    <t>A Despacho para fallo desde el 19-03-2009. Pendiente Casación del Banco. Trib. Superior admite apelación 18-07-2008. Fecha fallo 2a. Instancia el 18-06-2008 a las 5:00 PM concede reajuste de pensión desde marzo de 1997 . Concede recurso de apelación 30-01-2008. Declara clausurado el debate probatorio 23-11-2007. Continuación 1T 30-08-2007. 1T el 21-06-2007 a las 3:00 PM. Demanda contestada el 19 de abril/07</t>
  </si>
  <si>
    <t>Lino García Galeano</t>
  </si>
  <si>
    <t>0429 02</t>
  </si>
  <si>
    <t>13001310500220020042900</t>
  </si>
  <si>
    <t>Archivado en marzo de 2010 paquete N° 005. Fija fecha fallo 2a. instancia el 10-06-2009. Fallo 1a. instancia el 08-06-2007. Aud. 29-01-2007 rendir experticio. continuacion 4T 2006 01 25 para nombramiento de perito ingeniero de sistemas.      4T  inspeccion judicial   4 de mayo de 2005                   2T 15 de octubre de 2003, interrogatorio parte.      audiencia de conciliacion fijada 10 de Julio de 2003</t>
  </si>
  <si>
    <t>0177 - 2000</t>
  </si>
  <si>
    <t>08001310500920000017700</t>
  </si>
  <si>
    <t>Se extraviaron cheques que debió incinerar el actor. Extravio enero 30 99, requerimiento clientefeb 99, proceso disciplinario 27 dic 99</t>
  </si>
  <si>
    <t>A Despacho para fallo desde el 17-03-2009. Concede recurso de Casación al ddte. el 15-04-2008. Fecha fallo 2a instancia 31-01-2008Fecha fallo 2a instancia 31-10-2007 a las 3:00 PM. Por descongestión judicial el proceso fue enviado al Tribunal de San Andrés para que se profiera sentencia.
 .   Se encuentra en el Tribunal Superior del D.J. de Bogotá D.C., Sala Laboral, para el trámite</t>
  </si>
  <si>
    <t>2008-00114</t>
  </si>
  <si>
    <t>73001310500520080011400</t>
  </si>
  <si>
    <t>Es una persona muy joven que alega convivencia en los últimos 5 años con el jubilado fallecido, información que no corresponde con lo consignado en la carpeta del exempleado</t>
  </si>
  <si>
    <t>El 13-07-2011 auto ordena archivo del proceso. Trib. aprueba liquidación de costas 22-03-2011. Fecha fallo 2a. instancia el 09-02-2011 a las 5:00 pm. Desde el 02-07-2010 está al Despacho del Mag. Rafael Moreno Vargas, pendiente para fecha de juzgamiento. Traslado por 05 días para alegatos de conclusión 22-06-2010. Trib. concede recurso de apelación a la ddante. Fija fecha fallo 1a. instancia el 17-03-2010 a las 5:00 pm. 30-09-2009 ordena requerir al Bco. para que allegue la información solicitada. Por auto del 11-08-2009 se odena requerir al apoderado de la demandate para poder finalizar etapa probatoria. 3T el 21-04-2009 testimonio. No tiene en cuenta solicitud de excusa de testigo por extemporánea 09-12-2008. 2T Interrogatorio ddante. y testigos ddante. el 27-11-2008 8:30 AM. 1T Conciliación el 20-08-2008. Notificada el 13-05-2008.</t>
  </si>
  <si>
    <t>Edgar Calle Pulgarin</t>
  </si>
  <si>
    <t>2010-01026</t>
  </si>
  <si>
    <t>05001310500120100102600</t>
  </si>
  <si>
    <t>RELIQUIDACION INDEMNIZACION</t>
  </si>
  <si>
    <t>La ddante. fue despedida sjc y reclama la reliquidación de la indemnización de acuerdo con la Ley 50/1990.</t>
  </si>
  <si>
    <t>Guillermo León Montoya Parra</t>
  </si>
  <si>
    <t>126-2008</t>
  </si>
  <si>
    <t>05001310501120080012600</t>
  </si>
  <si>
    <t>La exempleada firmó acuerdo de retiro voluntario. Posteriormente reclamó el reajuste de la bonificación de acuerdo con la Ley 50/1990.</t>
  </si>
  <si>
    <t>Fecha fallo 2a. instancia el 13-05-2011 a las 4:00 pm. Enviado a Magistrados de Descongestión 13-04-2011. Ordena enviar el proc. a Magistrados de Descongestión 18-03-2011. Trib. corre traslado por 05 días para alegatos de conclusión 14-05-2010. Fija fecha fallo 1a. instancia el 17-03-2010 a las 4:45 pm. Avoca el conocimiento el Juzgado 11 Lab. adjunto el 03-03-2010. Aud. fallo 1a. instancia el 23-09-2009 a las 4:00 PM. 4T el 06-03-2009 a las 8:30 AM (Testigos). 3T el 19-01-2009 a las 8:30 AM (Testigos). 2T Interrogatorio de partes el 27-08-2008 a las 8:30 AM. 1T Conciliación el 16-06-2008 a las 2:30 PM.</t>
  </si>
  <si>
    <t>Costas 2a. instancia $267.800</t>
  </si>
  <si>
    <t xml:space="preserve">Libano </t>
  </si>
  <si>
    <t>0027-2009</t>
  </si>
  <si>
    <t>73001310500520090002700</t>
  </si>
  <si>
    <t xml:space="preserve">Por comunicación del 04 de noviembre del 2007 el Banco procedio a terminar el contrato de trabajo sin justa causa.  </t>
  </si>
  <si>
    <t>Se condenó a la reliquidación de la indemnización indexada, la cual si la ddte. no apela procederemos a pagar como condena. Se libró oficio al ISS para que remitan copia de las convenciones al cual le estamos dando trámite en noviembre de 2010. 2T testigos ddante. el 26-01-2010 a las 8:30 AM y a las 4:30 PM exhibición de documentos. Señala nueva fecha 1T el 29-09-2009 a las 3:00 PM. Nueva fecha 1T el 04-09-2009 a las 9:00 AM. 1T Conciliación el 23-07-2009 a las 2:30. Se contestó la dda. el 27-05-2009. El 06-05-2009 se notifico la demanda.</t>
  </si>
  <si>
    <t xml:space="preserve">Luz Miryam Murillo Acuña </t>
  </si>
  <si>
    <t>Vr. Condena $5´230.780,26. No se interpuso recurso por parte del Banco.</t>
  </si>
  <si>
    <t xml:space="preserve">0063-2009 </t>
  </si>
  <si>
    <t>La demandante al no compartir las razones que el banco tuvo para terminar su contrato de trabajo de manera unilateral y con justa causa reclama la indemnzaición además de la reliquidación de sus prestaciones sociales por habersele hecho deducciones no autorizadas por ella.</t>
  </si>
  <si>
    <t>Fecha fallo 2a. instancia el 11-05-2011. El 04-12-2009 fue repartido en el Tribunal. Sentencia de 1a. instancia desfavorable, se condenó al pago de reliquidación de prestaciones, indemnización por despido injusto e indemnización moratoria. 2T el 15-07-2009 a las 8:30 am. 1T Conciliación el 12-06-2009. El 24-04-2009 se contestó la demanda. El 03-04-2009 se recibió citatorio.</t>
  </si>
  <si>
    <t>Carlos Horacio Molina Molina</t>
  </si>
  <si>
    <t>Vr. Condena $11´314.847,69. Costas $4'012.500.</t>
  </si>
  <si>
    <t>2011-00123</t>
  </si>
  <si>
    <t>05360310500220110012300</t>
  </si>
  <si>
    <t>El ddante. fue despedido cjc por suplantación de firma de cliente en formato de Declaración de Operaciones en Efectivo y por haber dejado las llaves de la Sucursal en Rionegro las cuales le fueron traídas por un tercero.</t>
  </si>
  <si>
    <t>Se concilió en $62´</t>
  </si>
  <si>
    <t>2010-00343</t>
  </si>
  <si>
    <t>05001310501220100034300</t>
  </si>
  <si>
    <t xml:space="preserve">Fue despedida cjc por haberle pedido el favor a una cliente de la Sucursal que solicitara un crédito a su nombre y a su vez le prestara ese dinero a ella. </t>
  </si>
  <si>
    <t>Se concilió en $80´</t>
  </si>
  <si>
    <t>895-2004</t>
  </si>
  <si>
    <t>11001310500820040089500</t>
  </si>
  <si>
    <t>Laboró en Soatá entre  1954 hasta 1970 sin cotizar. Con “Bancolombia S.A.”  están demandados solidariamente el Ministerio de Defensa Nacional, la Gobernación de Boyacá  y el Hospital “San Antonio” de Soatá.</t>
  </si>
  <si>
    <t xml:space="preserve">Ordena correr traslado al recurrente ddante. para que presente dda. de Casación 27-10-2010. En la CSJ desde el 16-04-2010 a despacho para admisión. Enviado al Trib. de Descongestión el 24-03-2009. Pendiente fallo 2a. instancia. Nueva fecha fallo 30-04-2008 a las 4:00 PM Juzg. 4° Descongestión. Fija nueva fecha para fallo el 31-03-2008 Juzg. 4° Descongestión. Fecha fallo 1a instancia el 29-02-2008. El día 1 de febrero de 2007 a las 11:00 se llevará a cabo la audiencia obligatoria de conciliación..    4 abril de 2.006 audiencia de conciliaicón que se había aplzado </t>
  </si>
  <si>
    <t>1112-2009</t>
  </si>
  <si>
    <t>11001310502820090111200</t>
  </si>
  <si>
    <t>Fue desvinculada con justa causa el 12 de enero de 2007 por conflicto de intereses, pues abusando de su condicón de empleada realizó avances de su tarjeta de crédito en un establecimiento de propiedad de un cliente para obtener recursos con los cuales canceló una obligación personal.</t>
  </si>
  <si>
    <t>Concede apelación al ddado. el 08-09-2010. Fallo 1a. instancia el 30-08-2010. 4T el 12-08-2010 a las 11:00 am testigos. 3T el 26-07-2010 a las 10:00 am. 2T Interrogatorio de parte y testigo el 28-06-2010 a las 9:30 am. 1T Conciliación el 09-06-2010. El 25-02-2010 se contestó la demanda. En enero de 2010 recibimos citatorio, y el 05-02-2010 se remitieron documentos al Abogado.</t>
  </si>
  <si>
    <t>La condena total asciende a $13´188.711,49</t>
  </si>
  <si>
    <t>827 - 2009</t>
  </si>
  <si>
    <t>11001310501520090082700</t>
  </si>
  <si>
    <t>El demandante pide la reliquidación de la pensión con fundamento en el reglamento interno de trabajo aprobado medinate resolución de 1951 y la indexación de su primera mesada pensional. La pensión es reconocida desde el 16 de abril de 1977.</t>
  </si>
  <si>
    <t>En el Trib. en apelación del ddante. concedida el 21-09-2009. Fecha para fallo de 1a. instancia el 28-08-2009 a las 3:00 pm. 1T Conciliación el 19-08-2009, se declaró probada la excepción de indebida acumulación de pretensiones y la de prescripción; solamente se decretó prueba documental; se solicitó señalar fecha para fallo. El 09-06-2009 se contestó la demanda.</t>
  </si>
  <si>
    <t>589-2009</t>
  </si>
  <si>
    <t>11001310502520090058900</t>
  </si>
  <si>
    <t>La ddte. le tramitó dos tarjetas de crédito y un crédito a la esposa del otro Asesor Comercial de la Oficina, poniendo a este como Analista.</t>
  </si>
  <si>
    <t>25-07-2011 auto aprueba liquidación; archivo. Enviado al Trib. por apelación del ddante. 01-09-2010. Fecha fallo 1a. instancia el 23-08-2010. 3T el 16-07-2010 recepción de alegaciones. 2T el 01-07-2010 a las 3:00 pm para testigos. En la audiencia se evacuó la etapa conciliatoria, los interrogatorios a las partes y el testimonio de la Gte. de la Oficna Olga Victoria, pendiente 4 testigos del Banco. 1T Conciliación el 24-05-2010 a las 3:30 pm, llevar testigos. El 10-12-2009 se contesta la demanda. El 21-10-2009 se recibió citatorio</t>
  </si>
  <si>
    <t>500-2009</t>
  </si>
  <si>
    <t>11001310500320090050000</t>
  </si>
  <si>
    <t>El Banco le reconoció pensión de jubilación en febrero de 1987; reclama reajuste de la misma.</t>
  </si>
  <si>
    <t>12-10-2010 aprueba costas; archivo. El 07-09-2010 el proceso fue devuelto al juzgado de orígen. Enviado al Trib. en Consulta el 19-07-2010. Fallo 1a. instancia el 30-06-2010. En la 1T llevó a cabo la audiencia de conciliación la cual se declaró fracasada la etapa por inasistencia del demandante; se decretaron pruebas menos oficios, inspección e interrogatorio. 1T Conciliación el 26-03-2010. El 19-02-2010 se contestó demanda. El 26-11-2009 llegó citatorio.</t>
  </si>
  <si>
    <t>Herminson Gutiérrez Guevara</t>
  </si>
  <si>
    <t>863-2009</t>
  </si>
  <si>
    <t>11001310500220090086300</t>
  </si>
  <si>
    <t>A partir de noviembre de 1994 el Banco le reconoció una pensión sanción en cuantía de salario mínimo y el actor solicta la indexación de la 1ra. mesada pensional.</t>
  </si>
  <si>
    <t>Auto corre traslado de costas 15-07-2011. Fecha fallo 1a. instancia el 24-11-2010. El 26-10-2010 entró el proceso al despacho con als copias del proceso del juzgado 5. Para el efecto ordenaron oficiar al Juzgado 5 laboral donde cursó proceso anterior. Suspendida 2T hasta tanto se reciba oficio. 2T Interrogatorio de parte al ddado. el 10-06-2010. 1T Interrogatorio de parte al ddante. el 28-04-2010; se interpuso recurso de apelación contra la decisión que negó la excepción de prescripción de la pretensión de reliquidación de la pensión. El 16-02-2010 se contestó la demanda. En enero de 2010 recibimos citatorio y el 04-02-2010 se remitieron documentos al Abogado.</t>
  </si>
  <si>
    <t>Doris Patiño Ramírez</t>
  </si>
  <si>
    <t>150-2009</t>
  </si>
  <si>
    <t>11001310503120090015000</t>
  </si>
  <si>
    <t>El demandante fue desvinculado por haber tramitado créditos de clientes omitiendo procedimientos de conocimiento del cliente, lo que facilitó que se tramitaran créditos con documentación falsa y además se logró establecer que el demandante tenía vínculos con tramitadores y/o comisionistas que llevaban créditos a la oficina entre ellos los que tenían documentación falsa.</t>
  </si>
  <si>
    <t>El 25-05-2011 aprueba liquidación de costas; archivo. Fecha fallo 2a. instancia el 30-03-2011. Fecha fallo 1a. instancia el 22-10-2010. Se aplaza aud. para el 04-10-2010 a las 11:00 am. Nueva fecha 1T Conciliación el 08-07-2010 a las 3:30 pm. 1T Conciliación el 21-06-2010 a las 2:30 pm. El 19-03-2010 se contestó la demanda. El 05-03-2010 se recibe aviso para notificación.</t>
  </si>
  <si>
    <t>0341-07</t>
  </si>
  <si>
    <t>11001310501620070034100</t>
  </si>
  <si>
    <t>Es pensionado desde el  25 de septiembre de 1990 y reclama el  reajuste pensional</t>
  </si>
  <si>
    <t>Aprueba liquidación de costas y ordena archivo el 10-09-2010. Concede recurso de apelación al ddado. 20-06-2008. Fecha fallo 1a. Instancia el 30-05-2008 a las 3:00 PM. 1T Conciliación el 05-03-2008 a las 8:15 AM.</t>
  </si>
  <si>
    <t>447-2008</t>
  </si>
  <si>
    <t>73001310500120080044700</t>
  </si>
  <si>
    <t>Trabajó por más de 20 años y pide pensión del RIT.</t>
  </si>
  <si>
    <t>Ordena archivo el 20-05-2011. Fallo 2a. instancia el 11-02-2011. El proceso está en el Tribunal de Ibagué al Despacho para fallo. El 25-05-2010 por reparto correspondió a la Magistrada Amparo Emilia Peña. Fecha fallo 1a. instancia el 26-03-2010. Hay pediente de respuesta un oficio al Banco en el cual se solicita el salario promedio del último año con los factores que lo componen, es el 0451 del 27 de febrero de 2009. Nueva fecha 1T Conciliación el 25-02-2009. 1T el 01-12-2008 Conciliación.</t>
  </si>
  <si>
    <t>041-2010</t>
  </si>
  <si>
    <t>Con anterioridad se adelantó proceso especial en el cual negaron el permiso porque la resolución del ISS a través de la cual se le reconoció la pensión de vejez no estaba en firme, ya está en firme y se incia el proceso con fundamneto en esta justa causa.</t>
  </si>
  <si>
    <t>Fecha fallo 2a. instancia el 17-09-2010. Fecha fallo 1a. instancia  el 06-08-2010 a las 3:00 pm. Se señaló el 08-07-2010 a las 10:30am para respuesta a oficios. Se señaló para el 19-05-2010 para interrogatorio de la demandada y respuesta a Oficios. En audiencia del 20-04-2010 se contestó la demanda y se decretaron pruebas. El 19-02-2010 se notificó la demandada y se señaló para el 26-02-2010 para la audiencia de trámite, la cual no se llevó a cabo por permiso del juez, pendiente señalar fecha. El 26-01-2010 se presentó la demanda la cual fue admitida el 01-02-2010 se enviaron citatorios por interrapidísimo.</t>
  </si>
  <si>
    <t>Blas López Guerrero</t>
  </si>
  <si>
    <t>6</t>
  </si>
  <si>
    <t>00305-2005</t>
  </si>
  <si>
    <t>13001310500620050030500</t>
  </si>
  <si>
    <t>BONIFICACIÓN POR PENSIÓN</t>
  </si>
  <si>
    <t>El demandante trabajó en Bancolombia desde el 25 de Noviembre de 1965 y recibió resolución de reconocimiento de pensión de vejez en el año 2002 a través de la resolución N° 002404. El demandante sostiene que trabajó 38 años para la entidad y tiene derecho al reconocimiento de los 10 salarios contemplados en la convención colectiva de trabajo.</t>
  </si>
  <si>
    <t xml:space="preserve">Fecha fallo 2a. instancia el 24-03-2010. Fecha fallo 1a. instancia el 12-09-2008 a las 10:00 a.m. El 18 de Febrero de 2008 se llevó a cabo la 4° audiencia de trámite en la que se declaró cerrado el debate probatorio, se presentaron los alegatos de conculsión y se señaló el día </t>
  </si>
  <si>
    <t>Jaime Enrique Quessep Esguerra</t>
  </si>
  <si>
    <t>00380-2009</t>
  </si>
  <si>
    <t>70001310500220090038000</t>
  </si>
  <si>
    <t>La demandante fue desvinculada sin justa causa en la sucursal sincelejo. Posteriormente al despido la ex funcionaria argumentó encontrarse en estado de embarazo y que por tal motivo no podía ser despedida. Instauró acción de tutela, la cual fue fallada a favor del Banco en ambas instancias. En vista de lo anterior, recurrió al proceso ordeinario.</t>
  </si>
  <si>
    <t>Fecha fallo 2a. Instancia el 11-05-2011. Fecha fallo 1a. Instancia el 26-11-2010. 1T Conciliación el 17-03-2010. Se contestó la demanda el 24 de Septiembre de 2009.</t>
  </si>
  <si>
    <t>Vr. condena $43'058.374. Costas 1a. Instancia $5'571.473. Costas 2a. Instancia $300.000.</t>
  </si>
  <si>
    <t>2004-0096</t>
  </si>
  <si>
    <t>76001310500120040009600</t>
  </si>
  <si>
    <t>No detectó la adulteración de una forma de inscripción de cuentas para traslados de fondos</t>
  </si>
  <si>
    <t>Fallo 2a. instancia el 07-06-2011 a las 11:30 am. Corre traslado a las partes para alegatos de conclusión 18-06-2009. Remite el proceso a Consulta al Trib. el 22-05-2009. Fija fecha para fallo 1a. instancia el 17-04-2009 a las 4:30 PM. Diligencia 26-03-2009 respuesta Despacho Comisorio. Diligencia el 13-02-2009 para respuesta Despacho Comisorio. 4T Interrogatorio de partes el 09-09-2008. Juzgado 14 Laboral Med. Fija fecha testimonio x despacho comisorio para el 11-07-2008 a las 8:30 AM. 3T 05 de Abril de 2006 a las 2.30 p.m., fecha y hora para que rinda declaración y reconozca firma y contenido de documento la testigo Maritza Mora</t>
  </si>
  <si>
    <t>2008-711</t>
  </si>
  <si>
    <t>Laboró entre 1957 y 1967 y solicita el pago retroactivo de aportes al  ISS de ese período.</t>
  </si>
  <si>
    <t>En el informe del mes enero de 2010 se menciona que se archivó el proceso. En la audiencia de conciliación celebrada el 06-05-2009 se declaró probada la excepción previa de falta de competencia, desición contra la cual el apoderado de la demandante interpuso recurso de apelación el cual fue decidido mediante providencia del 24-07-2009, se modificó la desición de 1a. instancia y se declaró probada la excepción previa de falta de competencia, sin condena en costas al ddte. providencia que quedó ejecutoriada con lo que se termina el proceso. 1T Conciliación el 06-05-2009. Notificada el 06-11-2008</t>
  </si>
  <si>
    <t>Reclama pensión de sobrevivientes de Marco Tulio López Castaño</t>
  </si>
  <si>
    <t>2007-00458</t>
  </si>
  <si>
    <t>76001310500620070045800</t>
  </si>
  <si>
    <t xml:space="preserve">Omitió como Jefe de Sección advertir o dar aviso al Banco sobre la existencia de una bodega en la ciudad de Cali,  la cual  estaba siendo utiilzada como  bodega particular. </t>
  </si>
  <si>
    <t>El 31-05-2011 aprueba liquidación de costas y ordena el archivo del expediente. Fecha fallo 2a. instancia el 25-03-2011. El 07-12-2010 se presentó apelación (A pesar de que el juzgado encontró probada la justa causa, declaró el depido ilegal porque no se adelantó el proceso disciplinario previo al despido). Fallo 1a. Instancia el 30-11-2010 a las 4:30 pm. 4T el 10-02-2010 Inspección Judicial. 3T el 22-09-2009 a las 10:30 testigos de ambas partes. Pendiente 1T</t>
  </si>
  <si>
    <t>En primera instancia condena al pago de la indemnización indexada más costas por vr. total de $89´016.477,60</t>
  </si>
  <si>
    <t>2011-00017</t>
  </si>
  <si>
    <t>05001310501520110001700</t>
  </si>
  <si>
    <t>El empleado sirvió de testaferro en defraudación que hizo un empleado de SERFINCO en su empresa, al prestar su cuenta y aparecer como dueño de los dineros apropiados por aquel ilícitamente.</t>
  </si>
  <si>
    <t>Reynaldo Amaya Mantilla</t>
  </si>
  <si>
    <t>Dosquebradas</t>
  </si>
  <si>
    <t>383-2007</t>
  </si>
  <si>
    <t>68001310500420070038300</t>
  </si>
  <si>
    <t>El exempleado reclama el valor de unas cotizaciones a pensión dejadas de efectuar por parte del Banco.</t>
  </si>
  <si>
    <t>El 16-06-2011 se admitió el desistimiento del recurso por parte del Banco y se declaró terminado el proceso. Se condenó al Banco al pago de los aportes dejados de cancelar al ISS  entre el 1 y 31 de mayo de 1997, tomando como ingreso base de liquidación $425.224 junto con los intereses moratorios desde que se hizo exigible la obligación hasta cuando se haga efectivo el pago al ISS; se absolvió al ISS, al Ministerio de Hacienda y a Colfondos y se condenó en costas al Banco a favor de la ddte. en cuantía de $2´142,400; nuestro Abogado pidió aclarar esta condena por considerarla exagerada; si la ddte. no apela el Banco desistir del recurso propuesto y pagar la condena. Fecha de fallo el 14-04-2011 a las 3:00 pm. 2T Interrogatorio a la ddante. el 26-07-2010 a las 2:30 pm e incorporación de documentos. Según informe del Doctor Amaya a la aud. del 25-02-2010  no acudieron los representantes de las partes, se declararon no probadas las excepciones previas. A la audiencia no acudieron los representantes citados y el proceso quedo para el 25-02-2010 a las 2:00 pm para resolver la excepción de falta de jurisdicción propuesta por el Ministerio de Hacienda entidad que fue vinculada como tercero. 1T Conciliación el 27-01-2010.</t>
  </si>
  <si>
    <t>Marlon Tejada Vélez</t>
  </si>
  <si>
    <t>Condena a pagar los aportes a pensión del 1° al 30 de mayo/1997. Costas $2´678.000</t>
  </si>
  <si>
    <t>Odinario</t>
  </si>
  <si>
    <t>Fue despedida por reiterados errores en  procesos de  consignaciones que generaron pérdida económica para el  Banco.</t>
  </si>
  <si>
    <t xml:space="preserve">Llegó a la CSJ el 23-01-2008. Pendiente apelación demandante. Demanda contestada 2 de octubre 2006.  </t>
  </si>
  <si>
    <t>Edwin Osorio Rodríguez</t>
  </si>
  <si>
    <t>2011-00511</t>
  </si>
  <si>
    <t>05001310501020110051100</t>
  </si>
  <si>
    <t>El ddante. fue despedido cjc por errores cometidos en informes enviados a E.U.</t>
  </si>
  <si>
    <t>Se concilió en $29´</t>
  </si>
  <si>
    <t>trabajo desde 1 marzo de 1985 hasta  16 diciembre de 2004 fue despedida por tener el salario embargado</t>
  </si>
  <si>
    <t>El 02 de julio de 2009 se profirió sentencia de 1ra instancia a través de la cual se absuelve al Banco de las pretensiones de la demanda, por considerar que el despido de la demandante fue justo. Pendiente 1T</t>
  </si>
  <si>
    <t xml:space="preserve">La hv de la extrabajadora no apareció, e esta trabajando con las pruebas aportadas en el proceso </t>
  </si>
  <si>
    <t>Efectuó operaciones irregulares</t>
  </si>
  <si>
    <t>Pendiente notificacion</t>
  </si>
  <si>
    <t>El Banco desistió por falta de pruebas.</t>
  </si>
  <si>
    <t>2008-0722</t>
  </si>
  <si>
    <t>05001310500120080072200</t>
  </si>
  <si>
    <t>La ddante. fue despedida CJC por reversar una transacción sin autorización y no reportó sobrante. Igualmente, recibió 02 consignaciones las cuales no grabó en el sistema y tampoco reportó sobrante.</t>
  </si>
  <si>
    <t>Fecha fallo 2a. instancia el 13-07-2011 a las 10:00 am. Trib. corre traslado por 05 días para alegatos el 07-05-2010. Fija fecha fallo 1a. instancia el 26-03-2010 a las 4:50 pm. Enviado al Juzgado 1° Laboral Adjunto el 04-03-2010. 4T testigos 04-11-2009 a las 8:30 AM. 3T testigos 06-10-2009 a las 10.30 AM. 2T Interrogatorio de partes 23-06-2009 a las 2:00 PM. 2T Interrogatorio de partes el 27-04-2009 a las 10:30 AM (Aplazada). Nueva fecha 1T el 16-04-2009 a las 9:00 AM.   1T Conciliación el 02-04-2009 a las 8:30 AM (Aplazada)</t>
  </si>
  <si>
    <t>Fernando Correa Echeverri</t>
  </si>
  <si>
    <t>Serato Velasco Mc'lean Archbold</t>
  </si>
  <si>
    <t>2007-0872</t>
  </si>
  <si>
    <t>88001310500020070087200</t>
  </si>
  <si>
    <t>El ddte. laboró en San Andrés Isla del 01-04-1974 al 15-12-1977 (Sin cobertura del ISS en IVM) y del 02-11-1978 al 15-11-1979 (Con cobertura del ISS en IVM). Ahora reclama pensión a cargo del ISS, del Dpto. de San Andrés y Bancolombia.</t>
  </si>
  <si>
    <t>Apoderado del Bco presenta oposición el 23-07-2009. Trib. Sup. concede recurso de Casación 25-07-2008. 2T Interrogatorio de parte el 18-04-2008 a las 9:30 AM. 1T Conciliación el 14-02-2008 a las 9:00 AM.</t>
  </si>
  <si>
    <t>2008-547</t>
  </si>
  <si>
    <t>11001310501220080054700</t>
  </si>
  <si>
    <t>Fue despedido  SJC y  solicita reliquidacion de la indemnizacion con base en la Ley 50/90.</t>
  </si>
  <si>
    <t>Fallo 2a. intancia el 21-07-2011 a las 3:00 pm. Concede apelación 14-08-2009. Fija fecha fallo 1a. Instancia el 05-06-2009. Nueva fecha 2T 12-05-2009 para documental requerida. 2T 15-04-2009 allegar documentos. 1T Conciliación el 04-03-2009.  Demanda contestada 26 de noviembre de 2008</t>
  </si>
  <si>
    <t>Condena al pago de la reliquidación de la indemnización en $29'982.219, costas $</t>
  </si>
  <si>
    <t>2011-00758</t>
  </si>
  <si>
    <t>05001310501720110075800</t>
  </si>
  <si>
    <t>La exempleada fue despedia cjc por haber entregado información confidencial que recibió en reunión con el Gerente de Zona, y haberla tergiversado creando confusión entre los empleados.</t>
  </si>
  <si>
    <t>Se concilió en $62'5</t>
  </si>
  <si>
    <t>345 2005</t>
  </si>
  <si>
    <t>13001310500820060034500</t>
  </si>
  <si>
    <t>Laboró hasta el año 1993 pide pension a cargo del Banco; ya había demandado al Banco en este mismo sentido con fallo a favor nuestro. Se excepcionó cosa juzgada.</t>
  </si>
  <si>
    <t>2007-1030</t>
  </si>
  <si>
    <t>11001310501520070103000</t>
  </si>
  <si>
    <t>Se liquidó la indemnización convencional con la tabla de la Ley 789/2002</t>
  </si>
  <si>
    <t>El 06-10-2011 resuelve corregir el númeral 1 de la sentencia. El ddante. presentó solicitud de corrección de sentencia el 05-10-2011. Fallo 2a. instancia el 30-09-2011 a las 4:00 pm. A Despacho para fijar fecha para fallo 28-10-2009. Corre traslado para alegatos de conclusión 15-10-2009. Concede apelación al ddante. el 07-10-2009. 3T Juzgado 6 Laboral Adjunto 18-09-2009. Ordena enviar proc. a Juez adjunto 08-09-2009. Aud. Despacho Comisorio Juzgado 10 Laboral de Medellín el 08-07-2009 a las 9:00 AM testigo Banco. Nueva fecha 2T 29-01-2009 a las 10:15 am. 2T el 20-11-2008. 2T Interrogatorio ddado. el 11-09-2008 (aplazada por paro Jcial.). 1T Conciliación el 22-07-2008. DEMANDA CONTESTADA 28 ABRIL 2008  CITACION PARA NOTIFICACION ABRIL 2008</t>
  </si>
  <si>
    <t>Gladys Delgado de Rodríguez</t>
  </si>
  <si>
    <t>Costas $8'826.778. Corrige la condena para un total de $44'133.890 mediante providencia del 06-10-2011.  Condena al pago de $10'255.646 como ajuste de la indemnización. Sin costas en la alzada. Agencias en Derecho $5'296.066. Reforma liquidación de Agencias en Derecho $8'826.778</t>
  </si>
  <si>
    <t>752-2009</t>
  </si>
  <si>
    <t>11001310502820090075200</t>
  </si>
  <si>
    <t>La ddte. fue desvinculada sin justa causa el 26 de febrero de 2009 y en la hoja de vida hay reclamación de la reliquidación de la inmdenización</t>
  </si>
  <si>
    <t>Fecha fallo 2a. instancia el 23-05-2011. Fecha fallo 1a. instancia el 21-04-2010 a las 3:30; condena a la reliquidación de la indemnizaicón en 8 millones; la demandante apeló al igual que el Banco. Nueva fecha 1T el 08-04-2010 a las 10:30 am. 1T Conciliación el 04-03-2010 a las 10:30 am. El 22-01-2010 se contestó la demanda. El 06-11-2009 se recibió citatorio y el 04-12-2009 se envían documentos al abogado.</t>
  </si>
  <si>
    <t>Vr. Condena $25'610.127,37</t>
  </si>
  <si>
    <t>11001310500420060029000</t>
  </si>
  <si>
    <t xml:space="preserve">En 1980 se le concedio pension extralegal que ha sido reajustada 3 veces antes juzgados y reclama nuevo reajuste. </t>
  </si>
  <si>
    <t xml:space="preserve">15-11-2011 ordena liquidar costas y agencias en derecho. 20-10-2011 Resuelve obedézcase y cúmplase lo resuelto por el superior. En firme proveido devuélvase diligencias al juzgado de origen. </t>
  </si>
  <si>
    <t>Demanda al Dr. Londoño com persona natural,  el  apoderado  externo también obra como apoderado del DR.  Londoño</t>
  </si>
  <si>
    <t>2006 772</t>
  </si>
  <si>
    <t>05001310501420060077200</t>
  </si>
  <si>
    <t>Renuncia de la empleada, no se incluyó un día en la liquidacion pues el dia de la renuncia al parecer laboró medio dia; el Banco la reliquidó una vez supo de esa posible irregularidad; además dice tener una fibromialgia por cuenta de su tensión laboral</t>
  </si>
  <si>
    <t>Fallo 2a. instancia el 31-10-2011 a las 4:00 pm. Enviado a los Magistrados de Descongestión el 25-02-2011. El 19-05-2010 Juzgado concede recurso de apelación presentado por la ddante. y ordena el envío al superior. El 30-04-2010 el Trib. devuelve exp. al Juzgado de origen para que se pronuncie sobre el recurso de apelación presentado por la ddante. Fecha fallo 1a. instancia el 11-12-2009 a las 4:45 PM. Nueva fecha 4T testigos el 17-09-2009 a las 9:00 AM. Enviado a Juzgados de descongestión 14-02-2008. 4a Aud. 17-04-2008 a las 8:30 AM. (Testigos). 3a Aud. 01-10-2007 a las 8:30 AM (Testigos). 2a Aud. Interrogatorio de partes 16-05-2007 8:30 am.</t>
  </si>
  <si>
    <t>105 001</t>
  </si>
  <si>
    <t>08001310500720010010500</t>
  </si>
  <si>
    <t>La demanda inicial se soporta en unos hechos de cierre de oficinas el 28 de Febrero, día crucial por ser fin de mes y post-carnavales (dos días lunes y martes, sin atención al público). Posteriormente, es decir, después de presentada la demanda, ya que se</t>
  </si>
  <si>
    <t>0026-2006</t>
  </si>
  <si>
    <t>08001310500420060026200</t>
  </si>
  <si>
    <t>El empleado fue despedido con jsta causa el pasado mes de Octubre de 2005 y solicita indemnización y reintrgro.</t>
  </si>
  <si>
    <t>Fue enviado a los Magistrados de Descongestión el 18-03-2011. Fallo 1a. instancia el 21-07-2009. 4T interrogatorio de partes 28-02-2008 a las 10:00 AM. AUDIENCIA DE CONCILIACION PARA EL PROXIMO 23 DE FEBRERO DE 2007 CON EL REPRESENTANTE LEGAL DEL BANCO.</t>
  </si>
  <si>
    <t>281-2007</t>
  </si>
  <si>
    <t>El ex-funcionario fué desvinculado con justa causa en el año 2005, por cuanto no cumplió con procedimientos y políticas establecidos para la custodia de efectivo, lo cual facilitó el hurto de dinero por un asalto que se llevó a cabo en las instalaciones de la oficina Sociedad Portuaria de Barranquilla</t>
  </si>
  <si>
    <t>2T el 09-05-2008 a las 8:30 AM (Testimonios) 1T Conciliación 28-11-2007 a las 10:30 AM.</t>
  </si>
  <si>
    <t>0143-2009</t>
  </si>
  <si>
    <t>08001310501420090014300</t>
  </si>
  <si>
    <t>El demandante instauró acción en contra del ISS y además del Banco de Colombia donde manifiesta haber laborado en este último desde el 16 de Noviembre de 1971 hasta el día 14 de Junio de 1983, pero que solo fue afiliada por el Banco hasta el día 30 de Octubre de 1972.</t>
  </si>
  <si>
    <t>Se contestó la demanda el día 03 de Noviembre de 2009, y se fijó fecha para la audiencia de juzgamiento para el día 10 de Diciembre de 2009 dentro del marco  de plan piloto de oralidad, la cual fue favorable al Banco en su totalidad.</t>
  </si>
  <si>
    <t>Sergio Elías Sierra Varela</t>
  </si>
  <si>
    <t>377 03</t>
  </si>
  <si>
    <t>13001310500420030037700</t>
  </si>
  <si>
    <t>Firmó un acta de conciliacion para su retiro y dice que estaba viciada</t>
  </si>
  <si>
    <t xml:space="preserve">Se encuentra en Consulta en el Tribunal por no haber apelado el ddante. Fallo 1a. instancia el 13-03-2006.    14 de junio de 2005 3T Interrogatorio de parte  </t>
  </si>
  <si>
    <t>363 40</t>
  </si>
  <si>
    <t>08001310500219990036300</t>
  </si>
  <si>
    <t>Era vigilante de un contratista del Banco</t>
  </si>
  <si>
    <t>831-2005</t>
  </si>
  <si>
    <t>11001310500820050083100</t>
  </si>
  <si>
    <t xml:space="preserve">Fue despedido  JC el  4 de noviembre de 2004 por no haber procesado una consignacion que fue recibida por él y no haber reportado el descuadre por sobrante que debio generarse. </t>
  </si>
  <si>
    <t>Trib. Sup. aprueba liquidación de costas $500.000 el 08-04-2011. Trib. Sup. concede recurso de Casación 30-11-2010. Ddante. presenta recurso de Casación el 08-09-2010. Fallo 2a. instancia el 31-08-2010 a las 4:00 pm. Por auto del 05-06-2009 se corre trasaldo a las partes por 05 días para alegar de conlsuión. Fecha fallo 1a. Instancia el 31-03-2009. 1T el 10-07-2008 a las 10:00 AM.</t>
  </si>
  <si>
    <t>2008-00180</t>
  </si>
  <si>
    <t>Recibió un pago de tarjeta de crédito y no lo ingresó al sistema, y tampoco reportó sobrante en caja</t>
  </si>
  <si>
    <t>Fecha fallo 2a. instancia el 31-10-2011. Fecha fallo 1a. instancia el 29-03-2011 a las 4:30 pm. El 22-06-2011 diligencia programada por el Despacho en la cual aportamos la Convención Colectiva remitida por el Banco e igualmente se allegó la solicitada al Ministerio de la Protección Social, declarando con ello el cierre del debate probatorio. Aud. el 22-02-2011 para declaración testigo del demandado Erickson Saa. Se señaló nueva fecha para esta prueba para el 04-08-2010 a las 3:30 pm. Audiencia 01-06-2010 declaración testigo del ddante. El 23-09-2009 interrogatorio al dte., no hubo. 21-07-2009 testigos del Banco. Pendiente de notificación al demandado y al sindicato.</t>
  </si>
  <si>
    <t>Jesús María Gómez Duque</t>
  </si>
  <si>
    <t>Condena en costas 1a. Instancia $1'700.100. Costas 2a. Instancia $566.700</t>
  </si>
  <si>
    <t>2007-01080</t>
  </si>
  <si>
    <t>05001310501220070108000</t>
  </si>
  <si>
    <t>El exempleado obtuvo una pensión de jubilación con el Banco el 04-02-1992 que se pagó hasta nov./2003, ya que era compartible con la otorgada por el ISS.</t>
  </si>
  <si>
    <t>CSJ acepta desistimiento del recurso 24-01-2012. Ordena traslado al opositor 10-08-2011. Reconoce personería al Dr. José Roberto Herrera V. 30-06-2011. CSJ admite recurso de casación y ordena traslado al recurrente 31-05-2011. Trib. concede recurso de casación 10-02-2011. El 14-01-2011 se interpuso el recurso de Casación. Fecha fallo 2a. instancia el 13-12-2010 a las 4:00 pm. Enviado a Magistrados de Descongestión 24-10-2010. Trib. corre traslado por 05 días para alegatos 09-04-2010. Concede recurso de apelación al ddante. el 28-10-2009. Juzgado 2° de Descongestión fija fallo 1a. instancia para el 09-10-2009 a las 4:00 PM. Enviado al Juzgado 2° de Descongestión quien avoca el conocimiento del proc. a partir del 06-08-2009. Fecha fallo 1a. instancia el 18-01-2010 a las 4:00 PM. solicitada de común acuerdo entre las partes.  Por excusa del ddante. se aplaza nuevamente 1T conciliación para el 14-07-2009 a las 2:30 PM. Aplaza aud. Conciliación para el 23-04-2009 a las 2:30 PM. 1T Conciliación el 18-09-2008 a las 4:00 PM.</t>
  </si>
  <si>
    <t xml:space="preserve">Se efectuó transacción por valor de $195'768.978 más $24’329.897 de indexación. El trib. condenó a pagar un total de $277´804.822 más costas de $8´334.145. Por lo tanto, se incrementa el vr. de la pretensión a $200´ ya que aplicó un IPC que no corresponde y no tuvo en cuenta el vr. pagado por el ISS (Pensión compartida). </t>
  </si>
  <si>
    <t>103-211</t>
  </si>
  <si>
    <t>11001310501320110010300</t>
  </si>
  <si>
    <t>El ddado. es empleado activo del Banco y miembro de la Junta Directiva Seccional Bogotá de SINTRAENFI, y el 16-12-2010 en desarrollo de sus funciones como supernumerario cajero en la oficina Av. Caracas se evidenció que tenía dos billetes de 50 mil falsos y los manipuló durante varias transacciones que recibió de clientes, para finalmente devolvérselos a uno de ellos que trajo un pago de impuestos en billetes de 50 mil, teniendo el Banco que responder al cliente por esta suma.</t>
  </si>
  <si>
    <t>775 - 2000</t>
  </si>
  <si>
    <t>11001310501920000077500</t>
  </si>
  <si>
    <t>No informó la pérdida de un cheque por 24mm del banco anglo</t>
  </si>
  <si>
    <t xml:space="preserve">A Despacho para fallo desde el 27-01-2009. Demanda de casacion presentada por el  Bacno el 04-11-2008. Tribunal concede recurso de Casación al demandado el 27-05-2008. Nueva fecha fallo 2a instancia 18-04-2008 a las 3:00 PM. Fecha fallo 2a instancia el 31-03-2008 a las 3:00 PM. pendiente apelación del Banco. El día 17 de febrero de 2006 se profirió fallo en primera instancia, condenatorio para la demandada. En trámite en segunda instancia por apelación del apoderado de la demandada.
</t>
  </si>
  <si>
    <t>Vr. Condena $44'269.713 mas indexación. Costas 1a. Instancia $4'5, 2a. Instancia $2'. Costas Casación $5'5</t>
  </si>
  <si>
    <t>0627-2007</t>
  </si>
  <si>
    <t>11001310501120070062700</t>
  </si>
  <si>
    <t xml:space="preserve">Fue despedida el 1 de julio de 2004 por haber facilitado claves para el  cargue del  cajero electronico, lo que permitió un descuadre de 20 mm (caso carlos julio lopez) </t>
  </si>
  <si>
    <t>Fallo 2a. instancia el 30-11-2011 a las 4:00 pm. A Despacho el 03-11-2009 para fijar fecha para fallo. Trib. corre traslado por cinco días para alegatos de conclusión 23-10-2009. Concede apelación a la ddante. 08-10-2009. Nueva fecha fallo 18-09-2009. Fallo 1a. instancia el 28-08-2009 a las 5:00 pm. 4T el 03-08-2009 testigo. 3T el 09-03-2009. 2T Interrogatorio de partes el 10-11-2008. 2T Interrogatorio de partes el 22-09-2008 a las 10:15 AM (aplazada por paro Jcial.). Enviado a Juzgados de Descongestión (7°). 1T Conciliación el 12-02-2008 a las 8:30 AM. pendiente contestacion de la demanda.  Aviso de citacion llego el  12 de agosto</t>
  </si>
  <si>
    <t>esta relacionado con el proceso de CARLOS JULIO LOPEZ LUQUE</t>
  </si>
  <si>
    <t>334-2008</t>
  </si>
  <si>
    <t>63001310500320080033400</t>
  </si>
  <si>
    <t>El 10-02-2012- aprueba liquidación de costas. El 02-02-2012 traslado de liquidación de costas. El 31-01-2012 liquidan costas por $535.600. Aplazado fallo 2a. instancia 04-11-2011. Fallo 2a. instancia el 04-11-2011 a las 10:30 am. Última etapa alegatos de conclusión 13-06-2011. Trib. corre traslado por 05 días para alegatos de conclusión 12-04-2010. Fija fecha fallo 1a. instancia el 01-03-2010 a las 5:30 pm. 4T el 03-11-2009 a las 9:00 AM testigos. Nueva fecha 1T el 09-02-2009 a las 10:30 am. 1T Conciliación el 01-12-2008.</t>
  </si>
  <si>
    <t>Jesús María Gutiérrez Polanía</t>
  </si>
  <si>
    <t>Vr. Condena $29´060.284,43. Costas 2a. Instancia $535.600. Costas 1a. Instancia $4'359.000.</t>
  </si>
  <si>
    <t>2007-0103</t>
  </si>
  <si>
    <t>76001310501020070010300</t>
  </si>
  <si>
    <t>Desconoció el procedimiento para la expedición de cheques de Gerencia, expidiendo un cheque por $17.482.800.oo sin confirmación telefónica alguna del cliente.</t>
  </si>
  <si>
    <t>Cúmplase lo resuelto por el Superior y traslado liquidación de costas 07-02-2012. Fallo 2a. instancia 30-11-2011 a las 4:30 pm. Trib. corre traslado a las partes por 05 días para alegatos de conclusión 30-05-2011. Fallo 1a. instancia el 29-04-2011 a las 4:30 pm. Avoca el conocimiento el Juez 30 Laboral Adjunto el 18-03-2011. Enviado al Juez Adjunto el 13-03-2011. Fecha fallo 1a. instancia el 28-07-2011 a las 4:00 pm. Enviado a Juez Adjunto el 13-05-2010. Fecha fallo 1a. instancia el 19-10-2010. Inspección Judicial el 20-01-2010. Continuación 4T el 24-09-2009 a las 2:00 pm. 4T interrogatorio de partes 02-07-2009 a las 2:00 PM. 3T 24-03-2009 testigos. 2T Interrogatorio al ddado. y testimonio- el 24-03-2009. 1T Conciliación el 29-10-2007.</t>
  </si>
  <si>
    <t>2008-776</t>
  </si>
  <si>
    <t>11001310500220080077600</t>
  </si>
  <si>
    <t>El ddante. laboró más de 20 años y le fue reconocida una pensión de jubilación el 01-09-1977. Solicita la indexación de la primera mesada.</t>
  </si>
  <si>
    <t>Fallo 2a. instancia el 30-06-2011. Desde el 29-06-2010 está a Despacho para señalar fecha fallo 2a. instancia. En el fallo se declaró probada la excepción de prescripción, pero se tuvo como pensionado del Banco al ddte. por documentos de correccion del nombre y de respuesta al señor suministrados por el Banco. Se señaló el 08-03-2010 a las 9 am para respuesta a oficios. Aud. recibir respuesta oficios 09-12-2009. 1T Conciliación el 15-04-2009 a las 8:30 AM.</t>
  </si>
  <si>
    <t>Martha Isabel Villabona</t>
  </si>
  <si>
    <t>2</t>
  </si>
  <si>
    <t>2006-00180</t>
  </si>
  <si>
    <t>50001310500220060018000</t>
  </si>
  <si>
    <t>Solicita al ISS y al  Banco la pensión de vejez</t>
  </si>
  <si>
    <t>Nueva fecha fallo 2a. instancia el 22-09-2011 a las 5:00 pm. Nueva fecha fallo 2a. instancia el 09-06-2011 a las 10:00 am. (Aplazada). Nueva fecha fallo 2a. instancia el 07-02-2011 a las 4:30 pm. Nueva fecha fallo 2a. instancia el 05-10-2010, MP Alberto Romero Romero. Trib. señaló el 15-07-2010 a las 4:00 pm para fallo 2a. instancia. Finalmente el Consejo dispuso que el proceso era de competencia de la justicia ordinaria laboral y envio el proceso al juzgado de conocimiento y como allí ya se había proferido sentencia el expediente fue enviado al Tribunal superior. Fue repartido al juzgado 7° Administrativo de Villavicencio y dicho despacho envió el expediente el 15-10-2009 al Consejo Superior de la Judicatura para que dirima el conflicto de competencia. Se declaró la nulidad de lo actuado por considerar que corresponde a la justicia administrativa. Fecha para fallo 2a. instancia el 05-05-2009. El 09-02-2009 fue repartido al Magistrado Alberto Romero. El 19-12-2008 concede apelación. Pendiente apelación demandante. Audiencia para fallo 23-11-2007 a las 3:00 PM. 30 de abril de 2.007 audiencia para exhibir documentos.  20 marzo de 2007 audiencia de conciliacion,  niegan ecepcion previa de pleito pendiente propuesta por el  banco,  se apela esta decision. demanda contestada 29-11-2006</t>
  </si>
  <si>
    <t>22-09-2011</t>
  </si>
  <si>
    <t>7,5</t>
  </si>
  <si>
    <t>Condenó al ISS a pagar la pensión de vejez. Absolvió al Banco.</t>
  </si>
  <si>
    <t>547-2007</t>
  </si>
  <si>
    <t>08001310500420070054700</t>
  </si>
  <si>
    <t>Desvinculada CJC debido a que pagó una mesada pensional sin el respectivo volante de pago y además en un día diferente al que realmente le tocaba.</t>
  </si>
  <si>
    <t>Nueva fecha de fallo 2a. instancia el 30-11-2011 a las 5:00 pm. Fallo 2a. instancia el 28-10-2011 a las 5:00 pm. Enviado a la Sala de origen 05-08-2011. Enviado a Magistrados de Descongestión 24-03-2011. Trib. corre traslado por cinco días para alegatos de conclusión 05-08-2010. Nueva fecha fallo 1a. instancia el 26-04-2010 a las 5:00 pm. Fija fecha fallo 1a. instancia el 08-02-2010 a las 5:00 pm. Continuación 4T el 17-11-2009 a las 10:00 AM. Continuación 4T interrogatorio de partes 15-09-2009 a las 9:00 am. 4T el 07-07-2009 a las 9:00 AM Testigo. Continuación 3T el 22-04-2009. 3T el 22-01-2009 testimonios. Continuación 2T el 25-11-2008 (Testigos). 2T el 20-08-2008 a las 9:00 AM (Testigos). 1T Conciliación el 29-04-2008.</t>
  </si>
  <si>
    <t>Fredy Alexander Villa</t>
  </si>
  <si>
    <t>2009-318</t>
  </si>
  <si>
    <t>76001310500720090031800</t>
  </si>
  <si>
    <t>La ddte. es sustituta pensional del señor Alfonso Restrepo Patiño a quien el Banco le concedió el 1° de julio de 1971 una pensión de jubialicón y solicita la requidación de la pensión de sustitucón con base en el IPC.</t>
  </si>
  <si>
    <t xml:space="preserve">Fecha fallo 2a. Instancia el 27-04-2011. Fecha fallo 1a. Instancia el 30-11-2010. Inspección Judicial el 24-08-2010. 1T Conciliación el 15-02-2010 a las 2:00 pm </t>
  </si>
  <si>
    <t>032-2010</t>
  </si>
  <si>
    <t>63001310500420100003200</t>
  </si>
  <si>
    <t>Laboró de 1964 a 1995 y reclama la pensión del art 53 del RIT</t>
  </si>
  <si>
    <t>Fecha fallo 2a. Instancia el 12-10-2011. Fecha fallo 1a. instancia el 04-10-2010. Pendiente 1T. El 05-04-2010 se contestó demanda. El 11-03-2010 llegó aviso y se enviaron documentos al Abogado.</t>
  </si>
  <si>
    <t>584-2010</t>
  </si>
  <si>
    <t>17001310500220100058400</t>
  </si>
  <si>
    <t>Laboró del 22 de septiembre de 1966 al 16 de noviembre de 1988 en Rio Sucio  - Caldas lugar donde la cobertura del ISS para los riegos de IVM comenzó el 1 de junio de 1971, razón por la cual antes de esa fecha no se pudieron hacer aportes al ISS para vejez y por ello solicita el reconocimiento de la pensión de jubialicón  consagrada en el art 260 del CST.</t>
  </si>
  <si>
    <t xml:space="preserve">El fallo de segunda instancia favorable a Bancolombia; en espera que se devuelva al Juzgado de origen. Se señaló el 19-09-2011 para fallo de 2a. instancia. Fecha fallo 1a. instancia el 08-04-2011. Pendiente 1T. el 12-10-2010 se contestó la demanda. El 24-09-2010 llegó citatorio para notificación. </t>
  </si>
  <si>
    <t>2006-0383</t>
  </si>
  <si>
    <t>05001310501420060038300</t>
  </si>
  <si>
    <t>INDEMNIZACIÓN ENF. PROFESIONAL</t>
  </si>
  <si>
    <t>Despedida SJC; dice haberse enfermado por cuenta de sus funciones en el Banco</t>
  </si>
  <si>
    <t>Enviado a Magistrados de Descongestión el 28-10-2011. Juzgado 2° Adjunto al 14 Laboral fija fecha fallo 1a. instancia el 25-04-2011 a las 4:30 pm. Aplaza fallo para el 14-12-2010 a las 4:30 pm. Nueva fecha fallo 1a. instancia el 03-12-2010 a las 4:30 pm. Fallo 1a. instancia el 14-02-2011 a las 4:30 pm. Juzgado de Descongestión resuelve enviar expediente a Junta Regional de Calificación de Invalidez 04-03-2009. Fecha fallo 1a. instancia el 10-03-2009 a las 4:00 PM. Juzgado de Descongestión resuelve enviar a Junta Regional de Calificación de Invalidez 03-07-2008. Aplazada 4T para el 04-06-2008 a las 2:30 PM (3 testigos). 4T el 14-05-2008  a la 1:30 PM. (3 testigos del Banco). Aplazada 3T para el 23-04-2008 a las 10:30 AM (2 testigos del Banco). (Enviado al Juzgado 4° de descongestión). 3 T el 18-02-2008 a las 2:00 PM (Testigos). 2T Interrogatorio partes 01-08-2007 a las 8:30 AM. 1T 22 de Marzo del 2007 alas 3:00 p.m.</t>
  </si>
  <si>
    <t>195-2008</t>
  </si>
  <si>
    <t>05001310500420080019500</t>
  </si>
  <si>
    <t>La ddante. fue despedida CJC por solicitar dineros prestados de la caja a la cajera ppal. aprovechando su cargo de Directora de Servicio.</t>
  </si>
  <si>
    <t>Fallo 2a. instancia el 19-12-2011 a las 4:00 pm (Aplazada). Enviado a los Magistrados de Descongestión el 30-09-2011. Ordena traslado por 05 días para alegatos de conclusión el 21-09-2011. Concede recurso de apelación a la ddante. el 11-08-2010. Fecha fallo 1a. instancia el 30-06-2010 a las 4:30 pm. Fija fecha 4T el 10-06-2010 a las 2:30 pm. Enviado al Juzgado 2° Laboral Adjunto el 04-05-2010. 4T el 10-06-2010 a las 2:30 pm testigos. 3T testigos el 24-02-2009 a las 2:00 PM. 2T interrogatorio de partes el 24-08-2009 a las 8:30 AM. 1T conciliación el 13-04-2009 a las 10:30 am.</t>
  </si>
  <si>
    <t>Jaime Humberto Salazar Botero</t>
  </si>
  <si>
    <t>2009-00970</t>
  </si>
  <si>
    <t>05001310501720090097000</t>
  </si>
  <si>
    <t>RETROACTIVO PENSIONAL DEL ISS</t>
  </si>
  <si>
    <t xml:space="preserve">A la exempleada el Banco le concedió una prejubilación, y en la transacción se pactó que retroactivo que le reconocera el ISS le fuera pagado al Banco. </t>
  </si>
  <si>
    <t>Feca fallo 2a. instancia el 25-08-2011 a las 10:00 am. Trib. corre traslado por 05 días para alegatos de conclusión el 19-05-2010. Admite recurso de apelación presentado por el ddante. el 03-05-2010. El Juzgado declaró probada la excepción de prescripción y ordenó el archivo del expediente. 1T Conciliación el 20-04-2010 a las 9:00 am.</t>
  </si>
  <si>
    <t>Dino Alfredo Samper Cortés</t>
  </si>
  <si>
    <t>123-2010</t>
  </si>
  <si>
    <t>11001310501520100012300</t>
  </si>
  <si>
    <t>La ddte. fue despedida con justa causa porque autorizó unas tarjetas de crédito por planilla sin tener atribuciones para ello y dejo olvidadas estas planillas en un salón de belleza las cuales la Directora de Servicio de la Oficina Centro Metropolitano tuvo que ir a buscar.</t>
  </si>
  <si>
    <t>Fallo 2a. instancia el 31-05-2011. Fecha fallo 1a. instancia el 30-11-2010. 3T el 10-11-2010 a las 8:30 am para evacuar testigos de la demandante y del Banco. 2T Interrogatorio de partes el 22-09-2010 a las 9:30 am y los dos testigos del demandante. 1T Conciliación el 18-08-2010. El 18-05-2010 se contestó la demanda. El 22-04-2010 llegó citatorio para notificación, se enviaron documentos al Abogado</t>
  </si>
  <si>
    <t>861-2007</t>
  </si>
  <si>
    <t>11001310501420070086100</t>
  </si>
  <si>
    <t>Despedida por pagar un cheque cuyo original  lo tenia el  cliente y  al cerrar la caja no reportar el  descuadre.</t>
  </si>
  <si>
    <t>El 02-11-2010 liquidaron costas a cargo de la parte demandate por $515,000. Enviado al Tribunal el 02-12-2009 admite consulta. El 04-11-2009 entró al despacho sin recurso de apelación. Fallo de 1a. instancia el 30-10-2009 a las 3:00 pm. 3T el 08-10-2009 testigos (como no asistieron se declaró precluída la oportunidad). El 26-08-2009 respuesta a oficios. 2T Interrogatorio de parte al ddado. y testigos el 02-04-2009 a las 8:30 AM. 1T Conciliación el 23-02-2009 a las 10:30 am. Notificada el 28-10-2008.</t>
  </si>
  <si>
    <t>3 Mpal.</t>
  </si>
  <si>
    <t>2011-00043</t>
  </si>
  <si>
    <t>05001310400320110004300</t>
  </si>
  <si>
    <t>La ddante. fue despedida cjc por bajo desempeño, por la actitud que ha asumido frente al trabajo en equipo y las campañas del Banco y por no haber presentado los soportes de un crédito otorgado.</t>
  </si>
  <si>
    <t>Se concilió en $3´5</t>
  </si>
  <si>
    <t>2010-00539</t>
  </si>
  <si>
    <t>La empleada no reportó descuadre en caja y se compensó dinero con otra Cajera nueva sin autorización.</t>
  </si>
  <si>
    <t>Tulua</t>
  </si>
  <si>
    <t>2008-00517</t>
  </si>
  <si>
    <t>47001310500220080051700</t>
  </si>
  <si>
    <t>El funcionario laboraba en el Enlace Operativo de la ciudad de Santa Marta y fue desvinculado con justa causa producto de la mala visación de unos cheques que fueron denunciados por un cliente de esa ciudad.</t>
  </si>
  <si>
    <t>Fecha fallo  2a. instancia el 05-10-2011. Fecha fallo 1a. instancia el 25-01-2011. Aud. despacho comisorio el 28-09-2009 en el Juzgado 7° Lab. Medellín. Se enviaron despachos comisorios a Medellín y Bogotá con el objeto de que se radiquen y así puedan practicarse las pruebas solicitadas por las partes. 3T el 02-06-2009 testigo ddado. 2T el 28-04-2009 Interrogatorio ddado. 1T Conciliación el 26-02-2009.</t>
  </si>
  <si>
    <t>Fabio Delgado Motoa</t>
  </si>
  <si>
    <t>Condenó solo a la sanción moratoria por vr. de $534.300 y agencias en derecho $133.574</t>
  </si>
  <si>
    <t>2008-00131</t>
  </si>
  <si>
    <t xml:space="preserve">Se tomó (2) seguros y los grabó con su usuario y no eran de él </t>
  </si>
  <si>
    <t xml:space="preserve">Nueva fecha fallo 2a. instancia el 27-01-2012. Fecha fallo 2a. instancia el 10-11-2011 a las 10:00 am. Enviado al Tribunal Superior de Cali a Magistrados de Descongestión el 27-07-2011. Se presentaron alegatos de conclusión el 12-10-2010. fecha fallo 1a. Instancia el 28-06-2010. Se ha señalado para el 13 Julio-09 fecha y hora para prueba testimonial por parte dda </t>
  </si>
  <si>
    <t>Vr. condena 1a. instancia por $15'305.022,14. Modificó la condena a $11' más la indexación. Costas 1a. instancia $1'300.000</t>
  </si>
  <si>
    <t>155-05</t>
  </si>
  <si>
    <t>11001310501920050015500</t>
  </si>
  <si>
    <t>Fue despedido con justa causa en septiembre de 2003 por no haber reailzado correctamente el cuadre de su caja,  facilitando fraude en sucursal por 130 mm</t>
  </si>
  <si>
    <t>Fecha fallo 2a. instancia el 18-01-2012 a las 3:00 pm. Trib. Sup. corre traslado para alegatos de conclusión 20-01-2010. Se envio despacho comisorio a la Dorada Juzg. 2° Civil del Cto. y fijó el 24-09-2009 a las 9:00 am para testimonio de Jaime Bautista. Fija aud. respuesta oficios el 10-06-2009. Enviado a Juzgados de descongestión el 31-01-2008. Continuación 4T el 08-04-2008 testigos. 4T el 29-11-2007 testigos ddante. Continuación 3T el 22-08-2007 testigtos ddante. 3T el 16-05-2007 a las 10:00 am. Continuación 2T interrogatorios el 27-04-2006 a las 10:00 am. 2T Interrogatorio ambas partes el 07-03-2006 a las 10:00 a.m. 1T Conciliación 18-10-2005 a las 9:00 am. Demanda contestada el 08-06-2005</t>
  </si>
  <si>
    <t xml:space="preserve">Jon Jairo Alayon Fajardo </t>
  </si>
  <si>
    <t>1065-2007</t>
  </si>
  <si>
    <t>11001310500620070106500</t>
  </si>
  <si>
    <t xml:space="preserve">Por graves y irregualridades en el desarrollo de sus funciones el banco procedio a la terminacion unilaterar y con justa causa del contrato de trabajador </t>
  </si>
  <si>
    <t>Nueva fecha fallo 2a. instancia el 19-01-2012 a las 3:00 pm. Fallo 2a. instancia el 15-12-2011 a las 3:00 pm. Corre traslado a las partes por 05 días para alegatos de conclusión 10-02-2011. Envía expediente al Trib. para el grado de Consulta 02-02-2011. Juzgado declara desierto el recurso interpuesto por el ddante. por no haberlo sustentado (Señala agencias en derecho) 19-01-2011. Nueva fecha fallo 1a. instancia el 30-11-2010 a las 4:00 pm. Fecha fallo 1a. instancia el 12-11-2010 a las 4:00 pm. Nueva fecha continuación aud. respuesta Oficios el 24-08-2010 a las 2:30 pm. Continuación aud. respuesta Oficios el 26-07-2010 a las 11:00 am. 4T el 23-06-2010 a las 11:00 am. 3T el 02-10-2009 testimonios. Nueva fecha 2T interrogatorio de partes el 14-09-2009 a las 8:15 am. 2T interrogatorio de partes el 25-08-2009 a las 8:15 am. 1T Conciliación el 08-07-2009. El 08-06-2009 tiene por contestada la demanda. El 24-04-2009 se notifica la demanda</t>
  </si>
  <si>
    <t xml:space="preserve">Martha Cecilia Castro Muñoz </t>
  </si>
  <si>
    <t>2008-0217</t>
  </si>
  <si>
    <t>76001310500520080021700</t>
  </si>
  <si>
    <t>Fue despedido sjc y se indemnizó de acuerdo con la Ley 789/2002, solicita la reliquidación de acuerdo con el art. 6° de la Ley 50/1990.</t>
  </si>
  <si>
    <t>Vr. condena $7´499.084. Costas 1a. instancia $566.700.</t>
  </si>
  <si>
    <t>550-2010</t>
  </si>
  <si>
    <t>76001310501520100055000</t>
  </si>
  <si>
    <t>Desvincualdo con justa casa por omisón de procedimientos en caja, cuadre diario de efectivo con pérdida de $7 millones de pesos.</t>
  </si>
  <si>
    <t>Fallo 2a. instancia el 02-03-2012 a las 9:15 am. Enviado a Magistrados de Descongestión el 29-07-2011. Pendiente fecha fallo segunda instancia. Se presentó apelacion. El 22-11-2010 fue fallado desfavorable al Banco. El 30-08-2010 llegó citatorio para notificación; enviado a Cali por correo el 06-09-2010.</t>
  </si>
  <si>
    <t>Vr. Condena $40'934.246 más indexación. Costas $4'.</t>
  </si>
  <si>
    <t>Buga</t>
  </si>
  <si>
    <t>068-2009</t>
  </si>
  <si>
    <t>Fue despedido con justa causa por haber facilitado el trámite de tarjetas de crédito de travel, red a la cual el estaba afiliado y recibía comisiones. Varias de estas tarjetas entraron en mora, los clientes reclamaron al Banco acusando a la entidad de participar en su defraudación</t>
  </si>
  <si>
    <t>El 11-04-2012 aprueba liquidación de costas. El 10-04-2012 entra al Despacho con liquidación en costas. Fecha fallo 2a. instancia el 23-02-2012, confirma fallo de primera instancia condena en costas al recurrente y fija agencias en derecho de $283.350. El 07-07-2011 admite recurso. Remitido el 29-06-2011 al Tribunal Superior de Yopal en apelación del demandante. Fecha fallo de 1a. instancia el 11-05-2011. 3T el 12-04-2011 a las 2:00 pm para testimonio de Patricia Espinosa. Pendiente que el Tribunal resuelva recurso contra providencia que negó las inspección judicial al Banco. 1T interrogatorio y testimonios del Banco el 27-08-2010 a las 9:00 am. El 21-10-2009 se enviaron los documentos a Jose Roberto. El 30-09-2009 llegó citatorio</t>
  </si>
  <si>
    <t>Diego Palomino Bueno</t>
  </si>
  <si>
    <t>La mesa</t>
  </si>
  <si>
    <t>2008-00048</t>
  </si>
  <si>
    <t>Fue despedido con justa causa por incumplimiento de las obligaciones establecidas en RIT</t>
  </si>
  <si>
    <t>Fallo 2a. instancia el 30-04-2012 a las 2:30 pm. Enviado a los Magistrados de Descongestión del Trib. Sup. de Cali el 13-01-2012. Por auto del 15-06-2011 concede apelación interpuesto por el Banco y niega el del actor por falta de sustentación. Fecha fallo 1a. instancia el 01-04-2011. 4T Interrogatorio de partes el 10-08-2010. Continuación 3T el 23-03-2010 testigos del ddte. 3T el 29-09-2009 testigos del dte. y respuesta a oficio. 2T el 24-06-09 a las 3:00 PM testigos  y pendiente contestación de Oficio Bancolombia. 1T Conciliación el 27-01-2009</t>
  </si>
  <si>
    <t>Vr. condena indemnización $24'. Costas 1a. instancia $4'460.720. Costas 2a. instancia $600.000</t>
  </si>
  <si>
    <t>325-2010</t>
  </si>
  <si>
    <t>La demandante fue desvinculda con justa causa por unas irregularidades en el otorgamiento de unos créditos por parte de dicha Señora en beneficio final de su esposo.</t>
  </si>
  <si>
    <t>Conciliado en $138'071.879</t>
  </si>
  <si>
    <t>2008-00354</t>
  </si>
  <si>
    <t>47001310500120080035400</t>
  </si>
  <si>
    <t>Fecha fallo 1a. instancia el 09-11-2011. Aud. despacho comisorio 22-09-2009 en el Juzgado 6° Lab. Medellín. 2T Interrogatorio de parte demandante el 07-07-2009 .1T Conciliación el 27-04-2009.</t>
  </si>
  <si>
    <t>Condenó a pagar indemnización moratoria por $563.982</t>
  </si>
  <si>
    <t>278-2007</t>
  </si>
  <si>
    <t>73001310500520070027800</t>
  </si>
  <si>
    <t>Al ddante. el Banco le reconoció la pensión en 1994 con retroactividad a 1993, y por 1 smmlv</t>
  </si>
  <si>
    <t>Fallo 2a. instancia el 15-05-2012 a las 5:00 pm. Enviado a los Magistrados de Descongestión al Trib. Sup. Bogotá el 11-01-2012. Corre traslado a las partes para alegatos de conclusión 26-10-2011. Concede recurso de apelación 01-09-2011. Nueva fecha fallo 1a. instancia el 10-08-2011 a las 5:00 pm. Fallo 1a. instancia el 29-07-2011 a las 5:00 pm. Auto del 29-09-2010 ordena requerir al Gerente de Bancolombia e incorpora documentos allegados. Auto ordena desglose de documentos 05-04-2010. Suspende fallo y decreta práctica de prueba de oficio 23-09-2009. Nueva fecha fallo 1a. Instancia el 21-09-2009. Nueva fecha fallo 1a. Instancia el 23-07-2009 a las 5:00 pm. Fija fecha aud. Juzgamiento para el 05-05-2009.Nueva fecha 1T el 19-05-2008. 1T Conciliación el 13-03-2008</t>
  </si>
  <si>
    <t>Juzgado declaró probrada excepción de cosa juzgada</t>
  </si>
  <si>
    <t>Al ddante. el Banco le reconoció la pensión en 1996 por 1 smmlv</t>
  </si>
  <si>
    <t>El 21-11-2012 se pagó saldo de condena a indexación. El 14-11-2012 deja sin efecto la liquidación de agencias hecha en sentencia del 10-08-2012 y fija unas nuevas. Corre traslado a las partes para alegatos de conclusión 26-10-2011. Concede recurso de apelación 01-09-2011. Nueva fecha fallo 1a. instancia el 10-08-2011 a las 5:00 pm. Fallo 1a. instancia el 29-07-2011 a las 5:00 pm. Auto ordena desglose de documentos 05-04-2010. Suspende fallo y decreta práctica de prueba de oficio 23-09-2009. Nueva fecha fallo 1a. Instancia el 21-09-2009. Nueva fecha fallo 1a. Instancia el 23-07-2009 a las 5:00 pm. Fija fecha aud. Juzgamiento para el 05-05-2009.Nueva fecha 1T el 19-05-2008. 1T Conciliación el 13-03-2008</t>
  </si>
  <si>
    <t xml:space="preserve">Luz Claudia Correa González </t>
  </si>
  <si>
    <t>Condena a la idexación de la primera mesada; declara prescripción de las mesadas del 14-09-2004 hacia atrás.</t>
  </si>
  <si>
    <t>2009 - 0158</t>
  </si>
  <si>
    <t>El ex empleado fue despedido con justa causa y reclama la indemnización por despido injusto.</t>
  </si>
  <si>
    <t>27-11-2012 aprobada liquidación. Por auto del 13-11-2012 se liquidaron las costas en 1a. instancia por valor de $7.860.460, siendo el 70% la suma de $6.046.922. El 19-09-2012 se pago condena principal y costas de 2a. instancia, pendientes las de 1a. Corrección stcia. 2a. instancia el 20-06-2012. Fecha fallo 2a. instancia el 31-12-2012. Fecha fallo 1a. instancia el 08-06-2011. El 12-10-2010 el perito llevó aclaración del dictamen. 2T el 04-03-2010 a las 8:30 interrogatorio a la representante legal del Banco y  testigos de la parte demandante y a las 2.30 se escuchara a los testigos de la empresa. 1T Conciliación 30-11-2009 a las 10:30. El 7 de julio de 2009 llegó citatorio a la oficina de Dosquebardas, ya se neviaron documentos a Jose Roberto para que apoye con abogado en Risaralda</t>
  </si>
  <si>
    <t>Vr. condena $52'403.069,47, Agencias en Derecho 2a. Instancia $918.014,10. Costas 1a. Instancia $6'046.922</t>
  </si>
  <si>
    <t>2007-01215</t>
  </si>
  <si>
    <t>05001310501320070121500</t>
  </si>
  <si>
    <t>Enviado a los Magistrados de Descongestión el 28-04-2011. Trib. corre traslado por 05 días para alegatos el 02-03-2011. El 19-08-2010 Juzgado declara desierto recurso de apelación interpuesto por la ddante. y envía el exp. en consulta al Trib. Fallo 1a. instancia el 30-07-2010. 3T el 16-06-2010 a las 10:30 am testigos. Nueva fecha 1T Interrogatorio de partes el 05-02-2010 a las 8:30 am. Avoca nuevamente el conocimiento el Juzgado de origen el 21-08-2009. Nueva fecha 1T Conciliación 29-07-2009 a las 8:30 AM. Fija nueva fecha 1T el 18-06-2009 a las 2:00 PM. Envía a Juzgado 13 Laboral Adjunto el 17-04-2009. Fija nueva fecha 1T Conciliación el 17-04-2009 a las 4:00 PM (Decreta nulidad de esta audiencia por falta de notificación). 1T Conciliación el 18-09-2008 a las 11:00 AM. (Aplazada por paro jcial.)</t>
  </si>
  <si>
    <t>227/2009</t>
  </si>
  <si>
    <t>11001310501220090022700</t>
  </si>
  <si>
    <t>Despedido con justa causa el 04-06-2006. Alega que el despido fue injusto y reclama la indemnización. El demandante fue desvinculado por incumplir sus obligaciones contractuales pues en varias oportunidades se le encontró durmiendo en la oficina y en horario laboral, incluso con rastros de haber ingerido licor y trasnochado el día anterior.</t>
  </si>
  <si>
    <t>Corre traslado a las partes por 05 días para alegatos 21-07-2011. Fallo 1a. instancia el 30-05-2011. Continuación 4T el 29-11-2010 a las 11:30 am testigo pendiente del Banco. 4T el 14-09-2010 a las 8:30 am testimonios. Nueva 3T el 25-08-2010 a las 8:30 am testigos del Banco. 3T el 29-07-2010 a las 8:30 am testigos del Banco (Aplazada). 2T Interrogatorio de partes el 28-06-2010 a las 8:30 am. 1T Conciliación el 25-05-2010 a las 9:30 am. Se contestó la dda. el 06-10-2009</t>
  </si>
  <si>
    <t>Hernán González Salazar</t>
  </si>
  <si>
    <t>810-2009</t>
  </si>
  <si>
    <t>17001310500320090081000</t>
  </si>
  <si>
    <t>La ddte. fue despedida por haber recibido dos pagos de impuestos y uno de ellos haberlo procesado 21 días después de recibido y otro haberlo procesado en cero, lo que ocasionó reclamaciones de los clientes al Banco y perjuicios a los mismos por el no pago y pago extemporáneo.</t>
  </si>
  <si>
    <t>EL 29-07-2011 en la sentencia de 1a. instancia el juzgado tercero adjunto se declaró inhibido porque dio por desmostrada la excepción de indebida acumulación de pretensiones. El 30-06-2011 Testigo Banco 8:30 a.m: JOSE HUMBERTO TRUJILLO TRUJILLO, ADRIANA LONDOÑO JARAMILLO, JAIRO GERARDO SANTACRUZ OSPINA.      2:00 p.m. Inspección judicial en el Banco. El 07-02-2011 a las 9:00 am testigos ddte. y ddo. 02-02-2011 9:00 am y 2:00 pm interrogatorios. El 21-04-2010 se contestó la demanda. El 10-03-2010 llegó aviso pero sin demanda y se enviaron documentos a la Dra. Maria Clara Buitrago.</t>
  </si>
  <si>
    <t>Terminado por fallo inhibitorio</t>
  </si>
  <si>
    <t>2011-786</t>
  </si>
  <si>
    <t>11001310501120110078600</t>
  </si>
  <si>
    <t>El ddte. es directivo sindical de sintraenfi y ha tenido muchos errores operativos, descuadres, inconsistencias con consecuencias económicas desfavorables para el Banco.</t>
  </si>
  <si>
    <t>Conciliado en $23'</t>
  </si>
  <si>
    <t>702-2011</t>
  </si>
  <si>
    <t>11001310502920110070200</t>
  </si>
  <si>
    <t>El ddte. labó al servicio del Banco de Colombia en el Líbano Tolima de 1974 a 1986 época en la que no había cobertura del ISS en ese municipio, pero a pesar de ello el Banco le cotizó gran parte de su vida laboral quedando solo un vacío de 3 años y 7 meses.</t>
  </si>
  <si>
    <t>Nueva fecha 1T Conciliación el 08-08-2012; se declaró la excepción de cosa juzgada. 1T Conciliación el 10-05-2012 a las 9:00 am (Aplazada). Contestada el 07-03-2012. El 01-03-2012 se notificó la demanda. El 07-02-2012 llegó citatorio y el 14 se envían documentos al Abogado.</t>
  </si>
  <si>
    <t>Terminado por prueba de la excepción de cosa juzgada</t>
  </si>
  <si>
    <t>405-2005</t>
  </si>
  <si>
    <t>63001310500120050040500</t>
  </si>
  <si>
    <t>Un Plan Semilla de Fiducolombia No. 0069000000114; en un Volante de Operaciones se consigno la suma de $100.000.00 para el encargo Fiduciario, la cual fue recibida y sellada con el sello del Banco por el empleado el día 4 de Agosto de  2003 y la cual figura con un abono en dicha cuenta por valor de $50.000</t>
  </si>
  <si>
    <t>Fallo 1a. instancia el 18-12-2008. 3T el 11-07-2008 Testigos. 3T el 07-07-2008 testigos (Aplazada). 2T el 03-12-2007 (testigo Banco). Martes 15 de agosto / Hora: 2:00PM 2° Audiencia / Rdo: 405-2005 Juzgado 1° Laboral del Circuito de Armenia - Interrogatorio de parte - Asistencia del Representante Legal de Bancolombia</t>
  </si>
  <si>
    <t>Hember Baños Morales</t>
  </si>
  <si>
    <t>El apoderado del Banco no informó la fecha del fallo de 2a. instancia.</t>
  </si>
  <si>
    <t>330-2006</t>
  </si>
  <si>
    <t>13001310500420060033000</t>
  </si>
  <si>
    <t>Resultado incierto, probabilidad de fallo adverso latente</t>
  </si>
  <si>
    <t>Supernumerario despedido con jc el 05-10-2005 por haber cometido errores en procedimientos  los cuales causaron deterioro patrimonial al Banco.</t>
  </si>
  <si>
    <t>Fija fecha fallo 2a. Instancia el 26-05-2010. 1a Aud. Conciliación el 14-05-2007 a las 8:30 AM.</t>
  </si>
  <si>
    <t>2011-00996</t>
  </si>
  <si>
    <t>05001310501220110099600</t>
  </si>
  <si>
    <t xml:space="preserve">El ddante. fue despedido cjc por haber solicitado a la Gte. de otra Sucursal el desbloqueo de un giro de U$10.000 a nombre de un tercero y dicho dinero luego apareció abonado a su cuenta de ahorros. </t>
  </si>
  <si>
    <t>Conciliado en $65'. La dda. fue presentada por la madre del ex empleado como apoderada general.</t>
  </si>
  <si>
    <t>00721-2009</t>
  </si>
  <si>
    <t>El demandante laboró en el antiguo Banco de Colombia desde el 01 de febrero de 1973 hasta el 11 de julio de 1992, y manifiesta que el Banco incumplió su deber de haberle cotizado desde un inicio a los riesgos IVM, También demandó subsidiariamente al ISS.</t>
  </si>
  <si>
    <t>Fecha fallo 2a. instancia el 06-07-2012. Fecha fallo 1a. instancia el 30-11-2011. 1T Conciliación el 01-06-2010.</t>
  </si>
  <si>
    <t>Rodolfo Lozano Díaz</t>
  </si>
  <si>
    <t>Condena a pagar cálculo actuarial por valor $35'573.872 por el tiempo dejado de cotizar al ISS. Agencias en Derecho$5'636.080</t>
  </si>
  <si>
    <t>780-2010</t>
  </si>
  <si>
    <t>11001310502520100078000</t>
  </si>
  <si>
    <t>El ddte. laboró al servicio del BIC desde el 02-08-1954 al 10-04-1967, no tuvo cotizaciones al ISS durante su vinculación por inexistencia de cobertura territorial y su contrato terminó con justa causa y solicita el reconocimiento de la pensión de jubilación consagrada en la ley 90 de 1946, Decreto 3041 de 1966 y el art 133 de la ley 100 de 1993.</t>
  </si>
  <si>
    <t>El 06-02-2012 devuelto expediente al juzgado de orígen. El 26-01-2012 niega recurso extraordinario de casación. Fecha fallo 2a instancia el 26-10-2011. Fecha fallo 1a. instancia el 30-08-2011 a las 9:30 am.  2T Interrogatorio de partes el 26-07-2011 a las 11:30 am. 1T Conciliación el 13-04-2011 a las 10:15 am, interrogatorio y testimonios. El 01-02-2011 se contestó la demanda. Notificada el 18-01-2011. El 27-12-2010 llegó citatorio y el 13-01-2011 se enviaron documentos al abogado.</t>
  </si>
  <si>
    <t xml:space="preserve">Silvia Consuela Pardo Roa </t>
  </si>
  <si>
    <t>627-2009</t>
  </si>
  <si>
    <t>11001310501620090062700</t>
  </si>
  <si>
    <t>Gestionó la aprobación de productos más allá de los cupos aprobados y de productos de familiares si autorización de un ente superior.</t>
  </si>
  <si>
    <t>Aprueba liquidación de costas por auto del 16-05-2012. Por autos del 17 y 24-04-2012 se liquidaron costas en primera instancia por $500,000. Fecha fallo 2a. instancia el 29-02-2012. El 26-04-2011 pasa al Despacho de la Mag. Luz Marina Andrade. Enviado a los Magistrados de Descongestión el 08-04-2011. Fecha fallo 2a. instancia el 31-05-2011 a las 3:00 pm. El 15-02-2011 corre traslado a las partes por 05 días para alegatos. Radicado en el Trib. Sup. el 08-02-2011. Fecha fallo 1a. instancia el 13-12-2010. 3T el 03-11-2010 a las 11:30 am para respuesta a oficios del Min. y del Banco. 2T Interrogatorio a la demandante y testigos del Banco el 23-09-2010 a las 8:00 am. 1T Conciliación e interrogatorio de parte al demandado el 30-08-2010 a las 8:00 am. El 27-05-2010 se contestó la demanda. El 19-05-2010 se entregaron documentos al Abogado. El 18-05-2010 llegó aviso para notificación.</t>
  </si>
  <si>
    <t>2009-00798</t>
  </si>
  <si>
    <t>73001310500420090079800</t>
  </si>
  <si>
    <t>La empelada se apoderó de dos celulares que un cliente dejo olvidados en el puesto de su compañera y manisfestó que el cleinte paso a recogerlos en al oficina cuando esta cinrcunstancia en realidad no se dio tal como lo demuestra el video de la oficina de ese día</t>
  </si>
  <si>
    <t>El 15-03-2012 se ordena el archivo del proceso. Se suscribió mutuo con la demandada. Estaba programado para el 25-01-2012 fallo y se aplazó para el 26-01-2012. Concede apelación a la ddada. el 16-11-2011. Fecha fallo 1a. instancia el 11-10-2011 a las 5:30 pm. Aud. 05-05-2011 testigo. Nueva fecha aud. 2T el 23-02-2011. 2T el 12-11-2010 a las 8:30 am testigos del Banco y de la demandada (citar a Diego Leonardo Bonilla). 1T Interrogatorios de partes el 27-09-2010 a las 9:00 am y testigos del Banco a las 2:30 pm. En la audiencia tanto sindicato como ddte. contestaron la demanda, propusieron la excepción de inpeta demanda por no haber allegado copia de los anexos de la demanda para el traslado, nuestro apoderado descorrió el traslado de la excepción y se señaló para el 18 de febrero de 2010 para resolver excepciones y decreto de pruebas, Se fijo el 23 de noviembre de 2009 para audiencia de trámite</t>
  </si>
  <si>
    <t>123 - 2009</t>
  </si>
  <si>
    <t>11001310500420090012300</t>
  </si>
  <si>
    <t>La ddante. dice que laboró del 1°-09-1982 al 12-05-1992; que el Banco se sustrajo del pago de aportes al ISS para pensión por el periodo que va del 1°-05-1992 al 12-05-1992, pero que la entidad pagó estos aportes por cálculo actuarial dirigido al ISS; que solicitó la pensión de vejez al ISS y que dicho instituto se la negó por resolución 038340 del 28-09-2006 argumentándole que el número de semanas no era el suficiente para el reconocimiento de la pensión</t>
  </si>
  <si>
    <t>No interpuso recurso de casación la ddante. Fallo 2a. instancia el 29-02-2012. Pendiente fallo 2a. instancia. Fecha fallo 1a. instancia el 30-07-2010. 4T el 01-03-2010 a las 11:00 am respuesta a Oficio. 3T el 01-12-2009 respuesta Oficio. 2T el 19-10-2009 a las 11:00 am para respuesta a Oficio del ISS. 1T Conciliación el 15-09-2009. El 08-07-2009 se contesta demanda. El 08-05-2009 recibimos citación para notificación personal</t>
  </si>
  <si>
    <t>2007-1035</t>
  </si>
  <si>
    <t>11001310501220070103500</t>
  </si>
  <si>
    <t>Fue despedido CJC por no haber  realizado  bien un envío de documentos lo que facilitó el  fraude por $130 mm en carrera 8  por retiros con T.C. Extranjeras (relacionado con el proceso de Nilson Alexis Ocampo y Jairo Antonio  Castellanos)</t>
  </si>
  <si>
    <t>Fecha fallo 2a. instancia el 30-04-2012. Enviado a los Magistrados de Descongestión el 11-04-2011 (Mag. Catalina Ramírez Villanueva). Corre traslado a las partes por 05 días para alegatos el 14-10-2009. Enviado al Trib. en apelación el 06-10-2009. Fecha fallo 1a. instancial el 21-08-2009. El despacho comisorio de la Dorada correspondió al Juzgado 2 Civil del Cto. el cual señaló fecha para el 28-05-2009 las 9am para testimonio de Jaime Augusto Bautista Castillo, quien elaboró la investigación de auditoría. Está en el Juzgado 12 adjunto y señaló fecha para respuesta a despacho comisorio el 24-06-2009 a las 8:15am . Pendiente 1T</t>
  </si>
  <si>
    <t>Francisco Torres</t>
  </si>
  <si>
    <t xml:space="preserve">676.02 </t>
  </si>
  <si>
    <t>11001310500520020067600</t>
  </si>
  <si>
    <t>El demandante se desempeñaba como Gestor de Trajetas en varias oficinas desde el 4 de agosto de 1992 hasta el 18 de noviembre de 2.002; reclama  - Pago salarios y prestaciones sociales</t>
  </si>
  <si>
    <t>El 16-02-2012 enviado al Tribunal Sup. de Bogotá. El 24-01-2012 aprueba costas.  En la Corte se condenó en costas al recurrente las cuales se liquidaron en $2'800,000. Desde el 07-04-2010 esta al Despacho para fallo. El 24-03-2010 se presenta oposicion en la Corte por parte de nuestro apoderado. Apoderado del Banco el 23-11-2009 retira el expediente. El 19-11-2009 inicia traslado al recurrente. En corte desde el 18-08-2009 a despacho para admisión de demanda. Trib. concede recurso de casación al ddante.24-06-2009. Nueva fecha fallo 2a. instancia 07-05-2009 a las 2:00 PM. Nueva fecha fallo 2a. instancia 23-02-2009. Nueva fecha fallo 2a. instancia 06-02-2009. Nueva fecha fallo 2a. instancia el 26-01-2009. Fecha fallo 2a. instancia el 31-10-2008. Concede apelación al ddte. el 24-10-2006. El día 29 de septiembre de 2006 a las 3:00 p. m., se llevó a cabo la audiencia de juzgamiento, en la cual se absolvió a la demandada de todas las pretensiones de la demanda. El proceso será enviado al tribunal, en apelación  interpuesta por el apoderado del demandante.  29 de septiembre de 2.006 audiencia de juzgamiento.  2006 01 30 10:15 a.m. Declaracion testigos.       Para el 4 de Febrero del año 2.005, a las nueve y cuarto de la mañana, se espera la declaración de uno de los testigos del Banco.      2 noviembre 04 testigos banco</t>
  </si>
  <si>
    <t>Elizabeth Boliva Cely</t>
  </si>
  <si>
    <t>661-2008</t>
  </si>
  <si>
    <t>11001310501920080066100</t>
  </si>
  <si>
    <t>El demandante fue jubilado por el Banco desde el 01-12-1978 y reclama reajuste de pensión.</t>
  </si>
  <si>
    <t>El 21-03-2012 devuelto al Juzgado de origen. Fallo 2a. instancia el 31-01-2012. Enviado a los Magistrados de Descongestión el 12-04-2011 Mag. Germán Darío Góez V. Corre traslado a las partes para alegatos 10-03-2010. Sube a consulta en el Trib. el 01-07-2010. Nueva fecha fallo 11-12-2009. Fija fecha para fallo 1a. instancia el 30-11-2009 a las 3:00 pm. Fija fecha aud. para el 29-10-2009 a las 9:30 am en la cual se espera contar con la documental solicitada a la parte demandada. 1T Conciliación el 08-10-2009 a las 8:30 am. El 23-07-2009 se contestó la demanda. El 05-05-2009 fue radicado citatorio en el banco</t>
  </si>
  <si>
    <t>Vicente Gutiérrez de Piñeres</t>
  </si>
  <si>
    <t>Daney Artega Pautt</t>
  </si>
  <si>
    <t>933-2008</t>
  </si>
  <si>
    <t>11001310501520080093300</t>
  </si>
  <si>
    <t>El dte laboró del 22 de octubre de 1947 al 7 de marzo de 1950, además laboro posteriormente al servicio de el Ministerior de Defemsa y el Banco de Btá, y por no cotizació al ISS pide el reconoimiento de la pensión del art 260 del CST</t>
  </si>
  <si>
    <t>El 12-07-2012 devuelto al Juzgado de origen. Fecha fallo 2a. instancia el 31-05-2012. Al Despacho para sentencia de 2a. instancia. El 12-04-2011 enviado a Magistrados de Descongestión (Mag. Anibal Guillermo González). Corre traslado a las partes el 01-09-2010 para alegatos de conclusión. Radicado en el Trib. Sup. El 19-08-2010. Fecha fallo 1a. Instancia el 19-07-2010. 2T Interrogatorio al ddante. y respuesta a oficios el 22-02-2010 a las 9:30 am. 1T Conciliación el 26-11-2009 a las 9:30 am. Juzgado tiene por contestada la dda. El 19-10-2009</t>
  </si>
  <si>
    <t>8</t>
  </si>
  <si>
    <t>350_2006</t>
  </si>
  <si>
    <t>13001310500820060035000</t>
  </si>
  <si>
    <t>El exempleado trabajó desde el mes de Octubre de 1957 hasta el mes de Enero de 1968. renunció voluntariamente y ahora esta pidiendo el reconocimiento de la pensión de jubilación plena</t>
  </si>
  <si>
    <t>15-03-2012 registro proyecto de fallo. El 02-12-2011 cambio de Magistrado Dr. Echeverry Bueno. Dede el 12-11-2009 está al Despacho para fallo. El 06-11-2009 devuelto exp. con oposición. El 19-10-2009 inició el traslado al opositor Banco y vence el 21-10-2009. El 31-07-2009 a despacho para calificar demanda. Traslado al recurrente del 28-05-2009 hasta el 13-07-2009. Trib. concede recurso de casación al ddante. Fecha fallo 2a instancia el 24-09-2008 a las 10:20 AM. 03 de Mayo de 2007 se llevó a cabo la audiencia de conciliación con presencia de la dra. Ana Mercedes Vélez. La parte actora no se hizo presente y se dejó constancia en el proceso.Para el mes de Junio se programó inspección Judicial.</t>
  </si>
  <si>
    <t>17-04-2012</t>
  </si>
  <si>
    <t>Eduardo Barragán Nocua</t>
  </si>
  <si>
    <t>2010-00138</t>
  </si>
  <si>
    <t>El 10-12-2009 tuvo un faltante de $600.000 que el empleado repuso sin informar a sus superiores ni contabilizar el faltante. De acuerdo con el RIT, no informar un descuadre aún por la primera vez es justa causa de terminación del contrato.</t>
  </si>
  <si>
    <t>Terminado por desistimiento del Banco ya que el empleado arregló con el Banco.</t>
  </si>
  <si>
    <t>El demandado es directivo sindical de Sintrabancol- Seccional Boyacá. Ha tenido muchos errores operativos, el último de ellos registró erradamente una operación por $30'880.000, de los cuales no se pudo recuperar sino 4 millones de pesos, generando pérdida para el Banco, tiene otro proceso de levantamiento de fuero sindical vigente que tiene sentencia de 1a. instancia desfavorable para el Banco.</t>
  </si>
  <si>
    <t>575-2010</t>
  </si>
  <si>
    <t>76001310500720100057500</t>
  </si>
  <si>
    <t>Desvinculado cjc porque recibió consignaciones en cheques para la emp. Biocombustible las cuales reversó sin justificación y consignaba posteriormente.</t>
  </si>
  <si>
    <t xml:space="preserve">El ddante. no interpuso recurso de casación. Fecha fallo 2a. instancia el 21-06-2012. Fecha fallo 1a. instancia el 30-09-2011 a las 4:45 pm. Pendiente 1T. El 24-02-2011 se constestó la demanda. </t>
  </si>
  <si>
    <t>Omar Alberto Fajardo Alba</t>
  </si>
  <si>
    <t>649-2010</t>
  </si>
  <si>
    <t>73001310500120100064900</t>
  </si>
  <si>
    <t>El ddte. es pensionado del Banco y solicita la indexación de la primera mesada pensional, pero se niega porque con anterioridad adelantó proceso para el reconocimiento de la pensión y la indexación de la primera mesada pensional el cual terminó por acuerdo conciliatorio de las partes.</t>
  </si>
  <si>
    <t>El 17-09-2014 archivo definitivo. El 02-07-2014 se ordena la expedición de copias. El 22-04-2013 se pagó la condena en costas descontados las que son a cargo del ddte. y el 07-12-2012 se pagó la condena principal. El Banco no apeló por estar ajustada la condena, pero el ddte. apeló por la condena a la indexación de las diferencias. Fecha fallo 1a. instancia el 23-01-2012. Pendiente nueva fecha para fallo de 1a. instancia. Fecha fallo 1a. Instancia el 15-12-2011 a las 5:00 pm. 2T Interrogatorio de partes el 13-06-2011. 1T Conciliación el 10-05-2011 a las 9:30 am. Contestada el 15-03-2011. El 22-11-2010 llegó citatorio para notificación.</t>
  </si>
  <si>
    <t>389-2011</t>
  </si>
  <si>
    <t>11001310502720110038900</t>
  </si>
  <si>
    <t>La ddte. fue desvinculada cjc por incumplir la circular de malas prácticas, pues canceló un CDT de un cliente y volvió a constituir uno nuevo, generando así puntos en su PGC, y entregó una TC preaprobada sin verificar que la información Financiera del cliente no correspondía a la real, los ingresos eran inferiores y la TC se aprobó con un cupo mayor.</t>
  </si>
  <si>
    <t>Sandra Patricia Villarreal Ruiz</t>
  </si>
  <si>
    <t>327-2011</t>
  </si>
  <si>
    <t>11001310502120110032700</t>
  </si>
  <si>
    <t>El ddte. fue despedido con justa causa debido a que aprovenchándose de su condición de Ejecutivo MIT pidió información confidencial de un cliente para contactarlo y solicitarle información para un trámite ilegal de un crédito en otra entidad financiera.</t>
  </si>
  <si>
    <t>Fecha fallo 2a. instancia el 31-07-2012. El 11-04-2012 se presentó recurso de apelación. Fecha fallo 1a instancia el 30-03-2012. 2T el 28 -03-2012 a las 8:30  interrogatorio al ddte. y testigos de las partes. 1T el 15-03-2012 Interrogatorio al rep. legal. El 06-10-2011 se contestó la demanda. El 19-08-2011 se enviaron los docuemntos al Abogado. El 11-07-2011 llegó citatorio.</t>
  </si>
  <si>
    <t>673-2011</t>
  </si>
  <si>
    <t>11001310501820110067300</t>
  </si>
  <si>
    <t>El ddte. fue desvinculado con justa causa por varias denuncias en la Línea Ética que lo señalaban como conocedor de que al interior de la oficina se tramitaban créditos con terceros tramitadores, los cuales una vez revisados encontramos que tenían información inconsistente y falsa.</t>
  </si>
  <si>
    <t>El 27-03-2012 se profirió fallo inhibitorio porque el juzgado no observó que existía una indebida acumulación de pretensiones. Se fijó para el 22-03-2012 aud. respuesta a oficio y en lo posible, cierre de debate,  alegatos y fallo.  Nueva fecha 1T conciliación interrogatorio y testimonios el 05-03-2012 a las 8:30 am.  1T el 15-02-2012 a las 2:30 pm conciliación, interrogatorio y testimonios (Aplazada). Contestada el 28-11-2011. El 11-11-2011 nuestra apoderada se notificó personalmente. El 19-10-2011 se recibió citatorio y el 18-11-2011 se recibió aviso, pero desde el 03-11-2011 se habían enviado documentos al Dr. José Roberto</t>
  </si>
  <si>
    <t>Luis Solano Florez</t>
  </si>
  <si>
    <t>Terminó con fallo inhibitorio</t>
  </si>
  <si>
    <t>2009-00096</t>
  </si>
  <si>
    <t>47001310500420090009600</t>
  </si>
  <si>
    <t>La funcionaria laboraba como Asesor Integral I de la Sucursal Ocean Mall y fue desvinculada con justa causa, debido a que no tuvo todos los controles necesarios al interior de la Sucursal, lo cual facilitó la omisión de procedimientos al interior del área de caja.</t>
  </si>
  <si>
    <t>Fecha fallo 2a. instancia el 18-05-2012. Fecha fallo 1a. Instancia el 14-10-2011. 1T Conciliación el 13-08-2009. Se contestó la demanda el día 15 de Abril de 2009.</t>
  </si>
  <si>
    <t>José Miguel Garcerant Paba</t>
  </si>
  <si>
    <t>El Trib. Sup. revocó el fallo de 1a. instancia y condenó al pago de la indeminización por valor de $1'811.272. Costas 1a. Instancia $362.254</t>
  </si>
  <si>
    <t>0020 - 2010</t>
  </si>
  <si>
    <t>La demandante trabajó desde el 12 de enero de 1970  hasta el 05 de Octubre de 1991, y dentro de sus pretensiones está el que el banco realice una cotización actual del aporte del período comprendido entre enero de 1970 y abril de 1972. Demando al ISS y subsidiariamente al banco.</t>
  </si>
  <si>
    <t>Fecha fallo 1a. Instancia el 09-09-2011. Se contestó la demanda y  se está a la espera de que fijen audiencia de conciliación.</t>
  </si>
  <si>
    <t>346- 2009</t>
  </si>
  <si>
    <t xml:space="preserve">El demandante trabajó en 3 períodos diferentes para el antiguo Banco de Colombia y alega que en uno de ellos, es decir, el inicial comprendido entre (01 de Enero de 1967 y 31 de Diciembre de 1977), el Banco no le realizó cotizaciones a los riesgos de invalidez, vejez y muerte. (trabajó en Magangué - Bol y Guamal- Mag).  </t>
  </si>
  <si>
    <t>Terminado por Desistimiento del demandante.</t>
  </si>
  <si>
    <t>Promiscuo</t>
  </si>
  <si>
    <t>El ddante. trabajó en el Banco de Colombia durante época de no cobertura por el ISS</t>
  </si>
  <si>
    <t>Fecha fallo 2a. instancia el 07-05-2012. Fallo 1a. instancia el 07-12-2010. 1T  Conciliación el 24-02-2009 y en la misma aud. el Juzgado ordenó remitir el expediente a la ciudad de Barranquilla dado a que las peticiones que el demandado había elevado ante el ISS, habían sido realizadas en esa ciudad y era esta la encargada de conocer del proceso, motivo por el cual se ordenó la remisión del expediente.</t>
  </si>
  <si>
    <t>Absuelve al Banco y condena al ISS</t>
  </si>
  <si>
    <t>2010-0545</t>
  </si>
  <si>
    <t>47001310500120100054500</t>
  </si>
  <si>
    <t>El ex empleado ingresó al antiguo Conavi y alega que en el momento de su desvinculación por mutuo acuerdo no se le reconoció el pago de unas horas que laboró en un horario que desempeñaba en el antiguo enlace operativo de esa ciudad.</t>
  </si>
  <si>
    <t xml:space="preserve">1T Conciliación, saneamiento y trámite, práctica de pruebas y fallo el 08-08-2011. Se contestó la demanda dentro del término y se está a la espera de que fijen audiencia de concilición. </t>
  </si>
  <si>
    <t>Armando Camacho Caicedo</t>
  </si>
  <si>
    <t>2010-00429</t>
  </si>
  <si>
    <t>05001310502020100042900</t>
  </si>
  <si>
    <t>La ddante. fue despedida cjc por manejo irregular de la cuenta de gastos de transporte, recursos que destinaba para otros fines.</t>
  </si>
  <si>
    <t>Fallo 2a. instancia el 24-08-2012 a las 2:00 pm. Fallo 1a. instancia el 25-10-2011 a la 1:30 pm. Continuación aud. el 22-09-2011 a las 3:00 pm. testigos de la demandante. Continuación aud. testigos el 06-09-2011 a las 3:30 pm. Continuación aud. testigos el 08-08-2011 a las 2:30 pm. 2T Interrogatorio de partes y testigos el 16-06-2011 a las 2:00 pm. 1T Conciliación el 04-04-2011 a las 2:00 pm. Notificada el 16-09-2010. Dda. admitida el 08-06-2010.</t>
  </si>
  <si>
    <t>2009-00251</t>
  </si>
  <si>
    <t>76520310500120090025100</t>
  </si>
  <si>
    <t>Laboró al servicio del Banco del 16 de junio de 1972 al 1 de agosto de 1999, es beneficiaria del régimen de transición y por haber laboprado más de 20 años de servicio solicta el reconocimiento de la pensión.</t>
  </si>
  <si>
    <t>Fecha fallo 2a. Instancia el 19-09-2012. Fallo 1a. Instancia el 14-12-2010. 2T el 02-08-2010 a las 2:00 pm para respuesta a oficio del ISS. 1T testigo Banco el 09-06-2010. El 19-11-2009 se contestó la demanda.</t>
  </si>
  <si>
    <t>2009-00218</t>
  </si>
  <si>
    <t>Solicita el reconocimiento de la pensión de jubilación desde la fecha de retiro del Banco, hasta cuando le fue reconocida la pensión por el ISS, pago de la diferencia entre la pensión del Banco y la del ISS y las costas.</t>
  </si>
  <si>
    <t>Fecha fallo 2a. instancia el 28-09-2012. Fecha fallo 1a. Instancia el 30-07-2010. 1T testigo ddada. el 29-04-2010. el El 20-10-2009 contestación de la demanda.</t>
  </si>
  <si>
    <t>Gustavo Ruiz Montoya</t>
  </si>
  <si>
    <t>240-2010</t>
  </si>
  <si>
    <t>66001310500320100024000</t>
  </si>
  <si>
    <t>El ddante. solicita se le reliquiden las prestaciones y la indemnización con base en el auxilio de transporte, vacaciones extralegales, incentivo de caja y el auxilio de alimentación.</t>
  </si>
  <si>
    <t>En el fallo de 2a. instancia se revocó la condena a la reliquidación de la inmdenización por despido injusto y la condena a la indemnización moratoria, condenó a la reliquidación de la prima de servicios, las cesantías, los intereses a las cesantías en un total de $2.219.070.20 y condenó en costas al ddte. en un 70% por valor de $566.700. Fecha fallo 2a. instancia el 22-11-2012. Nueva fecha fallo 1a. instancia el 10-02-2012. Enviado a Juzgados de Descongestión. Fecha fallo 1a. instancia el 04-11-2011. Se envío despacho comisorio a Ibagué y correspondió al Juzgado 1° laboral de esa ciudad, pendiente fecha para esta audiencia. Nueva fecha  para el comisorio de Bogotá el 02-08-2011 a las 9 am.  El 21-06-2011 a las 9 am Despacho Comisorio testimonio  Juzgado 13 Laboral del Circuito de Bogotá para testimonio de Leonardo Alvarez Parra. Se envió el proc. al Tribunal por pelación de auto. 2T Interrogatorio de partes el 05-04-2011 a las 2:30 pm y exhibición de documentos. Pendiente 1T. El 20-04-2010 llegó citatorio para notificación.</t>
  </si>
  <si>
    <t>Ernesto Forero Vargas</t>
  </si>
  <si>
    <t>condenó a la reliquidación de la prima de servicios, las cesantías, los intereses a las cesantías en un total de $2'219.070,20 y condenó en costas al ddte. en un 70% por valor de $566.700</t>
  </si>
  <si>
    <t>158-2010</t>
  </si>
  <si>
    <t>La ddte. fue desvinculada cjc el 22-10-2010 por un descuadre de $22 millones de pesos que representó pérdida para el Banco, y alega que al momento del despido tenía fuero, pero la notificación del nombramiento como secretaria de la Uneb Seccional Buenaventura llegó al Banco el 25-10-2010 cuando el contrato de trabajo ya había termiando.</t>
  </si>
  <si>
    <t>24-09-2012 auto de obedézcase y cúmplase y ordena liquidar costas en 2a. instancia. Fecha fallo 2a. instancia el 05-09-2012. Fecha fallo 1a. instancia el 28-06-2012. Fecha audiencia el 30-11-2011 a las 10:30 am en espera de Despacho Comisorio. El 24-03-2011 rindieron declaración los testigos de la exempleada. El 26-01-2011 se llevó a cabo la audiencia de trámite en la cual se contestó la demanda.</t>
  </si>
  <si>
    <t>Henry Solano Torrado</t>
  </si>
  <si>
    <t>113-2010</t>
  </si>
  <si>
    <t>11001310501720100011300</t>
  </si>
  <si>
    <t>Alega que fue constreñido a firmar carta de renuncia el 3 de agosto de 2007 y por ello pide la indemnización por retiro forzado</t>
  </si>
  <si>
    <t>El 13-12-2012 el proceso fue devuelto del Tribunal al Juzgado de orígen para su archivo. Fecha fallo 2a. instancia el 28-09-2012. Esta al Despacho de la Magistrada Stella Osorno. El 22-08-2011 fue enviado en consulta al Tribunal. El 09-06-2011 entró a despacho para resolver. Corre traslado a las partes por 05 días para alegatos 20-05-2011. Fallo 1a. instancia el 28-02-2011. 3T testigos el 10-08-2010 a las 8:30 am. 2T Interrogatorio de partes el 14-07-2010 a las 8:30 am. 1T Conciliación el 23-06-2010 a las 10:15 am. El 20 de abril de 2010 se contestó la demanda.</t>
  </si>
  <si>
    <t>Laboral del Circuito</t>
  </si>
  <si>
    <t>223-2006</t>
  </si>
  <si>
    <t>Hacip contreras fue despedido el  6 de febrero de 2.006 por detectarse  malos manejos en la caja menor de la sucursal (sobrefacturacion,  gastos no  autorizados).  Fallece y los hermanos reclaman la indemnizacion por DSJC por no seguirse el  proceso  disciplinario.  Era un trabajador reintegrado</t>
  </si>
  <si>
    <t xml:space="preserve">Salio fallo el 26-11-2012 No Casa sin costas. El 20-02-2011 cambio de Magistrado Dr. Burgos. El 07-09-2009 el opositor retira el expediente. El 04-08-2009 a despacho para calificar y reconocer personería al apoderado del opositor. Apoderado del Banco sustenta recurso el 06-07-2009. Recurso de casación interpuesto por el Banco. 27-06-2007 el Juez se declara impedido porque su hija trabaja en el Banco. 3 de mayo de 2.007 inspección judicial. conciliacion 7 diciembre 2006 </t>
  </si>
  <si>
    <t>Dagoberto Quiroga Collazos</t>
  </si>
  <si>
    <t>Vr. Condena $59'550.000.</t>
  </si>
  <si>
    <t>2005 00014</t>
  </si>
  <si>
    <t>El cónyuge, Hersel Jose Escobar Restrepo (QEPD)  prestó sus servicios al Banco de colombia entre el 1 de marzo de 1959 al 30 de mayo de 1991; salió mediante acta de conciliación</t>
  </si>
  <si>
    <t>Se suspende fecha fallo 2a. instancia. Fallo 2 instancia el 23-03-2007. Sentencia absolutoria 10 de marzo de 2006, pendiente apelación .Pendiente apelacion Banco.     Pendiente del llamamiento en garantia del ISS auto 260 de agosto de 2005 abril 8 de 2005 se contestó la demanda</t>
  </si>
  <si>
    <t>267 - 2003</t>
  </si>
  <si>
    <t>11001310501620030026700</t>
  </si>
  <si>
    <t>recibio consignacion para la cuenta del cliene cooratiendas por 10,287,462 pero el cliente lleno la consigancion por 11,287,462</t>
  </si>
  <si>
    <t xml:space="preserve">Enviado en consulta al Tribunal pero en virtud del Dec. 3039 de conmoción interior el expedinte fue devuelto al Juzgado, pendiente archivar. Enviado a Juzgados de descongestión 02-12-2008. 14 de mayo de 2007 a las 8:15 y 9:15 a.m., para testimonios solicitados por el demandante..    12 julio 2006 testigos dte. testigos del  banco 7  febrero 2.006 </t>
  </si>
  <si>
    <t>244-2008</t>
  </si>
  <si>
    <t>11001310502520080024400</t>
  </si>
  <si>
    <t>El resultado del  fallo es incierto y por tanto la probabilidad de fallo adverso es latente.</t>
  </si>
  <si>
    <t>La demandante obtuvo pensión del ISS y reclama el valor del retroactivo.</t>
  </si>
  <si>
    <t>El 20-11-2009 aprueba archivo definitivo. El 20-10-2009 aprueba liquidación de costas. El 16-09-2009 fija agencias. No hubo apelación de la demandante. Señala fecha aud. de juzgamiento el 11-08-2009 a las 8:30 am. 1T conciliación el 11-06-2009 a las 8:30 am.</t>
  </si>
  <si>
    <t>Locxy A. Lugo Duran</t>
  </si>
  <si>
    <t>2008-00270</t>
  </si>
  <si>
    <t>11001310502320080027000</t>
  </si>
  <si>
    <t>El Banco le reconoció pensión extralegal desde el 01-01-1979, fecha en que se retiró. Actualmente la mesada es de $1.248.313</t>
  </si>
  <si>
    <t>César Iván López Cortés</t>
  </si>
  <si>
    <t>El 21-09-2010 se declara desierto el recurso por falta de sustentación.</t>
  </si>
  <si>
    <t>837-2009</t>
  </si>
  <si>
    <t>11001310500720090083700</t>
  </si>
  <si>
    <t>La demandante es cónyuge sobreviviente del señor Andrés Avelino Durán Fajardo pensionado de la Empresa de Energía de Bogotá, entidad que constituyó con la Fiduciaria un Patrominio Autónomo para la administración y pago de sus obligaciones pensionales.</t>
  </si>
  <si>
    <t>Reversar la provisión. Era un proceso contra un patrimonio autónomo de la Fiduciaria; no contra el Banco</t>
  </si>
  <si>
    <t>076-2010</t>
  </si>
  <si>
    <t>11001310501420100007600</t>
  </si>
  <si>
    <t>El dte fue despedido con justca causa por un descuadre de 5 millones que no jsutificó y que representó pérdida económica para el Banco</t>
  </si>
  <si>
    <t>El 15-06-2012 devuelto al Juzgado de origen. Fecha fallo 2a. instancia el 30-04-2012. Enviado a los Magistrados de Descongestión el 11-04-2011 (Mag. Stella María Osorno Bautista). Fecha fallo 1a. instancia el 29-10-2010 a las 4:00 pm. 3T el 11-08-2010 a las 2:30 pm para testimonios del Banco. 2T el 27-07-2010 a las 8:30 am para interrogatorios a las partes y el testigo del demandante. 1T el 12-07-2010 conciliación y se decretaron pruebas. El 06-05-2010 se contestó la demanda. El 06-04-2010 llegó citatorio para notificación.</t>
  </si>
  <si>
    <t>Vianney Fuentes Ortegon</t>
  </si>
  <si>
    <t>219-2007</t>
  </si>
  <si>
    <t>11001310502220070021900</t>
  </si>
  <si>
    <t xml:space="preserve">Obtuvo la pensión del  Banco en 1985.  No ha podido obtener la del  ISS porque la faltan semanas de cotización,  le aparece un vacío entre octubre de 1970 y  febrero de 1981. </t>
  </si>
  <si>
    <t>Wilson Yoban Benítez Escobar</t>
  </si>
  <si>
    <t>se demanda también al  ISS</t>
  </si>
  <si>
    <t xml:space="preserve">0058 - 2009 </t>
  </si>
  <si>
    <t>11001310500920090005800</t>
  </si>
  <si>
    <t>La dte demanda al ISS y al Banco para que se le reliquidie la pension porque a efectos de detrmianr el IBL no se le incluyó el perido del 1 de febrero de 1976 al 30 de abril de 1980 laborado en Bancolombia y que seg{un el ISSno fue cotizado por el Banco pues solo figura afiliación a partir del 1 de abril de 1980.</t>
  </si>
  <si>
    <t>Jorge Enrique Garzón Rivera</t>
  </si>
  <si>
    <t>173-2010</t>
  </si>
  <si>
    <t>El ddte. laboró al servcio del Banco de mayo de 1974 a octubre de 1987, pero del 74 al 81 no tiene cotizaciones para vejez por no existir cobertura del ISS en Toca Boyacá donde prestó sus servicios.</t>
  </si>
  <si>
    <t>Beiba María González</t>
  </si>
  <si>
    <t>Terminado por prosperidad de excepción previa de ineptitud de la dda.</t>
  </si>
  <si>
    <t>199-2011</t>
  </si>
  <si>
    <t>11001310502920110019900</t>
  </si>
  <si>
    <t>El ddte. solicita aportes a pensión durante una época en que no se realizaron por inexistencia de cobertura territorial del ISS en el lugar de prestación del servicio.</t>
  </si>
  <si>
    <t>Niega el recurso de casación el 28-08-2012. Fallo 2a. instancia el 22-06-2012. Fallo 1a. instancia el 29-03-2012. Se fijó el 20-02-2012 a las 9:30 am para respuesta oficio enviado al ISS. Fecha fallo 1a. instancia el 05-12-2011 a las 11:30 am. 1T Conciliación el 24-10-2011 a las 10:30 am decisión de excepciones previas, fijació del litigio, decreto y práctica de pruebas y fallo. Contestada el 12-07-2011. Notificada el 05-07-2011. En mayo llegó citatorio y el 28-06-2011 se enviaron docum,entos al abogado.</t>
  </si>
  <si>
    <t>Luis Carlos Maldonado Díaz</t>
  </si>
  <si>
    <t>2005-00149</t>
  </si>
  <si>
    <t xml:space="preserve">Reconocimiento y pago del aumento salarial establecido en el Comité de Análisis y Evaluación de Trabajo y Escalafón existente en el Banco y correspondiente: a) al ascenso que se le hizo a la actora en el cargo de Operador Integral de Caja, desde la fecha de su ascenso 1º  de Septiembre de 1995 hasta el 30 de Abril de 2001 y b) y el correspondiente al ascenso como Asesor Comercial nivel VIII, al cual tiene derecho y el que deberá reconocer con la retroactividad al mes de mayo de 2001 y equivalente a $43.000.oo pesos mensuales, ajuste en primas legales y extralegales como la prima semestral de servicios, prima de antigüedad y vacaciones, pagos al seguro social e intereses a las cesantías, que se le han pagado a la actora en dichos lapsos, de acuerdo con los aumentos que por sus ascensos no se le hicieron a la actora, </t>
  </si>
  <si>
    <t>Fecha fallo 2a. instancia el 22-06-2012. Pendiente fallo 2a. instancia. Pendiente apelación demandante. ORDENA DEVOLVER AL DESPACHO COMITENTE SE ORDENA DEVOLVER COMISION POR FALTA DE INTERES ; ORDENA CUMPLIR COMISION AUDIENCIA PARA RECIBIR TESTIMONIOS PARA EL DIA 04/07/2006 A LAS 9:00 A;M; 14 de Marzo  2006 a las 2:30 p.m., fecha y hora para que la demandante absuelva interrogatorio a instancia de parte</t>
  </si>
  <si>
    <t>Edgar Tobón Plaza</t>
  </si>
  <si>
    <t>250-2011</t>
  </si>
  <si>
    <t>68001310500520110025000</t>
  </si>
  <si>
    <t>Fue desvincualdo cjc porque tuvo un descuadre que no reportó y para ocultarlo además de poner $$ de su bolsillo, cambió la F-36 de la tula con su efectivo reduciéndola en el valor faltante, lo cual fue advertido por la Directora y aceptado por él.</t>
  </si>
  <si>
    <t>Auto de Obedézcase y Cúmplase del 18-10-2012. Fecha fallo 2a. instancia el 17-09-2012 a las 11:00 am. Por auto del 02-03-2012 se liquidaron agencias por valor de $566,700 a favor del Banco pues el proceso finalmente se remitió a consulta porque no accedieron a la pretensión del reconocimiento de la relación laboral. Fecha fallo de 1a. instancia para el 22-02-2012 a las 9:00 am. Nueva fecha 1T Conciliación el 02-12-2011 a las 9:00 am. 1T Conciliación el 14-10-2011 a las 9:00 am (Aplazada a solicitud de las partes). Contestada el 22-07-2011. El 22-06-2011 llegó citatorio, el 08-07-2011 llegó el aviso y vence el 25 de julio, ya el doctor Reynaldo tiene los papeles para contestar.</t>
  </si>
  <si>
    <t>2010-00045</t>
  </si>
  <si>
    <t>63001310500120100004500</t>
  </si>
  <si>
    <t>Laboró de 1964 a 1997 y reclama la pensión del art 53 del RIT</t>
  </si>
  <si>
    <t>Fecha fallo 2a. Instancia el 14-06-2011. Fecha fallo 1a. Instancia el 13-08-2010. El 05-04-2010 se contestó la demanda. El 11-03-2010 llegó aviso y se enviaron documentos al Abogado.</t>
  </si>
  <si>
    <t>Manuel Felipe Vela Giraldo</t>
  </si>
  <si>
    <t>2003-0391</t>
  </si>
  <si>
    <t>76001310501020030039100</t>
  </si>
  <si>
    <t xml:space="preserve">Justa Causa .- Descuadre en caja sin avisar al Subgerente </t>
  </si>
  <si>
    <t>Fecha fallo 2a. instancia el 30-11-2009. Por auto del 24-08-2009 se acepta renuncia de la Abogada del demandante. El 14-07-2008 se admitió recurso de apelación presentado por el demandante. Fecha fallo 1a. instancia el 27-06-2008 a las 4:30 PM. Audiencia 18-06-2008 a las 8:30 AM. Fija fecha audiencia el 19-05-2008 a las 8:30 AM. Continuación inspección jcial. 07-08-2007. marzo 20 de 2007 testimonio marlon tejada e inspeción judicial.      Noviembre 22/2005 - 09:00 a.m. - Declaracion testigos.       20 de junio de 2005 interrogatorio de parte.         3T 2 03 2005 interrogatorio parte</t>
  </si>
  <si>
    <t>Luis Elías Cardona</t>
  </si>
  <si>
    <t>194-2008</t>
  </si>
  <si>
    <t>76001310500920080019400</t>
  </si>
  <si>
    <t>PENSION SOBREVIVIENTES</t>
  </si>
  <si>
    <t>El cónyuge de la ddante. trabajó en el Banco en Versalles (Valle) del 16 de julio de 1970 al 1 de octubre de 1973 donde no había cobertura del ISS, esta demandando al ISS y al Banco Cafetero por el reconocimiento de la pensión de sobrevivientes por la muerte de su cónyuge extrabajador del Banco Cafetero.</t>
  </si>
  <si>
    <t>Por auto del 08-02-2013 se efectuó la liquidación de costas a cargo del Banco y del ISS a cada uno por valor de $2.833.500, las cuales quedaron en firme el 15-02-2013. En sentencia del 28 -09-2012 notificada el 23-11-2012 se revocó la de 1a. instancia y condenó al ISS a reconocer y pagar la pensión de sobrevivientes a partir del 26-04-2004, al pago de los intereses moratorios; exhortó al ISS para que haga efectivo el recobro de las semanas laboradas por el causante con el Banco de Colombia  del 16-06-1970 al 01-10-1973, absolvió a Bancafe en Liquidación por considerar que no proceden los aportes por las fechas en que laboró el causante pues para esa fecha tenía naturalza pública y condenó en costas al ISS y a Bancolombia,  Enviado a Tribunal de descongestión el 27 de enenro de 2011. Fecha fallo 1a. Instancia el 29-07-2011 condena al ISS a la indemnización sustitutiva de la pensión de sobrevivientes. Pendiente 1T. El 09-11-2010 admite contestación. El 20-10-2010 contestamos. Por auto del 21-07-2010 se ordenó integrar la litis con Bancolombia.</t>
  </si>
  <si>
    <t>Lina María Zapata Velásquez</t>
  </si>
  <si>
    <t>En 2a. Instancia  revocó la de 1a. instancia y condenó al ISS a reconocer y pagar la pensión de sobrevivientes a partir del 26-04-2004 y los intereses moratorios; exhortó al ISS para que haga efectivo el recobro de las semanas laboradas por el causante con el Banco de Colombia  del 16-06-1970 al 01-10-1973.</t>
  </si>
  <si>
    <t>816/2,004</t>
  </si>
  <si>
    <t>11001310500620040081600</t>
  </si>
  <si>
    <t>a) Traslado al “Fondo de Pensiones Protección S.A.”el valor de las “cotizaciones dobladas”, indexado.</t>
  </si>
  <si>
    <t>El 29-01-2013 al Despacho para aclaracion y/o salvamento de voto del Dr. Luis Gabriel Miranda Vuelvas. La sentencia de la Corte fue notificada por Edicto del 18-01-2013. El 02-12-2011 cambio de Magistrado Dr. Echeverri Bueno. Desde el 22-09-2009 entró al despacho para fallo. Del 26-08 al 15-09-2009 esta en traslado al opositor.  El 04-09-2009 devuelto exp. con oposición de la ddte. El 28-08-2009 el opositor retira el expediente. Del 26-08-2009 al 15-09-2009 en traslado al opositor. El 06-07-2009 nuestro apoderado sustenta demanda de casación en la Corte. CSJ admite casación 27-03-2009. Concede recurso de Casación al ddado. el 19-02-2009. Fecha fallo 2a. instancia el 27-06-2008 a las 3:00 PM. FIJA FECHA AUDIENCIA O DILIGENCIA EL 22 DE ENERODE 2007 A LAS 11:00PM ESPERA CONTAR RESPUESTA A OFICIOS Y DICTAMEN PERICIAL.    FIJA GASTOS DE PERICIA, LIBRAR TELEGRAMA .    FIJA FECHA AUDIENCIA O DILIGENCIA EL 27 DE SEPTIEMBRE DE 2006 A LAS 11:00AM RESPUESTA A OFICIO Y CONTAR CON EL DICTAMEN PERICIAL [28834291]ALFONSO CASTRO MARTINEZ;JC,; 12 de julio de 2.006 respuesta a oficios.  2006 02 10 10:15 a.m. Interrogatorio parte.  El Banco contestó la demanda el 29 de Noviembre último. Está aún sin señalarse día y hora para la celebración de la audiencia obligatoria de Conciliación</t>
  </si>
  <si>
    <t>María Isabel Cardona Montoya</t>
  </si>
  <si>
    <t>2010-00145</t>
  </si>
  <si>
    <t>05001310501920100014500</t>
  </si>
  <si>
    <t>La ddante. reclama pensión de sobrevivientes en cabeza del señor Diego Arbeláez Ochoa quien laboró en el Banco del 04-02-1969 al 08-10-1979, en caso de que se demuestre que el Banco no efectuó las cotizaciones correspondientes.</t>
  </si>
  <si>
    <t>Devuelto al Juzgado de origen el 12-10-2012. Fecha fallo 2a. instancia el 11-09-2012 a las 2:20 pm. 2T Interrogatorio de partes y juzgamiento el 08-06-2012 a las 10:00 am. 2T Interrogatorio de partes y juzgamiento el 06-06-2012 a las 9:00 am (Aplazada por fallas técnicas en el audio del Juzgado). Nueva fecha 1T Conciliación el 06-03-2012 a la 1:30 pm. Avoca conocimiento el Juzgado 19 Laboral Adjunto el 16-02-2012. El 13-01-2012 se envía a los Juzgados Adjuntos. 1T Conciliación el 24-01-2012 a las 9:30 am. Contestada el 19-10-2011. Notificada el 05-10-2011. Citación para notificación el 26-08-2011.</t>
  </si>
  <si>
    <t>Mery Luz García Flórez</t>
  </si>
  <si>
    <t>Puerto Boyaca</t>
  </si>
  <si>
    <t>2012-00351</t>
  </si>
  <si>
    <t>05001310501220120035100</t>
  </si>
  <si>
    <t>El ddante. fue despedido cjc por haber entregado las llaves de la Sucursal a un tercero ajeno al Banco para que abriera y cerrara la puerta a los clientes una vez cerrada la oficina.</t>
  </si>
  <si>
    <t>Fecha fallo 2a. instancia el 18-01-2013. Concede recurso de apelación al ddante. 2T Interrogatorio de partes, testigos y fallo el 11-10-2012 a las 9:00 am. Nueva fecha 1T Conciliación el 03-09-2012 a las 9:30 am. Nueva fecha 1T Conciliación el 16-08-2012 a las 10:30 am (Aplazada). 1T Conciliación el 26-07-2012 a las 10:00 am (Aplazada).</t>
  </si>
  <si>
    <t>Xiomara Clavijo (JRH)</t>
  </si>
  <si>
    <t>Jose Franyz Camacho Ríos</t>
  </si>
  <si>
    <t>2008-00275</t>
  </si>
  <si>
    <t>70001310500120080027500</t>
  </si>
  <si>
    <t>El demandante laboró en el antiguo Banco de Colombia en el período comprendido entre el 01 de Febrero de 1959 hasta el 15 de Agosto de 1969 (10 años y 6 meses), manifestando el que el Banco no cotizó al ISS por los riesgos de IVM</t>
  </si>
  <si>
    <t>Enviado al Trib. Sup. el 13-01-2011. Concede apelación al ddado. el 10-12-2010. Nueva fecha fallo 1a. Instancia el 03-12-2010. Fecha fallo 1a instancia el 09-07-2010 a las 4:30 pm. 1T Conciliación el 01-12-2009 a las 8:30 am. Se contestó demanda el día 25 de Noviembre de 2008.</t>
  </si>
  <si>
    <t>Marcel Silva Romero</t>
  </si>
  <si>
    <t>134-2010</t>
  </si>
  <si>
    <t>15572318900120100013400</t>
  </si>
  <si>
    <t>El ddte. en su condición de Gerente de Sucursal excedió sus facultades de crédito al otorgar sobregiros a los clientes y manejo indebido de la tarjeta de crédito empresarial</t>
  </si>
  <si>
    <t>Fecha fallo 2a. instancia el 08-08-2012. Fecha fallo 1a. instancia el 24-05-2012. Aud. el 06-10-2011 para respuesta a despachos comisorios. 2T el 06-07-2011 a las 2 pm para la recpeción y práctica de las pruebas que se deban evacuar en Puerto Boyacá (Ordenó librar oficio al Banco para que suministre los extractos de las cuentas de varios clientes). 1T Conciliación el 11-04-2011 a las 9 am. El 06-12-2010 se notificó de la demanda. A finales de octubre de 2010 llegó citatorio</t>
  </si>
  <si>
    <t>184-2004</t>
  </si>
  <si>
    <t>11001310501720040018400</t>
  </si>
  <si>
    <t>El extrabajador fue despedido con jC en abril de 2.001  por excederse en sus funciones y opr   violar normas sobre  créditos a familiares</t>
  </si>
  <si>
    <t>A Despacho para fallo desde el 21-05-2008. Oposición a casación 16-05-2008. En trámite en segunda instancia por apelación del apoderado del actor contra el fallo de primera instancia (Enviado al Tribunal el 31-05-2005). Pendiente de fecha para fallo. El proceso fue enviado por descongestión judicial al Tribunal de Pamplona..    pendiente apelacion ddte</t>
  </si>
  <si>
    <t>0155-2005</t>
  </si>
  <si>
    <t>11001310500420050015500</t>
  </si>
  <si>
    <t>Fue despedido con JC en septiembre de 2003 por  no haber  vigilado  cuadres de cajeros  que facilitaron fraude a sucursal por 130 mm</t>
  </si>
  <si>
    <t xml:space="preserve">CSJ acepta desistimiento del recurso por parte del ddante. 13-02-2013. El 05-12-2012 CSJ admite demanda y ordena traslado al recurrente. Tribunal concede recurso de casación al ddante. y lo niega al ddado. 25-09-2012. Fecha fallo 2a. instancia el 31-07-2012 a las 4:00 pm. Por telegrama del 10-10-2011 se informa que fue remitido al Magistrado Luís Agustín Vega. A despacho para fallo de 2a. instancia desde el 18-08-2010. Trib. corre traslado por 05 días para alegar de conclusión 09-08-2010. Fecha fallo 1a. instancia el 28-05-2010 a las 4:00 pm. Nueva fecha aud. el 19-04-2010 a las 8:15 am. Nueva fecha aud. respuesta oficios 10-12-2009 a las 11:00 am. Nueva fecha aud. respuesta despacho comisorio 17-11-2009. El 28-10-2009 se recepcionará en La Dorada el Testimonio de Jaime Bautista. Nueva fecha aud. recepción respuesta Despacho Comisorio y respuesta oficios el 23-09-2009. Nueva fecha aud. recepción respuesta Despacho Comisorio el 03-09-2009.  Suspende aud. y fija fecha para el 20-08-2009 a las 10:30 AM. recepción Despacho Comisorio. Suspende aud. y fija fecha para el 28-07-2009 a las 11:00 am. Despacho Comisorio. Suspende aud. y fija fecha para respuesta oficio 08-07-2009 a las 11:00 am. Suspende aud. y fija fecha 18-06-2009 respuesta oficios. Inspección judicial el 27-05-2009 a las 10 AM. Suspende aud. y señala fecha para respuesta despacho comisorio 06-05-2009 a las 10:30 AM. Nueva fecha 4T 15-04-2009 testigo ddado. Nueva fecha 4T para el 18-03-2009 testigo. Fecha dictamen perito 04-03-2009. Aplazada 4T para el 23-02-2009 (testigo). Fija nueva fecha respuesta Despacho Comisorio para el 02-02-2009. Fija fecha respuesta Despacho Comisorio para el 09-12-2008. Aplazada 4T para el 13-01-2009. 4T el 30-10-2008 (testigo). 4T el 10-09-2008 (aplazada por paro Jcial.) testimonios. 3T el 14-05-2008 a las 10:00 AM (Testigos). Pendiente de fecha para continuar interrogatorio de parte.   13 septiembre 2006 interrogatorio bco. 2006 05 03  9:30 a.m. Interrgaotorio parte.        24 octubre 2005 1a audiencia. </t>
  </si>
  <si>
    <t>Tener en cuenta que en 2a. instancia se condenó en costas al ddante. para cruzarlas con el pago. El rep. Legal del Bco. no asistió al interrogatorio de parte</t>
  </si>
  <si>
    <t>579-2010</t>
  </si>
  <si>
    <t>11001310501620100057900</t>
  </si>
  <si>
    <t xml:space="preserve">Es el apoderado de María Argenis Orjuela Ortegon,  extrabajadora que adelantó un proceso en contra del banco y quien al parecer quedo adeudando al apoderado honorarios </t>
  </si>
  <si>
    <t>Devolución al Juzgado de origen el 13-02-213. Fallo 2a. instancia el 12-12-2012 a las 4:00 pm. El 05-09-2011 radicado en el Tribunal, pendiente que el Tribunal resuelva la apelación. El 02-08-2011 el juzgado concedió apelación contra la sentencia de 1a. Fecha fallo 1a. instancia el 15-07-2011. 1T Conciliación el 17-02-2011. El 14-10-2010 se contestó la demanda. El 30-09-2010 llegó notificación por aviso con traslado.</t>
  </si>
  <si>
    <t>Demandó también a María Argenis Orjuela</t>
  </si>
  <si>
    <t>LEVANTAMIENTO DE FUERO POR INCUMPLIMIENTO PROCESO VISACION CHEQUE</t>
  </si>
  <si>
    <t>Juan Manuel Freyle Ariza</t>
  </si>
  <si>
    <t>0213-2002</t>
  </si>
  <si>
    <t>47001310500520020021300</t>
  </si>
  <si>
    <t>Pagó cheque 67512 por $18.234.500 mal visado</t>
  </si>
  <si>
    <t>Fallo 2a. instancia el 31-08-2009. Se alegó dentro de la oportunidad, aún no han fallado en 2° instancia. Magistrdo Ponente Clímaco Molina. Abril 30 de 2007. Tribunal Superior de Santa Marta corre traslado a las partes por 5 días para alegar. El abogado externo alegó de conclusión el 07 de Mayo de 2007. Pendiente del fallo.AUDIENCIA DE JUZGAMIENTO EL 08/09/2006 A LAS 5: PM.     SE SEÑALO 07 ABRIL/06 PARA FALLO.    8 junio de 2005 continuacion 3T.           3T 16 02 2005     Teniendo en cuenta que el demandante no compareció ni justificó su inasistencia a la audiencia obligatoria de conciliación celebrada el día 10 de Marzo de 2003, la señora juez a petición del apoderado del Banco, dictó el siguiente auto: "se procederá a imponer los efectos previsto en el artículo 77 del Código Procesal del Trabajo  y Seguridad Social para lo cual atendiendo los hechos relatados en la contestación de la demanda y en las cuales se basan en las excepciones propuestas se presumen como cierto los hechos primero, segundo, tercero y cuarto y con respecto a las excepciones se tendrá como indicio grave en contra del demandante por su no comparecencia a esta diligencia...".       Contestacion dda 15 de noviembre de 2.002</t>
  </si>
  <si>
    <t>Nancy Esther Cortina Ramos</t>
  </si>
  <si>
    <t>0115-2006</t>
  </si>
  <si>
    <t>Como subgerente omitió aplicar controles que permitieron una sobrefcturación a servicios de correspondencia</t>
  </si>
  <si>
    <t>Fecha fallo 2a. Instancia el 07-03-2012. Fija fecha fallo 1a. instancia para el 14-02-2008. 2a Aud. Interrogatorio de parte el 29-05-2007. Pendiente 1t</t>
  </si>
  <si>
    <t>Héctor Fabio Ospina</t>
  </si>
  <si>
    <t>00707-2007</t>
  </si>
  <si>
    <t>08001310500620070070700</t>
  </si>
  <si>
    <t xml:space="preserve">En esta nueva demanda, las pretensiones van encaminadas a obtener una pensión de vejez, debido a que en el proceso anterior que fue fallado a favor del Banco, pretendía obtener una pensión sanción. Se declara ilegalidad del auto debido a que no se llamó en garantía al ISS, se ordenó citar a dicha entidad. </t>
  </si>
  <si>
    <t>El 02-05-2013 Trib. niega recurso de casación. Nueva fecha fallo 2a. instancia el 31-10-2012 a las 4:30 pm. Fecha fallo 2a. instancia el 28-09-2012 a las 5:30 pm. Concede recurso de apelación el 09-11-2010. Fija fecha fallo 1a. instancia el 30-09-2010 a las 5:00 pm. Continuación 4T el 29-07-2010 a las 9:30 am en espera de respuesta de Oficios. Nueva fecha 4T el 10-06-2010 a las 8:30 am. Fija nueva fecha 4T el 12-05-2010 a las 8:30 am. Enviado a Juzgados de Descongestión 15-03-2010. Nueva fecha 4T el 12-04-2010 a las 8.30 AM en espera de respuestas de oficios. 4T el 27-10-2009 a las 2:30 PM. Continuación 3T el 25-08-2009 a las 9:30 am. 3T el 26-05-2009 a las 9:30 AM testigo dadda. 2T el 21-04-2009 interrogatorio de parte e inspección jcial.  Fija fecha para el 19-11-2008 respuesta oficios. Nueva fecha 1T el 25-08-2008. 1T Conciliación el 06-08-2008</t>
  </si>
  <si>
    <t>Carlos Julián Martínez Rodríguez</t>
  </si>
  <si>
    <t>Revoca el fallo que condenó al pago de la pensión y en su lugar ordena el pago del cálculo actuarial al ISS por el período dejado de cotizar (02 años).</t>
  </si>
  <si>
    <t>0046-2011</t>
  </si>
  <si>
    <t>El ddte. laboró de 1961 a 1973 en la ciudad de Pto. Boyacá en donde no existió cobertuta terrotorial del ISS durante la vigencia de su contrato de trabajo para el cubrimiento de los riesgos de IVM, por ello no se cotiizó y pide el reconocimiento de la pensión sanción.</t>
  </si>
  <si>
    <t>Mediante Auto del 13-12-2012 proferido por el Tribunal Superior de Manizalez, se ordenó la devolución del proceso al Juzgado de origen. Fecha fallo 2a. instancia el 14-10-2012. Fecha fallo 1a. instancia el 14-06-2012. Se señaló aud. para el 24-05-2012 para alegatos de conclusión y luego entra para fallo. El 09-05-2012 audiencia para respuesta a oficios del ISS. Nueva fecha 1T el 02-02-2012 a las 10:30 am. 1T Conciliación el 26-01-2012 a las 2:00 pm (Aplazada). El 09-08-2011 el Abogado viajó a Puerto Boyacá a contestar la demanda. Llegó citatorio y el 12-07-2011 se enviaron documentos al abogado.</t>
  </si>
  <si>
    <t>José Francisco Quiroga</t>
  </si>
  <si>
    <t>2005-00055</t>
  </si>
  <si>
    <t>Dice tener unos vacios en la historia laboral</t>
  </si>
  <si>
    <t>Se fijó el 14-12-2012 para notificación de setencia de 2a. instancia. Enviado a los Magistrados de Descongestión del Trib. Sup. de Cali el 09-10-2012. Nueva fecha fallo 2a. Instancia el 02-10-2009. Pendiente nueva fecha de fallo de 2a. instancia. Fallo 2a. instancia 16-03-2009. Fallo 1a. instancia el 01-07-2008. 5 de dic. De 2006 interrogatoris de partes.     24 01 2006 1t</t>
  </si>
  <si>
    <t>2008-097</t>
  </si>
  <si>
    <t xml:space="preserve">Fue despedido con JC el  20 de diciembre de 2007 por haber facilitado el trámite de TC con las que se pagaron afiliaciones de los clientes que no  cumplian el perfil, en pirámides. </t>
  </si>
  <si>
    <t>10-12-2012 aprueba liquidación de costas. Costas en 2a. instancia las fijaron en 1 salario mínimo a cargo de la accionante y a favor del Banco. Fecha fallo 2a instancia el 07-12-2012. El 22-02-2012 entra al Despacho para fallo. El 15-02-2012 admite sustitución. El 09-02-2012 entra al Despacho con alegatos de conclusión parte demandante y sustitución poder parte demandada.  Llegó el 13-01-2012 al Tribunal. Fecha fallo 1a. instancia el 30-11-2011 a las 3:50 p.m. Enviado a Juzgados de Descongestión, pendiente fallo. Juzgado ya cerró debate probatorio y fijó fallo 1a. instancia para el 29-03-2011. Continuación 4T el 10-02-2011 a las 8:00 am para testigos del Banco. 4T el 04-11-2010 a las 9:00 am para testigos del Banco. 3T el 13-07-2010 a las 2:00 pm para testigos del demandante y uno de la demandada. 2T el 17-02-2010 a las 2:00 pm para interrogatorio al dte. y un testigo de cada parte. 1T conciliación el 27-08-2009 a las 4:00 pm.</t>
  </si>
  <si>
    <t>2007-00699</t>
  </si>
  <si>
    <t>76001310500320070069900</t>
  </si>
  <si>
    <t>Reclama diferencia de pensión dejada de pagar por omisión del Banco en los aportes del ISS - mora e indexación</t>
  </si>
  <si>
    <t>El 03-12-2014 se pagó cálculo actuarial a Colpensiones y se le informó al demadnate y al Juzgado. Fecha fallo 2a. Instancia el 31-01-2013 a las 4:30 pm. Queda pendiente trámite de 2a. Instancia; el 09-07-2009 admite recurso de apelación. Etapa Probatoria. Junio 26-09 se proferira fallo de primera instancia. El 16 de febrero-09 inspección judicial.</t>
  </si>
  <si>
    <t>Luis Alfonso Lamos De La Cruz</t>
  </si>
  <si>
    <t>Condena en costas 1a. instancia $7'000.000. Costas 2a. Instancia $566.700. Vr. cálculo actuarial efectuado por COLPENSIONES $236'115.195</t>
  </si>
  <si>
    <t>2008-709</t>
  </si>
  <si>
    <t>11001310500520080070900</t>
  </si>
  <si>
    <t>Fecha fallo 2a. instancia el 14-12-2012 a las 2:00 pm. El 29-02-2012 se recibe memorial del Abogado de la ddante. El 02-02-2012 se recibe renuncia de la Dra. Giovanna Florez Montealegre. El 23-01-2012 se recibe sustitución de la apoderada del ddado. Enviado a los Magistrados de Descongestión el 08-04-2011 (Mag. Luz Marina Andrade). Corre traslado a las partes por 05 días para alegatos el 15-06-2010. Rad. en el Trib. Sup. el 08-06-2010. El 30-04-2010 se profirió sentencia a través de la cual condena al Banco a pagar la diferencia en las cotizaciones al ISS, pero como en el proceso se acreditó el pago de estas diferencias, al Banco le corresponde adelantar los trámites ante el ISS para que a la dte. se le reconozcan la totalidad de las cotizaciones,  condenó al pago de a las mesadas adicionales del 2005 en adelante y absolvió de la devolución de la retención en la fuente. 3T el 04-02-2010 a las 11:15 am recepción de testimonio. 2T el 12-11-2009 para rta. a oficios. 1T el 03-08-2009 para testigo de la ddte.</t>
  </si>
  <si>
    <t>Eden Alvarez Tatis</t>
  </si>
  <si>
    <t>457-2012</t>
  </si>
  <si>
    <t>76001310500320120045700</t>
  </si>
  <si>
    <t>La ddte. firmó mutuo acuerdo con el Banco acordando el retiro y señala que no está de acuerdo con el mismo, solictando el reajuste de la indemnización con base en la convención y el reintegro - indebida acumualción de pretensiones.</t>
  </si>
  <si>
    <t xml:space="preserve">En la audiencia antes de agotar la etapa conciliatoria se entró a  estudiar las excepciones previas de cosa juzgada e inepta demanda declarándose no probada la primera y probada la segunda por haberse dado indebida acumulación de pretensiones, por ende se declaró la nulidad de todo  lo actuado desde la admisión de la demanda, se rechazó la demanda y se condenó en costas a la demandante en $200.000. 1T Conciliación, interrogatorios y testimonios el 06-03-2013. Contestada el 18-12-2012. El 01-11-2012 se enviaron documentos al Abogado. El 11-10-2012 llegó citatorio y </t>
  </si>
  <si>
    <t>303-2007</t>
  </si>
  <si>
    <t>13001310500320070030300</t>
  </si>
  <si>
    <t>La ex funcionaria se desempeñaba en el cargo de cajero Integral de la sucursal Manga en Cartagena, fue desvinculada CJC debido a que recibió un cheque por valor de $13MM para el pago de un impuesto de aduanas y no lo cargó a la cuenta del respectivo cliente, generándo un saldo en contra para la sucursal.</t>
  </si>
  <si>
    <t xml:space="preserve">Fallo 2a. instancia el 30-07-2012 a las 9:00 am. Enviado a los Magistrados de Descongestión del Trib. Sup. de Santa Marta el 25-01-2012. Fecha fallo 1a. instancia el 29-01-2010. Continuación 4T el 30-11-2009 a las 10:00 AM. 4T el 11-06-2008 a las 8:30 AM (Suspendida). 3T el 30-05-2008 (Testigos). 2T el 25-03-2008 (Testigos.). 1T Conciliación el 27-02-2008. </t>
  </si>
  <si>
    <t>Alejandro García</t>
  </si>
  <si>
    <t>279-2011</t>
  </si>
  <si>
    <t>11001310501920110027900</t>
  </si>
  <si>
    <t>Cajero que fue desvinculado con justa causa por descuadres no justificados y por billetes falsos enviados a la Transportadora.</t>
  </si>
  <si>
    <t>El 23-05-2013 ordena liquidación de costas y corre traslado de la misma.Fallo 2a. instancia el 17-05-2013. Al Despacho para fallo desde el 21-09-2012. El 10-09-2012 corre traslado a las partes por 05 días para alegatos. Fecha fallo 1a. instancia el 26-07-2012. Enviado a los Juzgados de Descongestión, correspondió al Juzgado 11 de Descongestión, el cual fijó 4T el 03-05-2012 para testimonios. 3T el 01-02-2012 a las 10.30 am. 2T Interrogatorio de partes el 22-11-2011 a las 9:00 am. 1T Conciliación el 11-10-2011 a las 9:00 am. El 30-05-2011 llegó citatorio. El 29-06-2011 se enviaron documentos al abogado.</t>
  </si>
  <si>
    <t>Gustavo Adolfo Jiménez</t>
  </si>
  <si>
    <t>Vr. condena $6'236.362,58. Vr. Condena costas $700.000</t>
  </si>
  <si>
    <t xml:space="preserve">009 2006 </t>
  </si>
  <si>
    <t>11001310501020060000900</t>
  </si>
  <si>
    <t>Fue despedida  por reiterados descuadres</t>
  </si>
  <si>
    <t>Fecha fallo 2a. instancia el 15-03-2013 a las 4:00 pm. Al Despacho el 13-12-2012. Pasa al Despacho el 15-12-2011 vencido el término del traslado. Trib. de Descongestión avoca conocimiento y corre traslado a las partes por 05 días para alegatos el 06-12-2011. Concede recurso de apelación al ddante. 08-11-2011. Fecha fallo 1a. instancia el 24-10-2011. Se señaló el 03-10-2011 a las 10:30 am para que el perito rinda dictamen. Se señaló el 10-08-2011 a las 9:30 pm audiencia para que el perito rinda testimonio. Se señaló el 10-11-2010  a las 10:30 am para respuesta a dictamen. El 29-09-2010 se fijó audiencia para respuesta a dictamen. El Juzgado 10 Laboral del Circuito en telegrama del 17-02-2010 informó que avocó nuevamente conocimiento del proceso y citó para el 09-03-2010 a la 11:30 para la audiencia programada dentro del proceso. Esta en el Juzgado 1° de Descongestión al cual el 19-12-2009 fueron remitidos los cuadernos del Tribunal. Tribunal confirmó auto del 30-07-2009 y se dispuso realizar prueba pericial para determinar las reversiones de las operaciones Bancarias, tal como se solicitó en la demanda. En el Tribunal se señaló fecha de fallo para el 31-08-2009 a las 4:00 pm. El proceso esta en el Juzgado 7° de Descongestión. Se concedió apelación en el efecto devolutivo y se señaló como fecha de audiencia para el 08-06-2009 a las 11am. Apelación del ddante. Continuación 3T 23-10-2007 testigos. 3T 06-08-2007 testigos. Continuación 2T Interrogatorio ddte. 14-05-2007. 2T Interrogatorio ddada. 13-02-2007. 1T Conciliación el 13-09-2006.  Demanda  contestada el  04-04-2006</t>
  </si>
  <si>
    <t>2009-00363</t>
  </si>
  <si>
    <t>76111310500120090036300</t>
  </si>
  <si>
    <t>El ddante. fue despedido cjc y está solicitando la indemización</t>
  </si>
  <si>
    <t>Nueva fecha fallo 2a. instancia el 18-03-2013. Fecha fallo 2a. instancia el 18-02-2013 a las 10:45 am (Aplazado). El 10-02-2012 las partes allegan escrito con alegatos. El 02-02-2012 corre traslado a las partes para alegatos. Nueva fecha fallo 1a. instancia el 14-10-2011 . Se señala el 01-04-2011 para fallo de primera instancia. 1T Conciliación el 27-07-2010. Se contestó la dda. el 22-01-2010.</t>
  </si>
  <si>
    <t>Gloria Pedroza Roja</t>
  </si>
  <si>
    <t>258-2011</t>
  </si>
  <si>
    <t>76001310501120100057500</t>
  </si>
  <si>
    <t xml:space="preserve">Las pretensiones de la demanda están encaminadas a que se reconozca el incremento mensual por ascenso de escalafón (Cajero Principal) desde el mes de febrero de 2007, con el correlativo reajuste en prestaciones sociales, legales y extralegales, con fundamento en las convenciones colectivas de trabajo vigentes.
</t>
  </si>
  <si>
    <t xml:space="preserve">En audiencia del 13-03-2013 se dio lectura del fallo de 2a. instancia, proferido el 31-01-2013. Se condenó en costas al ddte. por $200,000. Fecha fallo 1a. instancia el 12-12-2011.  El 08-11-2011 a la 1:30 pm prueba testimonial por parte de la demandada. Inspección judicial el 05-12-2012. Fecha audiencia el 08-11-2011 a la 1:30 pm, testigos. Pendiente 1T. El 13-07-2011 se contestó demanda. El 28-06-2011 el apoderado se notificó. El 18-05-2011 llegó citatorio. </t>
  </si>
  <si>
    <t>00382-2009</t>
  </si>
  <si>
    <t>13001310500720090038200</t>
  </si>
  <si>
    <t>A la demandante se le reconoció pensión de vejez el día 29 de marzo de 2001, tomando como base 766 semanas teniendo realmente un total de 1.014, razón por la cual solicitan la reliquidación de la pensión y su respectivo retroactivo indexado</t>
  </si>
  <si>
    <t>Fecha fallo 2a. instancia el 25-03-2011. El 02-09-2010 recurso de apelación por la ddante. Fecha fallo 1a. instancia el 27-08-2010. 2T el 09-08-2010 a las 3:30 pm incorporación de documentos y posible cierre debate probatorio. 1T Conciliación el 27-05-2010. Se contestó la demanda el 30 de Octubre de 2009</t>
  </si>
  <si>
    <t>Condenó al ISS</t>
  </si>
  <si>
    <t>389-07</t>
  </si>
  <si>
    <t>11001310500320070038900</t>
  </si>
  <si>
    <t>En la primera etapa de su  contrato de trabjo  no había cobertura del  ISS para IVM,  por lo que solicita el  pago de cuota parte pensional</t>
  </si>
  <si>
    <t xml:space="preserve">07-02-2013 téngase como sucesor procesal a Colpensiones y reconoce personería al Abogado. 13-01-2013 cambio de Magistrado Dr. Ernesto Molina. El 29-10-2012 entró al Despacho para reconocer personería al Abogado del Banco de Bogotá. Desde el 19-02-2010 está a despacho para fallo. El 02-12-2009 se presenta oposiición en la Corte. Trib. concede recurso de casación al ddante. 21-05-2009. Fallo 2a. Instancia el 26-03-2009. Fecha Audiencia Juzgamiento 31-01-2008 a las 5:00 PM. 5 julio 2007 se entregaron documentos a apoderado del  banco.  pendiente de notificación desde diciembre de 2006,  son varios los demandados. </t>
  </si>
  <si>
    <t>597 - 2003</t>
  </si>
  <si>
    <t>11001310501120030059700</t>
  </si>
  <si>
    <t>Pagar la suma correpondiente a las cotizaciones por pension, intereses moratorios,  por periodo comprendido entre enero de 1974 y el 30 de diciembre de 1981 osea 416 semanas, pago de las cotizaciones no realizadas durante la relacion laboral, indexar el salario mensual que devengaba durante los años 1974 a 1981 para efectos de calcular el  I.B.L,  los perjuicios morales que le hubiere podido ocasionar por no afiliarla a la seguridad social integral, ultra y extra petita, costas del proceso</t>
  </si>
  <si>
    <t>El 13-12-2012 al Despacho para fallo. El 11-12-2012 expedidas copias auténticas, se dejan en Secretaría a disposición del interesado. El 29-11-2012 ordena expedir copias requeridas por una de las partes.  Desde el 20-05-2010 está a despacho para fallo. El 13-05-2010 fue devuelto el expediente con oposición. Califica demanda y ordena traslado al opositor el 21-04-2010. CSJ reconoce personería al Dr. José Roberto Herrera 24-02-2010. CSJ admite recurso y corre traslado al recurrente 27-01-2010. Concede recurso de casación, se envía a la CSJ 24-08-2009. El 19 de mayo de 2009 se presentó recurso de casación contra la sentencia de 2da instancia. Fija fecha fallo 2a. instancia el 30-04-2009 a las 5:00 PM. Trib. corre traslado por 05 días para alegar de conclusión 21-04-2009. Nueva fecha para fallo 20-02-2009. Nueva fecha para fallo el 12-12-2008. Fallo 1a. instancia el 13-11-2008. Fecha fallo 1a. instancia el 31-10-2008 (Aplazada). Aud. fallo el 25-09-2008 (Aplazada). Fecha aud. aprobación aclaración del dictamen 06-08-2008. Fecha audiencia para conocimiento del dictamen 26-06-2008 a las 10:32 AM. 20-06-2008 Aux. Justicia allega dictamen. Juzgado reabre debate probatorio el 16-05-2008 designa Aux. de la Justicia. Tribunal declara la nulidad del fallo de 1a. instancia el 03-04-2008. Fija fecha fallo 2a instancia el 31-03-2008 a las 5:00 PM. 26 de febrero de 2007 a las 11:00 a.m., para audiencia de respuesta a oficios..    pendiente fecha para respuesta a oficios.  2006 04 03 9:15 a.m. Inspeccion judicial.      El 25 de Enero del año 2.005, a las diez de la mañana, se encuentra destinado para la recepción de uno de los testimonios pedido por la accionante.    primera audiencia de conicliacion el 04 de mayo del 2004</t>
  </si>
  <si>
    <t>Sonia Lucía Osorio de Giraldo</t>
  </si>
  <si>
    <t>Vr. costas 1a. instancia $2'464.000. Vr. costas 2a. instancia $2'. Vr. Costas casación $6'</t>
  </si>
  <si>
    <t>105-2007</t>
  </si>
  <si>
    <t>08001310500820070010500</t>
  </si>
  <si>
    <t>Es incierto el resultado con probabilidad de fallo adverso</t>
  </si>
  <si>
    <t>Fue nombrado cajero ppal. el 11-09-2002; dice que hay otros empleados en el mismo escalafón y cargo con una asignación salarial superior a la que él recibe.</t>
  </si>
  <si>
    <t>Fecha fallo 2a. instancia el 28-06-2013. El 23-07-2012 a Secretaría: Con motivo de la congestión se prorroga por una sola vez y por 06 meses, el término para resolver este asunto, de conformidad con lo dispuesto en el art. 121 de la Ley 1564 de 12 de julio de 2012. Al Despacho el 30-09-2010 vencido el término del traslado. El 20-09-2010 corre traslado a las partes por 05 días para alegatos. Radicado en el Trib. Sup. el 14-09-2010. Concede recurso de apelación al ddante. el 11-08-2010. Nueva fecha fallo 1a. instancia el 09-07-2010 a las 5:00 pm. Fija fecha fallo 1a. instancia el 30-04-2010 a las 5:00 pm. Remite a Juez Adjunto 05-03-2010. Nueva fecha fallo el 19-03-2010 a las 5:00 PM. Fija fecha fallo 1a. instancia el 31-07-2009 a las 5:00 Pm. Continuación 4T Inspección Judicial el 08-06-2009. Continuación 4T 03-06-2009 espera de oficios. Continuación 4T 13-05-2009 Inspección Jcial. Continuación 4T 05-05-2009 a las 8:15 AM Interrogatorios. Enviado a Juzgado de Descongestión el 17-03-2009. 4T el 16-04-2009 interrogatorio de partes a las 8:30 AM. 3T el 10-03-2009 testimonio parte demandada. Aud. Despacho Comisorio en Medellín el 18-11-2008 en el Juzgado 3° Laboral. Continuación 2T el 07-10-2008. 2T el 09-07-2008 a las 8:30 AM (Testigos). 1T Conciliación el 10-04-2008 a las 8:30 AM.</t>
  </si>
  <si>
    <t>2012 - 00160</t>
  </si>
  <si>
    <t>76001310500320120016000</t>
  </si>
  <si>
    <t>La ddte. es la beneficiaria de la pensión de sobrevivientes del señor Carlos Alberto Rojas vanegas y solicita la indexación de la 1a. mesada pensional desde el 22-12-1985 fecha de la sustitución.</t>
  </si>
  <si>
    <t>Fecha fallo 1a. Instancia el 24-08-2012. El 28-05-2012 se contesta la demanda. El 27-03-2012 auto que admite la demanda.</t>
  </si>
  <si>
    <t xml:space="preserve">Vr. Condena $24'444.523 por indexación de pensión. Costas 1a. Instancia $2'200.000; costas 2a. instancia $589.500. </t>
  </si>
  <si>
    <t>2008-0876</t>
  </si>
  <si>
    <t>05001310500620080087600</t>
  </si>
  <si>
    <t>RELIQUIDACIÓN BONO PENSIONAL</t>
  </si>
  <si>
    <t>El ddte. alega que el Bco. no reportó correctamente al ISS el salario base de cotización al 30-06-92</t>
  </si>
  <si>
    <t>Condena a pagar la diferencia del bono pensional a Protección más la diferencia en los rendimientos financieros. Costas 1a. instancia $11'(Fallo revocado por el Tribunal).</t>
  </si>
  <si>
    <t>0204-07</t>
  </si>
  <si>
    <t>11001310500220070020400</t>
  </si>
  <si>
    <t xml:space="preserve">Laboró cerca de 2 años y luego de haberse detectado una irregularidad cometida por su  jefe,  quien fue despedida JC,  que él conoció y ocultó,  renunció voluntariamente.  Alega que fue presionado a la renuncia. </t>
  </si>
  <si>
    <t xml:space="preserve">El 11-07-2013 CSJ acepta desistimiento. El 29-05-2013 CSJ admite recurso de casación, ordena correr traslado al recurrente. El 22-02-2013 el Trib. Sup. admite recurso de casación. El 08-02-2013 el ddante. interpuso recurso de casación. Nueva fecha fallo 2a. instancia el 31-01-2013. Nueva fecha fallo 2a. instancia el 28-09-2012. Mediante fallo de tutela del 31-08-2012 se declaró la nulidad del fallo de 2a.instancia por violación del dcho.de defensa del ddante. Resuelve señala agencias en derecho; Auto obedézcase y cúmplase 22-02-2012. Nueva fecha fallo 2a. instancia el 19-01-2012 a las 3:00 pm. Fecha fallo 2a. instancia el 15-12-2011 a las 3:00 pm. El 30-08-2011 pasa al Despacho del Mag. José María Romero. Enviado a los Magistrados de Descongestión el 11-04-2011. Fallo 2a. instancia el 12-03-2010 a las 3:00 pm. Corre traslado a las partes por 05 días para alegatos el 30-11-2009. Radicado en el Trib. Sup. el 25-11-2009. Fecha fallo 2a. instancia el 12-03-2010 a las 3:00 pm. Corre traslado por 05 días para alegatos de conclusión 01-12-2009. Concede recurso de apelación el 13-11-2009. Fallo 1a. instancia el 30-10-2009 a las 5:00 PM. Nueva fecha 4T 19-10-2009. Nueva fecha 4T 30-09-2009. Nueva fecha 4T 01-09-2009 a las 11:00 am. Nueva fecha 4T el 03-08-2009 a las 10:15 am. Nueva fecha 4T 28-04-2009 9:15 AM. Nueva fecha 4T el 16-04-2009 a las 9:15 am. 4T el 03-02-2009. 3T el 12-11-2008 Testimonios. Enviado a Juzgados de descongestión el 20-02-2008. 2T el 12-02-2008 a las 8:15 AM, testimonios. Conciliación 19 de septiembre de 2.007. Demanda contestada 27 de junio 2007 </t>
  </si>
  <si>
    <t>Se trae nuevamente a procesos vigentes ya que mediante fallo de tutela de agosto/2012 se declaró la nulidad del fallo de 2a. instancia por violación del dcho. de defensa del ddante.</t>
  </si>
  <si>
    <t>2013-00168</t>
  </si>
  <si>
    <t>73001310500620130016800</t>
  </si>
  <si>
    <t>El ddado. siendo Cajero de la Sucursal la Quinta en Ibagué, recibió de una usuaria el pago de un impuesto, le impuso su sello de caja pero no lo procesó en los sistemas del Banco ni reportó un sobrante el día de la transacción. Luego de la reclamación del cliente se pudo verificar que efectivamente el Cajero no procesó la transacción el día de los hechos sino que lo hizo varios días después reteniendo el dinero, hecho que aceptó ante la Directora de Servicio.</t>
  </si>
  <si>
    <t>Fecha fallo 2a instancia el 23-07-2013. Fecha fallo 1a. instancia el 10-07-2013. El 10-04-2013 se envairon documentos a la Abogada para presentar la demanda.</t>
  </si>
  <si>
    <t>María Del Rosario Baldiris Silva</t>
  </si>
  <si>
    <t>00225-2009</t>
  </si>
  <si>
    <t>13001310500220090022500</t>
  </si>
  <si>
    <t>REAJUSTE DE PENSIÓN</t>
  </si>
  <si>
    <t xml:space="preserve">El ddante. es jubilado del Banco desde el 28-03-1992 y solicita reajuste de la mesada </t>
  </si>
  <si>
    <t>Lectura fallo del Trib. de Descongestión el 13-06-2013. Enviado a los Magistrados de Descongestión del Trib. Superior de Santa Marta el 27-01-2012. Fecha fallo 1a. instancia el 09-10-2009. 1T Conciliación el 10-09-2009.</t>
  </si>
  <si>
    <t>Vr. diferencias mesadas $41'385.522, vr. indexación de lo dejado de pagar $5'719.788, Costas $9'240.000. Cálculo Actuarial pagado a COLPENSIONES $10'254.455</t>
  </si>
  <si>
    <t>2008-00470</t>
  </si>
  <si>
    <t>13001310500720080047000</t>
  </si>
  <si>
    <t>El demandante instauró acción en contra del Banco de Bogotá y además Banco de Colombia donde manifiesta haber laborado en este último desde el 13 de diciembre de 1972 hasta el día 25 de abril de 1990 y no le figuran dichos reportes ante el ISS.</t>
  </si>
  <si>
    <t xml:space="preserve">Fecha fallo 2a. Instancia el 08-02-2013. Fecha fallo 1a. Instancia el 12-08-2011. Nueva fecha 1T el 15-06-2010 a las 9:00 am. 1T Conciliación el 19-11-2009 a las 10:30 AM. </t>
  </si>
  <si>
    <t>Vr. Condena</t>
  </si>
  <si>
    <t>0053-2010</t>
  </si>
  <si>
    <t>Fue desvinculado el 13 de abril de 2007 porque se evidenció que recibió unas devoluciones de cheques de los cuales no avisó a los clientes, y se le encontaron en su puesto tres títulos valores en custodia que igualmente no había devuelto a los clientes</t>
  </si>
  <si>
    <t>Pendiente aprobacion de costas y archivo del expediente. El 11-02-2013 se hizo la lectura del fallo de 2a. instancia proferido en Descongestión. El  Tribunal de Tunja señaló el 11-02-2013 a las 10:00 am para dar lectura al fallo proferido por la sala de Descongestión. Enviado a los Magistrados de Descongestión del Trib. Sup. de Bogotá el 12-03-2012. Nuestra apoderada presentó apelación el 05-09-2011. Nueva fecha fallo 1a. instancia el 31-08-2011. Fecha fallo 1a. instancia el 05-08-2011 a las 2:00 pm (Aplazada). 1T Conciliación el 07-09-2010 a las 8:30 am. El 12-05-2010 llegó citatorio para notificación, y el 19-05-2010 se enviaron documentos al Abogado.</t>
  </si>
  <si>
    <t>Juan Pablo López Moreno</t>
  </si>
  <si>
    <t>0051-2011</t>
  </si>
  <si>
    <t>63001310500220110005100</t>
  </si>
  <si>
    <t>Solicita el reconocimiento de los aportes a pensión causados en vigencia de su relación laboral que lo fue de 1968 a 1970.</t>
  </si>
  <si>
    <t>Por auto del 14-06-2013 el Tribunal negó el recurso de casación interpuesto por nuestra apoderada. Se presentó el dictamen y el 11-04-2013 se corrió traslado del mismo al Banco. El 13-03-2013 se ordenó un dictamen pericial para determinar la cuantía para recurrir en casación. El Banco interpuso el recurso de casación. Fallo 2a. instancia el 15-02-2013 a las 11:00 am. El 17-07-2012 fallo. El 07-06-2012 juzgamiento. 2T Interrogatorio de partes el 12-10-2011. 1T Conciliación el 08-09-2011. El 17-06-2011 se contestó la demanda y el 28-06-2011 se subsanó la contestación. El 25-03-2011 se recibió citatorio y el 18-05-2011 notificación por aviso pero sin traslado de la demanda.</t>
  </si>
  <si>
    <t>Vr. Condena $18'210.314; costas $850.050</t>
  </si>
  <si>
    <t>00401-2012</t>
  </si>
  <si>
    <t>11001310500220120040100</t>
  </si>
  <si>
    <t>La ddte. fue desvinculada con justa causa porque al realizar la aprobación en bloques de varias tarjetas de crédito alteró la información de igresos de los posibles clientes incrementándola para que pudiesen ser sujeto de ese producto, lo cual incluso aceptó en entrevistas sostenida con los jefes.</t>
  </si>
  <si>
    <t xml:space="preserve">El 14-06-2013 devuelto exp. al Despacho de origen. Fecha fallo 2a. instancia el 21-05-2013. El 02-05-2013 enviado en Consulta al Trib. Superior. 2T Interrogatorios, práctica de pruebas y posible fallo el 23-04-2013 a las 9:00 am. 1T Conciliación el 28-02-2013 a las 2:30 pm. Contestada el 11-09-2012. Notificada el 28-08-2012. El 17-08-2012 se enviaron documentos al Abogado. El 24-07-2012 llegó citatorio. </t>
  </si>
  <si>
    <t>Purificación</t>
  </si>
  <si>
    <t>341-2012</t>
  </si>
  <si>
    <t>11001310501320120034100</t>
  </si>
  <si>
    <t>La ddte. laboró de 1958 a 1987 en Charalá primero y en Bogotá. El ISS le reconoció la pensión pero ella solicita la reliquidación de la pensión pues según ella no se le tuvieron en cuenta los aportes del Banco de Colombia durante la relación laboral</t>
  </si>
  <si>
    <t>El 26-06-2013 aprueba liquidación de costas y ordena archivo del proceso. Fecha fallo 2a. instancia el 10-04-2013. El 19-03-2013 enviado en apelación al Trib. Sup. En la audiencia se decretaron pruebas, se dio oportunidad para alegatos y se dictó fallo absolviendo al ISS y a Bancolombia de las pretensiones de la demanda. 2T el 15-03-2013 Interrogatorios, práctica de pruebas y posible fallo. 1T Conciliación el 27-02-2013 a las 2:30 pm. Notificada el 17-01-2013. El 20-09-2012 llegó citatorio y el 08-10-2012 se enviaron documentos al Abogado. Demanda al ISS y el Juez ordena integrar el litisconsorcio con el Banco el 30-07-2012.</t>
  </si>
  <si>
    <t>2007-0958</t>
  </si>
  <si>
    <t>05001310500220070095800</t>
  </si>
  <si>
    <t>El 04-06-2014 ordena archivo del proceso. El 17-10-2013 CSJ acepta desistimiento y ordena devolver el expediente al Trib. de origen. El 11-09-2013 apoderado del demandante presenta desistimiento del recurso de casación. El 15-08-2013 CSJ admite recurso, reconoce personería al Dr. Juan Carlos Gaviria y continúa traslado por 10 días al recurrente. El 04-07-2012 Sustitución del poder del Dr. GABRIEL JAIME AGUILAR RAMIREZ conferido al Dr. JUAN CARLOS GAVIRIA GOMEZ para actuar como apoderado de la parte recurrente. Ordena traslado al recurrente el 27-06-2012. Demandante presenta dda. de casación 27-06-2012. CSJ admite recurso y corre traslado al recurrente 20-06-2012. Trib. Sup. concede recurso de casación al ddante. 26-03-2012. Nueva fecha fallo 2a. instancia el 18-10-2011 a las 4:00 pm. Fecha fallo 2a. instancia el 30-09-2011 a las 4:00 pm. Magistrada se declara impedida por haber conocido este proceso en primera instancia; se remite al Magistrado Luis Horacio Vélez García el 06-05-2011. Enviado a Magistrados de Descongestión el 13-04-2011. Trib. corre traslado por 05 días para alegatos 15-12-2010.  Concede recurso de apelación al ddante. el 02-11-2010. Fija fecha fallo 1a. instancia para el 06-08-2010 a las 4:30 pm. Corre traslado por 03 días del dictamen pericial 21-07-2010. 2T Interrogatorio de partes el 21-07-2010 a la 1:30 PM. Nueva fecha continuación 1T el 02-06-2010 a las 10:30 am. Continuación 1T el 12-05-2010 a la 1:30 pm (Aplazada). Tribunal revoca auto proferido y declara infundada la excepción 26-03-2010. Fallo del Trib. de la apleación de auto 26-03-2010.  Traslado por 05 días para alegatos 10-03-2009. Integración litisconsorcio con el Ministerio de Hacienda; enviado al Trib. el 08-09-2008 por apelación del ddante. al auto que la ordenó. 1T Conciliación el 10-07-2008 a las 11:00 AM; dispone integrar el contradictorio con el Ministerio de Hacienda; niega reposición interpuesta por el ddante., concede apelación.</t>
  </si>
  <si>
    <t>Camilo Noreña Vargas</t>
  </si>
  <si>
    <t>Civil Cto</t>
  </si>
  <si>
    <t>143-2011</t>
  </si>
  <si>
    <t>El ddte. laboró para el Banco de Colombia del 06-03-1978 al 03-10-1999 y solamente fue afiliado al ISS desde el mes de enero de 1982 por inexistencia de cobertura territorial del ISS y reclamam los aportes a pensión del 78 al 82.</t>
  </si>
  <si>
    <t>El 19-12-2013 se pagaron costas por $2 millones y el 06-12-2013 se pagó cálculo actuarial. Por auto del 21-03-2013 el Tribunal no concedió el recurso extraordinario de casación por considerar que la cuantía de la condena que es la suma de $15'665.967.84 no cumple el requisito. La apoderada del Banco interpuso recurso extraordinarion de casación. Fecha fallo 2a. instancia el 21-11-2012. Fallo 1a. instancia el 23-02-2012. 1T Conciliación el 17-11-2011 a las 9:00 am. El 18-08-2011 llegó citatorio y el 20-09-2011 se enviaron documentos al Abogado</t>
  </si>
  <si>
    <t>Juan Guillermo Herrera Gaviria</t>
  </si>
  <si>
    <t>Vr. Condena $26.188.812. Vr. costas 1a. instancia $2'000.000.</t>
  </si>
  <si>
    <t>2011-01405</t>
  </si>
  <si>
    <t>05001310500920110140500</t>
  </si>
  <si>
    <t>RETROACTIVO PENSIONAL</t>
  </si>
  <si>
    <t>La ddante. reclama el retroactivo pensional al Bco. debido a que el ISS no se lo reconoció por no haberla supuestamente desafiliado de pensiones.</t>
  </si>
  <si>
    <t>Condena al ISS</t>
  </si>
  <si>
    <t>2010-00413</t>
  </si>
  <si>
    <t>05001310501920100041300</t>
  </si>
  <si>
    <t>El ddante. fue despedido cjc por conflicto de intereses al favorecer a una empresa de cobranzas con la cual tiene nexos comerciales, asignándole un mayor cobro de cartera y la mejor.</t>
  </si>
  <si>
    <t>Conciliado en $300'. Agencias en derecho 2a. Instancia $3'</t>
  </si>
  <si>
    <t>643-2012</t>
  </si>
  <si>
    <t>11001310501720120064300</t>
  </si>
  <si>
    <t>La ddte. fue despedida con justa causa por haber procesado mal un pago de un cheque de $87 mil pesos por $87 millones lo que representó una pérdida de $25 millones para el Banco, pues solamente se pudieron recuperar $62 millones, y por no haber certificado un cheque de entidad oficial, razón por la cual este fue devuelto.</t>
  </si>
  <si>
    <t>El 14-08-2013 devuelve exp. al Juzgado de origen. Fecha fallo 2a. instancia el 18-07-2013. 2T el 06-06-2013 a las 2:30 pm Interrogatorios, testimonios y fallo. 1T Conciliación el 12-03-2013 a las 12 m. Tiene por contestada la dda. el 06-02-2013. Notificada el 13-12-2012. El 26-09-2012 llegó citatorio y el 05-10-2012 se enviaron documentos al Abogado.</t>
  </si>
  <si>
    <t xml:space="preserve">Laboral </t>
  </si>
  <si>
    <t>2008-108</t>
  </si>
  <si>
    <t>Fecha fallo 2a. instancia el 21-06-2013. El 16-02-2012 al Despacho para fallo. Se encuentra al Despacho con alegatos sustentación recurso parte demandante. Se encuentra al Despacho en el Tribunal con el Dr. Kennedy. El 28-11-2011 fue asignado al Magistrado Ponente Pedro Pablo Torres. Fecha fallo 1a. Instancia el 14-10-2011. 3T el 13-07-2010 a las 9:00 am para un testigo del demandante y dos del Banco. 2T el 17-02-2010 a las 9:00 am para interrogatorio al dte. y 1 testigo de cada parte. 1T conciliación el 27-08-2009 a las 9:00 am.</t>
  </si>
  <si>
    <t>011-2011</t>
  </si>
  <si>
    <t>68001310500420110001100</t>
  </si>
  <si>
    <t>El ddte. fue desvinculado cjc por haber recibido un recaudo en efectivo por  $3´236.000 y haberlo procesado por $2´236.000 sin haber reportado sobrante alguno y sin que el dinero apareciera.</t>
  </si>
  <si>
    <t>El 22-08-2013 Trib. Sup. devuelve exp. al Juzgado de origen. Fija fecha fallo 2a. instancia el 21-06-2013 a las 11:00 am. El 12-12-2012 el apoderado del ddado. presenta alegatos. En la sentencia el juzgado consideró que el Banco debió adelantar el proceso disciplinario previo a la desvinculación; determinó que el demandante estaba amparado por el fuero  circunstancial con base en su afiliación sindical (¿?), pero solamente se limitó a condenar al pago de la indemnización por despido sin justa causa en cuantía de $35'941,968,56 y al pago de las costas tasadas en 1 smmv. Nueva fecha 3T el 24-05-2012 a las 8:30 am para testigos de la actora y respuesta a oficios. Enviado a los Juzgados de Descongestión. 3T el 06-02-2012 a las 8:30 am para testimonio de Isabel Cristina Porras Vesga (Aplazada). 2T Interrogatorio de partes el 30-11-2011 a las 9:30 am. 1T Conciliación el 03-10-2011 a las 2:30 pm. El 11-05-2011 se dio respuesta a la demanda. Notificada el 13-04-2011. El 18-02-2011 llegó citatorio y el 07-04-2011 se enviaron documentos al abogado.</t>
  </si>
  <si>
    <t>Johonny Emiro Baños Paba</t>
  </si>
  <si>
    <t>2009-00322</t>
  </si>
  <si>
    <t>08001310500320090032200</t>
  </si>
  <si>
    <t>El demandante es empleado activo de la Sucursal Murillo en la ciudad de Barranquilla. Hace parte de la junta directiva de sintrabancol sus pretensiones con la demanda es la de ser nivelado salarialmente debido a que desarrolla el cargo de operador integral de caja y argumenta tener derecho por el escalafon en el que venia desempeñandose.</t>
  </si>
  <si>
    <t>00738- 2009</t>
  </si>
  <si>
    <t>08001310500620090073800</t>
  </si>
  <si>
    <t>El demandante laboró en forma continua desde el 29 de Abril de 1964 hasta el año 1997, tiempo en el cual fue pensionado por el ISS. Alega que tiene derecho a ser jubilado por parte del Banco y que se le pague retroactivo.</t>
  </si>
  <si>
    <t>1 Civil del Cto</t>
  </si>
  <si>
    <t>2010-038</t>
  </si>
  <si>
    <t>El demandante trabajó como supernumerario en Bancolombia - Magangué-, fue desvinculado sin justa causa en el mes de Enero de 2010 y solicita su reintegro argumentando que era parte de la comisión de reclamos de sintrabancol desde el año 1995 y por tal motivo dice tener amapo de fuero sindical.</t>
  </si>
  <si>
    <t>Fecha fallo 2a. instancia el 28-03-2013. Al Despacho desde el 19-12-2011. Fecha fallo 1a. Instancia el 22-09-2011. 1T Conciliación el 22-06-2010. Se contestó la demanda el 26 de Abril de 2010 y se fijó feha para audiencia especial de c.</t>
  </si>
  <si>
    <t>Jorge Eladio Builes Gómez</t>
  </si>
  <si>
    <t>2011-00219</t>
  </si>
  <si>
    <t>13001310500220110021900</t>
  </si>
  <si>
    <t>La funcionaria renunció voluntariamente al banco en el mes de Septiembre de 2006, se fue del pais, y ahora argumenta que el banco no le canceló sus prestaciones sociales en la liquidación definitiva.</t>
  </si>
  <si>
    <t>2013-00534</t>
  </si>
  <si>
    <t>0500131050192013053400</t>
  </si>
  <si>
    <t>La ex empleada renunció y aduce que su renuncia fue provocada. Que padece de trastornos de ansiedad y depresión y que por tal motivo tomó la decisión en un momento de crisis.</t>
  </si>
  <si>
    <t>Se concilió en $38'</t>
  </si>
  <si>
    <t>2012-00350</t>
  </si>
  <si>
    <t>05001310501220120035000</t>
  </si>
  <si>
    <t>La ddante. fue despedida cjc por incrementar en forma irregular y sin tener facultades, los cupos de las TC de su madre, cuyas obligaciones se encuentran en mora de más de 06 meses.</t>
  </si>
  <si>
    <t>487-2010</t>
  </si>
  <si>
    <t>11001310500820100048700</t>
  </si>
  <si>
    <t>La ddte. quien era Asesora Comercial de la Suc. Florencia, fue desvinculada cjc debido a que pasó por alto procedimientos establecidos para la vinculación y conocimiento del cliente, lo cual se evidenció en dos casos particulares en los cuales no se encontraron documentos soportes de los clientes, hechos que fueron objeto de una investigación de Seguridad Bancaria en la Sucursal pues a muchos clientes vincualdos así se les otorgaron sobregiros sin tener cupos, créditos, etc. lo cual repercutió en pérdida para el Banco ya que los clientes no pagaron. La Gerente de la Sucursal también fue desvinculada cjc.</t>
  </si>
  <si>
    <t>El 27-09-2013 devuelve exp. al Despacho de origen. Fecha fallo 2a. instancia el 19-07-2013. El 23-01-2013 al Depacho para sentencia. Nueva fecha fallo 1a. instancia el 31-08-2012. Fecha fallo 1a. instancia el 17-08-2012 (Aplazado). En Bogotá el proceso correspondió al Juzgado 7° de Descongestión. Enviado a los Juzgados de Descongestión el 02-03-2012. En Neiva el 17-01-2012 se evacuó le testimonio de Alvaro Santofimio y se ordenó la devolución de las diligencias al Juzgado de origen. Continuación 4T el 26-01-2012 a las 8:30 am Testigos. 4T el 10-11-2011 a las 8:30 am Testigos (Suspende). 3T Interrogatorio al ddado. el 11-10-2011 a las 8:30 am y Testimonio. 2T Interrogatorio al ddante. el 01-09-2011 a las 8:30 am y Testimonio. Libraron los Despachos Comisorios, se requierió al Banco para que en el término de 10 días hábiles allegara relación de los salarios y prestaciones del último año y el manual de funciones de Asesor Comercial, a los apoderados les concedió el término de 10 días para que allegaran los sobres con las preguntas para los testigos. 1T Conciliación el 14-07-2011 a las 10:30 am. El 14-04-2011 se contestó la demanda. El 15-03-2011 se enviaron documentos al abogado.</t>
  </si>
  <si>
    <t>Karla María Santofimio Salas</t>
  </si>
  <si>
    <t>184-2013</t>
  </si>
  <si>
    <t>11001310500420130018400</t>
  </si>
  <si>
    <t>La demandada es directiva de Sintraenfi Seccional Soacha y en desarrollo de sus funciones de caja en la oficna Banca Colombia del Centro Internacional vendió sin cumplir el proceso establecido un cheque por valor de $42'700.000 con el cual se defraudó al cliente y por lo tanto el Banco tuvo que responderle a este por la cuantía del mismo. Esto como quiera que por ser persona natural la venta del cheque debía hacerse con el cliente presente en la oficna y esta se hizo a un terecro que llevaba carta, además la funcionaria no confirmó el cheuqe.</t>
  </si>
  <si>
    <t>05-02-2014 obedezcase y cumplase lo resuleto por el superior. Por auto del 21-01-2014 se niega la nulidad. El 20-08-2013 enviado al Trib. en apelación del ddante. Fija nueva fecha de audiencia para el 13-08-2013 a las 8:15 am en la cual se dictará la sentencia que en derecho corresponda. Se suspende la realización de la audiencia programada para el 06-08-2013 y se señala el  09-08-2013 a las 2:15 pm para proferir el fallo correspondiente. Se señala audiencia para el 06-08-2013 a las 12:15 pm. Fija nueva fecha de audiencia para el 31-07-2013 a las 3:15 pm con el fin de continuar el trámite del proceso. 1T el 30-05-2013 a las 4:00 pm. Notificada la ddada. y el sindicato mediante aviso el 17-05-2013. El 01-04-2013 se radicó la demanda en la oficina de reparto judicial. El 19-03-2013 se enviaron documentos al Abogado.</t>
  </si>
  <si>
    <t>694-2010</t>
  </si>
  <si>
    <t>73001310500220100069400</t>
  </si>
  <si>
    <t>El ddte. laboró para el Bco. de Colombia de 1974 a 1999 en el municipio de Saldaña en el cual solo hasta el 1° de enenro de 1982 inció la cobertura territorial del ISS y reclama los aportes a pensión por el período en que no existió cobertura.</t>
  </si>
  <si>
    <t>El 11-10-2013 devuelto exp. al Juzgado de origen. El 29-08-2013 lectura fallo 2a. intancia. El 16-08-2013 regresa del Trib. de Descongestión de Bogotá. Nueva fecha fallo 1a. instancia el 31-01-2013. Fecha fallo 1a. instancia el 29-06-2012 (Aplazada - pendiente respuesta oficios). El Juzgado 4° de Descongestión señaló el 18-05-2012 a las 3:00 pm para verificar que las pruebas estén prácticadas y señalar fecha de fallo. Con oficio del 20-02-2012 se informa que el Juzgado Cuarto Laboral de Descongestión del Circuito de Ibague - Tolima avocó conocimiento de este  proceso. Por oficio del 12-02-2012 el proceso fue enviado a descongestión. Pendiente respuesta de las entidades a las cuales se ordenó oficiar, y señalamiento para sentencia de primera instancia.  El 29-08-2011 se recibe oficio de entidad requerida. El 1T Conciliación el 16-06-2011 a las 2:30 pm. El 15-10-2010 llegó citatorio para notificación.</t>
  </si>
  <si>
    <t>2011-00132</t>
  </si>
  <si>
    <t>20001310500120110013200</t>
  </si>
  <si>
    <t>La ex empleada desempeñaba el cargo de Gestor Comercial de Mi Negocio en la ciudad de Valledupar. Tenia un contrato a término fijo y se le notificó su terminación oportunamente. Posterior a ello remitió una carta al Banco informando que se encontraba en estado de embarazo al momento de su despido.</t>
  </si>
  <si>
    <t>Héctor Zeném Sánchez Quintero</t>
  </si>
  <si>
    <t>1323-2010</t>
  </si>
  <si>
    <t>76001310500720100132300</t>
  </si>
  <si>
    <t xml:space="preserve">El ddte. fue despedido cjc por haber recibido $1´000,000 de más de un cliente en una transacción y no reportó el sobrante. </t>
  </si>
  <si>
    <t>El 24-04-2013 en el Trib. se dio lectura al fallo del 28-02-2013 el cual fue favorable al Banco. Por auto del 08-02-2013 el proceso fue enviado a un Magistrado de Descongestión con el fin de que se profiera el fallo de 2a. instancia. Nueva fecha fallo 1a. instancia el 31-07-2012. Fallo 1a. instancia el 29-06-2012 (Aplazado). Pendiente 1T. El 24-03-2011 se contestó la demanda.</t>
  </si>
  <si>
    <t>511-2012</t>
  </si>
  <si>
    <t>73001310500120120051100</t>
  </si>
  <si>
    <t>El ddte. quien es trabajador activo ha reclamado el reconocimiento de una nivelación salarial como Supernumerario pues considera que él está por debajo del reango salarial al que corresponde a este cargo el cual viene ejerciendo desde el 02-08-2001.</t>
  </si>
  <si>
    <t>Fallo 2a. instancia el 11-09-2013 1T Conciliación el 25-06-2013 a las 9:00 am; decreto y práctica de pruebas y posible juzgamiento. El 13-03-2013 se contestó la demanda. El 11-02-2013 llegó citatorio y el 21-02-2013 se enviaron documentos al Abogado.</t>
  </si>
  <si>
    <t>Vr. condena  $16'776.953,08. Vr. costas 1a. instancia $2'500.000. Vr. costas 2a. instancia $579.004,52 (Vr. Total $  19,855,957.60)</t>
  </si>
  <si>
    <t>2011-00218</t>
  </si>
  <si>
    <t>La funcionaria desempeñaba el cargo de cajera en la sucursal Bancolombia ubicada en Ciénaga (Mag), fue despedida con justa causa y posteriormente notificó que se encontraba en estado de embarazo. Pide reintegro a su cargo y pago de indemnización.</t>
  </si>
  <si>
    <t xml:space="preserve">El 09-10-2013 aprueba liquidación de costas. El 15-11-13 archivo del proceso. Fecha fallo 1a. instancia el 15-02-2013. 1T Conciliación el 10-11-2011. Se contestó la demanda. </t>
  </si>
  <si>
    <t>Condenó a pagar la indemnización por despido injusto por valor de $711.433.</t>
  </si>
  <si>
    <t>884-2011</t>
  </si>
  <si>
    <t>41001310500320110088400</t>
  </si>
  <si>
    <t>El ddte. fue despedido con justa causa por haber incurrido en varios errores operativos de descuadres, mal procesamiento de recaudos, de consignación en cheque con pérdida económica para el Banco.</t>
  </si>
  <si>
    <t xml:space="preserve">El 30-01-2014 se archiva el proceso. El 05-12-2013 devuelve exp. al Juzgado de origen. El 31-10-2013 a las 3:25 pm, lectura del fallo de 2a. instancia proferido por el Trib. Sup. de Bogotá. Enviado en Descongestión al Trib. Sup. de Bogotá el 21-05-2013. Al Despacho el 30-01-2013 para fallo. El 21-01-2013 corre traslado a las partes par alegatos. Enviado en Consulta al Trib. el 28-11-2012. Según auto del 19-11-2012 el ddte. no interpuso recurso de apelación  y el proceso subio en consulta al Tribunal. En el fallo declaró probadas las excepciones presentadas por la demandada  y condena en costas a la parte demandante. Fecha fallo 1a. instancia el 13-11-2012. 3T el 08-10-2012 a las 8:30 am testigos del ddte. e interrogatorio al actor. 2T Interrogatorio del ddante. y testigos el 28-08-2012 (No asistió el ddante. al interrogatorio). 1T Conciliación el 18-07-2012. El 16-04-2012 se contestó la dda. El 28-02-2012 se enviaron documentos al Abogado. El 30-01-2012 llegó citatorio. </t>
  </si>
  <si>
    <t>2010-00402</t>
  </si>
  <si>
    <t>13001310500120100040200</t>
  </si>
  <si>
    <t>El demandante es empleado activo del Banco en la ciudad de cartagena. Actualmente ocupa el cargo de Presidente de la junta directiva de sintrabancol sus pretensiones con la demanda es la de ser nivelado salarialmente debido a que desarrolló funciones de Cajero Principal con salario cajero y argumenta tener derecho por el escalafon en el que venia desempeñandose.</t>
  </si>
  <si>
    <t>El 10-12-2013 el Trib. Sup. admite el desistimiento del recurso de casación interpuesto por el ddante. El 02-10-2013 CSJ concede recurso de casación al ddante. El 11-09-2013 el Trib. Sup. de Cartagena admite recurso de casación del ddante. Fecha fallo 2a. instancia 12-06-2013. Fecha fallo 1a. instancia el 12-08-2012. 3T el 24-01-2012 a las 9:30 am testigos. Nueva fecha 1T Conciliación el 14-07-2011 a las 8:30 am. 1T Conciliación el 23-06-2011 a las 10:30 am (Aplazada). El 22-03-2011 se contestó la demanda dentro del término y se está a la espera de que fijen audiencia de concilición.</t>
  </si>
  <si>
    <t>0491-2012</t>
  </si>
  <si>
    <t>76001310501520120049100</t>
  </si>
  <si>
    <t>La ddante. fue despedida con justa causa y reclama la indemnización</t>
  </si>
  <si>
    <t>Fallo 2a. instancia el 15-10-2013. Fallo 1a. instancia el 31-07-2013. Nueva fecha aud. Despacho Comisorio en el Juzgado 4° Laboral de Medellín el 18-04-2013 a las 2:00 pm. Envío memorial el 20-02-2013 solicitando aplazamiento de la aud. para atender el Comisorio. Aud. Despacho Comisorio en el Juzgado 4° Lab. de Medellín el 22-02-2013 a las 10:00 am. 2T el 23-11-2012 testimonio decretado de oficio a las 9:00 am. 1T Conciliación y testigos el 01-10-2012 (Queda pendiente Despacho Comisorio en la ciudad de Medellín para el testimonio del señor JOSE ALVAN HURTADO ARIAS). El 08-08-2012 se contestó la demanda.</t>
  </si>
  <si>
    <t>José Guillermo Úsuga Serna</t>
  </si>
  <si>
    <t>2013-00956</t>
  </si>
  <si>
    <t>05001310500520130095600</t>
  </si>
  <si>
    <t>Aunque el resultado es incierto, el riesgo es probable.</t>
  </si>
  <si>
    <t>La ddante. fue despedida con justa causa y reclama la indemnización.</t>
  </si>
  <si>
    <t>Se concilió en $20'</t>
  </si>
  <si>
    <t>765-2013</t>
  </si>
  <si>
    <t>05001310500520130076500</t>
  </si>
  <si>
    <t>Aunque el resultado es incierto, el riesgo es eventual.</t>
  </si>
  <si>
    <t>La ddante. fue despedida CJC por un descuadre de $10'. Al momento del despido estaba embarazada pero ni ella misma lo sabía; interpuso tutela y le concedieron el pago de la licencia de maternidad, salarios e indemnización especial.</t>
  </si>
  <si>
    <t>Revoca auto del Juzgado, declara probada totalmente la excepción previa de de Cosa Juzgada y ordena el archivo del proceso. Aud. en el Trib. Sup. el 03-03-2014 a las 2:00 pm apelación auto que resolvió excepción previa de cosa juzgada. Nueva fecha 1T Conciliación el 28-01-2014 a la 1:30 pm (El Juzgado declaró probada parcialmente de la excepción previa de Cosa Juzgada respecto al reintegro por encontrar identidad de partes, de causa y de objeto, pero que no ocurrió lo mismo con los salarios dejados de pagar, las vacaciones, cesantía, primas,etc., que no fueron objeto de pretensión y decisión por parte del Juez de tutela. Ambas partes interpusieron recurso de apelación contra el auto que resolvió las excepciones previas).  1T Conciliación el 12-11-2013 a la 1:30 pm (Aplazada). Contestada el 30-08-2013. Notificada el 15-08-2013.</t>
  </si>
  <si>
    <t xml:space="preserve">Terminado. Trib. Sup. revoca auto y declara probada la excepción previa de cosa juzgada. </t>
  </si>
  <si>
    <t>728-04</t>
  </si>
  <si>
    <t>11001310500120040072800</t>
  </si>
  <si>
    <t>Fue despedido CJC en julio 04 pero anteriormente había firmado retiro por mutuo acuerdo  sin que constara la fima de L peynado sino de la gerente como testigo</t>
  </si>
  <si>
    <t>El 20-01-2011 cambio de MP. Desde el 11-08-2010 está a despacho para fallo. El 05-08-2010 se presenta oposición. El 18-06-2010 se presenta demanda de casación. Desde el 19-05-2010 al 01-06-2010 está en traslado al recurrente. Desde el 10-12-2009 está en la Corte a despacho para admisión. Trib. concede recurso de casación 27-10-2009. Recurso de casación el 21-08-2009. Fecha fallo 2a. instancia el 18-08-2009. Enviado al Trib. Sup. Descongestión 11-02-2009. Fija fecha fallo 1a instancia el 30-04-2008 a las 4:15 PM. Devuelto al Juzg. origen para firma de la Stcia. por parte del Juez 04-04-2008. Recurso apelación por parte del Banco 29-01-2008. Fija fecha para fallo el 18-12-2007 a las 11:15 AM. Fija fecha para fallo el 30-11-2007 a las 4:00 PM. 6 diciembre de 2006 cierre debate.  4 octubre 20006 testigos demandante.  26 de septiembre de 2005, 8 :30 a.m. Interrogatorio de parte al demandante.     audiencia de conciliación 24 mayo 2.005</t>
  </si>
  <si>
    <t>Condena al pago de la bonificación pactada en el mutuo acuerdo por $76'194.000 y costas casación $6'</t>
  </si>
  <si>
    <t>247-2013</t>
  </si>
  <si>
    <t>54001310500220130024700</t>
  </si>
  <si>
    <t>Según queja investiga por el área de Seguridad Bancaria el trabajador expidió y cobró de manera indebida los cheques de Gerencia de las cuentas de dos clientes en total de $4'530.000 apropiándose de dichos recursos.</t>
  </si>
  <si>
    <t>00078-2013</t>
  </si>
  <si>
    <t>54001310500420130007800</t>
  </si>
  <si>
    <t>Según queja del cliente investigada por la Gerencia de Seguridad Bancaria, el empleado tomó una tarjeta de crédito que fue abandonada por un cliente en un cajero, le regeneró la clave y realizó tres avances por la suma de un millón de pesos.</t>
  </si>
  <si>
    <t xml:space="preserve"> Se condenó en costas al demandante en $616.000. El 12-02-2014 el fallo del Tribunal quedó ejecutoriado. Fecha fallo 2a. instancia el 04-02-2014. Nueva fecha fallo 1a. instancia 28-10-2013 a las 9:00 am. Se fijó para fecha para fallo el 27-06-2013 a las 9:15 am. pero como el apoderado del demandado propuso la nulidad de lo actuado, el Juzgado al resolvió desfavorablemente  e interpuso recurso contra esta decisión el cual fue concedido en el efecto devolutivo. 1T el 26-04-2013 a las 9:00 am para recepcionar los testimonios solicitados por el Banco. El 19-04-2013 audiencia para contestar la demanda en la cual el demandante y  su apoderado no asistieron razón por la cual declararon la contumacia y dando por no contestada la demanda por el trabajador. Por auto del 20-03-2013 se admite la demanda y se ordena notificar al demandado y a la organización sindical. El 28-02-2013 se presentó la demanda a reparto. El 04-02-2013 se enviaron los docuementos al Abogado.</t>
  </si>
  <si>
    <t>44-00147</t>
  </si>
  <si>
    <t>08001310500220000014700</t>
  </si>
  <si>
    <t xml:space="preserve">El 26-01-2011 al Despacho para fallo. Cambio de MP el 20-01-2011. Desde el 26 de febrero de 2010 esta al despacho para fallo. 01-12-2009 inicia traslado al opositor. 24-11-2009 califica demanda. Desde el 10-08-2009 está a despacho para calificar demanda. Apoderado del Banco sustenta recurso el 17-07-2009. Trib. concede recurso de Casación 19-01-2009. Presentado recurso de Casación del Banco el 16-07-2008. Fallo 2a. instancia el 03-07-2008 a las 5:00 PM. 30 Enero 2006  al despacho de la magistrada  ponente para su estudio. RAD TRIB 17.546 MP. VICENTE D' SANTIS.   Se presento recurso de apelación contra esta sentencia el día 2 de diciembre de 2005, ahora se surte la segunda instancia ante sala laboral del Tribunal Superior de distrito judicial de Barranquilla. Pendiente remisión y radicación en segunda instancia </t>
  </si>
  <si>
    <t>Casa</t>
  </si>
  <si>
    <t>2011- 00564</t>
  </si>
  <si>
    <t>70001310500120110056400</t>
  </si>
  <si>
    <t xml:space="preserve">La ex empleada instauró nuevamente demanda por el no pago de la liquidación que se le estaba debiendo a raíz de su nuevo reintegro. Así mismo, el 19 de Diciembre de 2011, el Banco procedió a consignar a ordenes del juzgado 1° laboral del circuito de sincelejo la suma de $26.584.000, por los conceptos que se le adeudaban a la ex funcionaria. El fallo de 1° instancia salió desfavorable, pero ya el banco cumplió con haber consigando el dinero que se le estaba debiendo. El fallo salió con una diferencia en valores aproximadamente a los $5.000.000 que corresponderían a los meses de "brazos caidos" por no abonar oportunamente su liquidación. </t>
  </si>
  <si>
    <t xml:space="preserve">Se presentaron alegatos para la 2a. instancia los cuales vencieron el pasado 22-05-2013. Se remitió el expediente al Tribunal Superior de descongestión de Santa Marta. El fallo de 1° instancia salió desfavorable, pero el Banco cumplió con haber consigando el dinero que se le estaba debiendo el pasado 19 de diciembre de 2011. El fallo salió con una diferencia en valores aproximadamente a los $5'000.000 que corresponderían a los meses de "brazos caidos" por no haberle pagado oportunamente su liquidación.  </t>
  </si>
  <si>
    <t>00121-2013</t>
  </si>
  <si>
    <t xml:space="preserve">La extrabajadora Ana Karina Sibaja se desempñeaba como Cajera en la ciudad de Montería y fue desvinulada con Justa Causa por incumplir un procedimiento en el pago de cheques por ventanilla, ya que el título que le fue presentado para cobro estaba adulterado y no cumplió con el trámite para determinar la validez del mismo. </t>
  </si>
  <si>
    <t>Vr. condena $2'781.606. No hubo condena en costas</t>
  </si>
  <si>
    <t>697-07</t>
  </si>
  <si>
    <t>11001310500120070069700</t>
  </si>
  <si>
    <t>El Banco es llamado en litisconsoricio junto con el ISS. Trabajó entre 1967 y 1970 en Bogotá y se hicieron aporte al ISS</t>
  </si>
  <si>
    <t>El 15-01-2013 se recibe escrito de sucesión procesal del ISS a COLPENSIONES. Desde el 27-09-2010 está al Despacho para fallo. Desde el 19-08-2010 esta al Despacho para reconocer personería la apoderado del ISS  Jaime Cerón. A despacho para resolver el 02-08-2010. El 30-07-2010 se recibe oposición. El 08-06-2010 se presenta oposición del Banco. El 11-05-2010 reconoce personería a JRHV. Trib. concede recurso de casación al ddante. El 29-10-2009. 21-11-2008 concede apelación al ddado. Fija fecha fallo 1a. Instancia el 07-11-2008. 4T el 28-10-2008. 3T el 20-08-2008 respuesta oficios y se decide si hay inspección jcial. 2T el 17-07-2008. 1T el 17-06-2008.</t>
  </si>
  <si>
    <t>Consuelo Toledo León</t>
  </si>
  <si>
    <t>446-2010</t>
  </si>
  <si>
    <t>11001310501520100044600</t>
  </si>
  <si>
    <t>La ddte. fue desvinculada con justa causa por fallas en el procedimiento de vinculación de clientes y solicitudes de productos de riesgo sin soportes.</t>
  </si>
  <si>
    <t>Luis Joaquín Larrota Barreto</t>
  </si>
  <si>
    <t>242-2011</t>
  </si>
  <si>
    <t>68001310500220110024200</t>
  </si>
  <si>
    <t>La ddte. laboró en el municipio de San Gil del 69 al 89 pero solo fue afiliada al ISS a partir de febrero de 1976 cuando comenzó la cobertura territorial del ISS en esa ciudad , por ello y como el ISS le negó la pensión reclama aportes por esa fecha.</t>
  </si>
  <si>
    <t xml:space="preserve"> Nueva fecha fallo 2a. instancia el 11-09-2015. Nueva fecha fallo 2a. instancia el 13-11-2013 a las 3:00 pm (Aplazado). Fecha fallo 2a. instancia el 14-08-2013 a las 11:00 am (Aplazado). Auto 26-02-2013 resuelve sucesor procesal (Colpensiones). El 25-09-2012 el Tribunal corre traslado para alegar.  Fecha fallo 1a. instancia el 25-05-2012. El 10-05-2012 respuesta a oficios. Correspondió al Juzgado Primero de Descongestión. El  06-03-2012 se  notifica el envío del proceso  a  los Juzgados de Descongestión. Se señaló el 12-03-2012 a las 10:30 am para respuesta a oficio del ISS (fecha en la que asumió los riesgos de IVM en San Gil). Continuación 2T el 14-12-2011 a las 10:30 am incorporación de documentos. 2T el 10-11-2011 a las 10:00 am para incorporará prueba de oficio solicitada al ISS (Suspendida). 1T Conciliación el 21-09-2011 a las 9:30 am. Contestada el 08-08-2011. El 28-06-2011 llegó citatorio y el 12-07-2011 se enviaron documentos al abogado.</t>
  </si>
  <si>
    <t>058-2011</t>
  </si>
  <si>
    <t>Laboró de 1971 a 1990 al servicio del Banco de Colombia pero los aportes en pensiones al ISS se empezaron a hacer el 01-07-1982 con el sistema ALA por inexistencia de cobertura en Melgar.</t>
  </si>
  <si>
    <t>El fallo de 2a. instancia no fue recurrido en casación y por ende está pendiente de la devolución al juzgado de origen. Fallo 2a. instancia el 16-05-2013. La ddte. interpuso recurso de apelación. Fecha fallo 1a. Instancia el 24-08-2012. Por auto del 27-04-2012 se ordenó oficiar al ISS para que indique la fecha de inicio de cobertura en Melgar. 1T Conciliación 21-02-2011. El 28-11-2011 se envió poder y documentos al Abogado.</t>
  </si>
  <si>
    <t>328-2012</t>
  </si>
  <si>
    <t>11001310502020120032800</t>
  </si>
  <si>
    <t>La ddte. fue desvinculada con justa causa como quiera que no observó los procesos establecidos para la cancelación de cuentas colectivas, omisión en virtud de la cual se facilitó un fraude al cliente y al Banco por $200 millones de pesos.</t>
  </si>
  <si>
    <t>El 04-12-2013 auto de obedezcase y cúmplase en el Juzgado y liquida agencias en $589.500 a cargo de la demandante. Fallo 2a. instancia el 16-10-2013. El Abogado del Banco solicitó que se decidiera la tacha propuesta por el apoderado de la demandante y el juez se pronunció dandole el valor probatorio al documento tachado y abteniéndose de imponer sancion a la parte demandante. Enviado al Trib. en consulta el 23-07-2013. Fecha alegatos de conclusión y fallo 1a. instancia el 11-07-2013 a las 11:00 am. 1T Conciliación el 27-06-2013 a las 2:00 pm; fijación del litigio saneamiento y decreto de pruebas. El 06-03-2013 se notificó a la demandada. El 13-02-2013 llegó citatorio y el 21-02-2013 se enviaron documentos al Abogado.</t>
  </si>
  <si>
    <t>493-2012</t>
  </si>
  <si>
    <t>11001310501520120049300</t>
  </si>
  <si>
    <t>El ddte. fue despedido con justa causa por unas alertas de línea ética de permitir el acceso de tramitadores a la Sucursal. Había demandado inicialmente pero el proceso terminó con fallo inhibitorio y por ende vuelve a intentar la acción judicial.</t>
  </si>
  <si>
    <t>El 04-02-2014 aprueba liquidación de costas; archívese. Fallo 2a. Instancia el 02-10-2013. Fecha fallo 1a. instancia el 26-08-2013 a las 3:30 pm. 2T el 12-08-2013 a las 11:00 am. 1T Conciliación el 11-06-2013 a las 2:30 pm. Contestada el 05-04-2013. Notificada el 15-02-2013. El 23-01-2013 llegó citatorio.</t>
  </si>
  <si>
    <t xml:space="preserve">0087- 2009 </t>
  </si>
  <si>
    <t>11001310500520090008700</t>
  </si>
  <si>
    <t>La demandante alega que fue despedida de manera unilateral estando en estado de discapacidad laboral y que el Banco debió solicitar permiso al Ministerio de Proteccion Social para poder terminar su contrato de trabajo.</t>
  </si>
  <si>
    <t xml:space="preserve">En el Tribunal la Magistrada señaló como fecha de decisión para el 28-02-2014. Se encuentra desde el 25-04-2012 al Despacho para Fallo. En el Tribunal correspondió a la Dra. Gilma Leticia Parada y por auto del 16-04-2012 se avocó conocimiento. Por auto del 16-12-2011 se corrigió el valor de la condena a la reliquidación aclarándola en $988,830,oo. Condenaron solamente a la reliquidación de la indemnización por valor de $878,826 indexada, nuestro apoderado interpuso recurso de apelación. El 10-08-2011 se solicitó fijar fecha para fallo, está pendiente. Enviado a Juzgados de Descongestión. 3T el 01-09-2010 a las 12:00 m respuesta a Oficios. Continuación 2T el 03-02-2010 a las 8:15 am. 2T Interrogatorios de partes el 12-11-2009 a las 9:00 am 1T Conciliación el 09-09-2009 a las 11:00 am. El 09-05-2009 el apoderado del Banco contesta demanda. El 01-04-2009 se radica citatorio.  </t>
  </si>
  <si>
    <t>Julián Penagos Correa</t>
  </si>
  <si>
    <t>Vr. condena reliquidación de la indemnización, indexada por $1'736.502,97</t>
  </si>
  <si>
    <t>Fresno</t>
  </si>
  <si>
    <t>417-2010</t>
  </si>
  <si>
    <t>63001310500320100041700</t>
  </si>
  <si>
    <t>Laboró del 14 de marzo de 1967 al 1 de septiembre de 1995, pero fue afiliado al ISS dede abril de 1967 y reclamam el reconocimiento de la pensión del reglamento.</t>
  </si>
  <si>
    <t>Rafael Enrique Caicedo Rodríguez</t>
  </si>
  <si>
    <t>373-2011</t>
  </si>
  <si>
    <t>63001310500220110037300</t>
  </si>
  <si>
    <t>El ddte. laboró de 1956 a 1963 y reclama aportes al ISS para pensión por la época en que laboró, pero por no existir cobertura del ISS el Banco no cotizó.</t>
  </si>
  <si>
    <t>Fecha fallo 2a. instancia el 09-05-2013. El fallo fue apelado tanto por el apoderado judicial del demandante como por el ISS; el demandante argumentó  que le corresponde a Bancolombia reconocer una indemnización sustitutiva por los aportes no realizados. Fecha fallo 1a. instancia el 27-11-2012 (En la aud. se presentaron los alegatos de conclusión y se dictó sentencia absolutoria para Bancolombia, pero se condenó al ISS a pagar como indemnización sustitutiva una cuantía mayor a la cancelada por ellos cuyo pago deberá realizarlo Colpensiones). 1T Conciliación el 05-09-2012 a las 7:30 am, saneamiento y fijación del litigio, práctica de pruebas y fallo.  El 10-05-2012 se contestó la demanda. El 25-04-2012 se envió poder a la Dra. María Clara para que se notifique. Llegó aviso el 24 de abril de 2012. Llegó citatorio el 23 de febrero de 2012</t>
  </si>
  <si>
    <t>Catherine Voly Gómez</t>
  </si>
  <si>
    <t>114-2012</t>
  </si>
  <si>
    <t>El ddte. laboró de noviembre de 1972 a mayo de 1973 en Puerto Boyacá y no le aparecen unos aportes al ISS para pensión esto debido a que no había cobertura territorial en Puerto Boyacá y el Banco no pudo cotizar.</t>
  </si>
  <si>
    <t>El 01-08-2014 se pagó la codena consistente en el cálculo actuarial liquidado por el ISS por valor de $3'659.330. La sala penal de la Corte confirmó el fallo de primera instancia en la tutela. Mediante providencia del 26-03-2014 la Corte concedió la impuganción y ordenó remitir el expediente a la sala de casación penal para los fines pertinentes. La corte en fallo de fecha 05-03-2014 de la sala de casación laboral negó la tutela, por ende propusimos impuganción el 20-03-2014. La Tutela fue enviada el 14-11-2013 mediante oficio Nº 9808 a la Corte Suprema de Justicia. Nuestra apoderada interpuso acción de tutela en contra del fallo, pues le dio trámite de única a un proceso que es de doble instancia. El 30-07-2013 el Tribunal Superior de Ibagué - Sala Laboral, con el voto de dos Magistrados consideró bien negado el recurso, no obstante que se le dió al proceso un trámite que no correspondía. El tercer Magistrado salvó el voto, al considerar que se debió declarar la nulidad de todo lo actuado, y darle al proceso el trámite de única Instancia (El expediente se encuentra en trámite de ser devuelto al Juzgado de origen). El 18-04-2013 se interpuso recurso de Queja contra la decisión del Juez civil de Fresno Tolima, en el sentido de no conceder el recurso de apelación que se interpuso contra la sentencia. Nueva fecha fallo 1a. instancia el 11-04-2013 a las 10:00 am. Nueva fecha fallo 1a. instancia el 20-03-2013 a las 10:00 am (Aplazada - pendiente respuestas oficios a Mintrabajo e ISS). Fecha fallo de 1a. instancia el 27-02-de 2013 a las 9:00 am (Aplazada). 1T Conciliación el 05-12-2012 a las 10:00 am. El 27-09-2012 se contesta la demanda. El 04-09-2012 se efectúa la notificación por aviso de la admisión de la demanda. El 24-08-2012 se enviaron documentos a la Abogada. El 27-07-2012 llegó citatorio.</t>
  </si>
  <si>
    <t>Vr. condena cálculo actuarial ($3'629.704). Vr. Costas $500.000. Costas proc. ejecutivo $150.000</t>
  </si>
  <si>
    <t>2010-01306</t>
  </si>
  <si>
    <t>05001310501220100130600</t>
  </si>
  <si>
    <t>INDEMNIZACION POR MUERTE EN ACCIDENTE DE TRABAJO</t>
  </si>
  <si>
    <t>Aunque el resultado es incierto, el riesgo pasa a eventual.</t>
  </si>
  <si>
    <t>La ddante. era la compañera permanente del fallecido CARLOS ENRIQUE BRAN MORALES quien laboró para José Darío Ortiz Ruíz Subcontratista de Muros y Techos; reclama en solidaridad indemnización por muerte en accidente de trabajo.</t>
  </si>
  <si>
    <t>Terminado por conciliación entre MUROS Y TECHOS y la ddante.</t>
  </si>
  <si>
    <t>2010-01010</t>
  </si>
  <si>
    <t>05001310500420100101000</t>
  </si>
  <si>
    <t>La ddante. fue despedida cjc por suplantación de firmas de clientes en varios formatos de Declaración de Operaciones en Efectivo.</t>
  </si>
  <si>
    <t>Marcell Cestagalli</t>
  </si>
  <si>
    <t>Vr. condena indemnización indexada $232'923.392, costas $46'584.678</t>
  </si>
  <si>
    <t>572-2012</t>
  </si>
  <si>
    <t>11001310500320120057200</t>
  </si>
  <si>
    <t>La ddte. fue despedida con justa casua por incurrir en conflictos de intereses con clientes para beneficio propio y de terceros familaires o cercanos y manipular de manera indebida los productos de una cliente del Banco.</t>
  </si>
  <si>
    <t>El 01-08-2014 se firmó acuerdo con la demandante y su Abogada en virtud del cual se les pagó directamente la condena y las partes acordamos fijar las costas a cargo del Banco en $7' millones de pesos; se solicitaron los recursos correspondientes, la condena indexada equivale a $54'934.142.53 de la cual solicité autorización para pago el 08-07-2014. No se interpuso recurso extraordinario de casación por la cuantía del proceso, se debe pagar la condena. En el fallo de 2a. se condenó al pago de la suma de $48'534.417 la cual deberá indexarse, como indemnización por despido sin justa causa, absolvió de las demás pretensiones, no condenó en costas. Fallo 2a. instancia el 08-04-2014. Desde el 10-02-2014 el expedinete está al Despacho por reparto. Fecha fallo 1a. instancia el 04-02-2014 a las 2:30 pm. Nueva fecha 2T el 30-09-2013 a las 10:00 am para testimonios y fallo. 2T el 20-06-2013 a las 8:30 am para continuación de los testimonios del Banco y fallo (Aplazada). 1T Conciliación el 24-04-2013 a las 10:00 am. (Se evacuaron también los interrogatorios y parte de los testimonios). El 22-02-2013 presenta subsanación de la contestación. El 06-02-2013 inadmite contestación de la dda. Contestada el 30-01-2013. El 14-09-2012 llegó citatorio y el 04-10-2012 se envían documentos al Abogado.</t>
  </si>
  <si>
    <t>Carlos Helí Torres Baquero</t>
  </si>
  <si>
    <t>En 2a. instancia condenó a pagar la indemnización indexada la cual ascendió a $55.503.851.04 . Costas 1a. instancia $7'. Sin costas en 2a. instancia.</t>
  </si>
  <si>
    <t>1266-2011</t>
  </si>
  <si>
    <t>76001310500920110126600</t>
  </si>
  <si>
    <t>Aunque el resultado es incierto, el riesgo pasa a probable por el resultado parcial desfavorable.</t>
  </si>
  <si>
    <t>El ddte. fue despedido con justa causa debido a que sin ser solicitado por el titular en varias ocasiones consultó el saldo de la cuenta de un cliente la cual fue defraudada mediante la venta de un cheque de gerencia por $29 millones, por los cuales el Banco debió responderle a éste.</t>
  </si>
  <si>
    <t>Pendiente devolución del proceso al juzgado de orígen. El 05-08-2014 se aprueban costas en 2a. instancia. La parte vencida no interpuso recurso extraordinario de casación y el 25-07-2014 se liquidaron costas en segunda instancia a cargo del demandante. En el fallo de segunda instancia sí se encontró acreditada la justa causa, se estableció que el proceso displinario no es requisito previo para el despido y se condenó al demandante al pago de $100 mil pesos como costas. El 17-02-2014 concede recurso de apelación al Banco. Fallo 1a. instancia el 31-01-2014. Continuación 4T el 24-06-2013 a las 8:30 am, testimonio. 4T el 17-04-2013 a las 8:30 am testimonios. Continuación 3T el 28-01-2013 a las 8:30 am para testimonio de Ruben dario Posso. 3T Interrogatorio de parte al ddado. el 19-11-2012 a las 8:30 am. 2T Conciliación el 31-07-2012. El 23-08-2012 se aportaron las expensas necesarias para que se surta el Despacho Comisorio en la ciudad de Medellín. 1T Conciliación el 31-07-2012. Proceso remitido al 8° Laboral de Descongestión. Proceso remitido a los Juzgados de Descongestión, pendiente que avoque conocimiento. El 15-11-2011 se contestó la demanda.</t>
  </si>
  <si>
    <t>Javier Jaramillo Álvarez</t>
  </si>
  <si>
    <t>691-2011</t>
  </si>
  <si>
    <t>11001310501420110069100</t>
  </si>
  <si>
    <t>El ddte. fue despedido con justa causa pues como encargado de ejercer el control dual en el abastecimiento, corte y control del cajero automático no realizó adecuadamente ese proceso a su cargo lo que facilitó que el Cajero Principal con quien debía realizar esa actividad en control dual copiara del disco duro del cajero claves de las tarjetas débito y con esa información se defraudara al Banco y a sus clientes.</t>
  </si>
  <si>
    <t>El 14-07-2014 devuelto al Juzgado de origen. Nueva fecha de fallo 1a. instancia el 28-04-2014 a las 12:30 pm. Fecha fallo 1a. instancia el 10-12-2013 a las 11:00 am (Aplazada). Incorpora Despacho Comisorio el 23-05-2013. Fecha aud. Despacho Comisorio en el Juzgado 18 Laboral de Medellín el 18-04-2013 a las 9:30 am. A la espera de la respuesta del Despacho Comisorio.  Aud. Despacho Comisorio el 04-03-2013 en el Juzgado 13 Lab. de Cali. 2T Interrogatorio de partes y testimonios el 25-09-2012. 1T Conciliación el 27-08-2012 (En esta aud. libra Despacho Comisorio N° 20 a los Juzgados Laborales de Medellín). Contestada el 21-03-2012.  El 28-02-2012 se enviaron documentos al Abogado. El 30-01-2012 llegó citatorio.</t>
  </si>
  <si>
    <t>498-2010</t>
  </si>
  <si>
    <t>23001310500320100049800</t>
  </si>
  <si>
    <t>El ex funcionario ingresó al antiguo Banco de Colombia desde el día 19 de Mayo de 1969 hasta el dia 18 de febrero de 1995 (26 años) y solicita el aporte de varios años que debe hacer el Banco y que no tuvo en cuenta.</t>
  </si>
  <si>
    <t xml:space="preserve">Fecha fallo 2a. Instancia el 17-07-2013. Fecha fallo 1a. Instancia el 15-02-2013. 1T Conciliación el 23-05-2011. Se contestó la demanda dentro del término y se está a la espera de que fijen audiencia de concilición. </t>
  </si>
  <si>
    <t>Juan Diego Escobar Arias</t>
  </si>
  <si>
    <t>4 Pequeñas Causas</t>
  </si>
  <si>
    <t>2014-00952</t>
  </si>
  <si>
    <t>05001410500420140095200</t>
  </si>
  <si>
    <t>La ddante. era empleada de SODEXO quien fue despedida sjc, y solicita el reintegro por fuero de salud</t>
  </si>
  <si>
    <t>Oscar Vidal Ortiz Betancur</t>
  </si>
  <si>
    <t>Única</t>
  </si>
  <si>
    <t>530-2012</t>
  </si>
  <si>
    <t>17001310500220120053000</t>
  </si>
  <si>
    <t>La ddte. interpuso demanda para la reliquidacion de prestaciones, la indemnización por despido, la pensión sanción y el reintegro al cargo, y el Juzgado se declaró inhibido para fallar por indebida acumulación de pretensiones y por ende demanda nuevamente.</t>
  </si>
  <si>
    <t xml:space="preserve">Fallo 2a. instancia el 19-08-2014. El 30-07-2014 llegó informe indicando que el proceso está en el Tribunal para fallo. Concede recurso de apelación al ddante. Esto llegó nuevamente al Juzgado, el cual volvió a dictar fallo de 1a. instancia favorable al Banco el 22-11-2013. El Tribunal en providencia del 01-10-2013 declaró la nulidad de lo actuado en la 1a. instancia desde el juzgamiento pues no se corrio traslado para alegar. El Tribunal al momento de desatar el recurso de apelación encontró que había una nulidad por violación al debido proceso por parte del juez de primera instancia, como quiera que el 23-05-2013 hizo un receso hasta el 24-05-2013 para que el apoderado de la parte demandante presentara sus alegatos, lo cual según el Tribunal no podía hacer el juez, y por ende ordenó mediante providencia del 01-10-2013 decretar la nulidad desde la audiencia de trámite y juzgamiento del 23-05-2013 ordenando al juzgado correr traslado a las partes para alegar y profiera sentencia conforme a los recesos autorizados en la ley, respetando  la estructura del proceso oral. Aud. de trámite y de Juzgamiento el 23-05-2013 a las 9:00 am. 1T Conciliación el 01-02-2013 a las 3:00 p.m. El 27-11-2012 se contestó la demanda. El 17 de octubre se enviaron documentos al Abogado. El 11 de octubre de 2012 llego citatorio </t>
  </si>
  <si>
    <t>Condena a pagar $3.902.823. Costas 2a. Instancia $225.000. Reajuste intereses $1'347.958; costas $100.000</t>
  </si>
  <si>
    <t>2011-01389</t>
  </si>
  <si>
    <t>05001310501120110138900</t>
  </si>
  <si>
    <t>La ddante. reclama la nivelación de su salario porque cuando pasó a jornada completa no le multiplicaron x 2 el salario</t>
  </si>
  <si>
    <t>Gustavo A. Mesa Galeano</t>
  </si>
  <si>
    <t>2010-00307</t>
  </si>
  <si>
    <t>05001310500720100030700</t>
  </si>
  <si>
    <t>El ddante. fue despedido cjc por haber reversado varias operaciones en su caja sin autorización y con la clave de otra compañera.</t>
  </si>
  <si>
    <t>El 18-12-2013 Auto avoca conocimiento en virtud del Acuerdo PSAA10-6516 de 2010 y sus posteriores prórrogas. Cambio de MP el 24-01-2012. Enviado a los Magistrados de Descongestión el 19-01-2012. Corre traslado a las partes para alegatos 11-01-2012. Fallo 1a. instancia el 25-04-2011. 4T el 13-04-2011 a la 1:30 pm (Testigos). 3T el 23-03-2011 a las 9:00 am (Testigos). Enviado al Juzgado 1° Laboral Adjunto al 7° Laboral. 2T Interrogatorio de partes el 15-02-2011 a las 2:30 pm. 1T Conciliación el 18-11-2010 a las 10:30 am. Se contestó la dda. el 07-10-2010. Notificada el 24-09-2010.</t>
  </si>
  <si>
    <t>Gerley Portella Torres</t>
  </si>
  <si>
    <t>2014-00496</t>
  </si>
  <si>
    <t>05001310500320140049600</t>
  </si>
  <si>
    <t>El ddante. fue despedido cjc por haber reclamado a Sura por un siniestro con su vehículo que realmente no ocurrió.</t>
  </si>
  <si>
    <t>Conciliado en $60' (Pagado el 12-11-2014)</t>
  </si>
  <si>
    <t>765-2011</t>
  </si>
  <si>
    <t>73001310500120110076500</t>
  </si>
  <si>
    <t>El ddte. laboró del 06-10-1960 al 31-08-1961 al servicio del Banco y solicita el reconocimiento de la pensión por esos 10 meses de servicio.</t>
  </si>
  <si>
    <t>El 22-04-2014 se negó el Recurso de Casación en el Tribunal. Fallo 2a. instancia el 04-03-2014. El 06-06-2013 se envía al Trib. para surtir el recurso de apelación. 2T el 05-06-2013 a las 10:00 am, práctica de pruebas y fallo. 1T Conciliación el 16-04-2013 a las 9:30 am. El 07-02-2013 se contestó la demanda. Notificada el 23-01-2013. El 29-11-2012 se enviaron documentos a la Abogada. El 09-10-2012 llegó citación para diligencia de notificación personal.</t>
  </si>
  <si>
    <t>José Albeiro Castillo Turiago</t>
  </si>
  <si>
    <t>Demandó al ISS, al Ministerio de Defensa, a la Federación Nal. de Cafeteros y a Bancolombia. El Juzgado condenó a COLPENSIONES a pagar la pensión desde 1995 y dispuso que podía repetir contra la Federación Nacional de Cafeteros, Bancolombia, y el Ministerio de Defensa, para obtener los títulos pensionales o reserva actuarial, y la cuota parte pensional por la prestación del servicio en el sector público. Condenó en costas por vr. de $9' a cargo de los 03 demandados.</t>
  </si>
  <si>
    <t>6 Peq. Causas</t>
  </si>
  <si>
    <t>2013-00390</t>
  </si>
  <si>
    <t>76001310500620130039001</t>
  </si>
  <si>
    <t>La ddte. laboró la servicio del Banco en dos etapas, de 1969 a 1970 y de 1970 a 1988 en Santander de Quilichao y posteriormente en Cali, la cobertura del ISS en Santader de Quilichao comenzó en noviembre de 1971 y por ende hay periodos de la relación laboral en los cuales no se hicieron cotizaciones al ISS.</t>
  </si>
  <si>
    <t>El 03-07-2014 se aprueban y liqudian costas y se ordena el archivo del proceso. En la sentencia se condenó a Colpensiones a reliquidar la pensión y pagarle las diferencias pensionales al demandante, esto como quiera que encontró probado que sí hubo cotizaciones en el 71 y del 80 al 82 y por eso se debe aplcair una tasa de reemplazo mayor a la liquidación de la pensión,  así como las costas. Fallo única instancia el 25-04-2014. 2T el 17-03-2014 a las 10:00 am interrogatorio a la demandante. 2T Interrogatorio al ddante. el 19-02-2014 a las 10:00 am (Aplazada). 1T Conciliación el 18-11-2013 a las 10:00 am. El 12-09-2013 llegó citatorio y el 24-09-2013 se envió documentación al Abogado.</t>
  </si>
  <si>
    <t>2008-353</t>
  </si>
  <si>
    <t>68001310500420080035300</t>
  </si>
  <si>
    <t>Fue despedido SJC y  alega que se encontraba en discapacidad al  momento del  despido.  Era hipertenso, no habia adelantado  nigun tramite con la ARP</t>
  </si>
  <si>
    <t>875-2012</t>
  </si>
  <si>
    <t>66001310500120120087500</t>
  </si>
  <si>
    <t>La ddante. laboró de mayo de 1961 a mayo de 1962, esto es por un periodo en que no existía obligación de aportar al ISS y por ende de inexistencia de cobertura territorial.</t>
  </si>
  <si>
    <t xml:space="preserve">El 12-11-2014 envía exp. al Despacho de origen. En el fallo de 2a. instancia si bien se absolvió al Bancolombia revocando la sentencia de 1a. instancia, fue porque a pesar de encontrar el Despacho que el Banco sí tenía el deber de aprovisionamiento de los aportes a pensión por el tiempo de no cobertura, como la actora tenía 1074 semanas ya tenía derecho a la pension en el régimen de transición y porque su IBC era de 1 salario mínimo su pensión no va a ser superior de dicha cuantía y por lo tanto los aportes de Bancolombia no le van a favorecer, estableció que sí hay derecho a la mesada 14 y por lo tanto Colpensiones  debe pagar la suma de $17'967.180 como retroactivo del 01-07-2012 al 31-08-2014; costas a cargo de Colpensiones en un 80% estas son las de 1a. y sin costas en 2a., . Pendiente copia del fallo y si hay casación. Fallo 2a. instancia el 23-09-2014 (En el fallo el Tribunal señaló que  los periodos reclamados no le hacen falta para acceder a la pensión y uno de los Magistrados salvó el voto en el sentido que por los periodos reclamados no hay lugar a condena pues el Banco no estaba obligado a realizar aportes en esas fechas; hubo igualmente salvamento de voto que considera que no hay lugar a condena alguna para ninguna de las partes).  Los apoderados de las partes interpusieron recursos de apelación, el ddte. porque se le negó el derecho a las 14 mesadas, solo ordenando 13, y el Banco por la condena impuesta, el cual fue concedido en el efecto devolutivo. Fallo 1a. instancia el 18-02-2014 (En el fallo la Juez considera que la demandante sí tiene derecho a la pensión y que no hay excusa para que el Banco no le haya cotizado del año 61 al 62 y por ende condenó a Colpensiones a pagarle la pensión desde  el 01-07-2012 en cuantía de un salario mínimo y a pagar un retroactivo de $12'616.000; señala que la demandante sí es beneficiaria del régimen de transición, absuleve a Colpensiones de los intereses moratorios, condena en costas a Colpensiones en un 80% para lo cual las fija en $3'301.200 y en cuanto al Banco declara no probadas las excepciones y nos codena a pagar los aportes para pension a Colpensiones del 08 de mayo de 1961 al 11 de mayo de 1962). 1T Conciliación el 09-12-2013 a las 4:00 pm; desición de excepciones, fijación del litigio, decreto y práctica de pruebas, alegatos y fallo. El 15-07-2013 se contestó la demanda. Se tiene notificada por conducta concluyente a la demandada BANCOLOMBIA, corre traslado por el término de 05 días para la reforma y reconoce personería Jurídica. El 02-07-2013 llegó aviso y este mismo día se enviaron los documentos al Abogado. El 15-04-2013 llegó citatorio. </t>
  </si>
  <si>
    <t>2011-00399</t>
  </si>
  <si>
    <t>18001310500220110039900</t>
  </si>
  <si>
    <t>Se solicita el permiso para despedir al empleado amparado con fuero como directivo seccional de la UNEB porque debitó de un plan semilla de una cliente la suma de $500 mil pesos de manera indebida y cuando la cliente pone la queja, reintegra dicho valor.</t>
  </si>
  <si>
    <t>El 15-05-2013 la sala laboral confirmó la sentencia de 1a. instancia en la tutela. Por providencia del 12-04-2013 la sala civil de la corte remitio el expediente a la sala laboral. Mediante auto del 21-03-2013 se concedió ante la sala de casación civil de la Corte Suprema de Justicia la impugnación interpuesta por nuestro apoderado. Por sentencia del 07-03-2013  se negó por improcedente el amparo. Por providencia del 01-03-2013 se notificó auto de la misma fecha a través del cual el Magistrado se abstuvo de decretrar la práctica de los testimonios  de Leidi Orozco y Henry Losada. El 21-02-2013 nuestro Abogado presentó la acción de tutela y fue repartida a la sala civil del Tribunal Superior de Florencia. Nos condenaron en costas en un 90%. El fallo salio el 12-12-2012 y se continuó el 13 del mismo mes, pero nuestro apoderado no asistió a la audiencia ni tampoco interpuso el recurso de apelación, presentó un memorial indicando que la fecha se la había cambiado verbalmente y que por ello no acudió a la audiencia del 12-12-2012. Continuación aud. fallo 1a. instancia el 13-12-2012 a las 5:00 pm. Fecha fallo 1a. instancia el 12-12-2012 a las 5:00 pm (Suspendida por falla eléctrica). Se fijó el 11-09-2012 para alegatos. Aud. el 28-06-2012 a las 9:00 am Interrogatirio al demandado. Nueva fecha aud. Despacho Comisorio Juzgado 11 Laboral de Medellín el 04-06-2012 a las 9:00 am. Aud. Despacho comisorio Juzgado 11 Laboral de Medellín el 31-05-2012 a las 9:00 am (Aplazada). Pendiente 1T. El 10-06-2011 se envían documentos al abogado.</t>
  </si>
  <si>
    <t>Vr. costas $900.000</t>
  </si>
  <si>
    <t>00309-2014</t>
  </si>
  <si>
    <t>11001310502320140030900</t>
  </si>
  <si>
    <t>Aunque el resultado es incierto, el riesgo se clasifica como eventual.</t>
  </si>
  <si>
    <t>El demandado es trabajador activo y en el proceso de afiliación de una tarjeta preexpedida no realizó el proceso de identificación del cliente por la herramienta Who is Who con lo cual se facilitó un fraude al Banco pro valor de $92'461.000</t>
  </si>
  <si>
    <t>Rafael Claret Dueñas Gómez</t>
  </si>
  <si>
    <t>La ddante. es vda. de un exempleado del Banco y está solicitando el pago de aportes que el Banco no efectuó durante su vinculación laboral en el año de 1958 A 1967.</t>
  </si>
  <si>
    <t>Fija fecha fallo 1a. instancia el 30-09-2008. Prueba Pericial el 04-06-2007.SE TIENE PROGRAMADA UNA INSPECCION JUDICIAL PARA EL PROXIMO 21 DE FEBRERO DE 2007.</t>
  </si>
  <si>
    <t>Fernando Rojas Andrade</t>
  </si>
  <si>
    <t xml:space="preserve">No hubo segunda instancia luego del pago por parte de ISS. </t>
  </si>
  <si>
    <t>2007-0626</t>
  </si>
  <si>
    <t>23001310500120070062600</t>
  </si>
  <si>
    <t xml:space="preserve">El demandante interpuso demanda ordinaria contra el ISS y Bancolombia, y solicita el retroactivo desde el mes de Septiembre de 2003 hasta el mesde Octubre de 2005, debido a que este tiempo no le fue reconocido dentro de la resolución del ISS, además manifiesta que el Banco no cumplió con su deber de reportar la novedad de desafiliación. El demandante trabajó con el banco desde el 25 de Julio de 1968 hasta el 30 de Agosto de 1999 y salio por mutuo acuerdo. Cuando ingresó la solicitud para la pensión de vejez ante el ISS, esta le es reconocida solo hasta el mes de Octubre de 2005, siendo que cumplia con el requisito de edad (60 años) en el año 2003. </t>
  </si>
  <si>
    <t>Fallo 1a. Instancia el 06-03-2009. Pendiente 1T</t>
  </si>
  <si>
    <t>Liseth Dayana Galindo Pescador</t>
  </si>
  <si>
    <t xml:space="preserve">No hubo segunda instancia. Se condenó al ISS al pago de las mesadas. </t>
  </si>
  <si>
    <t>682-2011</t>
  </si>
  <si>
    <t>11001310502620110068200</t>
  </si>
  <si>
    <t>El ddte. laboró de 1964 a 1976 en el municipio de Fusagasugá en el cual no existía cobertura territorial del ISS para el riesgo de vejez y reclama del Banco el pago de aportes para pensión por esas fechas.</t>
  </si>
  <si>
    <t>Yoni Estibenson Alarcón Pedroza</t>
  </si>
  <si>
    <t>Estos fallos fueron revocados por la Corte Constitucional mediante tutela, ordenando el pago del cálculo actuarial. Vr. liquidado por Colpensiones $45'405.575</t>
  </si>
  <si>
    <t>606-2013</t>
  </si>
  <si>
    <t>11001310501320130060600</t>
  </si>
  <si>
    <t>La ddte. fue despedida con justa causa por las irregularidades evidencaidas en los trámites de créditos en la Banca Hipotecria los cuales incumplió en su labor de Ejecutiva de Portafolio.</t>
  </si>
  <si>
    <t>El 12-02-2015 Trib. aprueba costas de 2a. instancia. El 28-01-2015 Trib. Sup. niega recurso de casación por la cuantía. Fecha fallo 2a. instancia el 24-07-2014. Se aplazó la audiencia y la fijaron para el 11-04-2014 a las 11:00 am, testimonio y posible fallo. El 26-03-2014 a las 11:00 am testimnio de Luz Alba Cañón. En la audiencia se agotó la etapa conciliatoria, los interrogatorios a las partes, un testigo de la parte demandante y 4 testigos del Banco; la Juez le negó al apoderado la prueba solicitada de los soportes de todos los créditos tramitados del 2010 al 2013 y que representaron fraudes, así como de todos los créditos tramitados por la demandante en el mismo período; el apoderado de la demandante interpuso recurso contra esta decisión, en reposición se negó y el de apelación fue concedido en el efecto devolutivo, debido a ello la Juez estimó que una vez llegara el proceso del Tribunal evacuaría los testimonios de los dos testigos de la parte demandante que no se presentaron y de la testigo del Banco que presentó excusa, pero no señaló fecha. 1T Conciliación el 22-01-2014 a las 2:30 pm, interrogatorio y testimonios. Contestada el 25-11-2013. El 03-10-2013 llegó citatorio y el 23-10-2013 se remitieron los documentos al Abogado, pendiente hoja de vida.</t>
  </si>
  <si>
    <t>723-2010</t>
  </si>
  <si>
    <t>11001310500420100072300</t>
  </si>
  <si>
    <t>La ddte. fue desvinculada con justa causa por transgredir los procedimientos de conocimiento del cliente y circular de malas prácticas como quiera que recibió de terceros tramitadores solicitudes de créditos con documentación falsa, e inconsistente.</t>
  </si>
  <si>
    <t>663-2012</t>
  </si>
  <si>
    <t>11001310503120120066301</t>
  </si>
  <si>
    <t>La ddte. fue despedida el 27 de febrero de 2012 por la acumulación de varios errores en el ejercicio de sus funciones de caja.</t>
  </si>
  <si>
    <t xml:space="preserve">Nueva fecha fallo 1a. instancia el 27-08-2013 a las 2:30 pm. El 01-08-2013 el Despacho de origen reasume el trámite del presente proceso. Fecha fallo 1a. instancia el 01-08- 2013 a las 4:00 pm. Continuación 3T el 24-07-2013 a las 8:30 am. 3T el 28-06-2013 a las 10:00 am. 2T el 19-06-2013 a las 9:00 am. 1T Conciliación el 30-05-2013 a las 2:30 pm. Contestada el 15-04-2013. Notificada el 22-03-2013. El 15-03-2013 se envían documentos al Abogado. El 28-02-2013 llegó citatorio. </t>
  </si>
  <si>
    <t>391-2010</t>
  </si>
  <si>
    <t>11001310500620100039100</t>
  </si>
  <si>
    <t>AUXILIO DE LENTES</t>
  </si>
  <si>
    <t>Los 30 ddtes. pensionados del Banco de Colombia reclaman el auxilio de lentes consagrado en la convención para los empleados con fundamento en la Ley 4a/1976 que extiende los servicios médicos a los pensionados, así como en la cartilla de Beneficios extralegales para pensionados del Banco de Colombia y valiéndose del antecedente que existe del caso de Gustavo Trejos.</t>
  </si>
  <si>
    <t>El 12-04-2014 Trib. Sup. niega recurso de casación. El 14-01-2013 ddantes. interponen recurso de casación. Fecha fallo 2a. instancia el 14-12-2012. Corre traslado a las partes por 05 días para alegatos 22-09-2011. Fallo 1a. instancia el 22-07-2011 a las 11am. Se evacuó la conciliación, no fueron los demandantes,  se negó el interrogatorio, solamente se requirió al Banco para que allegara certificación sobre el pago del auxilio óptico en favor de los ddtes. durante la vigencia del contrato de trabajo y se fijo para fallo el 15-04-2011. 1T Conciliación el 06-12-2010 a las 11: 15. El 02-09-2010 llegó aviso. El 12-08-2010 llegó citatorio para notificación.</t>
  </si>
  <si>
    <t>175-2013</t>
  </si>
  <si>
    <t>11001310502320130017500</t>
  </si>
  <si>
    <t>El ddte. como Gerente de la Sucursal Américas incurrió en conflictos de intereses al permitir el trámite de créditos en al Sucursal que gerenciaba los cuales contenía información inconsistente y falsa y cuyos avalúos habían sido elaborados por una empresa socia de una empresa en la cual la esposa del demandante tiene una participación accionaria del 33%, además estos créditos presentan moras y castigos.</t>
  </si>
  <si>
    <t>El 12-06-2014 Trib. Sup. niega recurso de casación. Fecha fallo 2a. instancia el 08-04-2014. Fecha fallo 1a.instancia el 12-02-2014. 3T el 12-02-2014 a las 2:30 pm. 2T el 18-11-2013 a las 2:15 pm para práctica de pruebas. 1T Conciliación el 18-09-2013 a las 2.:30 pm, (Se decretaron pruebas y se evacuaron los testimonios de las partes). El 27-06-2013 se contestó la demanda. El 30-05-2013 de mayo y 04-06-2013 se enviaron documentos al Abogado. El 29-05-2013 llegó aviso. El 30-04-2013 llegó citatorio.</t>
  </si>
  <si>
    <t>Adolfo de Jesús Mendoza Pretel</t>
  </si>
  <si>
    <t>793-2013</t>
  </si>
  <si>
    <t>11001310500620130079300</t>
  </si>
  <si>
    <t>La demandante fue despedida con justa causa por no seguir el proceso de entregar saldos de cuentas de clientes fallecidos y proceder ella directamente a retirar dineros de la cuenta de un cliente después de su fallecimiento y con el cual ella sostuvo una relación sentimental, alegando que lo hizo porque él le adeudaba unos dineros.</t>
  </si>
  <si>
    <t>Fecha fallo 2a. instancia el 03-10-2014. El 22-07-2014 envío del exp. al Trib. Sup. de Bogotá. Concede recurso de apelación a la parte actora. 1T  Conciliación el 15-07-2014 a las 8:30 am; si fracasa la conciliación se decretan y practican pruebas y de ser posible se lleva a cabo audiencia de juzgamiento. El 26-02-2014 se radicó contestación de la demanda.  El 14-02-2014 se notificó auto admisorio. El 03-02-2014 se enviaron documentos al Abogado. El 24-02-2014 llegó citatorio.</t>
  </si>
  <si>
    <t>Luis Fernando Encinales Parra</t>
  </si>
  <si>
    <t>San Gil</t>
  </si>
  <si>
    <t>2013-00655</t>
  </si>
  <si>
    <t>11001310503120130065500</t>
  </si>
  <si>
    <t>La ddte. fue desvinculada con justa causa como quiera que gestionó créditos y tarjetas de crédito a 19 cliente todos con documentación dudosa e inconsistente, algunos de ellos manifestaron que pagaron comisiones por la gestión del crédito, lo que evidencia la intermediación de terceros tramitadores en el trámite de los créditos.</t>
  </si>
  <si>
    <t>El 02-03-2015 Auto que aprueba liquidación de costas de 2a. instancia. Fecha fallo 2a. instancia el 28-01-2015. Enviado al Trib. Sup. en apelación por el ddante. El 02-09-2014 a las 02:30 pm, evacuar la audiencia prevista por el art. 80 del C.P. del T. y de la S.S., mod. por el art. 12 de la L. 1149 de 2007, se practicarán las pruebas solicitadas; se recibirán alegatos de conclusión y de ser posible se dictará sentencia. El 17-06-2014 llega Despacho Comisorio de Medellín. Auto de 29-04-2014 Teniendo en cuenta que no ha regresado el Despacho Comisorio de la ciudad de Medellín se concede el término de 03 días para que la demandada acredite su trámite. Vencido el término se fijará fecha para recepcionar alegatos y dictar fallo, decisión que se notificará en Estado. El 29-04-2014 a las 10:30 am aud. práctica de pruebas, alegatos de conclusión y se dictará el fallo de 1a. instancia (Aplazada). 27-03-2014 Despacho Comisorio a Juez Laboral (Reparto) de Medellín, para testimonio de Fabio Ruiz. 1T conciliación el 26-03-2014 a las 2:30 pm; decisión de excepciones previas, saneamiento y fijación del litigio. El 16-01-2014 se contestó la demanda. El 05-12-2013 se enviaron documentos al Abogado. El 19-11-2013 llegó citatorio.</t>
  </si>
  <si>
    <t>525-2013</t>
  </si>
  <si>
    <t>11001310501420130052500</t>
  </si>
  <si>
    <t>DESPIDO INDIRECTO</t>
  </si>
  <si>
    <t>La demandate presentó renuncia al cargo la cual fue acepatada el 06-08-2010.</t>
  </si>
  <si>
    <t>Auto del 02-03-2015 aprueba costas de 2a. instancia. Fecha fallo 2a. instancia el 29-01-2015. La apoderada de la parte demandante interpuso recurso de apelación. Nueva fecha 2T el 29-08-2014 a las 10:00 am testimonios y fallo. Nueva fecha 2T el 04-07-2014 a las 11:00 am para los testimonios de Juan Carlos y Claire (Aplazada). 2T el 10-06-2014 a las 2:30 pm para testimonios, alegatos y fallo (Aplazada). 1T conciliación el 20-05-2014 a las 9:30 am; decisión de excepciones previas, saneamiento y fijación del litigio; interrogatorio de partes. El 24-02-2014 contestación demanda. El 03-02-2014 se enviaron documentos al Abogado. El 15 de enero llegó citatorio.</t>
  </si>
  <si>
    <t>197-2014</t>
  </si>
  <si>
    <t>68679310500120140019700</t>
  </si>
  <si>
    <t>El demandante es tranbajador activo, Cajero de la Sucursal San Gil a quien se le suspendió el pago del auxilio de alimentación debido a que se suspendió la jornada contínua en la Sucursal y al ser líder sindical indica que esta siendo desmejorado en sus derechos laborales, por eso adelanta el proceso especial de fuero</t>
  </si>
  <si>
    <t>Fecha fallo 2a. instancia el 26-03-2015. Nueva fecha Aud. de trámite el 16-03-2015 a las 9:00 am, práctica de pruebas y fallo. -conciliación, decreto de pruebas y su práctica, interrogatorio de partes, para de inmediato dictar el fallo. El 05-02-2015 a las 9:00 am Aud. de trámite -conciliación, decreto de pruebas y su práctica, interrogatorio de partes, para de inmediato dictar el fallo (Aplazada).  El 19 de diciembre llegó citarorio y el 5 de enenro se envían documentos al abogado</t>
  </si>
  <si>
    <t>136-2013</t>
  </si>
  <si>
    <t>25899310500120130013600</t>
  </si>
  <si>
    <t>El ddte. siendo Gerente de la Sucursal Zipaquirá fue desvinculado con justa causa por haber incurrido en conflicto de interés, haber excedido sus atribuciones de crédito y haber recomendaddo y vincualdo a clientes que no cumplían las condiciones para ser objeto de créditos, quienes posteriormente con prácticas jineteo cubrían créditos de unos y otros con el producto de los aprobados a ellos, y además que a la fecha de informe tenían cartera castigada representando ello una pérdida económica para el Banco.</t>
  </si>
  <si>
    <t>El 20-04-2015 Auto aprueba liquidación de costas. Declara legalmente ejecutoriada la stcia. de 2a. instancia y ordena devolver el expediente al Juzgado de origen.  Fecha fallo 2a. instancia el 12-03-2015. El 17-06-2014 ingresa al Despacho del Magistrado sustanciador para juzgamiento. El fallo fue apelado, pendiente desición de Tribunal de cundinamarca. Se señaló para fallo de 1a. instancia el 08-05-2014. 2T el 07-05-2014 interrogatorio de partes y fallo. 1T Conciliación el 05-03-2014 a las 8:30 am; práctica de pruebas.  . Contestada el 20-09-2013 la demanda. El 26-08-2013 se enviaron documentos al Abogado. El 30-07-2013 llegó citatorio.</t>
  </si>
  <si>
    <t>Honda</t>
  </si>
  <si>
    <t>135-2013</t>
  </si>
  <si>
    <t>11001310500220130013500</t>
  </si>
  <si>
    <t>La dte fue despedida con justa causa por trasngredir los procesos de vinculación conocimiento y actualización de información de los clientes, lo que facilitó la vinculación irregular de un cliente que aportó información inconsistente y falsa lo que puso en riesgo los intereses patrimoniales del Banco representados en la cuantía de la obligación desembolsada a la cliente</t>
  </si>
  <si>
    <t>El 24-04-2014 Auto aprueba liquidación. Fecha fallo 2a. instancia el 20-02-2014.  Aud. trámite y fallo 1a. instancia el 05-11-2013 a las 9:00 am. 1T Conciliación el 26-09-2013 a las 2:30 pm (En la audiencia se declaró a la demandante confesa de los hehos negados en la contestación de la demanda tal como fueron contestados). Notificada el 04-07-2013. El 29-04-2013 llegó citatorio. El 13-06-2013 se enviaron documentos al Abogado.</t>
  </si>
  <si>
    <t>John Jairo Pinzón</t>
  </si>
  <si>
    <t>640-2012</t>
  </si>
  <si>
    <t>11001310502520120064000</t>
  </si>
  <si>
    <t xml:space="preserve">La demandante fue desvinculada con justa causa por consultar información confidencial de un cliente sin que fuese solicitada por éste lo que generó el reclamo respectivo. </t>
  </si>
  <si>
    <t xml:space="preserve">El 22-07-2014 Auto aprueba liquidación. Se ordena el archivo del proceso. Fecha fallo 2a. instancia el 04-03-2014. Fecha fallo 1a. instancia el 20-02-2014. El 28-11-2013 se celebró audiencia en la cual declaró Wilson Panche, se presentaron alegatos y se fijó para fallo de primera instancia para el 10-02-2014. El 13-11-2013 Juzgado Once Laboral de Medellín allega Despacho Comisorio. El 06-11-2013 Aud. Despacho Comisorio en el Juzgado 11 Laboral de Medellín a la 1:15 pm. Elaboración Despacho Comisorio a Juzgado Laboral de Medellín el 23-08-2013. 1T Conciliación el 22-08-2013 a las 10:30 am. Contestada el 05-04-2013. Notificada el 14-03-2013. El 12-02-2013 llegó citatorio y el 20-02-2013 se enviaron documentos al Abogado. </t>
  </si>
  <si>
    <t>047-2007</t>
  </si>
  <si>
    <t>Fue despdida JC el  16 de enero de 2007 por  tramitar y entregar una TC sin autorizacion del gerente, en fresno</t>
  </si>
  <si>
    <t>El 13-06-2016 se pagaron las costas. PROCESO TERMINADO. El 25-09-2009 al Despacho para fallo. El 17-09-2009 se presenta oposición por parte del Banco.  El 12-05-2009 al Despacho para reconocer personería jurídica al apoderado del recurrente. Trib. concede recurso de Casación al ddante. Fecha fallo 2a. instancia el 28-11-2008. 1 audiencia 10 septiembre 2007. demanda contestada el 10 agosto de 2007.</t>
  </si>
  <si>
    <t>Ignacio Giraldo Velásquez</t>
  </si>
  <si>
    <t>Condena al pago de la indemnización legal por vr de $37.892.524,06, la cual se debe indexar al momento del pago, más perjuicios morales tasados en $10'. Agencias en Derecho CSJ $2'500.000. Vr. costas 1a. Instancia $5'287.663.</t>
  </si>
  <si>
    <t>2013-01630</t>
  </si>
  <si>
    <t>05001310500820130163000</t>
  </si>
  <si>
    <t>La ddante. fue despedida cjc porque le colgaba las llamadas a los clientes y las reportaba como caidas por problemas técnicos</t>
  </si>
  <si>
    <t>2010-00040</t>
  </si>
  <si>
    <t>05001310500820100004000</t>
  </si>
  <si>
    <t>Aunque el resultado es incierto, el riesgo se califica como eventual</t>
  </si>
  <si>
    <t>La ddante. fue despedida cjc por aprobar un crédito excediendo sus facultades y por incumplimiento de procedimientos en la activación de tarjetas de crédito sin ser entregadas a los clientes.</t>
  </si>
  <si>
    <t>Ruth Marcela Lizarazo Sánchez</t>
  </si>
  <si>
    <t>Condena al pago de la indemnización por vr. de $23'931.956 debidamente indexada. Costas 2a. Instancia $717.958. Vr. total $35'154.959</t>
  </si>
  <si>
    <t>2014-01541</t>
  </si>
  <si>
    <t>05001310500720140154100</t>
  </si>
  <si>
    <t>LEVANTAMIENTO DE FUERO</t>
  </si>
  <si>
    <t>La demandada es empleada activa a quien COLPENSIONES le reconcoció la pensión de vejez</t>
  </si>
  <si>
    <t xml:space="preserve">El 05-06-2015 a las 2:00 pm continuación Aud. de conciliación, decisión de excepciones previas, saneamiento, fijación del litigio, decreto de pruebas, trámite y juzgamiento. El 20-05-2015 a las 2:00 pm continuación Aud. de conciliación, decisión de excepciones previas, saneamiento, fijación del litigio, decreto de pruebas, trámite y juzgamiento (Por incapacidad médica del apoderado de la ddada., el Despacho deja sin validez esta aud. y programa una nueva). Nueva fecha 1T Conciliación el 06-03-2015 a las 2:00 pm, decisión de excepciones previas, saneamiento, fijación del litigio y decreto de pruebas  trámite y juzgamiento (El apoderado de la demandada apeló el auto que denegó la excepción de prescripción). 1T Conciliación el 20-11-2014 a las 9:00 am, decisión de excepciones previas, saneamiento, fijación del litigio y decreto de pruebas  trámite y juzgamiento (Aplazada porque no se han notificado ni la empleada ni el sindicato).  El 17-10-2014 Admite la presente demanda especial de levantamiento de fuero sindical y permiso para despedir. Ordena notificar. </t>
  </si>
  <si>
    <t>Andrés Felipe Fetiva Ríos</t>
  </si>
  <si>
    <t>El Banco actúa como demandante. Costas a cargo de la demandada: 1a. instancia $322.175, 2a. instancia $200.000, costas por apelación de Auto $100.000</t>
  </si>
  <si>
    <t>568-2013</t>
  </si>
  <si>
    <t>11001310503120130056800</t>
  </si>
  <si>
    <t>El ddte. fue despedido por hacer mal uso de la tarjeta de crédito empresarial en lo relativo a las legalizaciones y solicitudes de anticipos pues los pedía con mucha antelación, no los legalizaba completos y admitió utilizar parte de esos recursos para envairlo a sus hijos.</t>
  </si>
  <si>
    <t>El 12-08-2015 aprueba liquidación de costas y ARCHIVO. El 18-06-2015 traslado liquidación de costas en Tribunal. Fallo 2a. instancia el 21-05-2015. El 20-06-2014 al Despacho de la Mag. LUCY STELLA VASQUEZ SARMIENTO por reparto. 2T el 11-06-2014 a las 2:45 pm testigos de ambas partes; probablemente haya fallo. 1T Conciliación el 22-04-2014 a las 8:30 am; interrogatorio de parte y recepción de testimonio de David Abella. El 30-01-2014 se contestó la demanda. El 18-12-2013 se enviaron documentos al Abogado. El 20-11-2013 llegó citatorio.</t>
  </si>
  <si>
    <t>Ordinario U.I.</t>
  </si>
  <si>
    <t>Municipal Pequeñas Causas</t>
  </si>
  <si>
    <t>2015-0161</t>
  </si>
  <si>
    <t>SUSPENSION SANCION DISCIPLINARIA</t>
  </si>
  <si>
    <t>El demandante pretende se deje sin valor ni efecto la sanción disciplinaria de 2 días de suspension</t>
  </si>
  <si>
    <t>El 17-06-2015 se lleva a cabo audiencia de contestación demanda y fallo de única instancia.</t>
  </si>
  <si>
    <t>NA</t>
  </si>
  <si>
    <t>Guillermo León Toro García</t>
  </si>
  <si>
    <t>Vr. condena costas $644.350</t>
  </si>
  <si>
    <t>2010-00282</t>
  </si>
  <si>
    <t>05001310500620100028200</t>
  </si>
  <si>
    <t>La ddante. fue despedida cjc por suplantación de clientes en la solicitud de 03 TC, las cuales utilizó en beneficio propio.</t>
  </si>
  <si>
    <t>Fecha fallo 2a. instancia el 27-03-2015. El 18-12-2013 Auto avoca conocimiento en virtud del Acuerdo PSAA10-6516 DE 2010 y sus posteriores prórrogas. Cambio de MP el 06-02-2012. Enviado a los Magistrados de Descongestión el 24-01-2012. Fecha fallo 1a. instancia el 31-03-2011 a las 4:45 pm. Enviado a Juez 2° Adjunto al 6° Laboral para fallo 03-03-2011. 4T el 03-03-2011 a las 2:00 pm Testigos. 3T el 03 de febrero de 2011 a las 9:00 am, Testigos. 2T Interrogatorio de partes el 24-11-2010 a las 9:00 am. 1T Conciliación el 24-09-2010 a las 9:00 am.</t>
  </si>
  <si>
    <t>Condena al pago de la indemnización por vr. de $19'425.000 debidamente indexada. Costas 1a. instancia $3'885.000. Costas 2a. instancia $644.350.</t>
  </si>
  <si>
    <t>2011-00242</t>
  </si>
  <si>
    <t>05045310575120110024200</t>
  </si>
  <si>
    <t xml:space="preserve">El ddante. trabajó en el Banco de Colombia en Apartadó del del 28-07-1976 al 16-03-1995, pero solo hubo cobertura del ISS a partir del 01-01-1982 y está solicitando las cotizaciones por la época de no cobertura del ISS. </t>
  </si>
  <si>
    <t>Fecha fallo 1a. instancia el 03-10-2014 a las 4:30 pm. 2T Interrogatorio de parte el 29-08-2014 a la 1:30 pm. Nueva fecha 1T el 04-08-2014 a la 1:30 pm. Nueva fecha 1T Conciliación el 07-12-2011 a las 2:30 pm (Suspendida-pendiente notificación del ISS). 1T Conciliación el 09-11-2011 a la 1:30 pm (Aplazada).</t>
  </si>
  <si>
    <t>Condena costas 1a. Instancia $2'</t>
  </si>
  <si>
    <t>2015-00024</t>
  </si>
  <si>
    <t>05001310501620150002400</t>
  </si>
  <si>
    <t>La ddante. fue despedida cjc por haber participado e invitado a participar a otros compañeros del Banco, en una pirámide. Solicita el reintegro por fuero circunstancial de Sintraenfi.</t>
  </si>
  <si>
    <t>Alirio Mahecha Acero</t>
  </si>
  <si>
    <t>Conciliado en $21'5</t>
  </si>
  <si>
    <t>059-2013</t>
  </si>
  <si>
    <t>11001310501120130005900</t>
  </si>
  <si>
    <t>La ddte. fue desvincualda con justa causa por no haber realizado el control dual en una operación de trasaldo de efectivo a la bóveda, no haber estado al tanto de la recepción de una consignación por $100 millones, descuido que facilitó la pérdida de $10 millones de pesos que debió asumir la Sucursal.</t>
  </si>
  <si>
    <t xml:space="preserve">El 09-09-2015 devolución al Despacho de origen. El 24-08-2015 aprueba liquidación de costas. Fecha fallo 2a. instancia el 24-07-2015. Concede recurso de apelación a la ddante. El 11-02-2014 al Despacho para estudio. Fecha fallo 1a. instancia el 07-02-2014 a las 9:00 am (Aplazada). El 30-01-2014 interrogatorio de partes, testimonios y fallo 1a. instancia a las 9:00 am. 1T Conciliación y trámite el 08-10-2013 a las 4:00 pm. Contestada el 12-07-2013. Notificada el 27-06-2013. El 19-06-2013 se enviaron documentos al Abogado externo. El 17-04-2013 llegó citatorio. </t>
  </si>
  <si>
    <t>Leidy Vásquez Germán</t>
  </si>
  <si>
    <t>595-2013</t>
  </si>
  <si>
    <t>11001310500520130059500</t>
  </si>
  <si>
    <t>La ddte. fue desvincualda con justa causa por omitir informar a sus superiores de una mala práctica que se estaba adelantado en la Sucursal donde ella laboraba como Directora de Servicio, relacionda con el cobro de comisiones por referencia de productos por parte del Gerente a las Ejecutivas.</t>
  </si>
  <si>
    <t>El 30-11-2015 Auto aprueba liquidación de costas y ordena archivo. El 20-08-2015 devolución al Juzgado de  origen. Fallo 2a. instancia el 17-06-2015. El 27-08-2014 se envió al superior para surtirse el grado jurisdiccional de consulta. El 27-08-2014 a las 8:15 am audiencia para alegatos y fallo. 1T Conciliación el 05-05-2014 a las 9:30 am. El 16-01-2014 se contestó la demanda. El 10-12-2013 nuestra Abogada se notificó de la demanda. El 31-10-2013 llegó citatorio y el 20-11-2013 se envían documentos al Abogado.</t>
  </si>
  <si>
    <t>0609-2009</t>
  </si>
  <si>
    <t>23001310500220090060900</t>
  </si>
  <si>
    <t>El demandante trabajó en el Banco de Colombia en el período comprendido entre Enero de 1968 y Julio de 1993.</t>
  </si>
  <si>
    <t>El 01-07-2015 se profiere sentencia en CASACION y dispone NO CASAR la sentencia recurrida a favor de Bancolombia. Al Despacho el 13-05-2014 para fallo. El 05-02-2013 renuncia al poder apoderado del ISS. El 15-01-2013 recibe memorial del ISS solicitando sucesión procesal a COLPENSIONES. Desde el 28-06-2011 está al despacho para fallo. El 26-05-2011 se presentó oposición en la Corte. El 12-05-2011 inició traslado al opositor Bancolombia, vence el 01-06-2011. El ddante. interpuso recurso de Casación. Fecha fallo 2a. instancia el 28-05-2010. Fija fecha fallo 1a. instancia el 29-01-2010. 1T Conciliación el 07-09-2009. Se contestó la demanda el día 11 de Agosto de 2009, a la espera de que fijen fecha para audiencia de conciliación.</t>
  </si>
  <si>
    <t>546 - 2000, 42367</t>
  </si>
  <si>
    <t>Cambio de MP el 20-01-2011. El 21-04-2010 al Despacho para fallo. El 12 de abril de 2010 se presenta oposición en la Corte por parte de nuestro abogado, El 9 de diciembre inicia el traslado al recurrente, 1 de diciembre admite y core traslado, Llego a la Corte y desde el 25 de septiembre esta al despacho para admisión, Sigue en estudio la apelación en el Trib. según informe de la Abo. externa del 17-12-2008. 11-11- 2004 sube despacho Magistrado Ponente para su estudio, Rad. Trib. 19.647 MP. María Olga Henao. 6-08-2004 se presentó recurso de apelación contra esta sentencia,  ahora se surte la segunda instancia ante la Sala Laboral del Tribunal Superior de Distrito Judicial de Barranquilla y se encuentra el proceso en trámite de radicación ante el Tribunal Superior para efectos de estudio del recurso</t>
  </si>
  <si>
    <t>571-2012</t>
  </si>
  <si>
    <t>76001310501220120057100</t>
  </si>
  <si>
    <t xml:space="preserve">La ddte. fue despedida con justa causa por haber incurrido en varios errores operativos en el desarrollo de sus funciones, los cuales constituyen reiteración de so conducta pue scon anterioridad se le adelantaron disciplinarios y recomendaciones a pesar de los cuales siguio cometiendo irregularidades tal como se evidencia en al JC </t>
  </si>
  <si>
    <t>El 15-07-2015 envío de exp. al Juzgado origen. Fecha fallo 2a. instancia el 27-05-2015. 2T el 26-01-2015 a las 8:15 am, testimonios y fallo. Nueva fecha para testimonios e interrogatorio el 02-05-2014 a las 11:30 am. 1T Conciliación el 08-10-2013 a las 9:00 am, decreto de pruebas (Aplazada). Notificada el 20-06-2013. El 20-03-2013 se enviaron documentos al Abogado.</t>
  </si>
  <si>
    <t>Julio javier Leyton Portilla</t>
  </si>
  <si>
    <t>Charala</t>
  </si>
  <si>
    <t>2010-00531</t>
  </si>
  <si>
    <t>05001310500620100053100</t>
  </si>
  <si>
    <t>La ddante. fue despedida cjc por faltante de $160´ en los Cajeros Electrónicos de la Sucursal.</t>
  </si>
  <si>
    <t>00006-2015</t>
  </si>
  <si>
    <t>El demadante incurrió en una causal de despido al solicitar al empleado de Sodexo que le diligenciara una forma 543 de un cliente que le hizo falta con el fin de quedar cuadrado en esos documentos</t>
  </si>
  <si>
    <t>El 19-10-2015 en firme la decisión del Tribunal se desvinculó al trabajador. Fecha fallo 2a. instancia el 30-09-2015. Nueva fecha audiencia el 15-04-2015. Audiencia el 30-01-2015 a las 9:00 am (Contestación de la dda. decisión de excepciones, práctica de pruebas y fallo) [Aplazada por falta de notificación a Sintrabancol]. El 19-01-2015 juzgado admite demanda y ordena notificar al ddado. y al Sindicato. El 18 de diciembre se enviaron documentos al Abogado.</t>
  </si>
  <si>
    <t>0089-2014</t>
  </si>
  <si>
    <t>68167318900120140008900</t>
  </si>
  <si>
    <t>El demandante laboró al servicio del Banco de Colombia en el municipio de Charalá de 1974 a 1992, pero solo hasta 1982 con el sistema ALA se realizaron cotizaciones para los riesgos de IVM al ISS y por ello ha reclamado esos aportes al Banco</t>
  </si>
  <si>
    <t>El 28-09-2015 el Tribunal remite expediente al Juzgado. Fallo 2a. instancia el 11-09-2015. Nueva fecha 2T el 24-04-2015 a las 9:00 am práctica de pruebas y fallo. 2T el 14-04-2015 a las 9:00 am, práctica de pruebas y fallo (Aplazada). 1T Conciliación el 06-03-2015 a las 9:00 am. Contestada el 28-01-2015. El 19-12-2014 se enviaron documentos al Abogado. El 01-12-2014 llegó citatorio.</t>
  </si>
  <si>
    <t>Quibdó</t>
  </si>
  <si>
    <t>2010-00296</t>
  </si>
  <si>
    <t>05088310500120100029600</t>
  </si>
  <si>
    <t>La empleada recibió un dinero de un convenio que no existe en el Banco, y no reportó sobrante en caja.</t>
  </si>
  <si>
    <t>El 16-05-2012 cambio de MP. El 03-02-2012 enviado a los Magistrados de Descongestíón. El 23-01-2012 traslado a las partes por 05 días para alegatos. Radicado en el Trib. Sup. de Medellín el 22-09-2011. 4T el 02-08-2011 a las 8:30 am. Testigos. 3T el 18-07-2011 a las 8:30 am. Testigos. 2T Interrogatorio de partes el 05-07-2011 a las 8:30 am. 1T Conciliación el 16-06-2011 a las 2:00 pm.</t>
  </si>
  <si>
    <t>Álvaro E. Ledezma Rentería</t>
  </si>
  <si>
    <t>Condena a la reliquidación de prestaciones (Vr. pagado $238.665,54). Costas 1a. Instancia $3'000.000.</t>
  </si>
  <si>
    <t>079-2013</t>
  </si>
  <si>
    <t>52001310500320130007900</t>
  </si>
  <si>
    <t>El ddte. laboró de septiembre de 2009 a diciembre de 2012 fecha en la cual fue desvinculado con justa causa por no cumplir la política de vincualción y conocimiento del cliente, no dar cumplimiento a los procesos operativos de manejo de registro de firmas y a las políticas de seguridad de la información.</t>
  </si>
  <si>
    <t xml:space="preserve">El 12-11-2015 se cancela la condena y se acredita al Juzgado. El 09-10-2015 ordena archivo de las diligencias. El 30-09-2015 aprueba liquidación costas. El 23-09-2015 se liquida costas por el Juzgado. Fallo 2a. instancia el 27-05-2015. El 16-07-2014 fue admitido el recurso de apelación. Condena al Banco según el Juez por la falta de inmediatez en la decisión de despedir; se absolvió de la indemnización moratoria y se condenó en costas en un 15% del valor de las condenas, se absolvió de la reliquidación de prestaciones; nuestro Apoderado interpuso recurso de apelación. 2T el 05-05-2014 a las 9:00 am testimonios e interrogatorio, posible fallo. 1T Conciliación el 08-10-2013 a las 9:00 am. Contestada el 30-07-2013. El 10-07-2013 llegó notificación por aviso a la Sucursal en Pasto citando a notificarnos dentro de los 10 días siguientes. El 05-07-2013 se envió la primera parte de documentos al Abogado y el 09-07-2013 el resto. El 04-06-2013 llegó citatorio.  </t>
  </si>
  <si>
    <t>Vr. condena por valor de $5'719.065. Costas 1a. instancia $857.859,75; costas 2a. Instancia $322.175. Vr. total$6'899.099 el cual fue descontado de la provisión.</t>
  </si>
  <si>
    <t>2014-00222</t>
  </si>
  <si>
    <t>27001310500120140022200</t>
  </si>
  <si>
    <t>La ddante. fue despedida sjc. Solicita el reintegro bajo el pretexto de ser madre cabeza de familia</t>
  </si>
  <si>
    <t>El 26-08-2015 Aprueba liquidación de costas y dispone el archivo del exp. Fecha fallo 2a. instancia el 22-07-2015. 2T el 11-06-2015 a las 2:00 pm, interrogatorio de parte a la ddante., alegatos y fallo. 1T Conciliación el 06-05-2015 a las 9:00 am; decisión de excepciones previas, saneamiento, fijación del litigio y decreto de pruebas. Contestada el 25-11-2014. Notificada el 11-11-2014.</t>
  </si>
  <si>
    <t>Gloria Isabel Peña Tamayo</t>
  </si>
  <si>
    <t>La  ddante. ni su apoderado asistieron a la 2T.</t>
  </si>
  <si>
    <t>518-2013</t>
  </si>
  <si>
    <t>11001310503620130051800</t>
  </si>
  <si>
    <t>El ddte. fue despedido con justa causa por pasarse por alto las intrsucciones de su jefe y las recomendaciones de jurídica y solicitar a un compañero bajo engaños que pidiera al área de embargos el desbloqueo de la cuenta para poder debitarle los recursos que él como Auxiliar Integral abonó erradamente a una cuenta que estaba embargada.</t>
  </si>
  <si>
    <t>El 30-11-2015 Auto aprueba liquidación de costas y ordena archivo. El 11-09-2015 devolución al Juzgado de origen. Fecha fallo 2a. Instancia el 15-08-2015. Audiencia para fallo el 22-08-2014 a las 10:30 am, 1T Conciliación el 29-07-2014 a las 10:00 am, pruebas. El 06-02-2014 se contestó la demanda. El 05-12-2013 se enviaron documentos al Abogado. El 18-11-2013 llegó citatorio.</t>
  </si>
  <si>
    <t>Franklin Segundo García Rodríguez</t>
  </si>
  <si>
    <t>474-2012</t>
  </si>
  <si>
    <t>50001310500120120047400</t>
  </si>
  <si>
    <t>La ddte. fue despedida con justa causa en enero de 2012 por reincidencia en incumplimiento en el horario de trabajo y errores operativos.</t>
  </si>
  <si>
    <t>El 04-08-2015 Auto aprueba liquidación de costas, archivar en firme este auto. Fecha fallo 2a. instancia el 04-02-2015. Por auto del 20-11-2013 se admite el recurso de apelación interpuesto por el demandante. El 11-06-2013 al Despacho del Magistrado Rafel Albeiro Chavarro. El 31-05-2013 el proceso entró nuevamente a reparto. El apoderado de al ddte. apeló la sentencia. 2T Interrogatorio de partes, testimonios y posiblemente fallo el 09-04-2013 a las 8:00 am. 1T Conciliación el 11-03-2013 a las 9:00 am. El 27-11-2012 se enviaron documentos a la Abogada. El 22-11-2012 llegó aviso con notificación personal y traslado de la demanda.</t>
  </si>
  <si>
    <t>00022-2013</t>
  </si>
  <si>
    <t>50001310500220130002200</t>
  </si>
  <si>
    <t>La ddte. era Gerente de la Sucursal Maizaro y fue desvinculada con justa causa por que incurrió en conflictos de intereses con unos clientes gerenciados por ella entre los que se encontraba su esposo y su cuñado; no consolidó el grupo de riesgo y les aprobó una serie de operaciones y productos de riesgo los cuales  presentaron moras considerables poniendo en riesgo los intereses patrimoniales del Banco.</t>
  </si>
  <si>
    <t>El 19-11-2015 ordena archivo del exp. El 23-10-2015 Auto aprueba liquidación de costas. Fecha fallo 2a. instancia el 10-02-2015. El 05-05-2014 enviado a Consulta al Trib. Superior. El 20-02-2014 a las 9:50 am audiencia  de pruebas, alegatos sentencia y otros. 1T Conciliación el 25-11-2013 a la 1:30 pm, desición de excepciones, saneamiento del litigio y decreto de pruebas. Por auto del 30-09-2013 se tiene por contestada la demanda. El 11-09-2013 se subsanó contestación y se contestó la reforma a la demanda. La ddte. reformó la demanda dejando solo como principal la ineficacia del despido con su consecuente reintegro y pago de salarios y prestaciones y solicitándo oficio al Banco. Por auto del 03-09-2013 se reconoció personería jurídica a nuestra Abogada externa; se inadmite la contestación de la demanda porque 04 hechos para el Juzgado no fueron contestados el debida forma; se da el término de 05 días para subsanar, se admitió la reforma a la demanda. El 19-07-2013 se contestó la demanda. El 06 y 21-06-2013 llegó citatorio y el 15-07-2013 se enviaron documentos a la Abogada.</t>
  </si>
  <si>
    <t>2011-00423</t>
  </si>
  <si>
    <t>08001310501020110042300</t>
  </si>
  <si>
    <t>La ddante. desempeñaba el cargo de Cajera de la Sucursal Contry Plaza en Barranquilla y fue desvinculada con justa causa por haber extraviado un total de 26 cheques de Gerencia que se encontraban bajo su poder y custodia en el ejercicio de sus funciones.</t>
  </si>
  <si>
    <t xml:space="preserve">El 03-06-2014 archivo del exp. El 22-05-2014 Auto aprueba liquidación de costas. Fecha fallo de 2ª instancia el 24-02-2014. EL 16-05-13 se presentaron los alegatos de conclusión ante el superior. Fecha fallo 1a. instancia el 17-01-2013 a las 4:30 pm. Continuación 4T el 14-08-2012 a las 2:30 pm. 4T Interrogatorio de parte el 05-06-2012 a las 2:00 pm. 3T el 29-05-2012 a las 10:00 am (Testigos). 2T Interrogatorio de parte el 14-05-2012 a las 9:30 am. 1T Conciliación el 26-04-2012 a las 3:00 pm. Contestada el día 09-03-2012.  </t>
  </si>
  <si>
    <t>2013-01244</t>
  </si>
  <si>
    <t>05001310500220130124400</t>
  </si>
  <si>
    <t>Aunque el resultado es incierto, el riesgo pasa a probable.</t>
  </si>
  <si>
    <t>El ddante. fue despedido cjc por haber alterado un correo electrónico de su jefe en el que establecía las condiciones para la aprobación de un crédito. Solicita el reintegro por violación del derecho de defensa al no haberse hecho el proc. disciplinario.</t>
  </si>
  <si>
    <t>Fallo 2a. Instancia el 08-10-2015 a las 2:15 pm. 2T Interrogatorio de partes el 27-01-2015 a las 9:00 am; testimonios y fallo. 1T Conciliación el 18-09-2014 a las 10:30 am. Contestada el 07-03-2014. Notificada el 24-02-2014.</t>
  </si>
  <si>
    <t>Vr. condena indemnización $14'259.834 la cual se debe indexar ($15'839.066). Costas 1a. instancia $3'496.316. Sin costas en 2a. instancia.</t>
  </si>
  <si>
    <t>2014-00197</t>
  </si>
  <si>
    <t>11001310501620140019700</t>
  </si>
  <si>
    <t>La demandada pagó dos avances de tarjetas de crédito por $2'800.000 cada uno sin cumplir a cabalidad el proceso establecido para ello, lo que facilitó la ejecución del retiro el cual fue fraudulento y que representó perdidas para el Banco.</t>
  </si>
  <si>
    <t>El 24-11-2016 Auto dispone archivo. El 14-09-2016 Auto concede apelación sobre liquidación de costas. El 05-07-2016 al Despacho recurso de apelación. El 22-06-2016 Auto resuelve objeción de costas. El 19-11-2015 recepción objeción de costas. El 13-11-2015 Auto ordena correr traslado. El 05-11-2015 Auto obedézcase y cúmplase y liquida costas. Fallo 2a. instancia el 07-10-2015. El 18-09-2015 fallo 1a. intancia no autoriza la terminación del contrato, se apeló por BANCOLOMBIA. A la espera de la decisión del superior, cuando se allegue dicha decisión, se fijará fecha para proferir fallo de 1a instancia. 1T el 05-06-2015 Conciliación a las 9:00 am; decisión de excepciones, fijación del litigio, decreto de pruebas y fallo (Declara no probada excepción previa-concede recurso de apelación en efecto devolutivo-decreta pruebas). 1T el 08-05-2015 Conciliación a las 9:00 am; decisión de excepciones, fijación del litigio, decreto de pruebas y fallo (Aplazada). 1T el 20-02-2015 Conciliación, decisión de excepciones, fijación del litigio, decreto de pruebas y fallo (Aplazada). El 21-08-2014 Sintraenfi y la demandada allegan síntesis de contestación verbal. El 15-08-2014 se notifica Sintraenfi.  El 23-042014 al Despacho por reparto de admision de la demanda. El 09-04-2014 se radicó demanda en oficina de reparto judicial. El 20-03-2014 se enviaron documentos al Abogado.</t>
  </si>
  <si>
    <t>El Banco actúa como demandante.</t>
  </si>
  <si>
    <t>00206-2013</t>
  </si>
  <si>
    <t>08001310500820130020600</t>
  </si>
  <si>
    <t>La ddante. el día 29-01-2013 suscribió un acta de transacción para terminar de mutuo acuerdo el contrato de trabajo con el Banco. En la demanda que presentó aduce que firmó el citado acuerdo sin tener consentimiento pleno de lo que estaba firmando, y que el Banco la indujo a esto.</t>
  </si>
  <si>
    <t>Fallo 2a. instancia el 24-06-2015. El 27-06-2014 el Trib. Sup. avocó conocimiento y admite apelación. Ddante. interpuso recurso de apelación. Fallo el 12-02-2014 a las 2:30 pm. 1T Conciliación y pruebas el 29-11-2013 a las 2:00 pm. Se contestó la demanda el día 10-10-2013. Notificada el 02-10-2013.</t>
  </si>
  <si>
    <t>Gustavo Medina Huertas</t>
  </si>
  <si>
    <t>103-2013</t>
  </si>
  <si>
    <t>11001310501620130010300</t>
  </si>
  <si>
    <t>La ddte. fue despedida con justa causa como quiera que violó la reserva bancaria al consultar sin requerimiento previo alguno en los sistemas del banco a dos funcionarios también de la entidad aceptando que lo hizo por solicitud de un compañero del Banco a quien le suministró la información.</t>
  </si>
  <si>
    <t xml:space="preserve">El 13-01-2015 Auto aprueba liquidación de costas y archivo. Fecha fallo 2a. instancia el 20-08-2014. El 26-11-2013 enviado en consulta al Trib. Sup. El 22-11-2013 a las 10:00 am, continuación audiencia de fallo. El 13-11-2013 a las 8:30 am aud. de trámite y fallo 1a. instancia. 1T Conciliación el 30-09-2013 a las 10:30 am. Contestada el 25-07-2013. El 14-06-2013 se enviaron documentos al Abogado. El 29-04-2013 llegó citatorio. </t>
  </si>
  <si>
    <t>El Guamo</t>
  </si>
  <si>
    <t>705-2012</t>
  </si>
  <si>
    <t>11001310500820120070500</t>
  </si>
  <si>
    <t>La ddte. fue despedida con justa causa debido a que el día 29 de diciembre de 2011 selló mal el canje de la oficina imponiendo el sello del día anterior lo que ocasionó la devolcuión de los todos los cheques por un valor de $6.740'000.000 y reclamaciones de clientes, entre ellos Bayer, a quienes el Banco debió reintegarles el valor de unos intereses.</t>
  </si>
  <si>
    <t>Enviado el 14-05-2013 al Trib. Sup. en apelación. Fecha fallo 1a. Instancia el 10-05-2013 a las 2:30 pm. 1T Conciliación el 03-05-2013 a las 2:30 pm. El 23-01-2013 se enviaron documentos al Abogado. El 15-01-2013 llegó citatorio.</t>
  </si>
  <si>
    <t>Antonio Núñez Ortiz</t>
  </si>
  <si>
    <t>Germán Ricardo Soto Novoa</t>
  </si>
  <si>
    <t>El trabajador incurrió en violación de la reserva bancaria de dos clientes, consultándolos en repetidas ocasiones y entregando dicha información a terceros los cuales utilizaron la información para acosar a los clientes. El ddado. es miembro de la junta directiva de la UNEB seccional Ocaña y por ende tiene fuero sindical.</t>
  </si>
  <si>
    <t>Proceso terminado el 28-10-2014 TRIBUNAL CONFIRMA SENTENCIA QUE AUTORIZA EL DESPIDO. El apoderado del demandado presenta nulidad por no haberse surtido la etapa de concialicón y propone recurso de apelación, el Juzgado niega la nulidad y condena en costas en $250.000 y concede la apelación en el efecto suspensivo. Posteriormente entra a dictar el fallo en desarrollo del cual declara no probadas las excepciones de mérito, ordena el levantamiento del fuero sindical, autoriza el despido y condena en costas al demandado en $616.000. En la misma audiencia la Juez negó las pruebas de testimonios pedidas por el demandante por Despacho Comisorio a otras ciudades, evacuó el interrigatorio al Gerente de la Sucursal y el testimonio de la Directora de Servicio. 1T el 23-04-2014 en la cual se contestó la demanda por el apoderado del demandado, se propusieron excepciones entre ellas la de prescripción y falta de requiistos de la demanda, las cuales fueron negadas por el Juzgado, razón por la cual condenó en costas al demandado en $350.000, el apderado del demandante repuso y apeló la desición, la reposicón se niega y la apelación se concede en el efecto devolutivo. El 20-02-2014 se profirió auto admisorio de la demanda. El 18-02-2014 se presentó demanda en oficina de reparto judicial. El 12-02-2014 se enviaron los documentos a la Abogada.</t>
  </si>
  <si>
    <t>Civl Circuito</t>
  </si>
  <si>
    <t>2007-004600</t>
  </si>
  <si>
    <t>Renunció voluntariamente en abril de 2004 debido a que se encontró un ilícito en la oficina y ella reconoció saber parte de lo que estaba ocurriendo.  Ahora  argumenta que fue presionada a renunciar.</t>
  </si>
  <si>
    <t>El 09-09-2014 envía exp. al Despacho de origen. Según informe del 30-07-2014 aún esta pendiente de sentencia en el Tribunal. El 02-05-2014 se nos infomó que el proceso fue remitido a los Tribunales de descongestión  en Bogotá para sentencia de segunda instancia. Fallo de 1a. instancia el 07-02-2014 a las 2:00 pm (El Juzgado declaró probada la excepción de prescripción). El 17-06-2013 a las 9:00 am testimonio de José Gentil Rodríguez. El 14-03-2013 se había señalado nueva fecha para el testimonio de José Gentil Rodríguez, pero el testigo no asistió. Se fijo para el 30-07-2012 para el testimonio de José Gentil Rodríguez. Se fijó el 09-07-2012 a las 9:00 am para testimonio de José Gentil Rodríguez. Se señaló el día 07-05-2012 a las 9:00 a.m para recepcionar  el testimonio de José Gentil Rodriguez Vasquez por la renuencia del  testigo a comparecer se oficia la comandandante de Policía de Natagaima para que el Sr. Rodríguez sea conducido a dicha deligencia.  Se señaló el 28-09-2011 a las 9:00 am para testimonio de José Gentil Rodríguez. Se señaló el 09-05-2011 a las 9:00 am para testimonio de José Gentil Rodríguez Vásquez (El testigo no asistió y no justificó la no comparecencia en el término concedido). Nueva fecha continuación 4T el 16-03-2011 a las 9:00 am. Continuación 4T el 09-11-2010 a las 9:00 am para testimonios de José Gentíl Rodríguez, Juan Pablo Buriticá y Juan Manuel Rincón Pico, testigos del Banco. Nueva fecha 4T Interrogatorio de partes el 03-08-2010 a las 9:00 am. 4T Interrogatorio de parte al ddado. el 25-03-2010 a las 9:00 am. Se fijo nueva fecha para el 08-10-2009 a las 9:00 am para testimonios de Juan Pablo Buriticá y Juan Manuel Rincón. El juzgado no accedió a practicar los testimonios por despacho comisorio a Bogotá e Ibagué y por lo tanto fue necesario excusar a los testigos y pedir nueva fecha, además porque se enocntraba uno de ellos en vacaciones y otro próximo a salir. 3T el 08-07-2009 a las 9:00 AM. testigos ddado.  2T el 16-12-2008 Testigos ddante. 11 julio 2007 se enviaron documento a abogado  externo en el  espinal. pendiente notificacion</t>
  </si>
  <si>
    <t>110-2007</t>
  </si>
  <si>
    <t xml:space="preserve">El  21 de abril de 2006 fue DCJC por descuadre no  reportado.  Ahora alega que  estaba embarazada al  momento del  despido. </t>
  </si>
  <si>
    <t>Fecha fallo 2a. instancia el 25-07-2013. Por oficio del 05-02-2013 se nos informó que el proceso fue remitido a la sala laboral de Descongestión del Tribunal de Bogotá. El apoderado de la ddte. apeló el fallo. Fecha fallo 1a. instancia el 25-07-2012 a las 3:00 pm (Suspendida - El Juzgado ofició solicitando copia del RIT). Continuación 4T para testimonio el 09-03-2011 a las 9:00 am. 4T el 03-08-2010 a las 11:00 am testimonio. Inspección Judicial en el Banco el 31-03-2009. 3T el 04-12-2008 testigos. 2T Interrogatorio partes el 06-06-2008. 1T conciliación el 26-03-2008</t>
  </si>
  <si>
    <t>609-2013</t>
  </si>
  <si>
    <t>11001310502220130060900</t>
  </si>
  <si>
    <t>La ddte. fue desvincualda con justa causa por gestionar créditos con inconsistencias en la Banca Hipotecaria.</t>
  </si>
  <si>
    <t>El 20-10- 2015 Auto aprueba liquidación de costas, ordena archivo. El 19-08-2015 Auto obedézcase y cúmplase, OJO YA SE PAGO CONDENA. El 05-06-2015 el Tribunal superior de Bogotá confirma la condena en contra de Bancolombia.  Fecha fallo 1a. instancia el 27-04-2015. 2T el 26-03-2015 a las 9:30 am, testigos. Nueva fecha 1T el 07-10-2014 a las 2:30 pm. 1T Conciliación el 10-06-2014 a las 11:30 am. El 10-12-2013 se contestó la demanda.  El 27-11-2013 se enviaron documentos al Abogado. El 25-11-2013 llegó aviso. El 31-10-2013 llegó citario.</t>
  </si>
  <si>
    <t>Vr. condena $68'691.974. Vr. costas $6'443.500</t>
  </si>
  <si>
    <t>879-2013</t>
  </si>
  <si>
    <t>11001310503520130087900</t>
  </si>
  <si>
    <t>El ddte. fue desvincualdo con justa causa por no cumplir los procesos de vinculación y conocimiento del cliente, incurrir en malas prácticas y el proceso de retiro de recursos de Fiducuenta.</t>
  </si>
  <si>
    <t>El 04-05-2015 Auto aprueba liquidación de costas y archivo. El 26-09-2014 el Trib. revoca y absuelve al Banco. Fallo desfavorable al Banco condenando la pago de la indemnización por despido injusto por no haberse probado la priemera causa alegada y la segunda si bien se probó no hubo inmediatez y no se agotó para ninguna el proceso disciplinario previo, también se condenó al pago de las costas; nuestro Abogado interpuso recurso, así como la apoderada del demandante. 2T El 13-06-2014 testimonio de Claudia Patricia Dávila y fallo. Nueva fecha 1T conciliación el 11-04-2014 a las 10:00 am. 1T conciliación el 10-03-2014 a las 2:30 pm; decisión de excepciones previas, saneamiento y fijación del litigio. Contestada el 04-12-2013. El 21-11-2013 el Abogado se notificó de la demanda. El 27-11-2013 llegó nuevo citatorio el cual envío al Abogado. El 14-11-2013 llegó citación del art 315 CPC. El 10-10-2013 llegó citatorio y el 23-10-2013 se enviaron documentos al Abogado.</t>
  </si>
  <si>
    <t>Reversar provisión</t>
  </si>
  <si>
    <t>851-2010</t>
  </si>
  <si>
    <t>11001310501220100085100</t>
  </si>
  <si>
    <t>La ddte. fue desvinculada por haber incurrido en malas prácticas generadas por la venta de bancaseguros posterior a una cancelación de las pólizas de los clientes, lo cual le generó puntos en su plan de gestión comercial.</t>
  </si>
  <si>
    <t>2014-0099</t>
  </si>
  <si>
    <t>08001310501220140009900</t>
  </si>
  <si>
    <t>La ex empleada Saudy Villa desempeñaba el cargo de Director de Servicio de la Sucursal Jumbo Prado en Barranquilla. Fue desvinculada con justa causa. El Banco no canceló oportunamente su liquidación, toda vez que Nómina abonó el valor en un Juzgado de la ciudad de Medellín (juzgado 17° Laboral), y por supuesto dentro de las pretensiones están el reconocimiento de todos los salarios que se le adeuadan a la ddante. por no haber pagado su liquidación de manera oportuna, y además indemnización por despido injusto.</t>
  </si>
  <si>
    <t>Vr. condena $123'480.396 más indexación. Conciliado en $98'784.316</t>
  </si>
  <si>
    <t>2015-00406</t>
  </si>
  <si>
    <t>05001310502120150040600</t>
  </si>
  <si>
    <t>La ddante. fue despedida cjc por incumplir una serie de procedimientos a su cargo, falta de controles, y exceder el tope de efectivo autorizado a la Sucursal.</t>
  </si>
  <si>
    <t>Raúl Humberto Monroy Gallego</t>
  </si>
  <si>
    <t>Armando Rivera Moncaleano</t>
  </si>
  <si>
    <t>Conciliado en $19'5</t>
  </si>
  <si>
    <t>2012-01280</t>
  </si>
  <si>
    <t>05001310502120120128000</t>
  </si>
  <si>
    <t>La ddante. fue despedida cjc por sus reiteradas llegadas tarde a laborar.</t>
  </si>
  <si>
    <t>Fecha fallo 2a. instancia el 09-02-2016. Nueva fecha aud. interrogatorio de parte al ddado. y fallo 1a. instancia el 31-07-2014 a las 9:00 am. Fecha aud. interrogatorio de parte al ddado. y fallo 1a. instancia el 13-03-2014 a las 2:00 pm (Aplazada). El 05-09-2013 se incorporan al exp. Despachos Comisorios (02 CD) del Juzgado Laboral de Quibdó. Aud. Despacho Comisorio en Quibdó el 03-09-2013 a las 9:00 am, testigos de la ddante. Aud. Despacho Comisorio en Quibdó el El 15-08-2013 a las 9:00 am, Interrogatorio a la ddante. y testigos del ddado. 16-07-2013 se envió Despacho Comisorio N° 009 del 26-06-2013 al Juez Laboral (Reparto) de Quibdó. 1T Conciliación, trámite y juzgamiento el 26-06-2013 a las 2:00 pm. (Oportunidad dentro de la cual se decretará y practicará la totalidad de las pruebas y se emitirá sentencia). Contestada el 30-04-2013. Se recibió citación para notificación el 22-03-2013.</t>
  </si>
  <si>
    <t xml:space="preserve"> 09-02-2016</t>
  </si>
  <si>
    <t>José Humberto Escobar Naranjo</t>
  </si>
  <si>
    <t>0063-2013</t>
  </si>
  <si>
    <t>Por el resultado parcial desfavorable, el riesgo pasa a probable.</t>
  </si>
  <si>
    <t>El ddte. laboró al servicio del Banco de Colombia desde 1975 vinculado en el Municipio de Purificación en el cual para esa fecha no existía cobertura terrotorial del ISS para los riesgos de IVM y solo hasta 1982 con el sistema ALA se pudo afiliar, por lo tanto reclama el pago de las cotizaciones correspondientes a ese periodo.</t>
  </si>
  <si>
    <t>El 02-10-2015 el Juzgado aprueba liquidación de costas. El 23-09-2015 Auto obedezcase y cúmplase lo resuelto por el tribunal. Fecha fallo 2a. instancia el 18-08-2015. Nueva fecha 02-12-2014 a las 8:00 am audiencia de trámite y juzgamiento (Condenó a BANCOLOMBIA al pago del cálculo actuarial junto con los intereses de mora por el no pago de los aportes de I.V.M., más las costas y se fijaron como agencias en derecho a cargo del Banco la suma de $2'300.000; se interpueso el recurso de apelación, y fue concedido ante el Tribunal Superior de Distrito Judicial de Ibagué – Sala Laboral). El proceso se suspendió debido a que debe surtirse la notificación a la agencia nacional de defensa jurídica del estado. El 13-05-2014 a las 9:00 am audiencia de juzgamiento (Aplazada). 1T Conciliación el 23-01-2014 a las 9:00 am, decisión de excepciones, saneamiento y fijación del litigio. Contestada el 11-09-2013. El 25-07-2013 se enviaron documentos al Abogado externo.</t>
  </si>
  <si>
    <t>Vr. condena $59’275.900 (Pagada el 12-02-2016). Vr. costas 1a. instancia $2'300.000 (Pagadas el 22-12-2015).</t>
  </si>
  <si>
    <t>2013-00886</t>
  </si>
  <si>
    <t>05001310500820130088600</t>
  </si>
  <si>
    <t>PAGO RETROACTIVO PENSIÓN</t>
  </si>
  <si>
    <t>Al ddante. le fue reconocida por COLPENSIONES la pensión de vejez sin el retroactivo por no haber efectuado la novedad de retiro de dicho riesgo. Él nunca lo solicitó al Banco.</t>
  </si>
  <si>
    <t>Fallo 2a. instancia el 10-11-2015. Se envía a Consulta al Trib. Sup. toda vez que el Abogado del ddante. no apeló. 1T Conciliación el 24-11-2014 a las 3:00 pm; fijación del litigio, decisión de excepciones y decreto de pruebas y fallo. Contestada el 23-10-2014. Notificada el 08-10-2014. El 08-09-2014 se recibe citación para notificación.</t>
  </si>
  <si>
    <t>2013-0359</t>
  </si>
  <si>
    <t>08001310500520130035900</t>
  </si>
  <si>
    <t xml:space="preserve">El ex empleado Jairo Anaya se desempeñaba como Cajero Supernumerario en la ciudad de Barranquila y fue desvinulado CON JUSTA CAUSA por haber presentado un faltante en caja por valor de $5'000.000, el cual se negó categóricamente a cancelar. No se llevó a cabo porceso disciplinario, sino que por el contrario, se tomó la desición de desvincularlo JC. </t>
  </si>
  <si>
    <t xml:space="preserve">Fallo 2a. instancia el 29-07-2015. El 22-09-2014 el Trib. Sup. avocó el conocimiento. Fallo 1a. instancia el 08-04-2014 (El Juzgado denegó todas las pretensiones, únicamente condenaron al pago de $433.808. El apoderado de la parte demandante interpuso recurso de apelación). 1T Conciliación el 08-04-2014 a las 2:30 pm; práctica de pruebas y fallo. Contestada el 20-09-2013. </t>
  </si>
  <si>
    <t>Vr. total condena $9'416.191. Ajuste indexación $289.509, costas 1a. Instancia $689.454, costas 2a. Instancia $898.270</t>
  </si>
  <si>
    <t>685-2009</t>
  </si>
  <si>
    <t>68001310500120090068500</t>
  </si>
  <si>
    <t>Fue despedido con justa causa y solicita indemnización</t>
  </si>
  <si>
    <t>Declarado Desierto</t>
  </si>
  <si>
    <t>Julio Rocha Macía</t>
  </si>
  <si>
    <t>Revoca la condena por perjuicios morales, confirma las demás. Vr. condena indemnización $90'480.000 la cual debe indexarse, $5'895.000 por indemnización moratoria y $5'000.000 por costas.</t>
  </si>
  <si>
    <t>646-2013</t>
  </si>
  <si>
    <t>11001310502620130064600</t>
  </si>
  <si>
    <t>El demadante laboró para el Banco de Colombia de 1954 a 1964 y no fue afiliado al ISS por falta de cobertura. En el año 2005 solictó la pensión sanción la cual le fue reconocida desde febrero de 2002 teniedo en cuenta el cumplimiento de la edad de 60 años y aplicando prescripción; y ahora reclama la indexación de la primera mesada pensional.</t>
  </si>
  <si>
    <t>Fallo 2a. instancia el 12-11-2015. En el fallo se condenó al Banco a indexar la primera mesada pensional pues esta pensión se causó envigencia del CN de 1991, se declaró probada parcialmente la excepción de prescripción desde el 05-08-2010 y por ende se condenó al pago de $21'965.611 por diferencias pensionales hasta mayo de 2014 y a seguir pagando uan mesada de $966.178 para el 2014 y a las costas de esa instancia liquidads en $2'500.000, nuestro apderado apeló el fallo. En la audiencia del 14-05-2014 se evacuó la conciliación, se saneó el litigio, se fijó el litigio, se decretaron pruebas documentales, la excepción de prescripción se defirió para la sentencia, por lo cual nuestro apoderado interpuso recurso de reposición y en subsidio apelación, razón por la cual el proceso fue enviado al Tribunal en el efecto devolutivo y se fijó como fecha para fallo el 25-06-2014 a las 12:15 am. 1T conciliación el 14-05-2014 a las 11:00 am; decisión de excepciones previas, saneamiento y fijación del litigio. Contestada el 27-02-2014. El 14-02-2014 notificación de la demanda. El 24-01-2014 se enviaron documentos al abogado. El 17-01-2014 llegó citatorio.</t>
  </si>
  <si>
    <t>Vr. costas 1a. Inst. $2'5. Vr. retroactivo $14'433.213. Vr. total pagado $16'933.213</t>
  </si>
  <si>
    <t>583-2009</t>
  </si>
  <si>
    <t>13001310500820090058300</t>
  </si>
  <si>
    <t>Por los resultados en ambas instancias a favor del Banco, el riesgo pasa a eventual</t>
  </si>
  <si>
    <t>El ex empleado laboró en el antiguo Banco de Colombia desde el 01 de Septiembre de 1956 hasta el 31 de Octubre de 1963, razón por la cual solicita o reclama el bono pensional.</t>
  </si>
  <si>
    <t>Al Despacho el 04-11-2011. Radicado en el Trib. Sup. el 05-09-2011. Fecha fallo 1a. Instancia el 12-08-2011. 1T Conciliación el 20-06-2011. Se contestó la demanda dentro del término y se está a la espera de que fijen audiencia de concilición.</t>
  </si>
  <si>
    <t>295-2012</t>
  </si>
  <si>
    <t>13001310500620120029500</t>
  </si>
  <si>
    <t>Por los fallos favorables al Banco, el riesgo se reclasifica como eventual.</t>
  </si>
  <si>
    <t>El demandante afirma haber laborado en el antiguo Banco de Colombia en el período comprendido entre 01 de Diciembre de 1950 y 16 de Octubre de 1969. En la carpeta del empleado no reposa información sobre la forma de desvinculación de esta persona. El período laborado fue hace más de 40 años. Así mismo el demandante adjuntó resolución de reconocimiento de pensión que le hizo el ISS. Se espera que fijen diligencia de conciliación.</t>
  </si>
  <si>
    <t>Fecha fallo 1a. instancia el 27-08-2013. Pendiente 1T. Se contestó la demanda y se está a la espera de que se fije fecha para la audiencia de conciliación.</t>
  </si>
  <si>
    <t>124-2014</t>
  </si>
  <si>
    <t>15001310500420140012400</t>
  </si>
  <si>
    <t>El demandante prestó servicios para el Banco de Colombia en el municipio de Toca- Boyacá de mayo de 1974 a octubre de 1987 y por el periodo del 74 al 82 no estuvo afilaido al ISS porque no existía cobertura territorial en ese municipio</t>
  </si>
  <si>
    <t>El 03-12-2015 Auto aprueba liquidación y ordena archivo. El 15-10-2015 Obedézcase y cúmplase lo resuelto por el Superior. El 23-02-2015 enviado al Trib. Sup. en apelación. Continuación 2T el 16-02-2015 a las 2:00 pm; práctica de pruebas y fallo. 2T el 11-11-2014 a las 8:30 am. 1T Conciliación el El 03-10-2014 a las 9:00 am. 31-07-2014 se enviaron documentos al Abogado. El 28-07-2014 llegó aviso del art 29 CPT.</t>
  </si>
  <si>
    <t>Octavio Gil Gámez</t>
  </si>
  <si>
    <t>Costas 1a. Instancia $1'504.500. Costas 2a. instancia  $644.350. Total $2'148.850 pagadas el 23-12-2015. Vr. cálculo actuarial $51'976.070</t>
  </si>
  <si>
    <t>2015-00028</t>
  </si>
  <si>
    <t>15759310500220150025801-</t>
  </si>
  <si>
    <t>El Banco actúa como demandante; aunque el resultado es incierto el riesgo se clasifica como eventual</t>
  </si>
  <si>
    <t>Se debe obtener autorizacion del juez laboral para terminar cto con justa causa por apropiarse de $5' de otra Cajera de la Sucursal. Directivo de Sintrabancol.</t>
  </si>
  <si>
    <t>SE DESVINCULÓ AL TRABAJADOR. Fecha fallo 2a. intancia el 04-05-2016 Tribunal confirma la sentencia que autoriza el despido. El 15-10-2015 se radica en el Trib. 1T el 08-10-2015 a las 9:00 am para práctica de pruebas y fallo.</t>
  </si>
  <si>
    <t>0074-2014</t>
  </si>
  <si>
    <t>11001310500820140007400</t>
  </si>
  <si>
    <t>El demandante fue despedido con justa causa por agredir en las instalaciones del Banco a una empleada con la que tiene una hija, lo cual fe evidenciado por clientes y usuarios.</t>
  </si>
  <si>
    <t>El 29-04-2016 Auto aprueba liquidación de costas. Archivo. El 17-03-2016 Auto obedézcase y cúmplase; al Despacho para liquidar costas. 29/02/2016. Fallo 2a. instancia el 29-01-2016. Concede recurso de apelación al ddante. Fecha fallo 1a. instancia el 25-08-2015 a las 8:30 am. Nueva fecha 1T Conciliación el 12-05-2015 a las 11:30 am; pruebas y fallo. El 02-02-2015 al Despacho. 1T Conciliación el 28-10-2014 a las 11:30 am, pruebas y fallo (Aplazada). Contestada el 24-04-2014. El 28-03-2014 se enviaron documentos al Abogado. El 17-03-2014 llegó citatorio.</t>
  </si>
  <si>
    <t>453-2014</t>
  </si>
  <si>
    <t>11001310500620140045300</t>
  </si>
  <si>
    <t>El demanadnte laboró al servicio del Banco de Colombia del 73 al 96 y afiliado al ISS en 1974 cuando empezó la cobertura; fue desvincualdo con justa causa y demandado por ello, proceso que resultó favorable a la entidad.</t>
  </si>
  <si>
    <t>El 20-06-2016 Auto aprueba liquidación y ordena archivo. El 02-05-2016 devolución al Juzgado de origen. El 06-04-2016 el Tribunal profiere sentencia que confirma absolución al Banco. El 28-09-2015 Trib. admite recurso de apelación. El 11-09-2015 sentencia ABSOLUTORIA, se concede apelación al demandante. 31-08-2015 Obedézcase y cúmplase declara nulidad de la sentencia, señala el 11/09/2015 a las 4:30Pm para audiencia 77 CPT. El 06-07-2015 profiere sentencia de primera instancia ABSOLUTORIA, se concede apelación al demandante. 1T Conciliación el 06-07-2015 a las 8:30 am, saneamiento, decisión de excepciones previas, fijación del litigio y decreto de pruebas. Contestada el 13-01-2015. El 28-08-2014 se enviaron documentos al Abogado.</t>
  </si>
  <si>
    <t>2015-00334</t>
  </si>
  <si>
    <t>05001310500320150033400</t>
  </si>
  <si>
    <t>INDEXACIÓN PRIMERA MESADA</t>
  </si>
  <si>
    <t>El ddante. es jubilado del Banco desde el 08-04-1978; solicita la indexación de la primera mesada e intereses moratorios.</t>
  </si>
  <si>
    <t>Conciliado en $215'</t>
  </si>
  <si>
    <t>369-2013</t>
  </si>
  <si>
    <t>13001310500820130036900</t>
  </si>
  <si>
    <t>La ddante. se desempeñaba como Cajera en la ciudad de Cartagena y fue desvinulado CON JUSTA CAUSA por haber incumplido el proceso de custodia de adhesivos y cheques de Gerencia en el desempeño de su funciones. Por el desempeño que tenía se tomó la decisión de desvincularla CJC</t>
  </si>
  <si>
    <t>El Juzgado declaró no probadas parcialmente las excepciones de fondo de inexistencia de la obligación y compensación. Condenaron al Banco a pagar la suma de $4'568.885 por concepto de indemnización por despido injusto. Se interpuso recurso de apelación por parte del apoderado de Bancolombia. 1T Conciliación el 05-06-2014; práctica de pruebas y fallo. Se contestó la demanda de manera oportuna.</t>
  </si>
  <si>
    <t>Bernardo Nuñez Otálora</t>
  </si>
  <si>
    <t>Vr. condena $4'568.885. Vr. costas $685.332. Vr. total $5'254.217</t>
  </si>
  <si>
    <t>2014-00130</t>
  </si>
  <si>
    <t>15001310500420140013000</t>
  </si>
  <si>
    <t>Aunque el resultado es incierto, el riesgo se pasa como probable por el resultado parcial desfavorable</t>
  </si>
  <si>
    <t>El demandante fue despedido con justa causa por irrespeto y malas relaciones con sus compañeros de tabajo y quejas de servicio de clientes, e incumplimiento de las labores encomendadas.</t>
  </si>
  <si>
    <t>Fecha fallo 2a. instancia el 06-04-2016 (Confirma sentencia). El 27-07-2015 enviado al Trib. en apelación. 2T el 22-07-2015 trámite y juzgamiento. 1T Conciliación el 15-04-2015 a las 2:00 pm. Contestada el 05-03-2015. El 20-10-2014 se enviaron documentos al Abogado.</t>
  </si>
  <si>
    <t>Roberto Cano Jaramillo</t>
  </si>
  <si>
    <t>Vr. condena indemnización $4'331.155,56. Costas 1a. instancia $603.900. Vr. total $4'935.055,56</t>
  </si>
  <si>
    <t>461-2013</t>
  </si>
  <si>
    <t>11001310501220130046100</t>
  </si>
  <si>
    <t>RELIQUIDACION DE INDEMNIZACION</t>
  </si>
  <si>
    <t>La ddte. fue desvinculada sin justa causa cancelándosele la indemnización correspondiente y alega que el valor pagado como indemnización no fue suficiente para cancelar sus obligaciones con el Banco por deudas de tarjetas de crédito y créditos adquiridos. A pesar de que fue trasladada de B/manga. a Valledupar a solicitud de ella, además solicita los gastos de regreso a B/manga., ciudad donde había sido contratada.</t>
  </si>
  <si>
    <t>El 07-07-2016 Auto aprueba liquidación y archivo. El 14-06-2016 devolución al Juzgado de origen. Fecha fallo 2a. instancia el 18-05-2016 a las 9:40 am. El ddante. interpone recurso de apelación. Fecha fallo 1a. instancia el 03-02-2015 a las 2:30 pm (Testigos). 1T Conciliación el 24-09-2014 a las 11:00 am, pruebas y fallo (Ordena librar Despacho Comisorio). El 18-02-2014 se contesta reforma de demanda. El 06-11-2013 reforma de la demanda. Contestada el 30-10-2013. Notificada el 16-10-2013. El 01-10-2013 llegó aviso y ese mismo día se enviaron los documentos al Abogado.</t>
  </si>
  <si>
    <t>Mónica Marcela Cárdenas Álvarez</t>
  </si>
  <si>
    <t>2002-00579</t>
  </si>
  <si>
    <t>76001310500220020057900</t>
  </si>
  <si>
    <t>Se esta demandando solidariamente a Bancolombia por prestaciones sociales, vacaciones, cesantia e interes, moratoria por no consignar cesantia y pensión de sobreviente en caso de Jorge Omairo Leon Ramirez trabajador de contratista</t>
  </si>
  <si>
    <t xml:space="preserve">El 18-10-2017 Auto resuelve abstenerse de adicionar la sentencia. El 14-07-2016 -AL DESPACHO CON SOLICITUD DE ADICION DE SENTENCIA. El 05-12-2011 al Despacho para fallo sin oposición. El 28-10-2011 ordena traslado al opositor Beatriz Gallo. Del 20-09 al 10-10-2011 traslado al opositor María Consuelo B. Ordena traslado al opositor el 14-09-2011. Corre traslado al recurrente 03-08-2011. Reconoce personería al Dr. JRH el 04-04-2011. CSJ admite recurso y ordena traslado al recurrente 25-01-2011. Trib. Sup. concede recurso de casación 25-11-2010. Recurso de Casación interpuesto el 05-08-2010. Alegatos de conclusión el 07-07-2009. El ddante. no interpuso recurso de apelación. Aud. Testimonios 26-02-2009. Aud. Testimonios 20-10-2008. Debate probatorio.  1T - junio  13 de 2.007 </t>
  </si>
  <si>
    <t>Alberto de Jesús Galindo Acosta</t>
  </si>
  <si>
    <t>Se debe reversar la provisión por fallo favorable al Banco en Casación. El Trib. Sup. de Cali declaró la solidaridad basado en una supuesta conexidad entre las obras civiles y el giro ordinario del Banco. Condenó a pagar la pensión de sobrevivientes a cargo de la contratista y el Banco.</t>
  </si>
  <si>
    <t>399-2013</t>
  </si>
  <si>
    <t>73001310500420130039900</t>
  </si>
  <si>
    <t>El ddte. laboró al servicio del Banco de Colombia en el Municpio de Chaparral de 1976 a 1992, Municipio en el cual no hubo cobertura del ISS sino hasta 1982 con el inicio del sistema ALA y ha reclamado del Banco el pago de los aportes por los riesgos de IVM de 1976 a 1981 o el reconocimeinto de la pensión.</t>
  </si>
  <si>
    <t>El 22-09-2016 constancia secretarial se entregan copias auténticas. El 17-08-2016 SE PAGA CÁLCULO ACTUARIAL. El 09-06-2016 aprueba costas y ordena archivo. El 13-05-2016 Auto obedézcase y cúmplase lo resuelto por el superior. El 25-04-2016 niega Recurso de casación a Bancolombia. El 29-02-2016 el Apoderado del Banco interpuso recurso de Casación. Fecha fallo 2a. instancia el 26-02-2016. El 11-06-2015 estando el proceso para la admisión del recurso de apelación interpuesto por el ddante., la Sala Laboral advierte una eventual nulidad que invalide lo actuado dado que la dda. no fue notificada en debida forma a la ANDJE ni al Ministerio Público. El 22-05-2015 aud. de trámite y juzgamiento. El 25-02-2015 a las 9:30 am ofició nuevamente al ISS hoy COLPENSIONES para que alleguen certificación de la fecha en que entró en vigencia la cobertura en el Municipio de Chaparral, y reprogramar la aud. para fallo. El 16-12-2014  envía Oficio N° 3325 al I.S.S. en Liquidación solicitando información (Queda en espera de respuesta). 1T Conciliación el 05-12-2014 a las 3:30 pm. El 15-07-2014 se controló término para comparecer al Ministerio Público. El 04-06-2014  notificación Agente Ministerio Público a la Procuraduría, se le corre traslado de Ley. El 25-02-2014 se efectuó la notificación a la Agencia Nacional de Defensa Jurídica del Estado, en cumplimiento de lo establecido en el art. 612 del C.G.P. concediéndole el térmono de 25 días, para que si a bien lo tiene, se haga parte dentro del proceso. El 10-12-2013 se contestó la demanda. Notificada el 26-11-2013. El 07-11-2013 llegó aviso indicando que tenemos 10 días para notificarnos.</t>
  </si>
  <si>
    <t xml:space="preserve">Modifica y concede indemnización por $12' </t>
  </si>
  <si>
    <t>Vr. cálculo actuarial $45'415.927. Vr. costas $4'136.724</t>
  </si>
  <si>
    <t>171-2011</t>
  </si>
  <si>
    <t>11001310501620110017100</t>
  </si>
  <si>
    <t>Aunque el resultado es incierto y el riesgo se clasificó como eventual en un principio, por el resultado desfavorable parcial se clasifica como probable</t>
  </si>
  <si>
    <t>El ddte. fue pensioando por el BIC a partir del 20 de noviembre de 1993, su pensión fue compartida con el ISS a partir del 01-06-de 2006 razón por la cual el Banco solo paga la diferencia y solicita la actualización del IBL de la pensión con el IPC.</t>
  </si>
  <si>
    <t>El 17-03-2017 APRUEBA LIQUIDACIÓN. El 09-11-2016 al Despacho para liquidar costas. El 19-10-2016 Auto señala Agencias en Derecho en 4 SMLMV. El 13-06-2016 remite expediente al Despacho origen. El 25-05-2016 Corte surte Auto - Acepta desistimiento. El 18-09-2015 Trib. concede recurso de casación a BANCOLOMBIA. El 03-07-2014 se interpuso recurso de casación por el apoderado del Banco. En el fallo de 2a. instancia se revocó la sentencia apelada y se condenó al Banco a indexar la primera mesada pensional del demandante a partir del 25-06-1981 y hasta el 20 de noviembre de 1993 con sus respectivos ajustes legales y mesadas adicionales hasta que se verifique el pago, se declaró probada la excepción de prescripción  por las diferencias pensionales causadas con anterioridad al 08-03-2008 entre lo que debió pagar el Banco y lo pagado por el ISS, absolvió al ISS de las pretensiones incoadas en su contra; costas de 1a. a cargo del Banco y en 2a. no se causaron. En el fallo se declaró probada la excepción de prescripción y se condenó en costas al demandante en cuantía de 1 salario mínimo. Aud. el 17-03-2014 a las 9:00 am para respuesta a oficios. El proceso permanece en Secrearia del Juzgado a la espera del recurso. Tribunal señala fecha 22-03-2013 para resolver apelacion del auto, hasta la fecha no se ha notificado si se realizó la audiencia. Señalan fecha 14-02-2013 ya que no se ha recibido recurso del Tribunal ni expediente administratvo del ISS. 1T conciliación el 16-07-2012 . señanlan fecha para audiencia de respuesta de oficio el 27-09-2012 ya que no se ha recibido recurso del Tribunal ni expediente administrativo del ISS. Por telegrama del 18-01-2012 se nos informó que le proceso fue enviado a Descongestión. Contestada el 19-10-2011. El 05-10-2011 llegó aviso y el 18-10-2011 se enviaron documentos al Abogado.</t>
  </si>
  <si>
    <t>Vr. indexación primera mesada y retroactivo $25'634.224</t>
  </si>
  <si>
    <t xml:space="preserve">1990-28906 </t>
  </si>
  <si>
    <t>11001310500619902890600</t>
  </si>
  <si>
    <t>Cometió irregualridades en el antiguo BIC</t>
  </si>
  <si>
    <t xml:space="preserve">El 21-04-2017 obedézcase y cúmplse, Ordena archivo. El 18-01-2017  no repone Auto que aprueba costas. Se concedió recurso de apelación. El 28-11-2016 Auto liquida y aprueba costas. El 11-10-2016 Auto Obedézcase y Cúmplase. El 29-08-2016 Fijación Edicto Notificación Sentencia. El 22-06-2016 fallo - No casa. El 16-09-2009 al Despacho para fallo. El 21-08-2009 el apoderado del Banco presenta oposición en la CSJ. Del 13-08-2009 al 05-09-2009 en traslado al opositor. 24-06-2009 califica demanda. Del 23-04-2009 al 05-06-2009 en traslado al recurrente. CSJ admite recurso 31-03-2009. Trib. concede recurso de Casación a la ddante. 13-02-2009. Nueva fecha aud. aclaración de stcia. Nueva fecha aclaración de stcia. 23-01-2009. Aud. lectura aclaración de stcia. el 03-12-2008 a las 4:00 PM. Pendiente recurso de Casación ddante. Fallo 2a instancia el 08-02-2008 a las 4:00 PM. El proceso fue enviado por descongestión judicial al tribunal de Sincelejo para que se profiera sentencia de segunda instancia..   4 marzo/04 absolutorio al  banco.  Pendiente apelación dte. </t>
  </si>
  <si>
    <t>Tatiana Tobón Vanegas</t>
  </si>
  <si>
    <t>Indemnización $12', costas $1'5</t>
  </si>
  <si>
    <t>404 - 2009</t>
  </si>
  <si>
    <t>11001310501120090040400</t>
  </si>
  <si>
    <t>Pide pensión restingida de jubilación, por haber sido presionada a renunciar</t>
  </si>
  <si>
    <t xml:space="preserve">El 27-08-2015 archivo definitivo (SE PAGÓ CONDENA. Fecha fallo casación el 22-10-2014. El 12-04-2012 al Despacho para fallo. El 09-04-2012 devuelto el expediente con oposición. El 06-03-2012 califica demanda y corre traslado al opositor. El 17-02-2012 se presentó demanda de casación en la Corte por nuestro Abogado. Enviado a la CSJ el 11-11-2011. Concede recurso de casación el 24-10-2011. Fecha fallo 2a. instancia el 31-08-2011. Fecha fallo 1a. instancia el 30-04-2010. 2T el 19-02-2010 a las 11:00 am para respuesta a oficios del ISS y del Banco sobre factores salariales del último año de servicios, y aportar la carta de renuncia para ser cotejada en el juzgado. 1T Conciliación el 01-12-2009 a las 8:30 am. El 18-09-2009 se contestó la demanda. El 11-09-2009 se enviaron algunos documentos al Abogado. El 04-09-2009 recibimos aviso. </t>
  </si>
  <si>
    <t>Favorable (Parcialmente)</t>
  </si>
  <si>
    <t xml:space="preserve">Condena en costas $6'443.500 pagadas el 29-09-2015. Revocó lo referente al promedio de los salarios del último año de servicios y la indexación. Como la pensión otorgada por el ISS (Hoy COLPENSIONES) es mayor a la que le correspondería al Banco, no hay lugar a la misma. </t>
  </si>
  <si>
    <t>2015-01677</t>
  </si>
  <si>
    <t>05001310501320150167700</t>
  </si>
  <si>
    <t>El ddante. colocó un crédito por valor de $250' y en la declaración de asegurabilidad no advirtió que el cliente sufría de una discapacidad, razón por la cual dicho seguro no fue pagado por la Aseguradora por la muerte del cliente.</t>
  </si>
  <si>
    <t>Conciliado en $27'230.000</t>
  </si>
  <si>
    <t>2010-01180</t>
  </si>
  <si>
    <t>05001310500720100118000</t>
  </si>
  <si>
    <t>La exempleada firmó acuerdo de retiro voluntario con el pago de bonificación. Está reclamando el reajuste de la bonificación de acuerdo con la Ley 50/1990.</t>
  </si>
  <si>
    <t>William Alberto Númez David</t>
  </si>
  <si>
    <t>2009-00061</t>
  </si>
  <si>
    <t>05001310500520090006100</t>
  </si>
  <si>
    <t>El ddante laboró para Contratistas y Construcciones Civiles Subcontratista de Muros y Techos; reclama en solidaridad prestaciones, salarios e indemnización por accidente de trabajo.</t>
  </si>
  <si>
    <t>Condena a Contratistas y Constructores Civiles como empleador del ddante.</t>
  </si>
  <si>
    <t>Única Instancia</t>
  </si>
  <si>
    <t>5 Mpal. Pequeñas Causas Laborales</t>
  </si>
  <si>
    <t>2014-01378</t>
  </si>
  <si>
    <t>05001410500520140137800</t>
  </si>
  <si>
    <t>La ddante. fue despedida cjc por descuadre de $40'</t>
  </si>
  <si>
    <t>Nueva fecha aud. Conciliación el 01-09-2016 a las 9:30 am; oportunidad en la cual se decretarán y practicarán todas las pruebas; trámite y juzgamiento. Aud. Conciliación el 04-03-2016 a las 9:00 am; oportunidad en la cual se decretarán y practicarán todas las pruebas; trámite y juzgamiento (Aplazada). Contestada el 25-09-2015. Notificada el 09-09-2015. El 27-08-2014 llegó citatorio para notificación.</t>
  </si>
  <si>
    <t>2013-00603</t>
  </si>
  <si>
    <t>05001310501820130060300</t>
  </si>
  <si>
    <t>La ddante. reclama la nivelación de su salario comparándose con empleados más antiguos y beneficiarios del incremento del 20% por más de 20 años de servicio.</t>
  </si>
  <si>
    <t>El 11-04-2016 Trib. admite Desistimiento del recurso de casación por parte de la ddante. El 19-01-2016 el Trib. concede el recurso de casación a la ddante. Fecha fallo 2a. instancia el 30-11-2015 a la 1:30 pm. Remitido en Consulta al TS toda vez que el apoderado de la ddante. no apeló. Nueva fecha el 02-06-2015 a las 2:00 pm continuación aud. testigos y fallo. El 14-11-2014 a la 1:30 pm continuación aud. testigos y fallo (Aplazada). 2T el día 17-09-2014 a las 9:00 a.m, en la cual se practicará interrogatorio al representante legal, igualmente deben asistir todos los testigos (Suspendida). 1T Conciliación el 26-05-2014 a las 3:30 pm. Contestada el 29-10-2013. Notificada el 15-10-2013. Llegó citatorio el 20-09-2013.</t>
  </si>
  <si>
    <t>Lida Salazar Rivera</t>
  </si>
  <si>
    <t>00194-2011</t>
  </si>
  <si>
    <t>47001310500320110019400</t>
  </si>
  <si>
    <t>La ex empleada del antiguo Banco de Colombia, solicita que se condene al Banco a pagar aportes pensionales o cálculo actuarial por el período correspondiente del 16 de abril de 1973 hasta el 15 de mayo de 1975.</t>
  </si>
  <si>
    <t>El 19-07-2016 aprueba liquidación de costas y ordena el archivo del proceso. Fecha fallo 2a. instancia el 16-03-2016. Fecha fallo 1a. instancia el 25-03-2015. 16-12-2014 en espera de Oficio de COLPENSIONES. Se efectuó notificación personal al ISS, pendiente efectuar notificación por aviso. El 14-03-2013 se realizó escrito en el que se dice que en el expediente reposa aviso de notificación al representante del ISS, el apoderado retira el aviso y hasta la fecha no hay constancia de envío de ese aviso de notificación; se solicita además vincular a COLPENSIONES teniendo en cta. que el ISS está en liquidación. Pendiente ddte. informe acerca del envío del aviso. El 19-12-2013 Juzgado de Descongestión avoca conocimiento. El 28-10-13 remite el proceso a Descongestión. 1T Conciliación el 22-05-2012 a las 8:15 am (Se llamó en garantía al ISS). El Se contestó la demanda y fue admitida el 26-04-2012.</t>
  </si>
  <si>
    <t>Ana María Ávila Parra</t>
  </si>
  <si>
    <t>692-2012</t>
  </si>
  <si>
    <t>66001310500220120069200</t>
  </si>
  <si>
    <t>El ddante. laboró al servicio del Banco de 1966 a 1988 y tiene unos vacíos en su historia laboral; el ISS le negó la pensión; había adelantado con anterioridad proceso contra el Banco por el reconocimiento de la pensión, dentro del cual el Banco fue absuelto.</t>
  </si>
  <si>
    <t>El 11-02-2016 juzgado profiere auto obédezcase y cúmplase. El 03-12-2015 fallo de 2ª inst.-Revoca y condena a BANCOLOMBIA Y COLPENSIONES. Audiencia pública el 03-12-2015 a la 1:30 pm. El 15-10-2015 Se decreta prueba de Oficio. El 22-04-2014 A Secretaría se admite Consulta. Enviado en Consulta al Trib. Sup. Se fija fecha para aud. de trámite y juzgamiento el 27-03-2014 a las 2:30 pm. Se requiere a COLPENSIONES para que aporte prueba. Nueva 1T Conciliación el 04-07-2013 a las 11:00 am (Aplazada y quedó pendiente fecha por cierre de Juzgados adjuntos). 1T Conciliación el 14-06-2013 a las 2:30 pm.  Contestada el 24-04-2013. Notificada el 10-04-2013. El 03-04-2013 llegó citatorio y se enviaron documentos a la Abogada externa. El 10-10-2012 el expediente fue remitido al Juzgado Adjunto.</t>
  </si>
  <si>
    <t>Vr. cálculo actuarial $1'871.048</t>
  </si>
  <si>
    <t>Pitalito</t>
  </si>
  <si>
    <t>2013-00692</t>
  </si>
  <si>
    <t>11001310501520130069200</t>
  </si>
  <si>
    <t>Peticiona el pago de aportes al ISS en lugar donde no habia cobertura - llamado en litis consorcio</t>
  </si>
  <si>
    <t>El 05-07-2016 Auto aprueba liquidación de costas.  En firme, archívese. El 07-06-2016  el Trib. niega el recurso de Casación por falta de interés jurídico para recurrir por la cuantía. Se presenta recurso de casación. Fallo 2a. instancia el 07-04-2016.  El 17-11-2015 al Despacho en el Trib. 2T el 23-10-2015 a las 9:00 am, práctica de pruebas y fallo. El 21-09-2015 entrega de Oficios a las Entidades correspondientes. 1T Conciliación el 10-09-2015 a las 10:00 am; decisión de excepciones previas, saneamiento, fijación del litigio y decreto de pruebas. 01-09-2015  Auto tiene por contestada la demanda por parte de BANCOLOMBIA . El 29-07-2015 se radica contestación demanda de Bancolombia. El 14-07- 2015 se notifica personalmente de la demanda.</t>
  </si>
  <si>
    <t>Carlos Mauricio Peña Cuellar</t>
  </si>
  <si>
    <t>Vr. cálculo actuarial $39'352.679</t>
  </si>
  <si>
    <t>767-01</t>
  </si>
  <si>
    <t>11001310501920010076700</t>
  </si>
  <si>
    <t>Despedida con justa causa, era gerente el Ecopetrol, Se excedió en las atribuciones de sobregiro a clientes (aguapozos, Uri Barner).Declarar que no hubo justa causa ,  y piden moratoria por el no abono de cesantías en fondo (era de salario integral pero p</t>
  </si>
  <si>
    <t>21-09-2016 FIJACIÓN EDICTO NOTIFICACIÓN SENTENCIA. El 15-06-2016 se profiere sentencia en la Corte donde no casa el fallo del tribunal, absolutorio al Banco. El 20-01-2011 cambio de Magistrado. Desde el 08-06-2010 está a despacho para fallo. El 24-05-2010 se presenta oposición en la Corte. El 13-05-2010 el opositor retira el expediente. Desde el 25-11-2009 está a despacho para reconocer personería. El 21-07-2009 esta a despacho para resolver. Devuelve expediente con demanda el 06-07-2009. Ordena traslado al recurrente 13-05-2009. Concede recurso de casación al ddante. Enviado al Tribunal en apelación el 06-02-2007. El día 3 de noviembre de 2006 se llevó a cabo audiencia de juzgamiento en la cual se absolvió a la demandada de todas las pretensiones de la demanda..   FIJA FECHA AUDIENCIA DE FALLO EL 3 DE NOVIEMBRE DE 2006 A LAS 3:00PM PARA SENTENCIA .   Pendiente continuación inspeccion judicial. 2006 03 07 11 a.m. Inspeccion judicial.  El 24 de Febrero del año 2.005, a las once de la mañana, se practicará la Inspección Judicial..   2003 11 22 interrogatorio parte.     Se celebrara audiencia obligatoria de cociliacion el 03 de septiembre del 2003</t>
  </si>
  <si>
    <t>María Luba Rey Páez</t>
  </si>
  <si>
    <t>150-2011</t>
  </si>
  <si>
    <t>Aunque el resultado es incierto y el riesgo en principio se clasificó como eventual, por el resultado parcial adverso cambia a probable.</t>
  </si>
  <si>
    <t>El ddte. fue desvincualdo cjc por mala asesoría a clientes que atiende en el PAC de Isnos y por incumplir la política de viajes.</t>
  </si>
  <si>
    <t>El 15-12-2016 aprueba costas y archivo. El 05-10-2016 Auto aprueba liquidación de costas. Fallo 2a. instancia el 26-08-2016. El 30-10-2014 al Despacho para fallo de 2a. instancia. El 02-09-2014 corre traslado para alegar. Nuestro apoderado apeló la sentencia el 01-08-2014. En el fallo de 1a. se condenó al Banco a pagar $4'089.544 por cocnepto de indemnización por despido, $515.283 por indexación; se declararon no probadas las excepciones propuestas y al pago conjunto de las partes de las cosas en un 70% a cargo de la demandada y un 30% a cargo de la demandante, fijándolas el juzgado en $1'000.000. Nueva fecha de fallo para el 29-07-2014 a las 5:00 pm.  Nueva fecha de fallo el 07-05-2014. Nueva fecha fallo 1a. instancia el 31-03-2014. El 04-12-2013 se presentaron alegatos y se fijó para el 20-02-2014 a las 5:00 pm para lectura de fallo. Nueva fecha 16-07-2013. 31-05-2013 9:30 am audiencia para alegar. Nueva fecha para alegatos el 21-02-2013. Se fijó para alegatos el 22-11-2012 (Aplazada). 4T el 12-09-2012 a las 9:00 am Interrogatorio de partes y testimonio. En la audiencia del 24-04-2012 se evacuaron los testimonios de la Gte. de Garzon, el Dir. de Servicios y la Asesora, quedó pendiente el de Gabriel Plazas el cual se fijó para el 24-07-2012 a las 9:00 am, La audiencia del 29-02-2012 se suspendió porque el apoderado del ddte. no llevó sus testigos y desistió de uno de ellos y por ende se citó para el 24-04-2012 a las 9:00 am para testigos del Banco, citar a José Mauricio Salamanca, Lina Jimena Pinilla Gutiérrez, Paula Andrea Pérez Arcila y Gabriel Plazas,  y además se fijó el 29-02-2012 a las 9, 10 y 11 am para testigos de la parte demandante. 2T el 16-12-2011 testigos de la parte demandante; se envió Despacho Comisorio a Neiva para testimonio de Alvaro Santofimio. 1T Conciliación el 06-09-2011 a las 2:30pm. El 22-07-2011 se radicó contestación. Llego citatorio y aviso y el 11 y 12-07-2011 se enviaron documentos al abogado.</t>
  </si>
  <si>
    <t>Condena al pago de la indemnización por valor de $4'604.826 indexada, costas 1a. instancia $1'000.000, costas 2a. instancia $689.454. Total $6'294.280</t>
  </si>
  <si>
    <t>619-2013</t>
  </si>
  <si>
    <t>11001310501520120061900</t>
  </si>
  <si>
    <t>Aunque el resultado es incierto, el riesgo se clasifica como probable por el resultado parcialmente desfavorable.</t>
  </si>
  <si>
    <t>El ddte. laboró al servicio del Banco de 1960 a 1982, pero fue afiliado al ISS para los riesgos de IVM desde el 1° de enero de 1967 y solicita la pensión del art 260 de CST, pero al ser afiliado el Banco subrogó el riesgo en el ISS, con anterioridad el ddte. adelantó proceso pero presentó desistimiento de la acción.</t>
  </si>
  <si>
    <t>El 05-10-2016 Auto libra mandamiento ejecutivo contra COLPENSIONES. El 27-06-2016 Auto niega recurso de Casación interpuesto por el Banco. Se aceptó oferta de servicios para atención en Casación a López Moreno. Pendiente Tribunal resolver sobre recurso de Casación a BANCOLOMBIA. Fallo 2a. instancia el 21-04-2016. El 07-09-2015 el Trib. admite recurso de apelación. Se presenta apelación de Bancolombia. El 26-08-2015 a las 2:30 pm práctica de pruebas y fallo. Nueva fecha aud. el 11-02-2015 a las 2:30 pm en la cual se evacuará el  interrogatorio de parte y testimonio de Gabriela Bonilla. El 21-08-2014 a las 2:30 pm audiencia en la cual se evacuará el  interrogatorio de parte y testimonio de Gabriela Bonilla (Aplazada). En la audiencia del 27-05-2014 en el Tribunal, se declaró no probada la excepción de cosa juzgada, revocando la providencia del juzgado que la había declarado probada y ordenó al juez de primera instancia seguir con el trámite del proceso. En la audiencia se declaró probada parcialmente la excepción de cosa juzgada respecto de la pretensión de la pensión del Reglamento Interno de Trabajo, se sigue el proceso por las demás pretensiones como lo son los aportes a pensión y se dejó por fuera del debate al ISS pues Colpensiones segun el decreto de liquidación debe ser el sucesor procesal, el recurso se concedió en el efecto suspensivo. 1T Conciliación el 21-04-2014 a las 2:30 pm. El 21-08-2013 llegó citatorio y el 28-08-2013 se enviaron documentos al Abogado. El 12-07-2013 Auto admite demanda. El 03-07-2013 Tribunal revoca auto. El 09-05-2013 Auto concede recurso de apelación en efecto suspensivo.  El 15-03-2013 rechaza demanda. El 12-12-2012 inadmite demanda; se le concede el término de 05 días para que subsane.</t>
  </si>
  <si>
    <t>Jhon Fredy Muñoz Tangarife</t>
  </si>
  <si>
    <t>Vr. condena cálculo actuarial $100'974.887 pagado el 26-10-2016. Vr. costas 1a. Instancia: $1'933.050; costas 2a. Instancia: $500.000. Total: $2'433.050 pagadas el 05-09-2016.</t>
  </si>
  <si>
    <t>2015-00079</t>
  </si>
  <si>
    <t>20011310500120150007900</t>
  </si>
  <si>
    <t>Aunque el resultado es incierto, el riesgo se pasa a probable por el resultado parcial desfavorable</t>
  </si>
  <si>
    <t>El demandado incurrió en una causal de despido, al abrir una cuenta de ahorros a un cliente y pedirle el dinero sin estar en caja y no depositarlo en la cuenta. Es directivo de Uneb.</t>
  </si>
  <si>
    <t>El 19-08-2016 devuelve exp. al Juzgado, Nueva fecha aud. el 30-06-2016, pruebas y fallo (Consideró el Tribunal que el ddado. no tenía fuero porque no fue relacionado por el sindicato dentro de los 05 principales y 05 suplentes). 2T el 01-10-2015 a las 9:00 am para audiencia (Aplazada). Nueva fecha 1T el 27-08-2015 a las 9:30 am Conciliación, decreto de pruebas y práctica de las mismas y fallo. Nueva fecha 1T el 09-07-2015 a las 9:30 am Conciliación, decreto de pruebas y práctica de las mismas y fallo. 1T el 22-05-2015 a las 9:30 am Aud. conciliación, decreto de pruebas y práctica de las mismas y fallo (Aplazada). Pendiente notificación del sindicato. Notificado el demandado el 28-04-2015. Pendiente de notificación al demandado. El 22-04-2015 se admite la demanda.</t>
  </si>
  <si>
    <t>El Banco actúa como demandante. Vr. condena en costas 1a. instancia $2'757.816; 2a. instancia $690.000. Total: $3'447.816.</t>
  </si>
  <si>
    <t>2015-00277</t>
  </si>
  <si>
    <t>63001310500120150027700-</t>
  </si>
  <si>
    <t>Aunque el resultado es incierto, el riesgo pasa como probable por el resultado parcial desfavorable</t>
  </si>
  <si>
    <t>La demandante fue despedida con justa causa por agredir por motivos personales a un cliente en la sucursal</t>
  </si>
  <si>
    <t>El 24-11-2016 Auto ordena entregar títulos. El 04-11-2016 Auto corre traslado aprueba liquidación de costas y ordena archivo. El 03-10-2016 al Despacho para señalar Agencias. Fecha fallo 2a. instancia el 08-09-2016 (CONFIRMA CONDENA). El 04-04-2016 Auto Trib. admite recurso de apelación. El 10-03-2016 enviado al Trib. Sup. en apelación por parte del ddado. Aud. de trámite y juzgamiento el 07-03-2016 a las 8:30 am. 1T Conciliación el 14-01-2016 a las 8:00 am; decisión de excepciones previas, saneamiento, decisión del litigio, decreto y práctica de pruebas y posible fallo. Contestada el 30-09-2015. El 13-08-2015 se notifica Bancolombia. El 16-07-2015 se recibe citatorio.</t>
  </si>
  <si>
    <t>Cecilia Martínez Apraez</t>
  </si>
  <si>
    <t>Vr. total condena $8'547.791</t>
  </si>
  <si>
    <t>255-2013</t>
  </si>
  <si>
    <t>68679310500120140025500</t>
  </si>
  <si>
    <t>La demandate adelantó con anterioridad un proceso ordinario laboral pretendiendo el reconocimiento de una pensión por parte de Colpensiones la cual sería compartida con el Banco</t>
  </si>
  <si>
    <t>El 11-09-2015 se profiere fallo de 2a. instancia y el Tribunal confirma absolución. 2T el 12-12-2014 a las 3:00 pm, fallo excepción previa (Aplazada porque no han llegado las copias del proc. anterior promovido por la ddante.)  1T Conciliación el 02-09-2014; saneamiento, fijación del litigio y decreto de pruebas. Contestada el 19-06-2014. El 30-05-2014 se enviaron documentos al Abogado. El 02-05-2014 llegó citatorio.</t>
  </si>
  <si>
    <t>2015 -0 0072</t>
  </si>
  <si>
    <t>52001310500120150007200-</t>
  </si>
  <si>
    <t>GASTOS DE TRASLADO DEL EX TRABAJADOR</t>
  </si>
  <si>
    <t>La demandante fue despedida con justa causa y afirma que tuvo que ser trasladada de su lugar de residencia a otra ciudad para desempeñar la labor, y que esos gastos se le adeudan.</t>
  </si>
  <si>
    <t>El 03-10-2016 Auto Obedézcase y cúmplase en Juzgado. Fecha fallo 2a. Instancia el 11-08-2016. Se concede apelacion a la ddte. 1T Conciliación el 16-02-2016 a las 9:00 am; decisión de excepciones previas, saneamiento, fijación del litigio y decreto, práctica de pruebas y fallo. Contestada el 30-09-2015.</t>
  </si>
  <si>
    <t>2015-01703</t>
  </si>
  <si>
    <t>05001310502020150170300</t>
  </si>
  <si>
    <t>La ddante. fue despedida cjc por haber puesto información no concordante con la realidad en los informes mensuales de gestión.</t>
  </si>
  <si>
    <t>Conciliado en $20' (Pagado el 07-12-2016)</t>
  </si>
  <si>
    <t>REAJUSTE PENSIÓN</t>
  </si>
  <si>
    <t xml:space="preserve">El 18-02-2014 al Despacho de la Magistrada Luz Marina Andrade. El 17-01-2014 se concede recurso de apelación contra la sentencia. El 17-10-2013 se interpuso recurso de reposición en subsidio apelación. El 11-10-2013 audiencia en la cual se decidieron las excepciones de mérito así: Declarar parcialmente probada la excepción de pago entendiendo que se encuentran pagadas las diferencias de los meses de junio de 1994 a diciembre de 1996, y parcialmente la diferencia de enero de 1997 y al de febrero de 1997 de las cuales de adeudan $1'176.715.35 y $949.505.52 respectivamente,  se declaró no probada la excepción de pago respecto de los interses moratorios legales, no probada la excepción de prescripción, seguir adelante la ejecución por las siguientes sumas: $1'176.715.35 por saldo insoluto de la mesada de enenro de 1997, $949.505.52 por diferencia pensional del mes de febrerod de 1997, por la suma de $25'571.626.23 por los interese moratorios de junio de 1994 a diciembre de 1996 y la parte de enenro de 1997, por la suma de $2'104.332.89 por intereses moratorios con corte a al 11-10-2013 por las moras de las diferencias de enero y febrero de 1997, no impone condena en costas y se ordena la práctica de la liquidación del crédito. El 16-09-2013 audiencia para decidir excepciones. El 28-01-2013 se radicó sustitución por el dr. Andrés Felipe Fetiva. El 14-01-2013 al Despacho. El 26-09-2012 confirma auto apelado sin costas. Niega práctica de pruebas 28-02-2012. El 30-01-2012 corre traslado por 10 días de las excepciones de mérito propuestas; niega solicitud de aclaración y adición del mandamiento de pago; ordena a la ddada. a constituir caución para que no se practiquen las medidas cautelares. El 23-09-2011 se interpuso recurso contra el mandamiento y el 06-10-2011 se presentaron la excepciones. Libra mandamiento de pago el 19-09-2011. Iniciado el  ejecutivo,  niegan mandamiento de pago en la 1 y  2 instancia. El proceso  fue favorable en el  año  2003,  pero por un fallo de tutela en el  2005  ordenaron revocar los fallos absolutorios y  condenaron al Banco.  Posteriormente en el 2006 se devolvio oal juzgado de origen, negaron librar mandamiento de pago e interpuseron recurso que aún no ha sido resuelto. </t>
  </si>
  <si>
    <t>2011-00560</t>
  </si>
  <si>
    <t>11001310501820110056000</t>
  </si>
  <si>
    <t>INTERESES MORATORIOS E INDEXACIÓN DE SUMAS RESULTANTES</t>
  </si>
  <si>
    <t>Corte Constitucional revocó los fallos de la justicia ordinaria y ordenó la indexacion de la 1a. mesada pensional, el actor en el ejecutivo tambien pidió mesadas. Se jubiló en 1992 - No aparece ahora como jubilado</t>
  </si>
  <si>
    <t>William Silva Ortíz</t>
  </si>
  <si>
    <t xml:space="preserve"> El Tribunal en sentencia del 06-11-2008 confirmó la de primer grado. Vr. condena $998`094.811. En el proceso ejecutivo el Juzgado negó librar mandamiento de pago, e interpusieron recurso de apelación.. Se trae nuevamente a procesos vigentes ya que el Juzgado origen ordenó el desarchivo del proceso (Al pasar al Juzgado 2° de Descongestión este Despacho le cambió el radicado).</t>
  </si>
  <si>
    <t>3 Mpal. Peq. Causas</t>
  </si>
  <si>
    <t>2014-00598</t>
  </si>
  <si>
    <t>76001410500320140059800</t>
  </si>
  <si>
    <t>La ddte. fue despedida con justa causa por haber realizado operaciones de terceros en su estación de trabajo sin la presencia del cliente titular y haber abonado el dinero de esa operación en su cuenta de ahorros.</t>
  </si>
  <si>
    <t>742-2013</t>
  </si>
  <si>
    <t>11001310500220130074200</t>
  </si>
  <si>
    <t>La ddte. fue despedida porque en desarrollo de sus funciones adulteró la información de un anexo de operación activa que soportaba la reestructuración de las obligaciones de un cliente y también imitó la firma del cliente en un formato que presentó para pasarlo como este anexo.</t>
  </si>
  <si>
    <t>Giovanna Flórez Montealegre</t>
  </si>
  <si>
    <t>Héctor Zenén Sánchez Lizarazo</t>
  </si>
  <si>
    <t>488-2014</t>
  </si>
  <si>
    <t>11001310502020140048800</t>
  </si>
  <si>
    <t>Leasing</t>
  </si>
  <si>
    <t>El demandante fue despedido con justa causa por no efectuar a cabalidad los procesos de vincualción y conocimiento del cliente, vinculando y refieriendo para su vinculación en su condición de Ejecutivo de la Banca Hipotecaria clientes cuya documentación provenía de terceros tramitadores, como la firma Coraseguros y tambien tenían inconsistencias en la información.</t>
  </si>
  <si>
    <t>El 25-01-2017 Auto aprueba liquidación y ordena archivo. El 08-11-2016 Tribunal ordena devolver expediente al Juzgado. El ddante. presentó recurso de Casación el cual se encuentra en estudio para determinar el interés jurídico para recurrir. Fallo 2a instancia el 11-10-2016 a las 2:45 pm. Fallo 1a. instancia el 17-04-2015. 2T el 16-04-2015, a las 4:30.pm, testimonios. 1T Conciliación el 12-03-2015 a las 11:00 am, saneamiento, decisión de excepciones, fijación del litigio y decreto de pruebas. Contestada el 27-01-2015. El 16-09-2014 se enviaron documentos al Abogado. El 08-09-2014 llegó citatorio.</t>
  </si>
  <si>
    <t>2015-0269</t>
  </si>
  <si>
    <t>25899310500120150026900</t>
  </si>
  <si>
    <t>La ddante. fue despedida cjc. (Director de Servicio) por errores en proceso operativo - manejo de claves y usuarios.</t>
  </si>
  <si>
    <t>El 22-11-2016 devolución al Juzgado de origen. Fecha fallo 2a. instancia el 27-10-2016. El 23-05-2016 Auto del Tribunal admite Consulta. Se remite en consulta al Tribunal. 2T el 19-04-2016 trámite y juzgamiento. 1T Conciliación el 10-02-2016 a las 9:00 a.m.; decisión de excepciones previas, saneamiento fijación del litigio y decreto de pruebas,. El 30-09-2015 se radica contestación de la demanda. El 07-09-2015 se recibe citatorio y se envía poder Abogado.</t>
  </si>
  <si>
    <t>Andrés Delgado López</t>
  </si>
  <si>
    <t>157-2014</t>
  </si>
  <si>
    <t>11001310503220140015701</t>
  </si>
  <si>
    <t>El demandante fue despedido con justa causa por haber dado un liderazgo negativo al equipo en la realización de la encuesta GPTW, por situaciones denunciadas en queja de líena ética y por haber trasaldado una empleada de Villavicencio a su área sin autorización de Gestión Humana.</t>
  </si>
  <si>
    <t>Fecha fallo 2a. instancia el 23-08-2016. Aud. de trámite y juzgamiento el 02-08-2016 a las 10:00 am. El 29-01-2016 a las 2:00 pm Audiencia Despacho Comisorio en el Juzgado 12 Lab. de Medellín, declaración testimonial solicitada. El 23-09-2015 la ddada. retira Despachos Comisorios. 2T el 22-10-2015 a las 11:00 am, cierre debate probatorio -alegatos y de ser posible fallo. El 29-05-2015 elabora Comisorios para Antioquia y Neiva. 1T Conciliación el 26-05-2015 a las 10:30 am, decisión de excepciones, saneamiento, fijación del litigio y decreto de pruebas. El 14-10-2014 al Despacho. El 29-09-2014 inadmite contestación de la dda.; ordena subsanar. Notificada el 22-08-2014. El 01-07-2014 se enviaron documentos al Abogado. El 16-06-2014 llegó citatorio.</t>
  </si>
  <si>
    <t>Vr. condena $24'965.643. Costas 1a. Instancia $2' Total $26'965.643 pagado el 23-01-2017.</t>
  </si>
  <si>
    <t>2015-00077</t>
  </si>
  <si>
    <t>52001310500320150007700</t>
  </si>
  <si>
    <t>TÍTULO PENSIONAL - COTIZACIÓN A COLPENSIONES</t>
  </si>
  <si>
    <t>La demandante en calidad de cónyuge del empleado fallecido, peticiona cotizaciones del año 61 al 64.</t>
  </si>
  <si>
    <t>El 03-10-2016 Auto aprueba liquidación de costas Juzgado. Fecha fallo 2a. instancia el 17-08-2016 Tribunal confirma sentencia. El 02-06-2016 Tribunal admite apelación. 2T el 13-05-2016 a las 9:00 am, aud. de trámite y juzgamiento. 1T Conciliación el 04-11-2015 a las 10:30 am, decisión de excepciones previas, saneamiento, fijación del litigio y decreto de pruebas. C. El 26-05-2015  contestación de la demanda. El 05-03-2015 admite demanda. El 10-02-2015 Radicación de proceso.</t>
  </si>
  <si>
    <t>Orlando Erickson Rivera Ramírez</t>
  </si>
  <si>
    <t>Ambrocio López Meléndez</t>
  </si>
  <si>
    <t>Vr. cálculo actuarial $44'238.596 pagados el 20-12-2016. Vr. condena costas $2'068.365 pagados el 26-10-2016</t>
  </si>
  <si>
    <t>2014-00221</t>
  </si>
  <si>
    <t>23001310500120140022100</t>
  </si>
  <si>
    <t>El ex trabajador fue desvinculado Con Justa Causa  en Octubre de 2013 en la ciudad de Montería cuando desempeñaba el cargo de Cajero. Omitió proceso para el pago de pensión en ventanilla, el cual fue debidamente investigado por el área de Seguridad Bancaria. Argumenta que el Banco no realizó proceso disciplinario previo al despedido y que violó la convención colectiva de trabajo. Solicita reintegro como pretensión principal y subsidiariamente indemnización por haber sido despedido sin justa causa.</t>
  </si>
  <si>
    <t>Fecha fallo 2a. instancia el 18-11-2016. Fecha fallo 1a. instancia el 12-08-2015. Nueva fecha Aud. Despacho Comisorio Juzg. 7° Lab. Med. el 12-06-2015 a las 2:30 pm. Aud. Despacho Comisorio Juzg. 7° Lab. Med. el 10-06-2015 a las 3:40 pm (Aplazada). Pendiente 1T. Se contestó la demanda el día 03-10-2014.</t>
  </si>
  <si>
    <t>Vr. condena $10'857.507,50 más costas $724.404. Total $11'581.911 pagados el 23-01-2017</t>
  </si>
  <si>
    <t>2013-00629</t>
  </si>
  <si>
    <t>41001310500320130062900</t>
  </si>
  <si>
    <t>La ddte. laboró al servicio del Banco de Colombia del 77 al 99 en el Municpio de Natagaima en el cual solo hubo cobertura del ISS a partir del 1° de julio de 1982 y ha presentado derechos de petición al Banco reclamando el pago de los aportes al ISS del 77 al 80 períodos en los cuales no se efectuaron en su favor aportes.</t>
  </si>
  <si>
    <t>El 05-10-2016 archivo definitivo. Fecha fallo 2a. instancia el 26-08-2016 a las 08:30 am. TRIBUNAL CONFIRMA SENTENCIA. Apelación por ambas partes. 1T conciliación el 21-03-2014 a las 8:30 am; decisión de excepciones previas, saneamiento y fijación del litigio; pruebas y fallo. El 21-11-2013 se radicó contestación de la demanda. El 06-11-2013 el Abogado se notificó.  El 09-10-2013 se enviaron documentos al Abogado. El 19-09-2013 llegó citatorio. El 12-09-2013 se admitió la demanda.</t>
  </si>
  <si>
    <t>Vr. cálculo actuarial $38'847.712. Ordenó al Bco. situar en COLPENSIONES título pensional por el período no cotizado por falta de cobertura del ISS (De 1977 a 1982); absolvió en lo demás. Costas $4'5 pagadas el 13-12-2016</t>
  </si>
  <si>
    <t>2016-00143</t>
  </si>
  <si>
    <t>Aunque el resultado es incierto, el riesgo se re clasifica como probable por el resultado parcial desfavorable.</t>
  </si>
  <si>
    <t>El demandado realizó diversos pagos por ventanilla a un solo usuario con diversas tarjetas, sin pedir cédula ni autorizacion.</t>
  </si>
  <si>
    <t>2002-00212</t>
  </si>
  <si>
    <t>11001310500820020021200</t>
  </si>
  <si>
    <t>Fue  despedido con JC el  25 de octubre de 2001 por haber dejado  abierta la bóveda principal de la oficina cuando provisionaba el  cajero automatico,  lo que facilitó un hurto de $115 mm.</t>
  </si>
  <si>
    <t>El 28-04-2017 obedézcase y cúmplase. Fallo CSJ el 01-02-2017 (LA CORTE CASA LA SENTENCIA Y ABSUELVE AL BANCO DE TODAS LAS PRETENSIONES). El 03-12-2012 al Despacho para sentencia. El 01-11-2012 traslado al demandante como opositor. El 01-10-2012 el apoderado del Banco presenta oposición. El 17-09-2012 califica demanda y ordena traslado al opositor. Reconoce personería al Dr. José Roberto Herrera 21-08-2012. CSJ admite recurso y ordena traslado al recurrente 04-06-2012. El 17-04-2012 se envió poder al Dr. José Roberto Herrera. Concede recurso de casación interpuesto por las partes 15-12-2011. Nueva fecha fallo 2a. instancia el 30-09-2011 a las 3:00 pm. Fecha fallo 2a. instancia el 11-12-2009 a las 3:00 PM. Trib. corre traslado a las partes para alegatos de conclusión 09-09-2009. Fecha fallo 1a. instancia el 30-06-2009. Fecha audiencia el 23-07-2008 a las 9:00 AM. FIJA FECHA AUDIENCIA O DILIGENCIA SUSPENDE Y FIJA CONTINUACION EL 5 DE FEBRERO DE 2007 A LAS 9:00AM TESTIMONIO DE LINA MARIA MONTENEGRO BEDOYA.    24 mayo 2.006 testigos dte. 2006 02 20 8:15 a.m. Declaracion testigos.     Para el 25 de Abril del año 2.005, a las nueve de la mañana, está prevista la declaración de uno de los testigos pedidos por el demandante.               29 noviembre 04 testigos banco</t>
  </si>
  <si>
    <t>La corte falló a favor del Banco dejando sin efectos los fallos desfavorables.</t>
  </si>
  <si>
    <t>2015-00274</t>
  </si>
  <si>
    <t>11001310503420150027400-</t>
  </si>
  <si>
    <t>La demandada como Asesora se vio envuelta de tema de fraudes y tramitadores.</t>
  </si>
  <si>
    <t>El 01-02-2017 Auto termina proceso por desistimiento y ordena archivo. El 11-01-2017 el Banco radica desistimiento de la demanda. Pendiente 1T. El 21-06-2016 Auto releva curadores, designa nueva terna. El 23-04-2015 admite demanda. El 05-04-2016 se emplaza al demandado.</t>
  </si>
  <si>
    <t>2013-01138</t>
  </si>
  <si>
    <t>05001310501620130113800</t>
  </si>
  <si>
    <t>La ddante. fue despedida cjc porque estando en su jornada laboral estaba viendo una película en su computador y no contestaba las llamadas de los clientes o las colgaba.</t>
  </si>
  <si>
    <t>Concilado en $15'</t>
  </si>
  <si>
    <t>Pequeñas causas</t>
  </si>
  <si>
    <t>2016-00806</t>
  </si>
  <si>
    <t>2016 - 0806</t>
  </si>
  <si>
    <t>REINTEGRO O INDEMNIZACIÓN DSJC</t>
  </si>
  <si>
    <t xml:space="preserve">Aunque el resultado es incierto, el riesgo se reclasifica como probable por el resultado parcial desfavorable </t>
  </si>
  <si>
    <t>El demandante fue despedido con justa causa por descuadres en caja y ser sujeto de quejas reiteradas por diversos clientes quienes lo acusaban de brindar una mala atención</t>
  </si>
  <si>
    <t>Fallo única instancia el 08-02-2017 (Condena al pago de la indemnización indexada). Señala audiencia para contestar demanda el 08 febrero 2017 (única instancia).</t>
  </si>
  <si>
    <t xml:space="preserve"> Reversar excedente de provisión. Vr. condena indemnización $5'510.489, indexación $128.054 y costas $270.000. Total: $5'908.543.</t>
  </si>
  <si>
    <t>2014-00419</t>
  </si>
  <si>
    <t>11001310502020140041900</t>
  </si>
  <si>
    <t>RELIQUIDACIÓN DE CESANTÍAS</t>
  </si>
  <si>
    <t>La demandante era régimen anterior de cesantías y en la liquidación de sus prestaciones sociales definitivas éstas resultaron negativas, no obstante el Banco hizo unos ajustes posteriores a las mismas, cancelándole un valor muy similar al negativo que arrojó la liquidación.</t>
  </si>
  <si>
    <t>El 05-05-2017 remite el exp. al Despacho origen. El 19-04-2017 declara desierto el Recurso de Casación del ddante. El 09-02-2017 inicia traslado a la recurrente (Vence el 15-03-2017). El 13-12-2016 enviado a la CSJ. El 24-11-2016 concede recurso de Casación a la ddante. Fecha fallo 2a. instancia el 07-09-2016. 2T el 24-05-2016 a las 11:am y fallo. El 21-01-2016 Juzgado comisionado ordena el envío del comisorio al Juzgado de origen. Aud. Despacho Comisorio en Medellín en el Juzgado 11 Lab. el 21-01-2016 a la 1:15 pm. Despacho Comisorio radicado en Medellín el 01-06-2015. 1T Conciliación el 27-02-2015 a las 2:15 pm, saneamiento, decisión de excepciones, saneamiento, fijación del litigio y decreto de pruebas. El 29-09-2014 se contestó la demanda. El 26-08-2014 se enviaron documentos a los Abogados. El 20-08-2014 llegó aviso del art. 315 del CPC con traslado de la demanda.</t>
  </si>
  <si>
    <t>2015-00281</t>
  </si>
  <si>
    <t>68001310500520150028100-</t>
  </si>
  <si>
    <t>El demandado como Cajero se vio involucrado en un fraude que generó la pérdida de $200 millones; él efectuó consignacion ficticias. Es directivo de Sintrabancol.</t>
  </si>
  <si>
    <t>El 02-10-2017 Auto aprueba costas y archivo. Fallo 2a. instancia el 19-05-2017. El 18-04-2017 fallo 1a. instancia (Concede permiso para despedir, el ddado. apela). El 21-03-2017 a las 9:00 am contestar demanda. El 09-09-2016 Auto de trámite tiene nueva dirección del ddado. El 22-07-2016 Auto de trámite tiene nueva dirección del ddado. El 05-07-2016 Auto de trámite requiere a la parte actora solicite en debida forma emplazamiento. El 21-10-2015 recepción de memorial apoderado aporta notificaciones. El 09-07-2015 Auto admite demanda. Se presentó demanda pendiente notificacion</t>
  </si>
  <si>
    <t>2015-01946</t>
  </si>
  <si>
    <t>05001310501220150194600</t>
  </si>
  <si>
    <t>La ddante. fue despedida cjc por haber sido grosera con un cliente cuando le dio asesoría telefónica.</t>
  </si>
  <si>
    <t>Transacción por $12'</t>
  </si>
  <si>
    <t>2015-00921</t>
  </si>
  <si>
    <t>11001310500320150092100-</t>
  </si>
  <si>
    <t>La demandante reclama a Colpensiones la pensión de vejez, y a Bancolombia el pago de aportes del 01/02/1986 al 01/05/1986.</t>
  </si>
  <si>
    <t>Se pagaron costas, pendiente el cálculo actuarial. El 24-10-2016 Auto Obedézcase y Cúmplase. El 05-10-2016 Auto niega recurso de Casación presentado por el Banco. El 07-09-2016 Sentencia de Tribunal modifica y condena pago de cálculo actuarial, se presentó casación pendiente por resolver. Continuación aud. el 18-08-2016 a las 2:15 pm, práctica de pruebas y fallo. 1T Conciliación el 20-06-2016 a las 10:00 am, decisión de excepciones previas, saneamiento, fijación del litigio, decreto, práctica de pruebas y fallo de ser posible (Suspende).</t>
  </si>
  <si>
    <t>Vr. cálculo actuarial $68'016.756 pagado el 24-05-2017. Vr. costas 1a. Instancia $1'5 pagadas el 18-11-2016</t>
  </si>
  <si>
    <t>2015-00919</t>
  </si>
  <si>
    <t>11001310500320150091900-</t>
  </si>
  <si>
    <t>El demandante como gestor comercial fue despedido con justa causa por recibir dineros fuera de la oficina, tambien reclama PGC como salario y auxilios</t>
  </si>
  <si>
    <t>El 25-04-2017 Auto obedézcase y cúmplase, liquida costas y ordena archivo. El 27-03-2017 Auto niega recursos de Casación de ambas partes. El 16-01-2017 al Despacho para resolver si concede el recurso de Casación. Ambas partes presentan recurso de casación. Fecha fallo 2a. instancia el 29-11-2016. El 31-10-2016 enviado al Trib. Sup. en apelación por ambas partes. 2T el 26-10-2016 a las 2.15 pm, práctica de pruebas y fallo. 1T Conciliación el 12-09-2016 a las 11:30 am, decisión de excepciones previas, saneamiento, fijación del litigio, decreto y práctica de pruebas (Suspende). El 21-06-2016 se radica contestación de la demanda.</t>
  </si>
  <si>
    <t>Juan Camilo Pineda Ricardo</t>
  </si>
  <si>
    <t xml:space="preserve">Total pagado $16'124.813 el 24-05-2017. Condenó al pago de la indemnización por vr. de $12'145.900 indexada. Negó la incidencia salarial de las bonificaciones por PGC. Costas 1a. Instancia $2'. </t>
  </si>
  <si>
    <t>2016-00599</t>
  </si>
  <si>
    <t>05001310500620160059900</t>
  </si>
  <si>
    <t>La ddante. fue despedida cjc por haber enviado por error un correo electrónico a más de 30.000 clientes afectando la imangen del Banco y creando pánico entre los mismo.</t>
  </si>
  <si>
    <t>Juan Pablo Valencia Grajales</t>
  </si>
  <si>
    <t>Se concilió el reintegro en $52'337.952</t>
  </si>
  <si>
    <t>2015-01419</t>
  </si>
  <si>
    <t>05001310501520150141900</t>
  </si>
  <si>
    <t>NULIDAD DESPIDO POR ESTABILIDAD LABORAL REFORZADA</t>
  </si>
  <si>
    <t>El ddante. fue despedido sjc por falta de inmediatez en temas disciplinarios y seguimientos de Coaching. Solicita el reintegro por tema de salud.</t>
  </si>
  <si>
    <t>Fecha fallo 2a. instancia el 18-04-2017. 1T Conciliación el 13-04-2016 a las 9:00 am, decisión de excepciones previas, saneamiento, fijación del litigio, decreto y práctica de pruebas y fallo . Contestada el 10-02-2016. Notificada el 02-02-2016.</t>
  </si>
  <si>
    <t>18-04-207</t>
  </si>
  <si>
    <t>Rafael Díaz-Granados C.</t>
  </si>
  <si>
    <t>2013-00750</t>
  </si>
  <si>
    <t>05001310501620130075000</t>
  </si>
  <si>
    <t>PRESTACIONES Y SALARIOS</t>
  </si>
  <si>
    <t>El ddante. laboró para ASINE, contratista de IBM en el Proyecto INNOVA, y fue despedido sin justa causa.</t>
  </si>
  <si>
    <t xml:space="preserve">Fecha fallo 2a instancia el 03-11-2016. Fecha fallo 1a. instancia el 28-07-2015. Continuación aud. El 27-05-2015 a las 2:30 pm; testigos y fallo. 1T Conciliación el 19-05-2015 a las 9:30 am; decisión de excepciones, saneamiento, fijación del litigio, decreto de pruebas y fallo (Suspendida). Contestada el 02-05-2014. Notificada el 10-04-2014. </t>
  </si>
  <si>
    <t>2014-01077</t>
  </si>
  <si>
    <t>05001310501620140107700</t>
  </si>
  <si>
    <t>PENSIÓN DE INVALIDEZ</t>
  </si>
  <si>
    <t>La ddante. laboró desde el 07-01-1992 hasta el 25-10-2007, fecha en la que terminó por mutuo acuerdo.</t>
  </si>
  <si>
    <t>Fecha fallo 2a instancia el 29-07-2016. Fecha fallo 1a. Instancia el 03-11-2015 a las 2:30 pm. 1T Conciliación el 25-08-2015 a las 9:30 am;  decisión de excepciones previas, saneamiento y decisión del litigio, decreto y práctica de la totalidad de la prueba. Contestada el 27-02-2015. Notificada el 17-02-2015.</t>
  </si>
  <si>
    <t>19</t>
  </si>
  <si>
    <t>2007-00008</t>
  </si>
  <si>
    <t>11001310501920070000800</t>
  </si>
  <si>
    <t xml:space="preserve">Fue despedida el  24-10-2006 por JC debido a que abonó $6 mm a una cuenta diferente a la del  real  beneficiario y ello genero pérdida económica al  Banco.  </t>
  </si>
  <si>
    <t>El 29-09-2017 Auto aprueba liquidación de costas; Archivo. Fecha sentencia de casación el 07-06-2017. El 02-12-2011 cambio de Magistrado Dr. Echeverry Bueno. El 07-10-2011 se presenta oposición en la Corte. El 28-09-2011 se reconoce personería al Dr. José Roberto Herrera Vergara. Ordena traslado al opositor el 07-09-2011. CSJ admite recurso y ordena traslado al recurrente 21-06-2011. Trib. concede recurso de casación interpuesto por la ddante. 04-02-2011. Fallo 2a. instancia el 29-10-2010 a las 3:00 pm. A Despacho el 02-09-2009 para señalar fecha de fallo. Corre traslado a las partes para alegatos de conclusión 26-08-2009. Concede apelación al ddante. el 09-07-2009. Continuación 4T 18-05-2009 testimonio ddada. Nueva fecha 4T el 05-03-2009 testimonio. Continuación 4T el 23-02-2009 Testimonio. 4T el 21-01-2009 Testimonio. 3T el 25-11-2008 interrogatorio de parte y testigo ddada. 2T el 01-09-2008 (Testimonios). Enviado a Juzgados de descongestión el 04-02-2008. 1T Interrogatorio de parte el 30-01-2008a las 10:00 AM.</t>
  </si>
  <si>
    <t>07-06-2017</t>
  </si>
  <si>
    <t>John Fredy Muñoz Tangarife</t>
  </si>
  <si>
    <t>2016-00250</t>
  </si>
  <si>
    <t>05001310501920160025000</t>
  </si>
  <si>
    <t>El ddante fue despedido cjc por haber autorizado en forma remota un retiro fraudulento por vr. de $160'</t>
  </si>
  <si>
    <t>Conciliado en $35'</t>
  </si>
  <si>
    <t>2016-00123</t>
  </si>
  <si>
    <t>63001310500420160012300-</t>
  </si>
  <si>
    <t>Demandante como Asesor Integral II fue desvinculada por malas practicas comerciales</t>
  </si>
  <si>
    <t>Fecha fallo 2a. instancia el 19-05-2017 a las 10:00 am. El 26-10-2016 se envía al Tribunal Superior en apelación. 1T Conciliación el 24-10-2016 a las 8:30 am, decisión de excepciones previas, saneamiento, fijación del litigio, decreto y práctica de pruebas y fallo. El 22-06-2016 se radica contestación de la demanda. El 20-05-2016 se remitió poder al Abogado para notificación.</t>
  </si>
  <si>
    <t>Vr. condena indemnización $10'915.630. Vr. costas 1a. instancia $545.780. Vr. total pagado el 15-06-2017 $11'461.410</t>
  </si>
  <si>
    <t>2014-01678</t>
  </si>
  <si>
    <t>05001310500720140167800</t>
  </si>
  <si>
    <t>La ddante. fue despedida cjc por haber deteriorado un billete falso para hacerlo pasar como un billete bueno deteriorado y de esta forma no tener qué reponerlo.</t>
  </si>
  <si>
    <t>Vr. condena 1a. instancia indemnización$16'. En 2a. instancia modifica el vr. en  $23'110.586 indexada, más costas. Costas 1a. instancia $3'5. Vr. total pagado $31'577.692. Vr honorarios perito $2'600.000 pagados el 27-12-2017.</t>
  </si>
  <si>
    <t>2014-00269</t>
  </si>
  <si>
    <t>23001310500120140026900</t>
  </si>
  <si>
    <t>El ex trabajador fue desvinculado Con Justa Causa  en Octubre de 2013 en la ciudad de Montería cuando desempeñaba el cargo de Cajero. Omitió proceso para el pao de pesnión en ventanilla, el cual fue debidamnete investigado por el área de seguridad bancaria. Argumenta que el banco no realizíó proceso disciplinario previo al despedido y que voló la convención colectiva de trabajo. Solicita reintegro com pretensión principal y subsidiariamente indemnización por haber sido despedido sin justa causa.</t>
  </si>
  <si>
    <t>Fecha fallo 2a. instancia el 05-06-2017. Fecha fallo 1a. Instancia el 24-09-2015. Pendiente 1T. Se contestó la demanda el día 05-11-2014.</t>
  </si>
  <si>
    <t>Condena al pago de la indemnización por vr. de $13'062.238 indexada al momento del pago. Vr. costas 1a. Instancia $2'612.448. Vr. total pagado $17’323.169.</t>
  </si>
  <si>
    <t>2015-00205</t>
  </si>
  <si>
    <t>08001310500920150020500</t>
  </si>
  <si>
    <t>REINTEGRO POR FUERO SINDICAL</t>
  </si>
  <si>
    <t xml:space="preserve">La ex empleada fue despedida teniendo aparentemente fuero sindical.
</t>
  </si>
  <si>
    <t xml:space="preserve">Fecha fallo 2a. instancia el 16-01-2017. Fallo 1a. instancia el 07-04-2016. El Banco se notificó de la demanda, y se está a la espera que el Juzgado fije la fecha para la contestación de la demanda. Se está buscando un acercamiento con el abogado de la demandante, Dr. Guadith Pallares, para ver la posibilidad de conciliar el negocio, ya que al parecer la persona si estaba gozando de fuero sindical al momento de su desvinculación con justa causa. </t>
  </si>
  <si>
    <t>2009-00234</t>
  </si>
  <si>
    <t>17001310500320090023400</t>
  </si>
  <si>
    <t>INDEXACIÓN PRIMERA MESADA PENSIONAL</t>
  </si>
  <si>
    <t>Por el resultado final en la CSJ desfavorable, el riesgo pasa a probable.</t>
  </si>
  <si>
    <t>Laboró al servicio del BIC desde el 12 de agosto de 1975, le fue reconocida por el Banco la pensión desde el 30 de abril de 1983 sin indexar, le fue reconocida la pensión de vejez por el ISS a partir del 6 de abril de 1989 sin indexar</t>
  </si>
  <si>
    <t>El 19-10-2017 Auto resuelve solicitud ordena entrega de títulos. El 04-10-2017 Auto aprueba liquidación de costas. El 10-08-2017 Auto tiene por notificado . El 10-07-2017 Auto libra mandamiento ejecutivo. El 07-04-2017 fijación Edicto notificación sentencia. El 16-09-2016 la CSJ Ofició al Banco para que certique los pagos efectuados al demandante por concepto de pensión desde el 02-05-1989. El 02-12-2015 CASA parcialmente la sentencia y condena a Bancolombia. El 20-02-2013 acepta renuncia al apoderado del ISS. El 15-01-2013 recibido memorial sucesión procesal ISS a COLPENSIONES. El 24-05-2012 se presenta oposición por el ddado. El 27-03-2012 inició traslado al opositor ISS. El 21-03-2012 califica demanda y reconoce personería al apoderado del ISS. El 01-03-2012 devuelto expediente con demanda. El 03-02-2012 inicio traslado al recurrente. El 31-01-2012 admite recurso y reconoce personería al Dr. José Roberto. El 28-07-2011 al despacho para admisión. Con oficio 973 fue enviado a la Corte. Ddante. interpuso recurso de Casación. Fallo de 2a. instancia el 18-11-2010. Nueva fecha 2T Interrogatorio de partes el 26-05-2010 a las 3:00 pm. Avoca el conocimiento el Juzgado Adjunto Primero Laboral el 12-03-2010. 2T Interrogatorio de parte al ddante. El 22-04-2010 a las 10:30 am. 1T Conciliación el 19-01-2010 a las 9:30 am. Contestada el 04-09-2009. Notificada el 21-08-2009</t>
  </si>
  <si>
    <t>Vr. medida cautelar en ejecutivo $185'000.000 pagado el 25-07-2017. La CSJ solicitó relación de pagos por pensión desde el 02-05-1989 hasta la fecha; aún no se ha pronunciado nuevamente.</t>
  </si>
  <si>
    <t>2008-00362</t>
  </si>
  <si>
    <t>11001310500820080036200</t>
  </si>
  <si>
    <t>Solicita indexación de la primera mesada pensional.</t>
  </si>
  <si>
    <t>Fecha sentencia casación el 05-09-2017. El 30-05-2017 remite expediente a reparto de Descongestión. Al Despacho para fallo el 26-06-2012. Resuelve admite renuncia al poder presentada por el Dr. LUIS ENRIQUE LADINO como apoderado de la parte opositora el 18-05-2012. Reconoce personería al apoderado del ISS 28-03-2012. Ordena traslado al opositor el 14-02-2012. CSJ admite recurso de casación 09-12-2011. Admite impedimento y pasa al Dr. Luis Gabriel Miranda 25-10-2011. Impedimento del Dr. Gustavo G'necco M. 25-09-2011. Al Despacho para admisión 13-09-2011. Trib. concede recurso de Casación al ddante. 18-08-2011. Fecha fallo 2a. instancia el 30-06-2011 a las 4:00 pm. Trib. corre traslado por 05 días para alegatos de conclusión 10-02-2011. Concede apelación al ddado. 09-12-2010. Fecha fallo 1a. instancia el 29-10-2010. 3T el 23-08-2010. Confirma auto apelado 21-05-2010. Nueva fecha fallo apelación auto para el 21-05-2010. Fecha fallo apelación auto el 30-04-2010. Apelación auto. 3T el 10-12-2009 para respuesta de oficios. Continuación 2T interrogatorio de parte al ddado. el 20-10-2009 a las 8:15 am. 2T interrogatorio de parte ddante. el 13-08-2009 a las 8:15 am. El 14-07-2009 el Tribunal confirma auto apelado. Fija aud. conciliación el 16-06-2009 a las 11:00 am. Tiene por contestada la demanda por el litisconsorte necesario (ISS) el 02-06-2009. Corre traslado por 05 días para alegar de conclusión 24-04-2009. En la 1T declara probada parcialmente excepción de prescripción; ordena integrar el contradictorio con el ISS; concede recurso de apelación. 1T. Conciliación el 10-03-2009. Notificada el 20-08-2008.</t>
  </si>
  <si>
    <t>2017-00249</t>
  </si>
  <si>
    <t>05001310501720170024900</t>
  </si>
  <si>
    <t>El ddante. fue despedido cjc por haber efectuado una serie de consultas para la solicitud de un crédito personal y con los usuarios de dos compañeros de trabajo; igualmente, se tomó un día sin autorización.</t>
  </si>
  <si>
    <t>Conciliado en $17'</t>
  </si>
  <si>
    <t>2010-00222</t>
  </si>
  <si>
    <t>11001310502820100022200</t>
  </si>
  <si>
    <t>Por sentencia judicial le fue reconocida la pensión legal de jubilación la cual se causó antes de la ley 100 de 1993 y reclama los intereses por la mora en el pago</t>
  </si>
  <si>
    <t>Fecha sentencia de casación el 28-06-2017. El 20-03-2012 al Despacho para fallo. El 05-03-2012 se presentó escrito de oposición en la CSJ. La parte actora interpuso casación. Si hubo apelación, como los apoderados no fueron, no propusieron el recurso en la audiencia y la providencia se notificó en estrados. El juzgado declaró probada la excepción de prescripción y condenó en costas al ddte. Se señaló para fallo el 10-02-2011, llevar certificación de fecha de inclusión en nómina. Nueva fecha 1T el 03-02-2011 a las 10 am. 1T Conciliación el 24-01-2011 a las 11:30 am. (Aplazada). El 10-11-2010 se subsanó la contestación de la demanda. El 06-08-2010 se contestó la demanda. El 23-07-2010 llegó aviso con traslado.</t>
  </si>
  <si>
    <t>Yiminson Rojas Jiménez</t>
  </si>
  <si>
    <t>Se trae nuevamente a procesos vigentes en junio/2012 ya que está en Casación y no habíamos sido informados.</t>
  </si>
  <si>
    <t>2013-00094</t>
  </si>
  <si>
    <t>La ddte. esposa de Jesus Ernesto Moncaleano Ospina ex empleado del Banco, solicita se cancelen los aportes para pensión de  1976 a 1982 época en la cual el señor laboró al servicio del Banco en el Municipio de Saldaña en el cual no había cobertura del ISS en esas fechas y solo se afilió al momento del inicio del sistema  ALA en enero de 1982.</t>
  </si>
  <si>
    <t>El 05-09-2017 envío del exp. al Juzgado origen. Fallo 2a. instancia el 01-08-2017 (REVOCA Y ABSUELVE). El 03-10-2016 Tribunal admite recurso de apelación. El 22-06-2016 se profiere sentencia condenatoria, se concede apelacion. Nueva fecha aud. el 22-04-2016, suspende fallo, pendiente nueva programacion. Nueva fecha fallo 1a. instancia el 17-03-2016 a las 2:00 pm (Aplazado). Aud. de trámite y fallo 1a. instancia el 19-02-2016 a las 9:00 am (Suspendida). Nueva fecha 1T Conciliación el 08-10-2014 a las 3:30 pm.  1T Conciliación 31-01-2014 a las 9:00 a.m; resolución de excepciones previas, saneamiento y fijación del litigio Art. 77 C.P.T. y S.S. (Aplazada). Contestada el 11-09-2013. El 15-07-2013 llegó citatorio y el 06-08-2013 se envio poder y parte de la documental al Abogado.</t>
  </si>
  <si>
    <t>Abelardo Cuadro Rodríguez</t>
  </si>
  <si>
    <t>2014-00373</t>
  </si>
  <si>
    <t>73001310500220140037300</t>
  </si>
  <si>
    <t>La demandante informa que laboró para Bancolombia entre el 01 de noviembre de 1972 al 10 de febrero de 1988, finalizando la relación laboral por mutuo acuerdo, sin embargo, nunca se afilió al Instituto de Seguros Sociales por falta de cobertura en el lugar donde prestó servicios.</t>
  </si>
  <si>
    <t>El 12-09-2017 Auto ordena entrega de títulos. El 31-08-2017 archivo definitivo. El 05-05-2017 desiste del recurso de casación. El 30-03-2017 traslado a BANCOLOMBIA para demanda de casación. El 17-02-2017 Trib. remite expediente a la CSJ. Se presenta recurso de casación. Fecha fallo 2a. instancia el 17-11-2016 a las 3:00 pm. El 14-04-2016 enviado al Trib. en apelación. Fecha fallo 1a. instancia el 29-03-2016 a las 3:00 pm. 1T Conciliación el 25-11-2015 a las 3:30 pm; decisión de excepciones previas, saneamiento, fijación del litigio y decreto de pruebas. El 20-08-2015 admite reforma demanda, se corre traslado a la parte demandada de la reforma a la demanda. El 14-07-2015 se notifica a COLPENSIONES. El 26-03-2015 se tiene por contestada la demanda por BANCOLOMBIA.</t>
  </si>
  <si>
    <t>Ángela María Araque García</t>
  </si>
  <si>
    <t>Vr. condena retroactivo mesadas $113'746.649, costas 1a. instancia $689.454, costas 2a. instancia $1'475.434. Total $115'911.537. Se contabilizó el 01-09-2017</t>
  </si>
  <si>
    <t>2016-00269</t>
  </si>
  <si>
    <t>13001310500620160026900</t>
  </si>
  <si>
    <t>El ddante. fue desvinculado con justa causa en la ciudad de Cartagena producto de un fraude que se realizó en la oficina Sociedad Portuaria de esa ciudad por valor de $1.500'  utilizándose para ello la clave del empleado.</t>
  </si>
  <si>
    <t>Vr. Transacción $215'</t>
  </si>
  <si>
    <t>Descongestión del Circuito</t>
  </si>
  <si>
    <t>2015-00301</t>
  </si>
  <si>
    <t>05045310575120150030100</t>
  </si>
  <si>
    <t>La ddante. fue despedida sjc y alega fuero especial de salud</t>
  </si>
  <si>
    <t>Fecha fallo 2a. instancia el 08-03-2017. 2T el 07-02-2017 a la 1:30 pm, trámite y juzgamiento. En la etapa de decreto de puebas el Juez no decretó la inspección judicial para determinar la pérdida de capacidad laboral, la demandante apeló y se remite al Tribunal Superior de Antioquia. Nueva fecha 1T Conciliación el 25-04-2016 a las 9:00 am; decisión de excepciones previas, saneamiento, fijación del litigio y decreto de pruebas. Nueva fecha 1T Conciliación el 14-12-2015 a las 9:00 am; decisión de excepciones previas, saneamiento, fijación del litigio y decreto de pruebas (Aplazada). 1T Conciliación el 13-11-2015 a las 9:00 am; decisión de excepciones previas, saneamiento, fijación del litigio y decreto de pruebas (Aplazada). Contestada el 18-09-2015. Notificada el 08-09-2015.</t>
  </si>
  <si>
    <t>Diana Victoria Martínez Jiménez</t>
  </si>
  <si>
    <t>2001-00341</t>
  </si>
  <si>
    <t>08001310500120010034100</t>
  </si>
  <si>
    <t>El   7   de  Junio   de  2001 Metrotel  presentó carta  de reclamación al Banco en  la  que  informaba  que  el  día  17  de  mayo   de 2001 se  canceló  en  Bancolombia S.A., oficina  Progreso, la  factura N° 4598079 emitida  por  Metropolitana  de  Tele</t>
  </si>
  <si>
    <t>Fallo de Casación el 04-10-2017. El 30-05-2017 envía exp. a reparto Descongestión. El 08-03-2012 al Despacho para fallo. El 29-02-2012 se presenta oposición en la Corte por nuestro Abogado. El 07-02-2012 califica demanda y ordena traslado al opositor. El 13-06-2011 al despacho para reconocer personería. 08-04-2011 al despacho para calificar demanda del ddte. y ordenar traslado al opositor Banco. CSJ admite recurso y ordena correr traslado al recurrente 07-02-2011. Tribunal concede recurso de casación 21-07-2010. Nueva fecha fallo 2a. instancia el 30-09-2009 a las 5:00 PM. Nueva fecha fallo 2a. instancia 16-09-2009 a las 5:00 PM. Fija fecha fallo 2a. instancia el 17-07-2009. Sigue en estudio el recurso de apelación en el Trib. según informe de la Abo. externa del 17-12-2008. Trib. Superior del distrito judicial sala laboral 18-10-06 corre traslado por 5 días para alegar.  29-06-2006 se presentó recurso de apelación, radicación segunda instancia 23,812 MP- María Olga Henao. 23 JUN 2006 AUD JUZGAMIENTO 1ra INSTANCIA, FALLO CONDENATORIO. .  23/06/2006 audiencia de juzgamiento en primera instancia en la cual se dictó fallo condenatorio contra el Banco. 29/06/200623 de junio de 2006 se celebró la audiencia de juzgamiento en primera instancia en la cual se dictó fallo condenatorio contra el Banco.  recurso de apelación contra esta sentencia el 29 de junio de 2006. 05/07/06: CONCEDE APELACION AL APODERADO DEL DEMANDADO; 23/05/2006: JUNIO/23/2006 A LAS 3:PM JUZGAMIENTO; El día 4 de abril de 2006 se celebrará la audiencia de juzgamiento en primera instancia.     27 julio de 2005 4T testigos Banco. AUDIENCIA DE TRAMITE 10 DE NOVIEMBRE 04 AM . ------   2003 10 22 2T testimonios ddda. E inspeccion judicial.     30 de agosto de 2.002 audiencia de conciliación.</t>
  </si>
  <si>
    <t>Tomás Hernán Mejía Triana</t>
  </si>
  <si>
    <t>En 1a. instancia había condenado al reintegro.</t>
  </si>
  <si>
    <t>2015-00813</t>
  </si>
  <si>
    <t>11001310502920150081300-</t>
  </si>
  <si>
    <t>El resultado es muy incierto, y el riesgo se clasifica como probable</t>
  </si>
  <si>
    <t>La demandante laboró del 16 marzo 1961 al 16 mayo 1987, y dice tener derecho a pension por parte de Bancolombia.</t>
  </si>
  <si>
    <t>Julio César Triana Rueda</t>
  </si>
  <si>
    <t>2016-01277</t>
  </si>
  <si>
    <t>05001310501120160127700</t>
  </si>
  <si>
    <t>La ddante. fue despedida cjc por no haber anexado a las solicitudes de vinculación de Corresponsales Bancarios, el correo de aprobación del Gerente de la Sucursal o en su defecto, el del Gerente de Zona, cuando presenten un almacenamiento de efectivo superior a $10'.</t>
  </si>
  <si>
    <t>Conciliado en $8' (Pagado el 02-11-2017)</t>
  </si>
  <si>
    <t>2009-00811</t>
  </si>
  <si>
    <t>11001310501620090081100</t>
  </si>
  <si>
    <t>El demandante siendo Director de Servicio al Cliente de la Oficina Indega Norte, autorizó pagos de auxilio de transporte nocturno a favor de una subalterna el cual no se causó pues esta colaboradora trabajó menos horas. Esto con el fin de favorecerla.</t>
  </si>
  <si>
    <t>Fecha sentencia de casación el 18-10-2017. El 31-07-2013 se presentó por nuestro apoderado oposición en la Corte. Al Despacho el 17-07-2012 para para resolver sustentación del recurso de casación. Recurso de casación interpuesto por el ddante. 12-01-2012. Fecha fallo 2a. instancia el 09-12-2011 a las 3:00 pm. Enviado a los Magistrados de Descongestión el 11-04-2011. Corre traslado a las partes por 05 días para alegatos el 12-11-2010. Fallo de 1a. instancia el 30-09-2010. Se evacuaron interrogatorios y testimonios y se señaló fecha para fallo. El 18-03-2010 se contestó la demanda. El 05-03-2010 se recibe aviso para notificación.</t>
  </si>
  <si>
    <t>Daniel Isaías Santana Lozada</t>
  </si>
  <si>
    <t>2014-00539</t>
  </si>
  <si>
    <t>11001310502320140053900</t>
  </si>
  <si>
    <t>La ddte. fue despedida con justa causa el 30 de mayo de 2014 por violar al reserva bancaria con lo que facilitó un fraude a un cliente por $175'000.000</t>
  </si>
  <si>
    <t>Vr. condena $55'176.328</t>
  </si>
  <si>
    <t>Laboral Circuito</t>
  </si>
  <si>
    <t>2015-00163</t>
  </si>
  <si>
    <t>25899310500120150016300</t>
  </si>
  <si>
    <t>La ex trabajadora fue despedida por ausentarse varios días y no tener justificacion válida, ella dice que estaba incapacitada pero no allegó la incapacidad médica.</t>
  </si>
  <si>
    <t>Fallo 2a. instancia el 01-11-2017. El 31-03-2016 Tribunal C/marca. admite recurso de apelacion. 2T el 09-02-2016 a las 09:30 am práctica de pruebas, alegatos y fallo. 1T Conciliación el 21-10-2015 a las 9:00 am; decisión de excepciones previas, saneamiento, fijación del litigio y decreto de pruebas.</t>
  </si>
  <si>
    <t>Julio Javier Leyton Portilla</t>
  </si>
  <si>
    <t>2015-00477</t>
  </si>
  <si>
    <t>11001310501420150047700</t>
  </si>
  <si>
    <t>Ex empleado, Ejecutivo Sénior, incumplió gravemente las políticas, reglamentos y circulares de la entidad al incurrir en malas prácticas y modificar el estatus de varios clientes sin contar con ningún soporte y recibir dineros en su cuenta por parte de un cliente a quien le había gestionado un crédito</t>
  </si>
  <si>
    <t>El 27-10-2017 devolución al Juzgado de origen. Fecha fallo 2a. instancia el 04-10-2017. Fecha fallo 1a. instancia el 27-03-2017 a las 2:30 pm. Continuación aud. el 14-02-2017 a las 3:00 pm. Nueva fecha 2T el 06-10-2016 a las 11:00 am pruebas y fallo (Suspende audiencia para testigos del Banco). 2T el 29-06-2016 a las 9:30 am pruebas y fallo (Aplazada). 1T Conciliación el 29-03-2016 a las 10:30 am; decisión de excepciones previas, saneamiento, fijación del litigio, decreto y práctica de pruebas. El 23-10-2015 recepción memorial contestación a la reforma de la demanda. El 16-10-2015 Auto tiene por contestada la demanda y corre traslado de la reforma. El 21-09-2015 recepción memorial reforma de la demanda. El 11-09-2015 contestación de la demanda. El 31-08-2015 se notifica personalmente apoderado de Bancolombia. El 12-08-2015 se recibe citatorio.</t>
  </si>
  <si>
    <t>2016-00078</t>
  </si>
  <si>
    <t>52001310500320160007800-</t>
  </si>
  <si>
    <t>El demandante como Cajero fue despedido por tomar dinero de la caja para pagos personales y mala atención.</t>
  </si>
  <si>
    <t>El 22-09-2017 envía expediente al Juzgado de origen. Fecha fallo 2a. instancia el 24-08-2017. SIN COSTAS. El 04-04-2017 Auto Trib. admite Consulta. Se envía a Consulta al Tribunal ya que el demandante no apeló. 2T el 27-02-2017 2017 a las 9:00 am, trámite y juzgamiento. 1T Conciliación el 09-11-2016 a las 10: 30 am; decisión de excepciones previas, saneamiento, fijación del litigio y decreto de pruebas. El 06-05-2016 se remitió poder al Abogado para notificación.</t>
  </si>
  <si>
    <t>2017 - 0091</t>
  </si>
  <si>
    <t>11001310502320170009100-</t>
  </si>
  <si>
    <t>Atendiendo reiterados mensajes irrespetuosos en la intranet corporativa se decide presentar la justa</t>
  </si>
  <si>
    <t>Pedro Luis Taborda Jaramillo</t>
  </si>
  <si>
    <t>11001310503120150016300</t>
  </si>
  <si>
    <t>La demandante fue despedida con justa causa por favorecer como Gerente de la Sucursal a diversos clientes extralimitando sus funciones.</t>
  </si>
  <si>
    <t>Fecha fallo 2a. instancia el 30-11-2016. El 19-01-2016 se radica proceso en el Tribunal. El 02-12-2015 enviado en Consulta al Trib. Sup. Nueva fecha continuación aud. el 30-11-2015 a las 2:30 pm, fallo. Continuación 2T el 02-10-2015 a las 11:00 am, fallo (Aplazada). 2T el 06-08-2015 a las 2:30 pm práctica de pruebas y fallo (Se recepcionaron testimonios de la parte actora). 1T Conciliación el 19-06-2015 a las  09:30 am, decisión de excepciones, saneamiento, fijación del litigio, decreto y práctica de pruebas, alegatos y fallo.</t>
  </si>
  <si>
    <t>2015-00541</t>
  </si>
  <si>
    <t>05001310500520150054100</t>
  </si>
  <si>
    <t>La ddante. fue despedida sjc. Solicita el reintegro por haber sido despedida en hora de lactancia.</t>
  </si>
  <si>
    <t>El 07-11-2017 devolución al Juzgado de origen. Fecha fallo 2a. instancia el 29-09-2017 (Aplazada). Concede apelación presentada por el ddante. y se envía al Trib. Sup. 2T Interrogatorio de partes el 21-01-2016 a las 8:30 am, testimonios (Sólo 02)  y posible fallo. 1T Conciliación el 20-10-2015 a las 8:30 am; decisión de excepciones previas, saneamiento, fijación del litigio y decreto de pruebas (ART.77 CPL). Contestada el 07-07-2015. Notificada el 23-06-2015.</t>
  </si>
  <si>
    <t>Roberto Muñoz Rangel</t>
  </si>
  <si>
    <t>2015-00305</t>
  </si>
  <si>
    <t>05001310501320150030500</t>
  </si>
  <si>
    <t xml:space="preserve">El ddante. fue despedido cjc por haber utilizado unas cuentas (Banconautas) de su hija menor para recibir dineros de clientes de una supuesta natillera, violando las disposiciones del Banco. </t>
  </si>
  <si>
    <t>El 21-09-2017 Devolución al Juzgado de origen. El 13-09-2017 Auto obedézcase y cúmplase lo resuelto por la CSJ. Admite Desistimiento. El 12-09-2017 Reingreso, recibido de la CSJ. pasa al Despacho para lo pertinente. El 08-05-2017 envío a la CSJ. Tribunal Superior concedió el Recurso de Casación interpuesto por la parte demandante, actuación notificada por estados el 07-04-2017. El 03-02-2017 el ddante. interpone recurso de Casación. Fecha fallo 2a. instancia el 30-01-2017 a las 2:15 pm (Confirma). Fecha fallo 1a. instancia el 30-03-2016 a las 9:00 am, práctica de toda la prueba. 1T Conciliación el 25-08-2015 a las 4:00 pm, decisión de excepciones previas, saneamiento y decisión del litigio, decreto de pruebas. Contestada el 20-04-2015. Notificada el 07-04-2015</t>
  </si>
  <si>
    <t>2017 - 0233</t>
  </si>
  <si>
    <t>11001310503120170023300-</t>
  </si>
  <si>
    <t>INDEMNIZACION DSJC Y MORATORIA</t>
  </si>
  <si>
    <t>El demandante fue despedido por ingresar información falsa a la planilla de asistencia y dice que no se aplico proceso disciplinario para despedirlo</t>
  </si>
  <si>
    <t>El 25-01-2018 Auto ordena archivo del expediente. El 15-11-2017 Auto aprueba liquidación de costas y archivo. El 07-11-2017 Auto obedézcase y cúmplase - Ordena practicar liquidación de costas. Fecha fallo 2a. Instancia el 03-10-2017.  1T Conciliación el 16-08-2017 a las 9:30 am; decisión de excepciones previas, saneamiento, fijación del litigio, decreto y práctica de pruebas y fallo. El 12-07-2017 se contesta demanda. El 05-07-2017 se notificó BANCOLOMBIA.</t>
  </si>
  <si>
    <t>2007-00286</t>
  </si>
  <si>
    <t>11001310501320070028600</t>
  </si>
  <si>
    <t>Fue despedido JC en mayo de 2004 debido a que ocultó partidas pendientes de conciliar por cerca de 4.000 mm en la GOT.</t>
  </si>
  <si>
    <t>Al Despacho para fallo el 18-04- 2012. El 11-04-2012 devuelto el expediente con oposición. El 20-03-2012 inició traslado al opositor y el 23-03-2012 el apoderado del Banco retiró el expediente. Concede recurso de casación al ddante. 04-11-2011. Fallo 2a. instancia el 30-09-2011 a las 3:00 pm. Trib. corre traslado por 05 días para alegatos de conclusión 31-08-2010. Concede apelación al ddante. el 10-08-2010. Fecha fallo 1a. instancia el 16-07-2010 a las 4:00 pm. En espera del DC el 11-11-2009 para cierre del debate probatorio. El 15-10-2009 se evacuó en Medellín el Despacho Comisorio. Enviado al Juzgado 8° de Descongestión. Fecha fallo 1a instancia el 30-05-2008 a las 4:00 PM. Enviado a Juzgados de descongestión el 07-02-2008. 4T (continuación) el 07-02-2008 testimonio. 4T el 28-01-2008 testimonio. 3T testimonios el 04-12-2007. 2T Interrogatorio de partes el 21-11-2007. 1T Conciliación el 01-11-2007</t>
  </si>
  <si>
    <t>2015-00481</t>
  </si>
  <si>
    <t>68001310500120150048100-</t>
  </si>
  <si>
    <t>La demandante como Cajera omitió procedimientos que resultaron en la pérdida de $50' del Cajero Electrónico.</t>
  </si>
  <si>
    <t>El 19-09-2017 Auto aprueba costas y ordena archivo del proceso. Fecha fallo 2a. instancia el 31-07-2017. 2T el 08-02-2017 a las 10:00 am; práctica de pruebas y fallo. 1T Conciliación el 10-08-2016 a las 3:00 pm, decisión de excepciones previas, saneamiento, fijación del litigio y decreto de pruebas (Se recepcionarán los Interrogarios de parte). El 22-02-2016 se radica contestación de la demanda. Notificada el 09-02-2016</t>
  </si>
  <si>
    <t>Alberto Jaime Fadul Ortíz</t>
  </si>
  <si>
    <t>Vr. condena indemnización $19'437.461, costas 1a instancia $1'500.000, costas 2a instancia $737.717. Total pagado $21'675.178 el 06-10-2017.</t>
  </si>
  <si>
    <t>2015-00788</t>
  </si>
  <si>
    <t>11001310500420150078800-</t>
  </si>
  <si>
    <t>El demandante como Cajero fue despedido cjc por mala atención a un cliente preferencial.</t>
  </si>
  <si>
    <t>Fecha fallo 2a. instancia el 02-05-2017. Enviado al T. Sup. el 15-11-2016. Concede recurso de apelación interpuesto por el Banco. Fija nueva audiencia el  27-10-2016 a las 8:30 am, pruebas, alegatos y fallo. 1T Conciliación el 05-09-2016 a las 8:15 am; decisión de excepciones previas, saneamiento, fijación del litigio y decreto de pruebas. Notificada el 04-05-2016.</t>
  </si>
  <si>
    <t>Nelson de J. Sánchez Rendón</t>
  </si>
  <si>
    <t>Vr. condena indemnización $20'498.357, costas 1a y 2a instancia $4'950.868. Total pagado el 21-11-2017 $25'449.225</t>
  </si>
  <si>
    <t>2007-00030</t>
  </si>
  <si>
    <t>23001310500220070003000</t>
  </si>
  <si>
    <t xml:space="preserve">Directora de servicio, por sus omisiones en los controles a su cargo dio lugar a desfalcos de $ en pagos de servicios públicos. </t>
  </si>
  <si>
    <t>El 30-05-2017 envía exp. a reparto Descongestión. El 14-12-2012 al Despacho renuncia del poder. El 11-12-2012 presenta memorial o escrito el doctor Alberto Fadul, apoderado de la parte demandante renunciando al poder conferido. El 28-09-2011 para agregar recurso de queja. El 02-09-2011 al despacho para fallo. El 25-08-2011 se sustenta demanda de casación en la Corte por el Banco. El 09-08-2011 inicia traslado al opositor Bancolombia y se retira expediente por el Dr. Herrera. Reconoce personería al Dr. JRH y corre traslado al opositor 03-08-2011. CSJ califica demanda y ordena traslado al opositor 21-07-2011. CSJ admite recurso y ordena traslado al recurrente 06-05-2011. Trib. concede recurso de Casación a la ddante. 01-09-2010. Fallo 2a. instancia el 28-06-2010 a las 8:15 am. Nueva fecha fallo 1a. instancia 18-02-2010. El 10-09-2009 se declara nuevamente cerrado el debate probatorio y fija nueva fecha para fallo. Fija fecha fallo 1a. instancia el 21-07-2009. Cierre etapa debate probatorio el 16-04-2009. En el mes de Diciembre de 2007, el juzgado ordena aportar Reglamento Interno de trabajo, manual del funciones del Subgerente. 1T conciliación para el 28 de Agosto de 2007 a las 8:30 a.m . La demanda se contestó el 02 de Marzo de 2007, pendiente 1T.</t>
  </si>
  <si>
    <t>Condena al pago de $780.500 por sanción moratoria la cual se debe indexar desde 2004 (Total $1´022.920)</t>
  </si>
  <si>
    <t>2015-01499</t>
  </si>
  <si>
    <t>05001310501220150149900</t>
  </si>
  <si>
    <t>La ddante. fue despedida cjc por el reconocimiento de la pensión de vejez</t>
  </si>
  <si>
    <t>Fecha fallo 2a. instancia el 11-12-2017. Fecha fallo 1a. instancia el 25-04-2017 a las 10:00 am. 2T el 19-04-2017 a las 9:00 am, práctica de pruebas y fallo (Suspende). Nueva fecha 1T Conciliación el 03-11-2016 a las 8:30 am, decisión de excepciones previas, saneamiento, fijación del litigio y decreto de pruebas. 1T Conciliación el 08-09-2016 a las 8:30 am, decisión de excepciones previas, saneamiento, fijación del litigio y decreto de pruebas (Aplazada). Contestada el 11-03-2016. Notificada el 07-03-2016. El 09-02-2016 se recibe citatorio para notificación.</t>
  </si>
  <si>
    <t>Camilo Ernesto Rey Forero</t>
  </si>
  <si>
    <t>2000-00571</t>
  </si>
  <si>
    <t>11001310500420000057100</t>
  </si>
  <si>
    <t>Fue gerente de Banca de gobierno, solicita y anulación de la conciliación por injusta y desproporcionada.Están solidariamente demandados también los Doctores LEONARDO PEYNADO  y  JOSÉ ALEJANDRO GUERRERO</t>
  </si>
  <si>
    <t xml:space="preserve">El 17-05-2012 al Despacho para fallo; no se presentó oposición por el otro opositor. El 10-04-2012 inicio traslado a otro opositor señor Leonardo Peynado. El 14-02-2012 CSJ reconoce personería al Dr. José Roberto Herrera. El 02-02-2012 se presentó oposición en la Corte por nuestro apoderado. Fecha fallo 2a. instancia el 30-06-2011. Con oficio 676 del 20-03-2009 se remite al Tribunal para surtirse solicitud de nulidad. El 18-03-2009 ordena devolver el proceso al Tribunal. El 16-02-2009 se libra auto de obedézcase y cúmplase y se declara en firme la sentencia. Tribunal devuelve al juzgado 27 de octubre de 2008 para que este decida la consulta, por decreto de conmocion interior. Trib. corre traslado a las partes por 5 días para alegar de conclusión el 11-06-2008. El 8 de mayo de 2007 a las 11:00 a.m., se llevará a cabo la audiencia de interrogatorio de parte al demandante...   El 2 de mayo de 2006 a las 2:15 p.m., se llevó a cabo la audiencia dentro de la cual se esperaba la respuesta a los oficios librados por el Despacho, de los cuales no hubo respuesta. Pendiente de nuevo señalamiento para diligencia de respuesta a oficios.
Pendiente señalamiento fecha continuación inspeccion judicial.       pendiente recepción oficio del juzgado en el Bancopara aportar pruebas.  </t>
  </si>
  <si>
    <t>2008-00284</t>
  </si>
  <si>
    <t>Aunque el resultado sigue siendo incierto, el riesgo pasa a eventual por el resultado parcial a favor.</t>
  </si>
  <si>
    <t>La ddante. fue despedida cjc por la suscripción de escrituras de compra de bienes sin los soportes de los contratos de Leasing</t>
  </si>
  <si>
    <t>El 12-04-2016 cambio de Magistrado. El 20-09-2013 cambio de Magistrado. Al Despacho para fallo 18-07-2011. El 28-06-2012 presenta oposición el apoderado de la demandada. CSJ admite recurso y ordena traslado al recurrente 01-03-2011. Al Despacho para reconocer personería al Abogado de la ddante. 16-12-2010. Concede recurso de Casación, enviado el 16-11-2010 a la C.S.J. Nueva fecha fallo 2a. instancia el 14-09-2010 a las 2:00 pm. Fallo 2a. instancia el 19-08-2010 a las 2:00 pm. Fallo 1a. instancia el 27-10-2009 a las 5:30 PM. Continuación aud. recepción Despacho Comisorio el 10-09-2009 a las 2:30 PM. 4T recepción Despacho Comisorio y dictamen pericial 21-08-2009. Aud. Despacho Comisorio Juzgado 11 Laboral de Medellín el 01-06-2009 a las 8:30 AM Testigo Leasing. Continuación 3T el 14-04-2009 a las 10:00 AM Testigos. 3T el 20-03-2009 a las 9:30 AM testigos ddante. 2T Interrogatorio de partes el 02-03-2009. 1T Conciliación el 18-02-2009 a las 9:30 am</t>
  </si>
  <si>
    <t>2007-01038</t>
  </si>
  <si>
    <t>11001310501120070103800</t>
  </si>
  <si>
    <t>Fue despedida con justa causa el 14-05-2007. Alega nulidad del despido por violación del debido proceso</t>
  </si>
  <si>
    <t>El 05-03-2018 Tribunal Obedézcase y Cúmplase. El 13-02-2018 remitido expediente al Despacho Origen. Al Despacho para fallo el 11-09-2012. Ordena traslado al opositor el 10-07-2012. CSJ admite recurso y ordena traslado al recurrente 14-05-2012. Ddante. presenta recurso de Casación 14-12-2011. Fallo 2a. instancia el 30-11-2011 a las 4:00 pm. Dede el 05-05-2010 está a despacho para fallo. Tribunal corre traslado por 05 días para alegatos de conclusión 27-04-2010. Admite recurso de apelación de la ddante. 05-03-2010. Nueva fecha fallo 1a. instancia el 26-02-2010 a las 3:00 pm. Fija fecha fallo 1a. instancia el 29-01-2010 a las 3:00 pm. Nueva fecha audiencia respuesta Despacho Comisorio 19-11-2009. Nueva fecha audiencia respuesta Despacho Comisorio 22-10-2009 a las 11:15 AM. Aud. respuesta oficios el 22-09-2009 a las 11:15 AM. Nueva fecha diligencia 06-07-2009 a las 11:15 AM. Nueva fecha aud. 14-05-2009 a las 11:15 AM. Fecha aud. respuesta Despacho comisorio 16-04-2009. 4T el 05-03-2009. 3T 29-01-2008 audiencia respuesta oficio y Despacho Comisorio. 2T Interrogatorios el 13-11-2008 8:30 am. 1T  el 30-10-2008. Nueva fecha 1T el 11-09-2008 Conciliación (aplazada por paro Jcial.). 1T Conciliación el 08-07-2008.</t>
  </si>
  <si>
    <t>2006-01173</t>
  </si>
  <si>
    <t>11001310501220060117300</t>
  </si>
  <si>
    <t xml:space="preserve">El trabajador laboró en el  banco de colombia entre abril de 1951 y  septiembre de 1952 y enero de 1953 a agosto de 1959 y ahoara reclama bono pensional </t>
  </si>
  <si>
    <t xml:space="preserve">El 18-09-2018 Auto aprueba liquidación de costas y ordena archivo. El 09-08-2018 sentencia CASA, pero favorable al Banco por haber pagado el cálculo actuarial por orden de tutela. El 06-07-2017 al Despacho de la MP. El 30-06-2017 la apoderada del recurrente allega memorial con Resolución donde se le concede la pensión y derecho de petición al ddante. El 06-06-2017 cambio de MP, pasa de la Dra. Clara Cecilia Dueñas Quevedo a la Dra. Dolly Amparo Caguasango Villota. El 30-05-2017 se envía el exp. a reparto Descongestión.  El 11-08-2014 se acepta renuncia del poder del apoderado de Colpensiones (opositores). El 08-08-2014 acepta renuncia al poder presentada por el apoderado de la opositora COLPENSIONES. El 14-02-2014 reconoce personería jurídica. El 20-09-2013 cambio de Magistrado de conocimiento. El 04-03-2013 se ingresa al Despacho el expediente una vez realizada la revisión por parte de los funcionarios de CAJANAL. El 06-12-2012 recibo de memorial suscrito por el sr. DAVID CABAL, Líder Defensa Judicial de CAJANAL, solicita préstamo de proceso judicial para recolectar imágenes de las piezas procesales que reposan en el mismo. El 14-08-2012 al Despacho para fallo. El 05-06-2012 acepta impedimento. El 25-04-2012 inició traslado al opositor. El 09-04-2012 devuelto expediente con oposición del Banco. Ordena traslado al opositor 13-03-2012. CSJ admite recurso y corre traslado al recurrente 24-01-2012. Trib. Sup. concede recurso de casación interpuesto por el ddante. 13-09-2011. Nueva fecha fallo 2a. instancia el 30-06-2011 a las 3:00 pm. Nueva fecha fallo 2a. instancia el 31-05-2011 a las 3:00 pm. Fallo 2a. instancia el 13-05-2011 a las 3:00 pm. El 21-01-2010 corre traslado por 05 días para alegar de conclusión. Trib. resuelve declarar bien denegado el recurso de apelación contra fallo el 14-03-2008. Sube a consulta al Tribunal. No admite Apelación por extemporáneo 04-04-2008.  Nueva fecha para fallo 14-03-2008 a las 4:00 PM. Fallo 22 de octubre de 2.007. Reabrieron el  debate probatorio el  11 de septiembre de 2007.Interrogatior de parte agosto 20 de 2007.   </t>
  </si>
  <si>
    <t>Sebastian Galeano Vallejo</t>
  </si>
  <si>
    <t>se demanda también a Cajanal</t>
  </si>
  <si>
    <t>2008-00459</t>
  </si>
  <si>
    <t>66001310500220080045900</t>
  </si>
  <si>
    <t>DCJC en diciembre de 2007 por haberse apropiado de  dineros de sus cesantías que debían ser enviados a un juzgado de familia ya que sobre ellos pesaba un embargo</t>
  </si>
  <si>
    <t xml:space="preserve">Fecha fallo casación el 05-12-2017. Al Despacho para fallo el 29-06-2012. El 13-06-2012 se presentó por nuestro apoderado oposición en la Corte. Traslado al recurrente hasta el 10-04-2012. El 24-04-2012 CSJ califica demanda.  El 14-02-2012 se envió poder y carta contrato a José Roberto para la oposición. Según informe del 19-12-2011 concedieron el recurso extraordinario de casación. Nueva fecha para fallo de 2a. instancia el 26-10-2011. Nueva fecha de fallo de 2a. instancia el 23-09-2011. Se señaló el 10-06-2011 a las 10 am para fallo de segunda instancia. El 12-07-2010 se sustentó recurso de apelación por apoderado del Banco. 3T el 02-02-2010 a las 8:30 am para testigos del demandante. 2T el 14-10-2009 Interrogatorio al representante legal del Banco. 1T el 17-02-2009 a las 2:30 PM.  </t>
  </si>
  <si>
    <t>Edwin Fernando Velásquez Ortega</t>
  </si>
  <si>
    <t>Se trae nuevamente a procesos vigentes en junio/2012 por admisión del recurso de casación a la ddante.</t>
  </si>
  <si>
    <t>2016-00697</t>
  </si>
  <si>
    <t>11001310501220160069700-</t>
  </si>
  <si>
    <t>La demandante fue despedida por irrespeto con los compañeros y tomar informacion confidencial para uso personal</t>
  </si>
  <si>
    <t>Alberto Zúñiga Serrano</t>
  </si>
  <si>
    <t>Conciliado en $78'124.200</t>
  </si>
  <si>
    <t>2015-00187</t>
  </si>
  <si>
    <t>05001310500220150018700</t>
  </si>
  <si>
    <t>La ddante. fue despedida cjc por haber solicitado el auxilio educativo sin estar estudiando.</t>
  </si>
  <si>
    <t>Fecha fallo 2a. instancia el 21-09-2017. 2T el 19-09-2016 a la 1:30 pm, práctica de pruebas y fallo. 1T Conciliación el 16-05-2016 a las 9:00 am; decisión de excepciones previas, saneamiento, decisión del litigio y decreto de pruebas. El 26-08-2015 se contestó la demanda. El 11-08-2015 el Abogado se notificó de la demanda.</t>
  </si>
  <si>
    <t>2016-00341</t>
  </si>
  <si>
    <t>11001310500120160034100-</t>
  </si>
  <si>
    <t xml:space="preserve">La demandante fue desvinculada con justa causa por omisión de los protologos de seguridad. </t>
  </si>
  <si>
    <t>Fecha fallo 2a. instancia el 25-01-2018 a las 9:10 am. 2T el 30-06-2017 trámite y juzgamiento. 1T Conciliación el 17-05-2017 a las 3:00 pm, decisión de excepciones previas, saneamiento, fijación del litigio y decreto de pruebas. El 09-03-2017 subsanación de la contestación de la demanda. El 01-03-2017 Auto inadmite contestación de la demanda. El 14-12-2016 contestada la demanda. Notificada el 30-11-2016.</t>
  </si>
  <si>
    <t>Carlos Humberto Restrepo Arango</t>
  </si>
  <si>
    <t xml:space="preserve">Fuero </t>
  </si>
  <si>
    <t>2017-0122</t>
  </si>
  <si>
    <t>11001310501520170012200-</t>
  </si>
  <si>
    <t>La demandada cuenta con fuero sindical y se decidió demandar por incumplir procesos y faciliar un fraude.</t>
  </si>
  <si>
    <t>2017-00093</t>
  </si>
  <si>
    <t>05001310500920170009300</t>
  </si>
  <si>
    <t>La ddante. fue despedida cjc por haber suministrado a su familia información reservada de una clienta, relacionada con el otorgamiento de una pensión y el retroactivo recibido, ocasionándole inconvenientes de seguridad.</t>
  </si>
  <si>
    <t>Concilado en $6'</t>
  </si>
  <si>
    <t>2015-00286</t>
  </si>
  <si>
    <t>08001310501120150028600</t>
  </si>
  <si>
    <t>La ex empleada desempeñaba el cargo de Informador de Servicios de la sucursal Alto Prado en la ciudad de Barranquilla , y se dio por terminado su contrato de trabajo a través de mutuo acuerdo. La demandante alega que en su liquidación le llegó en 0 toda vez que se le descontó ilegalmente un crédito de libranza del cual asegura nunca haber firmado autorización para descuento en caso de retiro.</t>
  </si>
  <si>
    <t>Fecha fallo 2a instancia el 24-11-2017. 1T Conciliación el 26-04-2017; decisión de excepciones previas, saneamiento, fijación del litigio, decreto y práctica de pruebas y fallo. Se contestó la demanda y se está a la espera de las audiencias respectivas.</t>
  </si>
  <si>
    <t>Condena al pago de $4'685.963.33. Vr. costas 1a. Instancia $781.242. Reconoce como salariales las bonificaciones del PGC.</t>
  </si>
  <si>
    <t>2016-00698</t>
  </si>
  <si>
    <t>18001310500220160069800-</t>
  </si>
  <si>
    <t>El demandante como Director de la oficina fue desvinculado por manejo irregular de dinero y girar cheque sin fondos.</t>
  </si>
  <si>
    <t>2016-00638</t>
  </si>
  <si>
    <t>El trabajador aforado en el ejercicio de su cargo de Cajero incumplió el proceso de pago de cheque, y generó una pérdida para el Banco.</t>
  </si>
  <si>
    <t>El 03-11-2017 Tribunal revoca y niega permiso para despedir. 1T el 30-10-2017. El 16-12-2016 se radicó la demanda por parte del Banco.</t>
  </si>
  <si>
    <t>2008-00209</t>
  </si>
  <si>
    <t>54001310500420090020900</t>
  </si>
  <si>
    <t>El 13-10-2012 al Despacho para la sentencia. El 26-07-2012 se presentó oposición en la Corte. El 10-04-2012 retirado el expediente, vence plazo el 02-05-2012. El 23-03-2012 ordena traslado al recurrente. El 21-03-2012 admite demanda y corre traslado. El 08-03-2012 al Despacho para admisión. El 26-01-2012 se envió poder al Dr. José Roberto. El proceso llegó a la Corte y el 07-03-2012 fue repartido; el 21-03-2012 admite demanda y el 10 de abril es retirado el expediente por la demandante recurrente. El 12-01-2012 el Tribunal concedió el recurso extraordinario de casación interpuesto por la ddte. Se ordenó reprogramar fecha para fallo, aún no lo han hecho. Fallo 1a. instancia el 18-12-2009. 3T verificación de pruebas 30-04-2009 a las 8:30 AM. Nueva fecha 2T para el 06-11-2008. 2T Interrogatorio al Bco. 04-09-2008. 1T Conciliación el 21-08-2008. DEMANDA CONTESTADA 1 DE AGOSTO DE 2008. DEMANDA ADMITIDA 4-07-08</t>
  </si>
  <si>
    <t>Carolina del Pilar Suárez Quintero</t>
  </si>
  <si>
    <t>2011-00705</t>
  </si>
  <si>
    <t>11001310503120110070500</t>
  </si>
  <si>
    <t>Solicita judicialmente la sustitución de la pensión del señor Isidro Rodríguez Duarte ya que hay otras solicitantes.</t>
  </si>
  <si>
    <t>El 09-04-2018 Auto aprueba liquidación y ordena archivo. Fallo de casación el 29-11-2017. El 13-02-2014 inicia traslado al opositor Bancolombia. El 17-01-2013 la codemandante Carmen Cecilia Quiroga interpone recurso de casación. En espera que las demás demandadas interpongan o no el recurso extraordinario de casación para saber si debemos pagar. Fecha fallo 2a. instancia el 05-12-2012. En el fallo condena al reconocimiento de la pensión a favor de Rosa María Rodríguez Barragán a partir del 05-11-2008, los apoderados del ISS y el Banco interpusieron recurso de apelación el cual fue concedido en el efecto suspensivo. Fecha fallo 1a. instancia el 28-09-2012 . El 27-09-2012 se evacuó la conciliación y los testigos de la demandante y de la citada como litisconsorte necesario. Contestada la dda. por el ISS el 30-08-2012. El 08-08-2012 se notifica al ISS. El 11-07-2012 se ordena notificar nuevamente al ISS. Continuación 1T el 18-05-2012 a las 9:00 am para continuar evacuando los testimonios y respuesta a oficio del ISS y de Bancolombia a quien se ofició solicitando allegara expediente pensional de Isidro Rodriguez y certificación de mesadas pagadas (Se ordenó integrar el contradictorio con el ISS pues dicho Instituto dejó la sustitución pensional en suspenso hasta que la jurisdicción laboral decidiera).  1T Conciliación el 02-05-2012 a las 9:10 am. El 16-01-2012 se contestó la demanda. El 09-12-2011 se envían documentos al Abogado.</t>
  </si>
  <si>
    <t>Se pagó parte del valor de la condena con la provisión que estaba en $60'</t>
  </si>
  <si>
    <t>2014-00334</t>
  </si>
  <si>
    <t>11001310502720140033400-</t>
  </si>
  <si>
    <t>La demandante en calidad de cónyuge supérstite del Sr. Rafael Navarro Tronsoco pide la indexación de la 1a. Mesada.</t>
  </si>
  <si>
    <t>El 05-12-2018 Archivo definitivo. El 25-07-2018 Allegan memorial. El 06-07-2018 archivo definitivo. Se pagó condena y costas. El 26-02-2018 devolucion al Juzgado origen. El 05-12-2017 niega corrección. El 05-12-2017 se radica solicitud de corrección de sentencia. 15 Nov 2017, TRIBUNAL ACEPTA DESISTIMIENTO RECURSO CASACION. El 07-11-2017 remite expediente al Juzgado de origen. El 22-09-2017 se presenta desistimiento del recurso de Casación por parte del Banco. El 16-08-2017 la CSJ admite recurso de Casación. Fallo 2a. Instancia el 07-03-2017 Tribunal modifica condena, se presenta recurso de Casación. 1T Conciliación el 30-01-2017 a las 10:30 am; decisión de excepciones previas, saneamiento, fijación del litigio y decreto de pruebas y fallo. Contestada el 08-11-2016. El 15-07-2016 se notifica al Banco, concede término.</t>
  </si>
  <si>
    <t>Fernando Londoño Hurtado</t>
  </si>
  <si>
    <t>Condena a la indexación de la primera mesada y al retroactivo por valor total de $199'298.468,46. Pendiente liquidación de costas. Vr. costas $8'000.000</t>
  </si>
  <si>
    <t>2013-01487</t>
  </si>
  <si>
    <t>05001310502120130148700</t>
  </si>
  <si>
    <t>Fue despedida cjc por haber pagado un cheque gemeliado por $89'9 sin efectuar la confirmación del mismo, y haber recibido una propina por $100.000 de la persona que cobró dicho cheque</t>
  </si>
  <si>
    <t>Fecha fallo 2a. instancia el 09-03-2018 a las 9:00 am. Nueva fecha 2T el 14-04-2016 a las 2:00 pm.  testigos, y fallo. 2T el 29-05-2015 a las 9:00 am, (Aplazada por solicitud nuestra). 1T Conciliación el 22-09-2014 a las 11:00 am. Contestada el 05-05-2014. Notificada el 21-04-2014. El 10-03-2014 llegó citatorio.</t>
  </si>
  <si>
    <t>2006-00214</t>
  </si>
  <si>
    <t>76001310500420060021400</t>
  </si>
  <si>
    <t>Entregó al guardia de seguridad las claves de la oficina mientas se hacian unas reparaciones en el fin de semana.</t>
  </si>
  <si>
    <t xml:space="preserve">El 11-06-2019 aprueba liquidación de costas y ordena el archivo. El 09-04-2019 Auto obedézcase y cúmplase. El 22-03-2018 remite exp. al  Despacho origen. Sentencia CSJ el 14-03-2018 (Casa y absuelve al Banco). El 30-05-2017 envía exp. a reparto Descongestión. El 08-05-2012 al Despacho para fallo. El 25-04-2012 fue devuelto el expediente con la oposición del ddante. El 29-03-2012 inició traslado al opositor Carlos Holmes, vence el 23-04-2012. El 21-03-2012 calificada demanda y ordena traslado al opositor. El 29-02-2012 se presentó demanda de casación por nuestro abogado. Ordena traslado al recurrente Bancolombia el 31-01-2012. Reconoce personería al Dr. JRH 26-10-2011. Ordena traslado al opositor y califica demanda el 21-09-2011. 13-07-2011 reconoce personeria al Dr. Diego Hernando Arias como apoderado de la parte recurrente. CSJ admite recurso y ordena traslado al recurrente 21-06-2011. Recurso de Casación interpuesto por el Banco el 07-10-2010. Fallo 2a. instancia el 29-09-2010 a las 3:00 pm. Avoca el conocimiento Sala Laboral de Descongestión 15-04-2010. Corre traslado a las partes para alegar de conclusión 11-08-2009. Concede apelación a ambas partes el 13-07-2009. Fija fecha fallo 1a. instancia el 30-06-2009 a las 4:30 Pm. Inspección jcial. el 04-06-2009 a las 3:00 PM. Fija aud. respuesta oficios 07-05-2009. 4T Interrogatorio de partes el 02-04-2009 a las 3:00 PM. Avoca el conocimiento el Juzgado 5° Laboral de Descongestión el 27-02-2009 y fija fecha Inspección Jcial. el 11-03-2009 a las 3:00 PM. Continuación 3T el 19-11-2008 (Testimonio). 3T el 15-04-2008 a las 2:00 PM (Testigo). 2T el 16-07-2007 a las 2:30 PM (Testigos). 1T  Conciliación el 20-11-2006 a las 8:30 AM. </t>
  </si>
  <si>
    <t>Andres Sierra Amazo</t>
  </si>
  <si>
    <t>La CSJ absolvió de la condena impuesta en 1a. instancia y confirmada en 2a.</t>
  </si>
  <si>
    <t>2017 -00523</t>
  </si>
  <si>
    <t>11001310501320170052300-</t>
  </si>
  <si>
    <t>FUERO SINDICAL - PERMISO PARA DESPEDIR</t>
  </si>
  <si>
    <t>El demandado incurrió en reiteradas faltas a la reserva bancaria</t>
  </si>
  <si>
    <t>Fecha fallo 2a. instancia el 07-05-2018. Audiencia de fallo el 17-04-2018 a las 3:30 pm. El 10-04-2018 Recepción memorial recurso de reposición y en subsidio apelación. El 20-03-2018 Auto fija fecha audiencia y/o diligencia para el 06-04-2018 a las 9:00 am, para audiencia pública especial. El 30-10-2017 Auto resuelve aclaración providencia, se aclara el Auto admisorio de la demanda en el sentido de señalar que la notificación por aviso debe efectuarse conforme lo dispuesto en el art. 29 del C.P.T. y la S.S, al demandado LUIS EDUARDO GONZALEZ y al SINDICATO UPROFIN. El 04-10-2017 Auto ordena notificar al demandado y al sindicato. El 16-08-2017 Auto admite demanda.</t>
  </si>
  <si>
    <t>2017-00037</t>
  </si>
  <si>
    <t>85001310500220170003700-</t>
  </si>
  <si>
    <t>REINSTALACION A CONDICIONES DE TRABAJO</t>
  </si>
  <si>
    <t>El demandado tiene fuero sindical y por sus faltas fue retirado de funciones y pide reinstalacion</t>
  </si>
  <si>
    <t>Fallo 2a. instancia el 23-10-2017. 1T el 12-10-2017 a las 9:00 am, Aud. de conciliación y pruebas. El 31-03-2017 se remitió poder al Abogado externo.</t>
  </si>
  <si>
    <t>Sergio Enrique Pérez Sarmiento</t>
  </si>
  <si>
    <t>2010-00086</t>
  </si>
  <si>
    <t>11001310501020100008600</t>
  </si>
  <si>
    <t>El 11 de diciembre de 2009 fue despedido con justa causa por exceder en atribuciones con clientes, trasladarlos sin autorización, obtener beneficio económico de los mismos, violaciones al RIT, Ley y Código de Ética.</t>
  </si>
  <si>
    <t>El 06-09-2018 Archivo definitivo. El 17-07-2018 devolución del Tribunal al Juzgado origen. Fecha fallo CSJ el 16-05-2018. Al Despacho para fallo el 08-02-2013. El 01-02-2013 nuestro apoderado presenta oposición en la CSJ. El 12-12-2012 califica demanda y corre traslado.  El 03-12-2012 el recurrente presenta demanda. El 06-11-2012 inicia traslado al recurrente. Trib. concede recurso de casación el 31-08-2012.  Fecha fallo 2a. instancia el 31-05-2012. Enviado a los Magistrados de Descongestión el 12-04-2011 (Mag. Aníbal Guillermo González Moscote). Corre traslado a las partes para alegatos el 24-11-2010. El 02-09-2010 se presentó apelación. Concede recurso de apelación a ambas partes el 07-09-2010. Fija fecha fallo 1a. instancia el 30-08-2010 a las 4:30 pm. Nueva fecha 2T el 19-08-2010 a las 8:30 am. testigo. 2T el 04-08-2010 a las 8.30 am. 1T Conciliación el 15-06-2010 a las 8.30 am. El 26-04-2010 se contestó la demanda. El 17-03-2010 llegó citatorio para notificación y se enviaron documentos al Abogado para respuesta a la demanda.</t>
  </si>
  <si>
    <t>11001310502320150036500</t>
  </si>
  <si>
    <t xml:space="preserve">INDEMNIZACIÓN DSJC </t>
  </si>
  <si>
    <t>El actor fue desvinculado cjc por malas prácticas comerciales y recibir dinero en su cuenta de clientes que direccionaba.</t>
  </si>
  <si>
    <t>Fallo 2a. instancia el 04-04-2018. Se presentó apelación por parte del Banco. El 29-09-2016 a las 10:00 am pruebas, alegatos y fallo. Nueva fecha 1T  Conciliación el 14-06-2016 a las 10:00 am; decisión de excepciones previas, saneamiento, fijación del litigio, decreto y práctica de pruebas. 1T  Conciliación el 16-03-2016 a las 10:00 am; decisión de excepciones previas, saneamiento, fijación del litigio y decreto de pruebas (Aplazada). El 05-10-2015 tiene por contestada la demanda. El 31-08-2015 se recibió citatorio y se remite poder al Abogado.</t>
  </si>
  <si>
    <t>Vr. condena $ 45'694.191. Vr.condena costas $2'281.242.</t>
  </si>
  <si>
    <t>2009-00123</t>
  </si>
  <si>
    <t>11001310500520090012300</t>
  </si>
  <si>
    <t>Fue despedida con justa causa el 21 de septiembre de 2008, fecha en la cual estaba en negociación el pliego de peticiones del Sindicato, alega que tiene fuero cirncunstacial y por lo tanto que su despido fue ilegal y además que fue injusto.</t>
  </si>
  <si>
    <t>Cambio de Magistrado el 12-04-2016. El 23-11-2011 al Despacho para fallo. El 15-11-2011 devuelto expediente con oposición. El 24-10-2011 inicia traslado al opositor Jenny cardenas. El 19-10-2011 califica demanda y corre traslado al opositor. El 29-09-2011 se presenta por el Banco demanda de casación. El 29-08-2011 inicia traslado al recurrente, ese día se retira expediente. 24-08-2011 auto que reconoce personería jca. al Dr. Herrera. El 05-08-2011 se radica poder del Doctor Jose Roberto. El 03-08-2011 a secretaría para notificación del auto anterior. El 26-07-2011 admite el recurso de casación. El 14-10-2010 la parte ddte. presenta memorial solicitando se inadmita el recurso. Desde el 13-10-2010 esta al Despacho para admisión. El 01-09-2010 fue enviado a la Corte. El 29-06-2010 se interpuso recurso de casación. Fecha fallo 1a. instancia el 27-04-2010. Nueva fecha aud. respuesta oficios el 23-11-2009 a las 10:00 am. 4T respuesta oficios el 21-10-2009 . 3T el 08-10-2009 a las 8:15 am. testimonios y recepción de documentos. Allega copia de convención colectiva el 18-09-2009. 2T el 08-09-2009 testigos de ambas partes. 1T Conciliación el 06-08-2009 en la cual se evacuaron los interrogatorios a las partes y se dieron 10 días para que el Banco aportara documentos solictados por la actora. El 28-05-2009 se contestó la demanda. El 13-05-2009 fue notifcada por aviso la demanda.</t>
  </si>
  <si>
    <t>Francisco Javier Toro Quintero</t>
  </si>
  <si>
    <t>2015-00837</t>
  </si>
  <si>
    <t>05001310501520150083700</t>
  </si>
  <si>
    <t>El ddante. fue despedido cjc por referir clientes para créditos los cuales resultaron con documentación falsa.</t>
  </si>
  <si>
    <t>El 18-06-2018 el demandante desiste del recurso de Casación. El 31-05-2018 inicia traslado al recurrente. El 30-05-2018 la CSJ admite el recurso. El 23-01-2018 el Trib. Sup. concede recurso de Casación al ddante. Fallo 2a. instancia el 24-11-2017. 2T el 12-10-2016 a las 9:15 am, práctica de toda la prueba y fallo. Nueva fecha Aud. Despacho Comisorio en Neiva el 04-05-2016 a las 2:30 pm. Aud. Despacho Comisorio en Neiva el 04-04-2016 a las 9:00 am (Aplazada por solicitud del apoderado de la demandante). Pendiente 2T hasta tanto no lleguen los Despachos Comisorios de Neiva. 1T Conciliación el 19-11-2015 a las 8:30 am; decisión de excepciones previas, saneamiento, fijación del litigio y decreto de pruebas. Contestada el 05-10-2015. Notificada el 22-09-2015.</t>
  </si>
  <si>
    <t>Patricia Puerta González</t>
  </si>
  <si>
    <t>2014-01495</t>
  </si>
  <si>
    <t>05001310500220140149500</t>
  </si>
  <si>
    <t>La ddante. fue despedida cjc porque luego de  haber grabado una Fiducuenta por $4'5 posteriormente la reversó y la grabó por $4'050; al cabo de un mes hizo una adición a dicha Fiducuenta por valor de $450.000, hechos que fueron reclamados por la titular de la misma. Se advierte que en la fecha de apertura la ex empleada no reportó ningún sobrante.</t>
  </si>
  <si>
    <t>El 15-06-2018 devolución al Juzgado de origen. Fecha fallo 2a. instancia el 06-06-2018. El Despacho declaró probada la excepción previa de prescripción y decretó la terminación del proceso. 1T Conciliación el 05-02-2018 a las 3:00 pm; decisión de excepciones previas, saneamiento, fijación del litigio y decreto de pruebas. El 02-08-2017 se contesta la demanda. El 18-07-2017 se notifica el Banco.</t>
  </si>
  <si>
    <t>Dora Inés Leguizamón Cuervo</t>
  </si>
  <si>
    <t>2009-00631</t>
  </si>
  <si>
    <t>05001310501220090063100</t>
  </si>
  <si>
    <t>Aunque el resultado es incierto, el riesgo pasa a remoto.</t>
  </si>
  <si>
    <t>2016-00729</t>
  </si>
  <si>
    <t>11001310500320160072900-</t>
  </si>
  <si>
    <t>INDEMNIZACION DSJC, MORATORIA</t>
  </si>
  <si>
    <t>El demandante fue despedido con justa causa por incumplir citas con clientes y no cumplir horario.</t>
  </si>
  <si>
    <t>Fecha fallo 2a instancia el 05-04-2018. El 04-09-2017 Exp. enviado al Trib. Sup. en apelación. 2T el 29-08-2017 alas 2:15 pm, práctica de pruebas, alegatos y fallo. 1T Conciliación el 13-07-2017 a las 2:15 pm; decisión de excepciones previas, saneamiento, fijación del litigio y decreto de pruebas. El 18-04-2017 se contestó la demanda.</t>
  </si>
  <si>
    <t xml:space="preserve">Habib Miguel Ortiz Franco </t>
  </si>
  <si>
    <t>Vr. condena 36'740.361,75. Costas 1a. Instancia $2'000.000. Total $38'740361,75</t>
  </si>
  <si>
    <t>2011-00244</t>
  </si>
  <si>
    <t>11001310503320110024400</t>
  </si>
  <si>
    <t>La ddte. fue desvinculada con justa causa como quiera que en su rol de coordinadora de horario extendido no realizó el control dual de un cheque que fue pagado por un cajero y que constituyó un fraude para el Banco, de haber hecho correctamente el control dual el cheque no hubiese sido pagado.</t>
  </si>
  <si>
    <t>El 14-09-2018 Auto aprueba liquidación y ordena archivo. El 09-05-2018 Sentencia Corte No Casa. El 07-11-2014  al Despacho para sentencia en Corte. El 22-07-2014 envío del expediente con Oficio N° 0675 del 1507-2014 a la Sala de casación laboral a fin de que continúe con el trámite del recurso de Casación. El 08-07-2014 Auto de trámite niego reconstrucción en cuanto a página de la convención colectiva y da por reconstruido parcialmente el expediente en lo relacionado a la certificación sindical;  remitir a la CSJ. El 07-02-2014 se devuelve al Tribunal, la Corte mediante auto del 04-10-2013 señaló que no le corresponde dirimir ello y previo a continuar con el recurso rodenó devolver el expediente al Tribunal para que ellos procedan a verificar lo solicitado por el apoderado de la demandante. El apoderado de la demandante solicitó la reconstrucción del expediente, pues manifiesta que se extraviaron varias piezas procesales como lo son la certificaicón de paz y salvo de Sintrabancol, pag. 30 de la convención colectiva de 1999, los cuales fueron relacioandos en la demanda y por ello pide compulsar copias a la fiscalía. El 02-10-2012 retiró expdiente Dr. Pablo Cárdenas apoderado de la parte recurrente.  Fecha fallo 1a. instancia el 24-04-2012. La recusación que presentó el apoderado de la ddte. contra el Juez fue enviada al Tribunal y el 13-04-2012 fue devuelto del Tribunal negando recusación. Nueva fecha aud. despacho comisorio el 16-02-2012 a las 3.30 pm. Aud. despacho comisorio el 07-02-2012 a las 9:00 Juzgado 10 Laboral de Medellín (Aplazada). 2T 06-02-2012 a las 10:00 am para alegatos y dictar sentencia. 1T Conciliación el 21-11-2011 a las 9:00 am, interrogatorios y testimonios; comisiona a Juzgados Laborales de Medellín. El 06-10-2011 se contestó la demanda. El 11-08-2011 llegó citatorio y el 15-09-2011 se enviaron documentos al Abogado.</t>
  </si>
  <si>
    <t>2016-00649</t>
  </si>
  <si>
    <t>41001310500120160064900-</t>
  </si>
  <si>
    <t>El demandante fue desvinculado con justa causa por malas prácticas comerciales (Mineria) y  pide reintegro por no agotar proceso disciplinario.</t>
  </si>
  <si>
    <t>Alejandro Guerrero Gallego</t>
  </si>
  <si>
    <t>2016-00782</t>
  </si>
  <si>
    <t>11001310503720160078200-</t>
  </si>
  <si>
    <t>INDEMNIZACION DSJC, RELIQUIDACION FINAL Y MORATORIA</t>
  </si>
  <si>
    <t>La demandante fue despedida como Cajera por realizar un proceso indebido con respecto al pago de cheques en la caja a su cargo.</t>
  </si>
  <si>
    <t>El 29-06-2018 Archivo . Fecha fallo 2a. instancia el 16-05-2018 Confirma. Nueva fecha 1T Conciliación el 15-05-2017 a las 8:30 am; decisión de excepciones previas, saneamiento, fijación del litigio, decreto y práctica de pruebas y fallo. 1T Conciliación el 07-02-2017 a las 8:30 am, decisión de excepciones previas, saneamiento, fijación del litigio, decreto y práctica de pruebas y fallo (Aplazada a solicitud del ddante.). El 16-09-2016 se remitió poder al Abogado Externo.</t>
  </si>
  <si>
    <t>2016-00529</t>
  </si>
  <si>
    <t>76001310500820160052900-</t>
  </si>
  <si>
    <t>INDEMNIZACION DSJC Y PERJUICIOS MATERIALES</t>
  </si>
  <si>
    <t>El ex trabajador como Cajero fue despedido por omitir proceso de visación que desencadenó en un fraude.</t>
  </si>
  <si>
    <t>El 28-05-2018 Auto ordena archivo. Fecha fallo 2a. intancia el 21-03-2018 (Confirma) . 2T el 31-07-2017 a las 8:45 am, trámite y fallo. 1T Conciliación el 05-07-2017 a las 8:45 am; decisión de excepciones previas, saneamiento, fijación del litigio, decreto y práctica de pruebas, y fallo (Suspende). Contestada el 15-03-17</t>
  </si>
  <si>
    <t>2017-00555</t>
  </si>
  <si>
    <t>11001310503120170055500-</t>
  </si>
  <si>
    <t>La demandante fue desvinculada por quejas de servicio, incumplir acuerdos de reestructuracion de creditos y llegadas tarde, y afirma que tuvo AT que le otorga un fuero</t>
  </si>
  <si>
    <t>Fecha fallo 2a. instancia el 06-06-2018 (Confirma). El 21-05-2018 se envía en Consulta al Tribunal. 2T el 16-05-2018 a las 12:00 M, trámite y fallo. 1T Conciliación el 08-03-2018 a las 2:30 pm; decisión de excepciones previas, saneamiento, fijación del litigio y decreto de pruebas. El 01-12-2017 se remitió poder al Abogado.</t>
  </si>
  <si>
    <t>Johana Patricia Quiñónez Montaño</t>
  </si>
  <si>
    <t>2017-00239</t>
  </si>
  <si>
    <t>NULIDAD DE TRASLADO DE OFICINA</t>
  </si>
  <si>
    <t>El demandante por mal rendimiento fue trasladado de Municipio y mediante tutela dejó sin valor la orden del Banco pero le ordenaron demandar.</t>
  </si>
  <si>
    <t>2018-00073</t>
  </si>
  <si>
    <t>52835310500120180007300-</t>
  </si>
  <si>
    <t xml:space="preserve">El trabajador incurrió en justas causas por ausentarse injustificadamente. </t>
  </si>
  <si>
    <t>Fecha fallo 2a. Instancia el 21-05-2018. 1T el 03-05-2018 a las 10:00 am, saneamiento, fijación del litigio decreto y práctica de pruebas y fallo El 02-03-2018 se radica demanda.</t>
  </si>
  <si>
    <t>Mauricio Duque Quiceno</t>
  </si>
  <si>
    <t>1 Civil del Circuito</t>
  </si>
  <si>
    <t>2018 - 0005</t>
  </si>
  <si>
    <t>2018-00005</t>
  </si>
  <si>
    <t>NULIDAD DE PROCESO DISCIPLINARIO</t>
  </si>
  <si>
    <t>Aunque el resultado es incierto, el riesgo se re clasifica como probable por el resultado desfavorable.</t>
  </si>
  <si>
    <t>A la demandante se le hizo un proceso disciplinario por omitir procesos de seguridad en Sucursal, del cual alega la nulidad.</t>
  </si>
  <si>
    <t>1T Conciliación el 05-07-2018 a las 2:00 pm, decisión de excepciones previas, saneamiento, fijación del litigio, decreto y práctica de pruebas y fallo.</t>
  </si>
  <si>
    <t>María Ángela Mozo Jácome</t>
  </si>
  <si>
    <t>Vr. total condena $959.309</t>
  </si>
  <si>
    <t>2017-00909</t>
  </si>
  <si>
    <t>05001310500220170090900</t>
  </si>
  <si>
    <t>Aunque el resultado es incierto, el riesgo se califica como probable por la conciliación efectuada.</t>
  </si>
  <si>
    <t xml:space="preserve">El ddante. fue despedido cjc por manejo irregular de la cuenta de un cliente de la Sucursal, y por patrocinar créditos de un tercero para aquel con altos intereses, con el producto de créditos del Banco que a su vez le aprobaba al tercero. </t>
  </si>
  <si>
    <t>Juan Emiliano Cárdenas Vélez</t>
  </si>
  <si>
    <t>Conciliado en $27'5</t>
  </si>
  <si>
    <t>Unico - Ocaña</t>
  </si>
  <si>
    <t>2016-00194</t>
  </si>
  <si>
    <t>54498310500120160019400-</t>
  </si>
  <si>
    <t>REINTEGRO - SUBSIDIARIA INDEMNIZACION POR TERMINACION DE CONTRATO</t>
  </si>
  <si>
    <t>Aunque el resultado es incierto, el riesgo se re clasifica como probable.</t>
  </si>
  <si>
    <t>El demandante fue desvinculado con justa causa por presentarse a laborar bajo los efectos del alcohol siendo reiterativa esta situacion.</t>
  </si>
  <si>
    <t>El 09-08-2018 se pagó condena y costas. Fecha fallo 2a. instancia el 18-05-2018 Revoca y condena a la indemnización, absuelve en lo demás. El 13-03-2017 Tribunal admite Consulta. 1T el 14-02-2017 a las 9:00 am;  recepción de la contestación de la demanda, Conciliación, decisión de excepciones previas, saneamiento, fijación del litigio, decreto y práctica de pruebas, alegatos de conclusión y posiblemente fallo. Se notificó la apoderada de Bancolombia.</t>
  </si>
  <si>
    <t>Jorge Ignacio Uribe Velásquez</t>
  </si>
  <si>
    <t>Vr. condena total $1'928.825</t>
  </si>
  <si>
    <t>2014-00203</t>
  </si>
  <si>
    <t>76001310501620140020300</t>
  </si>
  <si>
    <t>El demandante fue despedido con justa causa por no efectuar a cabalidad los procesos de cuadre de caja y de bóveda, no siendo esa la primera vez que cometía errores similares.</t>
  </si>
  <si>
    <t>El 14-11-2018 Auto ordena archivo. El 08-08-2018 se efectúa el pago de la condena y costas. Fallo 2a. instancia el 06-06-2018 . 10 Feb 2015 REPARTO DEL PROCESO EN EL TRIBUNAL. 2T  el 03-02-2015 a las 9:00 am - práctica de pruebas (fallo oralidad). 1T Conciliación el 21-10-2014 a las 9:00 am, decisión de excepciones, y pruebas. Contestada el 03-07-2014. El 13-06-2014 se envían documentos al Abogado.</t>
  </si>
  <si>
    <t>Vr. condena incluidas costas $10'936.333</t>
  </si>
  <si>
    <t>2010-00261</t>
  </si>
  <si>
    <t>05001310501820100026100</t>
  </si>
  <si>
    <t>El resultado es muy incierto y por lo tanto la probabilidad de fallo adverso es latente</t>
  </si>
  <si>
    <t>El ddante. fue despedido cjc por haber autorizado un incremento de salario a una colaboradora suya sin tener facultades para ello y a pesar de que dicho incremento le había sido negado.</t>
  </si>
  <si>
    <t xml:space="preserve">Fecha fallo de Casación el 25-07-2018. El 20-09-2013 cambio de Magistrado. El 11-09-2012 al Despacho para fallo. El 05-09-2012 presenta oposición el ddante. El 10-08-2012 inicia traslado a los opositores. El 01-08-2012 califica demanda y corre traslado al oposior. Dda. de casación presentada por el ddado. el 26-06-2012. Al Despacho del MP para calificación de la dda. el 10-04-2012. 27-03-2012 ddante. presenta dda. de cas.Traslado al recurrente el 23-02-2012. Concede recurso de casación 11-10-2011. Fecha fallo 2a. instancia el 16-08-2011. Nueva fecha fallo 1a. instancia el 16-05-2011 a las 10:30 am. Fecha fallo 1a. Instancia el 06-05-2011 a las 10:15 am. Continuación 2T el 14-02-2011 a la 1:15 pm (Testigos). 2T el 26-01-2011 a la 1:30 pm, práctica de toda la prueba (Testigos). 1T Conciliación el 25-11-2010 a la 1:00 pm. Se contestó la dda. el 01-09-2010. </t>
  </si>
  <si>
    <t>Desfavorable  (Parcial)</t>
  </si>
  <si>
    <t>Alcides Portes Torres</t>
  </si>
  <si>
    <t>2015-00197</t>
  </si>
  <si>
    <t>54001310500120150019700-</t>
  </si>
  <si>
    <t>El demandante elaboró un comprobante de recaudo del cliente BANCOLDEX por 35 millones para corregir una operación y esta operación no se grabó</t>
  </si>
  <si>
    <t>El 04-07-2018 Aprueba costas y archivo. Fecha fallo 2a. instancia el 23-04-2018. El 19-01-2016 el Tribunal de Cúcuta admite la apelación. Fecha fallo 1a. instancia el 13-11-2015 a las 10:00 am. Declara fracasada conciliación y cita el 14-10-2015 a las 3:00 pm para audiencia de tramite y juzgamiento. 1T Conciliación el 26-08-2015 a las 9:00 am. El 24-06-2015  Auto admite contestación de la demanda. Contestada el 16-06-2015. El 28-04-2015 Auto admite demanda.</t>
  </si>
  <si>
    <t>2015-00251</t>
  </si>
  <si>
    <t>RELIQUIDACIÓN DE PRESTACIONES SOCIALES</t>
  </si>
  <si>
    <t>La demandante percibió como beneficio extralegal la prima de vacaciones y ahora pretende que se le reconozca como salario.</t>
  </si>
  <si>
    <t>El 18-12-2018 Archivo expediente. El 12-09-2018 envía expediente al Juzgado origen. El 05-09-2018 niega Casación al ddante. El 04-07-2018 Sentencia del Tribunal Confirma; la Ddante. presentó recurso de Casación. 2T el 29-02-2016 a las 10: am, práctica de pruebas, alegatos y fallo . 1T Conciliación el 01-10-2015, decisión de excepciones previas, saneamiento, fijación del litigio y decreto de pruebas. El 24-08-2015 se radica contestación de la demanda y nulidad. Se notificó auto admisorio de la demanda.</t>
  </si>
  <si>
    <t>Hugo Armando Gamboa Delgado</t>
  </si>
  <si>
    <t>No obstante, por encontrar el Juez que la liquidación se pagó 16 días después de terminado el contrato, condenó al pago de una moratoria por vr. de $1'3</t>
  </si>
  <si>
    <t>2016-00417</t>
  </si>
  <si>
    <t>11001310503920160041700-</t>
  </si>
  <si>
    <t>La demandante tenía una restructuración de sus obligaciones financieras con el Banco, y de manera oculta vendió el inmueble que respaldaba la obligación y adquirió nuevas obligaciones cuando se había comprometido a no hacerlo.</t>
  </si>
  <si>
    <t>El 03-08-2018 ordena archivo; se pagó condena. Fecha fallo 2a instancia el 24-05-2018. Fecha fallo 1a. instancia el 12-04-2018 a las 11:00 am. El 01-12-2017  recepción memorial de FONASBCOL dando respuesta a requerimiento. El 09-11-2017 entrega de Oficios a la demandada para su respectio trámite. 1T Conciliación el 27-11-2017 a las 11:00 am; decisión de excepciones previas, saneamiento, fijación del litigio, decreto y práctica de pruebas y fallo (Suspende). Contestada el 07-02-2017. Notificada el 24-01-2017. El 16-09-2016 se remitió poder al Abogado externo.</t>
  </si>
  <si>
    <t>2016-00228</t>
  </si>
  <si>
    <t>11001310503420160022800-</t>
  </si>
  <si>
    <t>La demandante fue desvinculada con justa causa por omisión de procesos al realizar transacciones.</t>
  </si>
  <si>
    <t>El 15-11-2018 Auto aprueba liquidación de costas; ordena archivo. El 23-08-2018 Auto obedézcase y cúmplase. Fecha fallo 2a. instancia el 17-07-2018. 2T el 30-04-2018 a las 3:30 pm; trámite y juzgamiento. 1T Conciliación el 22-01-2018 a las 8:30 am; decisión de excepciones previas, saneamiento, fijación del litigio, decreto y práctica de pruebas y fallo. El 22-06-2017 memorial subsana contestación. El 11-01-2017 se contestó la demanda. Notificada el 05-12-2017.</t>
  </si>
  <si>
    <t>2018-00035</t>
  </si>
  <si>
    <t>76109310500320180003500-</t>
  </si>
  <si>
    <t>La trabajadora incurrió en justa causa al tener 06 descuadres en caja en un solo mes.</t>
  </si>
  <si>
    <t>Fecha fallo 2a. Instancia el 31-07-2018. Fecha fallo 1a. Instancia el 21-06-2018. 1T Conciliación el 31-05-2018 a las 2:30 pm, decisión de excepciones previas, saneamiento, fijación del litigio y decreto de pruebas. El 02-03-2018 se radica demanda.</t>
  </si>
  <si>
    <t>John Jairo Osorio González</t>
  </si>
  <si>
    <t>2009-00398</t>
  </si>
  <si>
    <t>11001310500720090039800</t>
  </si>
  <si>
    <t>Fue despedida con justa causa porque aprovechando su condición de empleada del Banco y con el fin de favorecer a su esposo quien estaba haciendo una relclamación por fraude en el Banco, entregó información confidencial a éste, y solictó a un compañero el cambio de segmento de  cliente de su esposo sin tener soporte alguno, esto con el fin de que le abonaran de inmediato el dinero, entrado en un claro conflicto de interés.</t>
  </si>
  <si>
    <t>El 19-11-2018 Auto archivo definitivo. El 25-10-2012 al Despacho para fallo. El 22-10-2012 se presentó por nuestro apoderado escrito de oposición en la Corte. Concede casación el 14-06-2012. Fecha fallo 2a. instancia el 30-04-2012. Enviado a los Magistrados de Descongestión el 11-04-2011 (Mag. William Hernández Pérez). Corre traslado a las partes por 05 días para alegatos el 03-02-2011. Fecha fallo 1a. instancia el 13-12-2010. Aud. el 10-11-2010 a las 12:15 am para respuesta a Despacho Comisorio. Se señaló el 28-09-2010 para respuesta a oficio del Min protección Social. 3T el 04-05-2010 tetimonio de ambas partes. 2T el 03-05-2010 testimonios de la demandante y demandada. 1T Conciliación el 09-04-2010 a las 10:30; en la audiencia se evacuó el interrogatorio de parte a la representante legal del Banco; se accedió al despacho comisorio a Medellín para el testimonio de Angélica Pulgarín. El 23-11-2009 se contestó la demanda. El 04-11-2009 se enviaron documentos al Abogado para contestar demanda.</t>
  </si>
  <si>
    <t>Noelia María Gallego Fernández</t>
  </si>
  <si>
    <t>La pretensión ppal. es el reintegro el cual no fue reportado por la Región Bogotá.</t>
  </si>
  <si>
    <t>2017-00304</t>
  </si>
  <si>
    <t>05001310500920170030400</t>
  </si>
  <si>
    <t>La ddante. fue despedida cjc por haber omitido los procedimientos establecidos para la entrega de tarjetas pre expedidas cuyas cuentas fueron objeto de fraudes.</t>
  </si>
  <si>
    <t>Jorge Hernán Betancur García</t>
  </si>
  <si>
    <t>Conciliado en $30' mediante abono en cuenta de ahorros Bancolombia de la demandante 00120040113.</t>
  </si>
  <si>
    <t>2014-01485</t>
  </si>
  <si>
    <t>05001310500920140148500</t>
  </si>
  <si>
    <t>La ddante. pasó del Banco a Factoring a un cargo superior. Fue despedida sjc y reclama la indemnización por todo el tiempo incluyendo el laborado en el Banco.</t>
  </si>
  <si>
    <t>El 27-08-2018 aprueba liquidación de costas y ordena archivo. Fecha falle 2a. instancia el 22-02-2018. 1T Conciliación el 28-11-2016 a las 9:00 am; decición de excepciones previas, saneamiento fijación del ligitio, decreto, práctica de pruebas y fallo. Contestada el 23-01-2015. Notificada el 18-12-2014. Se recibe citación para notificación el 11-12-2014.</t>
  </si>
  <si>
    <t>2017-00481</t>
  </si>
  <si>
    <t>05001310502020170048100</t>
  </si>
  <si>
    <t>Los demandantes fueron despedidos sjc en vigencia del fuero circunstancial (Sintraenfi)</t>
  </si>
  <si>
    <t>Conciliado en una suma global de $200'</t>
  </si>
  <si>
    <t>2011-00266</t>
  </si>
  <si>
    <t>54001310500120110026600</t>
  </si>
  <si>
    <t>El ddante. fue despedido con justa causa como quiera que en febrero de 2010 solicito el auxilio educativo sin estar matricualdo en una Institución, le fue desembolsado y en mayo de ese año se matricula pero en una Institución que no cumple los requerimientos de la circular del Banco para ser beneficiario del mismo.</t>
  </si>
  <si>
    <t>El 08-03-2019 Auto aprueba costas y archivo. El 20-11-2018 remite expediente al Despcho origen. Fecha fallo Casación el 07-11-2018. El 26-08-2013 al Despacho para sentencia. El 20-05-2013 se presentó demanda de casación en la CSJ. El 18-04-2013 al Despacho expediente contentivo del recurso. El 04-04-2013 inicia traslado al recurrente. CSJ el 20-03-2013 admite recurso y corre traslado. El 14-08-2012 el Tribunal Sup. de Cúcuta admite el recurso de casación y ordena remitir a la CSJ. El 17-07-2012 nuestro apoderado interpuso recurso de casación contra el fallo de 2a. instancia desfavorable al Banco. Continuación aud. para fallo el 27-03-2012 a las 9:30 am. 2T el 26-03-2012 a las 3:00 pm Interrogatorio de partes, testimonios y fallo (Aplazada para el fallo) . 1T. Conciliación el 14-02-2012 a las 3:00 p.m. El 28-07-2011 se enviaron documentos al Abogado. El 23-06-2011 llegó citatorio.</t>
  </si>
  <si>
    <t>La CSJ al Casar la sentencia de 2a instancia, manifestó que no se requería del proceso disciplinario para el despido toda vez que no se trata de una sanción disciplinaria. El Trib. Sup. declaró la nulidad del despido por no haber hecho el proc. Disciplinario y ordenó el reintegro del ddante.</t>
  </si>
  <si>
    <t>2017-00680</t>
  </si>
  <si>
    <t>68001410500120170068000-</t>
  </si>
  <si>
    <t>INDEMNIZACION MORATORIA</t>
  </si>
  <si>
    <t>El demandante peticiona moratoria por considerar que se demoró el pago de la liquidación.</t>
  </si>
  <si>
    <t>El 21-09-2018 ordena archivo del expediente. Fecha fallo 2a. Instancia el 04-09-2018. 1T Conciliación el 16-03-2018 a las 3:30 pm, decisión de excepciones previas, saneamiento, fijación del litigio, decreto y práctica de pruebas y fallo. El 18-12-2017 se remitió poder al Abogado.</t>
  </si>
  <si>
    <t xml:space="preserve">Unico </t>
  </si>
  <si>
    <t>El dte se apropio indebidamente de recursos de una cliente</t>
  </si>
  <si>
    <t>2015-00502</t>
  </si>
  <si>
    <t>11001310502120150050200-</t>
  </si>
  <si>
    <t>RELIQUIDACIÓN DE PRESTACIONES SOCIALES E INDEMNIZACIÓN</t>
  </si>
  <si>
    <t>Se pretende que las bonificaciones que percibió la demandante se declaren como salariales y se reliquiden sus prestaciones. Que se le devuelvan los conceptos descontados de la liquidacion.</t>
  </si>
  <si>
    <t>El 25-02-2019 Auto aprueba liquidación de costas y archivo. El 18-12-2018 Auto obedézcase y cúmplase, pendiente costas. El 06-11-2018 al Despacho regresó del Tribunal. El Banco interpuso el recurso de Casación pero fue negado por falta de interés para recurrir por la cuantía. Fecha fallo 2a. instancia el 31-01-2018 a las 9:30 am. Nueva fecha 2T el 13-03-2017 a las 4:00 pm, pruebas y fallo. 2T el 03-02-2017 a las 3:00 pm, pruebas y fallo (Aplazada). 1T Conciliación el 01-11-2016 a las 2:30 pm, decisiones de excepciones previas, saneamiento, fijación del litigio, decreto, práctica de pruebas y fallo. El 26-01-2016 concede término para subsanar contestación de la demanda. El 25-11-2015 se radica contestación de la demanda.</t>
  </si>
  <si>
    <t>2009-00512</t>
  </si>
  <si>
    <t>63001310500220090051200</t>
  </si>
  <si>
    <t>Fue desvincualdo con justa causa pues aprovencahdo su condicón de Coordinador de Enlace operativo en desarrollo de sus fucniones autorizó el pago de un cheque girado contra su cuenta el cual no tenía fondos, razón por la cual este título fue pagado con recursos del Banco, lo cual generó un descuadre operativo de la cuenta del Banco en el Banco de la República.</t>
  </si>
  <si>
    <t>El 22-02-2019 aprueba costas y ordena archivo. El 12-02-2019 Auto obedézcase y cúmplase. El 14-12-2018 remite expediente al Despacho origen. Fecha fallo Casación el 07-11-2018 no casa y reitera absolución. El 12-02-2014 se presentó oposición en la Corte. El 04-02-2013 el proceso fue enviado a la CSJ. Trib. Sup. concede recurso de casación el 22-01-2013. Nueva fecha fallo 2a. instancia el 16-11-2012. Fecha fallo 2a. instancia el 10-04-2012. La sentencia de 1a. instancia fue favorable para el Banco, actualmente esta pendiente que el Tribunal resuelva la apelación contra la sentencia presentada por la parte demandante. Pendiente fecha de audiencia. Se fija el 02-03-2011  para incorporar respuesta a despacho comisorio y se fije fecha de fallo. Pendiente se fije fecha para respuesta a despacho comisorio. El 10-06-2010 se recpecionó el interrogatorio al dte y ddo. Pendiente 1T. El 04-03-2010 se contestó la demanda. En febrero de 2010 se recibió citatorio para notificación.</t>
  </si>
  <si>
    <t>Ana Carmenza Reyes</t>
  </si>
  <si>
    <t>2017 - 00065</t>
  </si>
  <si>
    <t>76001310500820170006500-</t>
  </si>
  <si>
    <t>La demandante fue despedida con justa del cargo de Coordinadora de horario extendido, al certificar el cuadre si verificar el contenido, resultando errado el mismo en un arqueo</t>
  </si>
  <si>
    <t>El 28-11-2018 dispone terminación del proceso y archivo. El 22-11-2018 obedézcase y cúmplase. El 11-09-2018 Auto niega recurso de Casación. El 10-07-2018 el ddante. interpone recurso de Casación. Fecha fallo 2a. instancia el 28-06-2018 (Confirma). 2T el 27-09-2017 Audiencia de trámite y juzgamiento. 1T Conciliación el 23-08-2017 a las 8:45 am; decisión de excepciones previas, saneamiento, fijación del litigio y decreto de pruebas. El 22-06-2017 se contestó la demanda por el Banco. El 08-06-2017 se notificó el Banco.</t>
  </si>
  <si>
    <t>2007-00258</t>
  </si>
  <si>
    <t>76001310500720070025800</t>
  </si>
  <si>
    <t>Solicita la pension plena de jubilación a cambio de la pension extralegal que viene percibiendo por ser mas beneficioso para él.</t>
  </si>
  <si>
    <t>El 22-01-2019 Ordena archivo. El 07-12-2018 se paga condena. El 15-11-2018 Auto aprueba liquidación y ordena archivo del proceso. El 15-08-2018 Tribunal obedézcase y cúmplase. El 13-06-2018 Sentencia en Corte no casa. El 31-10-2013 al Despacho para sentencia. EL 04-10-2013 recibido escrito de oposición dentro del término legal. El 11-09-2013 califica demanda y corre traslado al opositor. El 25-07-2013 recibida sustentación del recurso de casación, dentro del término del traslado. El 08-07-2013 continúa traslado al recurrente. El 30-04-2013 corre traslado al recurrente. Radicada en la CSJ el El 07-03-2013. 18-12-2012 el Trib. concede recurso de casación al ddado. Fecha fallo 2a. instancia el 08-06-2012. Nueva fecha fallo el 19-07-2011. Fecha fallo 1a. Instancia el 27-01-2011 a las 4:00 pm. 3T el 15-07-2009 respuesta oficio del Tribunal. Demanda contestada 30 de julio de 2007</t>
  </si>
  <si>
    <t>Unico - Pitalito</t>
  </si>
  <si>
    <t>El ddte. se apropió indebidamente de recursos de una cliente.</t>
  </si>
  <si>
    <t>2015-00331</t>
  </si>
  <si>
    <t>73001310500620150033100-</t>
  </si>
  <si>
    <t>La demandante solicita el pago de aportes pensionales en fechas que no había cobertura, 23 de abril de 1974 hasta el 01 de abril de 1980, en el Municipio de Saldaña Tolima.</t>
  </si>
  <si>
    <t>El 07-12-2018 archivo del expediente. El 14-11-2018 se pagó cálculo actuarial. El 31-08-2018 Auto requiere a BANCOLOMBIA Y COLPENSIONES para que presenten información de liquidación. El 30-07-2018 Repone parcialmente el Auto del 05-06-2018, indicando que la condena en costas recae únicamente encontra de COLPENSIONES. EN FIRME DECISIÓN CONTINÚESE CON EL TRÁMITE DEL PROCESO. El 17-05-2018 se pagan costas. El 06-03-2018 Juzgado señala Agencias en Derecho. El 23-01-2018 Auto niega Casación. Se presenta recurso de Casación por parte del Banco. Fecha fallo 2a. instancia el 28-11-2017 Tribunal revoca y condena. El 29-09-2016 reparto en el Tribunal. El 19-09-2016 concede Apelación. 2T el 19-09-2016 a las 3:00 pm, práctica de pruebas, alegatos y fallo. 1T Conciliación el 02-08-2016 a las 3:00 pm, decisión de excepciones previas, saneamiento, fijación del litigio y decreto de pruebas. Contestada el 25-05-2016. Notificada el 04-05-2016. El 07-04-2016 se remitió poder al Abogado para notificación.</t>
  </si>
  <si>
    <t>Vr. costas 1a. y 2a. instancia $1'562.484 pagadas el 17-05-2018. Vr. condena $102'014.943</t>
  </si>
  <si>
    <t>2013-00462</t>
  </si>
  <si>
    <t>08001310500820130046200</t>
  </si>
  <si>
    <t xml:space="preserve">La ddada. entregó un plástico de cuenta de ahorros a una persona completamente diferente al cliente titular de la cuenta. Producto de esta irregular entrega se hicieron varios retiros de la cuenta, los cuales fueron reclamados por el cliente afectado y el Banco procedió a su reintegro. En la investigación adelantada pudo determinarse que la empleada que tiene fuero por ANEBAN, incumplió el procedimiento establecido para la entrega de tarjetas débito en Sucursales.  </t>
  </si>
  <si>
    <t>2015-00166</t>
  </si>
  <si>
    <t>23001310500220150016600</t>
  </si>
  <si>
    <t>La ex empleada se desempeñaba como Gerente de la sucursal Los Bongos en la ciudad de Montería y fue desvinculada con justa causa el 21 de Julio de 2014, debido a que se identificó que excedía las atribuciones que le fueron concedidas para aprobar cupos de crédito y sobregiros a algunos clientes. Se argumenta por parte de la demandante que el banco no le inició proceso disciplinario, ni le dio posibilidad de explicar lo acontecido. Así mismo, que el Banco tenia conocimiento de los hechos ocurridos 2 meses atrás de haber tomado la decisión, considerándola extemporánea.</t>
  </si>
  <si>
    <t>El 08-06-2018 Auto decide la terminación del proceso y archivo del mismo. El 23-05-2018 Auto decide liquidación de costas a cargo de la demandante $1'562.484. Fallo 2a. Instancia el 07-05-2018. Fallo 1a. instancia el 11-03-2016. Pendiente 1T. Se contestó la demanda y se está a la espera que señalen fecha para la audiencia de conciliación y trámite.</t>
  </si>
  <si>
    <t>2016-00273</t>
  </si>
  <si>
    <t>La empleada incurrió en incumplimientos procedimentales los cuales llevaron a que se tomara la decisión de iniciarle un proceso disciplinario y un proceso especial de levantamiento de fuero sindical.</t>
  </si>
  <si>
    <t>Nelson Augusto Martínez Bolaño</t>
  </si>
  <si>
    <t>2016-00180</t>
  </si>
  <si>
    <t>23001310500520160001800</t>
  </si>
  <si>
    <t>El ddante. se desempeñaba como Ejecutivo Comercial de la Banca de Gobierno en la Zona Sinú y Sabanas. Fue desvinculado con justa causa, toda vez que se concluyó por parte del área de Auditoria que había consultado previamente la cuenta que fue objeto de un ilícito por valor de $2.500'</t>
  </si>
  <si>
    <t xml:space="preserve">Fecha fallo 2a. instancia el 22-11-2018. El 04-11-2017 al Despcho del M.P. Dr. Maya. El 31-10-2016 admite recurso de apelación. 1T Conciliación el 19-10-2016 a las 9:00 am; decisión de excepciones previas, saneamiento, fijación del litigio, decreto, práctica de pruebas y fallo.. Se contestó la demanda y se está a la espera que señalen fecha para la audiencia de conciliación y trámite. </t>
  </si>
  <si>
    <t>2014-00463</t>
  </si>
  <si>
    <t>08001310500820140046300</t>
  </si>
  <si>
    <t>Solicita el pago del cálculo actuarial por el tiempo no cotizado por falta de cobertura del ISS.</t>
  </si>
  <si>
    <t xml:space="preserve">Fecha fallo 2a. instancia el 13-11-2018. Fecha fallo 1a. instancia el 05-08-2016. El 20-01-2016  Auto requiere  a COLPENSIONES -SECCIONAL MAGANGUÉ, BOLIVAR- a fin de que remitan al presente juicio, la información solicitada por este Despacho mediante Oficio N° 1968 del 05-11- 2015. 2T el 27-11-2015 a las 9.00 am práctica de pruebas y fallo. 1T Conciliación el 16-10-2015; decisión de excepciones previas, saneamiento, fijación del litigio y decreto de pruebas.  </t>
  </si>
  <si>
    <t>Gloria Cecilia Gallego C.</t>
  </si>
  <si>
    <t>2017-00024</t>
  </si>
  <si>
    <t>47001310500320170002400</t>
  </si>
  <si>
    <t>La ddante. fue desvinculada con justa causa a raíz de una investigación que se adelantó por parte del Banco, la cual arrojó como resultado que incumplió proceso de visación en unos cheques que se pagaron con una firma diferente a la registrada en el Banco.</t>
  </si>
  <si>
    <t>El 05-09-2018 profiere Auto de obedézcase y cúmplase lo ordenado por el Superior. Fecha fallo 2a. instancia el 21-07-2018 (Confirma). El 17-11-2017 el Trib. Sup. admite recurso de apelación. 2T el 23-10-2017 a las 9:00 am, audiencia de trámite y juzgamiento. 1T Conciliación el 28-08-2017, decisión de excepciones previas, saneamiento, fijación del litigio y decreto de pruebas (Niega los Despachos Comisorios; los testigos deben presentarse en Santa Marta). El 18-04-2017 se contestó la demanda.</t>
  </si>
  <si>
    <t>2016-00794</t>
  </si>
  <si>
    <t>05001310501320160079400</t>
  </si>
  <si>
    <t>La ddante. omitió reportar a FIDUCIARIA la devolución de un cheque por valor de $93'500.000 y el cliente retiró dichos dineros.</t>
  </si>
  <si>
    <t>Harold Pérez Palomino</t>
  </si>
  <si>
    <t>Conciliado en $100' (Abono en cuenta de ahorros BANCOLOMBIA N° 10832375562 a más tardar el 30-01-2019).</t>
  </si>
  <si>
    <t>2016-00741</t>
  </si>
  <si>
    <t>05001310500520160074100</t>
  </si>
  <si>
    <t>La ddante. como Cajera Principal ingresó a la Bóveda de la Suc. a un tercero extraño al Banco violando las normas de seguridad.</t>
  </si>
  <si>
    <t>El 18-01-2019 liquida costas y ordena el archivo del expediente. Nueva fecha fallo 2a. instancia el 23-11-2018 a las 8:20 am. Fecha fallo 2a. instancia el 16-11-2018 a las 10:00 am. 2T el 09-02-2018 a las 8:30 am, práctica de toda la prueba y fallo. 1T Conciliación el 28-08-2017 a la 1:30 pm; decisión de excepciones previas, saneamiento, fijación del litigio y decreto de pruebas. Contestada el 15-07-2016. Notificada el 11-07-2016.</t>
  </si>
  <si>
    <t>2016-00103</t>
  </si>
  <si>
    <t>41001310500320160010300-</t>
  </si>
  <si>
    <t>La demandante fue despedida con justa causa por irregularidades y alega condicion de salud para su reintegro.</t>
  </si>
  <si>
    <t>El 14-12-2018 Archivo definitivo. El 07-12-2018 Auto aprueba liquidación. Fecha fallo 2a. instancia el 31-10-2018. El 22-02-2017 se envía al Trib. Sup. en apelación por parte de la demandante. 1T Conciliación el 17-02-2017 a las 8:30 am, decisión de excepciones previas, saneamiento, fijacióndel litigio, decreto y práctica de pruebas y fallo. El 23-06-2016 contestación reforma demanda. Reforma demanda el 25-05-2016. El 19-05-2016 se radica contestación de la demanda. Notificada el 02-05-2016.</t>
  </si>
  <si>
    <t>2016-00491</t>
  </si>
  <si>
    <t>73001310500520160049100-</t>
  </si>
  <si>
    <t>RELIQUIDACION PENSIONAL</t>
  </si>
  <si>
    <t>El trabajador como pensionado del Banco solicita reliquidación con nuevos factores salariales indexados.</t>
  </si>
  <si>
    <t>El 07-12-2018 Auto aprueba liquidación y archivo. El 22-11-2018 Envío expediente al Juzgado, niega Casación. Fecha fallo 2a. Instancia el 17-10-2018. 2T el 03-08-2017 a las 4:00 pm, trámite y juzgamiento. 1T Conciliación el 21-06-2017 a las 9.00 am; decisión de excepciones previas, saneamiento, fijación del litigio y decreto de pruebas. El 21-04-2017 se contesta demanda.</t>
  </si>
  <si>
    <t>Luis Guillermo Grijalba Grijalba</t>
  </si>
  <si>
    <t>2011-00752</t>
  </si>
  <si>
    <t>76001310501320110075200</t>
  </si>
  <si>
    <t>Aunque el resultado es incierto, el riesgo pasa a eventual por el resultado favorable.</t>
  </si>
  <si>
    <t>Solicita el reintegro porque no obstante haber sido autorizado el despido a través de proceso de levantamiento de fuero, fue despedido sin estar ejecutoriada la sentencia de segunda instancia.</t>
  </si>
  <si>
    <t>El 21-03-2019 Auto ordena archivo. Fallo CSJ el 06-02-2019 (CORTE NO CASA). El 05-03-2014 al Despacho para sentencia. El 14-01-2014 nuestro apoderado presentó oposición en la Corte. Por auto del 31-01-2013 el Tribunal concedió el recurso de casación interpuesto por el ddte. El ddte. presentó recurso extraordinario de casación y por lo tanto estamos pendiente de que el Tribunal se pronunie para saber si se paga la condena pendiente. El ddte. presentó recurso extraordinario de casación y por lo tanto estamos pendientes de que el Tribunal se pronuncie para ver si se paga la condena pendiente. Pendiente liquidación y aprobación de costas. Si bien la sentencia fue favorable al Banco, determinó que el despido es eficaz desde el momento en que se declaró ejecutoriada la sentencia, esto es desde el 02-12-2010 y por lo tanto condenó a liquidar y pagar salarios y prestaciones sociales legales y extralegales indexados del 24-11-2010 al 02-12-2010, así como aportes al sistema de seguridad social. Fecha fallo 2a. instancia el 12-10-2012. Señala para el 03-09-2012 la presentación de alegatos de segunda instancia. El ddante. no interpuso recurso contra el fallo de 1a. instancia por lo tanto fue enviado en consulta al Tribunal. En el fallo declararon probadas las excepciones propuestas por el Banco, absolvieron de las pretensiones de la demanda y condenaron en costas al ddte. fijando como agencias la suma de $250,000, el apoderado del ddte. interpuso recurso de apelación el cual fue concedido. Fecha fallo 1a instancia el 29-05-2012. Aud. El 12-05-2012 a las 10:30 am testimonios de ambas partes. Audiencia el 29-11-2011 a las 2:00 pm testimonios. El 21-06-2011 llegó citatorio.</t>
  </si>
  <si>
    <t>Si bien el fallo fue favorable al Banco, condenó a liquidar y pagar salarios y prestaciones sociales legales y extralegales indexados así como aportes al sistema de seguridad social, del 24-11-2010 al 02-12-2010, fecha en que quedó ejecutoriada la stcia. de 1a. instancia.</t>
  </si>
  <si>
    <t>2010-00375</t>
  </si>
  <si>
    <t>18001310500220100037500</t>
  </si>
  <si>
    <t>La ddte. siendo Gerente de la Sucursal de Florencia fue despedida con justa causa por haber aprobado de manera irregular sobregiros a clientes por fuera del límite de sus atribuciones, sin tener soportes de las capacidades de endeudamiento de los clientes lo que generó una cartera perdida para el Banco de $1.978 millones de pesos.</t>
  </si>
  <si>
    <t>El 01-02-2019 Auto aprueba liquidación de costas y archivo. El 24-01-2019 Auto dispone obedecer lo dispuesto por el superior. Fecha fallo 2a. instancia el 16-11-2018. El 27-02-2017 remite a otro Despacho de Descongestión en cumplimiento al acuerdo N° PCSJA17-10641 del 09-02-2017, emanado del Consejo Superior de la Judicatura, y conforme a lo ordenado en Auto del 17-02-2017, por el M.P. MARIO GARCÍA IBATÁ, con Oficio TSSU-S- 02205 del 27-02-2017, se remite a la Sala Única del Tribunal Superior de Pamplona, Norte de Santander. Según informe del 30-07-2014 el proceso se encuentra en el Tribunal al Despacho para sentencia. El 01-03-2013 envía expediente al Tribunal Superior. El 15-02-2013 admite recurso de apelación a la ddante. Nueva fecha fallo 1a. instancia el 11-02-2013 a las 3:00 pm. Fecha fallo 1a. instancia el 27-11-2012. 4T el 16-11-2012 a las 9:00 am. El 29-03-2012 se evacuaron los testimonios de los Sres. ISRAEL HERNANDEZ y EUCLIDES AVILA. 3T el 12 de octubre de 2011 a las 9 am para los testimonios de Andrés Felipe Valencia Hernández y Rubén Dario vargas Osorio, de este último testigo debemos desistir. Se constituyó nuevo apoderado doctor Nelson Calderón Molina a quien se le enviaron documentos el 18 de mayo de 2011. El 02-03-2011 por comenzar la audiencia antes de la hora fijada, nuestra abogada solicito la nulidad de la misma la cual fue decretada por el juez y se señaló 2T el 22-06-2011 a las 9 am para testimonio de Daniel Camilo Valencia y Alberto Torres García, testigos de la demandante, y dada  para el 02-03-2011 a las 3:30 pm del Banco son RUBEN DARIO VARGAS, ISRAEL HERNANDEZ BARON, EUCLIDES AVILA. L. 1T Conciliación el 27-01-2011. El 17-11-2010 se contestó la demanda. El 02-11-2010 llegó aviso.</t>
  </si>
  <si>
    <t>2018-00459</t>
  </si>
  <si>
    <t>50001310500320180045900-</t>
  </si>
  <si>
    <t>La empleada incurrió en falta de respeto grave con una compañera delante de clientes y trabajadores.</t>
  </si>
  <si>
    <t>El 17-05-2019 archivo definitivo. Fecha fallo 2a. instancia el 04-03-2019. Fecha fallo 1a. instancia el 11-02-2019 (Ordena levantar el fuera y autoriza despedir). Señala Aud. para el 25-01-2019 a las 9:00 am. El 24-10-2018 a Secretaría para remitir por última vez por el correo electrónico de este Despacho las comunicaciones referidas. Ordena notificar. Audiencia de trámite el 14-08-2018 a las 8:30 am. El 17-07-2018 se remitió poder al Abogado externo.</t>
  </si>
  <si>
    <t>2016-00758</t>
  </si>
  <si>
    <t>05001310501120160075800</t>
  </si>
  <si>
    <t>La ddante. fue despedida cjc por haberle cobrado al Banco un mayor valor al realmente pagado por concepto de alojamiento en un Hotel de Urrao.</t>
  </si>
  <si>
    <t>El 29-06-2018 Auto efectúa liquidación y ordena archivo. Fecha fallo 2a. instancia el 23-05-2018 a las 8:45 am. Fecha fallo 1a. instancia el 23-10-2017 a las 9:00 am. Nueva fecha 1T Conciliación el 17-10-2017 a las 8:15 am; decisión de excepciones previas, saneamiento, fijación del litigio, decreto y práctica de pruebas, y fallo (Suspende para el fallo). 1T Conciliación el 11-07-2017 a las 8:15 am; decisión de excepciones previas, saneamiento, fijación del litigio, decreto y práctica de pruebas, y fallo (Aplazada). Contestada el 03-11-2016. Notificada el 20-10-2016.</t>
  </si>
  <si>
    <t>2017-00414</t>
  </si>
  <si>
    <t>70001310500320170041400</t>
  </si>
  <si>
    <t>El ex empleado fue desvinculado sin justa causa el 31-08-2017 y alega en su demanda que gozaba de fuero sindical al momento del despido. El Banco nunca recibió notificación donde se notificara condición alguna al respecto.</t>
  </si>
  <si>
    <t>Se llevó a cabo audiencia en el juzgado donde el Juez decidió requerir al Ministerio para que certificara si había enviado alguna comunicación al Banco donde se informara que el ex empleado hiciera parte de la junta directiva del sindicato. El Ministerio contestó al juzgado manifestando que sí se envió cuminicación, pero que no se alcanzó a recibir y fue devuelta por parte de la empresa de mensajería, lo cual demostraría que el Banco no tenía conocimiento. Se fijó nueva fecha para el mes de Enero.</t>
  </si>
  <si>
    <t>El Abogado externo interpuso tutela contra el fallo por vía de hecho.</t>
  </si>
  <si>
    <t>2017-00006</t>
  </si>
  <si>
    <t>11001310500620170000600-</t>
  </si>
  <si>
    <t>INDEMINIZACIÓN DSJC</t>
  </si>
  <si>
    <t>La ddante. fue despedida cjc por violar la reserva bancaria (Información de una clienta); así mismo amenazó a reclamante si no se retractaba de la queja.</t>
  </si>
  <si>
    <t>El 12-03-2019 aprueba costas y archivo. El 27-02-2019 devolución del exp. al Juzgado origen. Fecha fallo 2a. instancia el 06-02-2019. Nueva fecha 1T Conciliación el 08-11-2018 a las 4:30 pm; decisión de excepcines previas, saneamiento, fijación del litigio, decreto y práctica de pruebas y fallo. 1T Conciliación el 30-08-2018 a las 2:30 pm; decisión de excepcines previas, saneamiento, fijación del litigio, decreto y práctica de pruebas y fallo (Aplazada por solicitud de la ddante. El 08-08-2017 se contestó la demanda. Notificada el 25-07-2017.</t>
  </si>
  <si>
    <t>Rafael Eduardo Ortiz Salcedo</t>
  </si>
  <si>
    <t>2016 - 0857</t>
  </si>
  <si>
    <t>68001410500220160085700-</t>
  </si>
  <si>
    <t>NULIDAD PROCESO DISCIPLINARIO</t>
  </si>
  <si>
    <t>El demandante fue sancionado con 3 dias de suspension y pide la nulidad por estar inconforme</t>
  </si>
  <si>
    <t>SENTENCIA 2A REVOCA Y CONDENA. SEÑALA 18 FEBRERO 2019 A LAS 2 PM PARA RESOLVER CONSULTA. SENTENCIA ABSOLUTORIA EL 18 JUNIO 2018.TIENE POR CONTESTADA DEMANDA Y SUSPENDE AUDIENCIA PARA RESPUESTA OFICIO. SEÑALA AUDIENCIA 30 OCTUBRE 2017 A LAS 08:30 AM.PENDIENTE NOTIFICACION</t>
  </si>
  <si>
    <t>$ 0</t>
  </si>
  <si>
    <t>2015-00985</t>
  </si>
  <si>
    <t>11001310502020150098500-</t>
  </si>
  <si>
    <t>La ddte. renunció en el año 2014 y ahora pretende reintegro aduciendo despido indirecto y temas de salud.</t>
  </si>
  <si>
    <t>El 29-03-2019 Auto aprueba liquidación de costas y archivo. El 22-03-2019 regresa del Tribunal al Juzgado origen. Fecha fallo 2a. instancia el 21-02-2019. El 01-08-2018 se envía el exp. al Tribunal. Concede recurso de apelación en efecto suspensivo ante el Trib. Sup. de Bogotá. 2T trámite y juzgamiento el 19-07-2018. 1T Conciliación el 19-07-2018 a las 2:15 pm, decisión de excepciones previas, saneamiento, fijación del litigio y decreto de pruebas. Notificada el 14-03-2018. El 05-02-2018 se remitió poder al Abogado.</t>
  </si>
  <si>
    <t xml:space="preserve">Jorge Elías Polo Oliveros </t>
  </si>
  <si>
    <t>2018-00053</t>
  </si>
  <si>
    <t>63001310500220180005300-</t>
  </si>
  <si>
    <t>El trabajador como Cajero omitió proceso de visación y generó pérdida económica para el Banco que se negó a asumir.</t>
  </si>
  <si>
    <t xml:space="preserve">El 26-03-2019 Juzgado liquida costas. Fecha fallo 2a. instancia el 27-02-2019. Continuación Audiencia el 15-01-2019 a las 8:30 am. Continuación Audiencia el 20-11-2018 a las 8:00 am.  1T el 13-11-2018 a las 9:00 a.m. El 14-08-2018 Auto ordena requerimiento. El 15-03-2018 admite demanda. El 27-02-18 se radicó demanda. </t>
  </si>
  <si>
    <t>2016-00172</t>
  </si>
  <si>
    <t>13001310500520160017200</t>
  </si>
  <si>
    <t>El demandante afirma haber trabajado en el antiguo Banco de Colombia y que el Banco no realizó unos aprotes cuando estuvo vinculado en 1968</t>
  </si>
  <si>
    <t xml:space="preserve">El 14-11-2018 Auto obedézcase y cúmplase lo ordenado por el Superior. Fecha fallo 2a. instancia el 25-09-2018. El 07-04- 2017 admite Consulta. 2T el 07-02-2017 a las 8:30 am, trámite y juzgamiento. 1T Conciliación el 17-01-2017 a las 3:30 pm, decisión de excepciones previas, saneamiento, fijación del litigio y decreto de pruebas. Se contestó el 30-09-2016 y se está a la espera que señalen fecha para la audiencia de conciliación y trámite. </t>
  </si>
  <si>
    <t>Jackelinne Piedrahita Hurtado</t>
  </si>
  <si>
    <t xml:space="preserve">2016-00291 </t>
  </si>
  <si>
    <t>08001310500920160029100</t>
  </si>
  <si>
    <t>El trabajador presentó demanda ordinaria porque el Banco no le hizo el ajuste salarial desde el mes de noviembre del año 2015, situación que una vez se validó con Jose Luis Bustamante de Nómina, hay razón en las pretensiones del trabajador, ya que hubo un error por parte del Banco al momento de grabar el permiso sindical permanente.</t>
  </si>
  <si>
    <t xml:space="preserve">Fecha fallo 2a. instancia el 09-11-2018 . 1T Conciliación el 29-08-2018 a las 8:30 am; decisión de excepciones previas, saneamiento, fijación del litigio, decreto, práctica de pruebas y fallo.  REVOCO LA CONDENA POR INTERESES MORATORIOS, ORDENÓ PAGO DE INDEXACIÓN $96.667. SIN COSTAS. Se contestó la demanda y se está a la espera que señalen fecha para la audiencia de conciliación y trámite. </t>
  </si>
  <si>
    <t>Natalia Andrea Cárdenas Benavides</t>
  </si>
  <si>
    <t>El Tribunal revocó la condena por intereses de mora impuestos en la 1a. Instancia, y condenó al pago de la indexación $96.667.</t>
  </si>
  <si>
    <t>2016-00074</t>
  </si>
  <si>
    <t>76520310500120160007400-</t>
  </si>
  <si>
    <t>El demandado como Cajero se apropió de recursos de clientes al momento de hacer las transacciones.</t>
  </si>
  <si>
    <t>2012-00123</t>
  </si>
  <si>
    <t>05001310502120120012300</t>
  </si>
  <si>
    <t>La ddante. fue despedida cjc por manejo irregular de la TC empresarial, la cual utilizaba para gastos personales.</t>
  </si>
  <si>
    <t>2003-00455</t>
  </si>
  <si>
    <t>08001310500820030045500</t>
  </si>
  <si>
    <t>Alega ineficacia del reintegro ordenado en procesos anterior. La orden de reintegro se cumplió y posteriormente se le terminó el contrato con la indemnización correspondiente. Contingencia remota</t>
  </si>
  <si>
    <t>Al Despacho para fallo 12-04-2011. El 08-04-2011 presenta oposición el apoderado del Banco. El 30-11-2010 se envía Poder y carta a José Roberto para oposición a casación. El 08-11-2010 inicia traslado al recurrente hasta el 13-01-2011. Trib. admite recurso de casación a la ddante. Recurso de Apelación ddante. en trámite (Pendiente fecha fallo) según informe de la Abo. externa del 17-12-2008. Fallo el 30-03-2007. 1 FEB 2007 8:30 AM 4ta AUD TRÁMITE..    11 de mayo de 2006 8:30 tercera audiencia de trámite con inspección judicial. .       2a Aud. 07-07-2005 Interrog. Ddte.</t>
  </si>
  <si>
    <t>Condena al pago de $253.410 más la indexación, por servicios proporcionales.</t>
  </si>
  <si>
    <t>2002-00510</t>
  </si>
  <si>
    <t>11001310501520020051000</t>
  </si>
  <si>
    <t>trabajó desde el 12 de diciembre de 1958 hasta el 4 de febrero  de 1991 y fue afiliado en 1981 cuando el ISS comenzó a tener cobertura en la ciudad donde prestó servicios.</t>
  </si>
  <si>
    <t xml:space="preserve">El 04-03-2013 pasa al Despacho del Magistrado Ponente Dr. RIGOBERTO ECHEVERRI BUENO, escrito del ISS mediante el cual solicita tener en cuenta como sucesor procesal del ISS a COLPENSIONES. El 21-01-2013 se recibe memorial con renuncia del apoderado del ISS. El 14-01-2013 sucesión procesal del ISS en liquidación a COLPENSIONES. Nvo. cambio de MP el 02-12-2011. Cambio de MP el 06-07-2011 Dr. Gustavo J. Gneco M. El 27-10-2008 al Despacho para reconcocer pesonería al apoderado del ISS. Se encuentra en la Corte al Despacho para fallo desde el 23-07-2008. El 08-06-2007 se notificó sentencia de 2a. instancia a través de la cual se confirmó fallo de 1a. absolutorio. El día 10 de febrero de 2006 se profirió fallo en el cual se absolvió a la demandada de todas las pretensiones de la demanda. Pendiente de trámite en segunda instancia. El proceso fue enviado por descongestión judicial al Tribunal de Cundinamarca..   pendiente apelación demandante; El día 10 de febrero de 2006 se profirió fallo en el cual se absolvió a la demandada de todas las pretensiones de la demanda. </t>
  </si>
  <si>
    <t>Carlos Julio García Arroyo</t>
  </si>
  <si>
    <t>Se trae nuevamente a procesos vigentes ya que está en Casación y no habíamos sido informados.</t>
  </si>
  <si>
    <t>2016-00812</t>
  </si>
  <si>
    <t>76001310501720160081200-</t>
  </si>
  <si>
    <t>El demandante fue desvinculado por efectuar retiros en caja a un amigo sin autorizacion.</t>
  </si>
  <si>
    <t>El 23-11-2017 a las 8:30 am continuación aud. trámite y juzgamiento. El 06-10-2017 a las 08:30 am continuación audiencia de trámite y juzgamiento (Suspende). El 11-07-2017 a las 2:00 pm, continuación audiencia de trámite y juzgamiento (Aplazada). El 24-05-2017 a las 2:00 pm, continuación audiencia de trámite y juzgamiento (Suspende). 2T el 07-04-2017 a las 8:30 am., práctica de pruebas, alegatos y fallo (Suspende). 1T Conciliación el 22-02-2017 a las 8:30 am. El 29-11-2016 se radica contestación de la demanda. Notificada el 15-11-2016.</t>
  </si>
  <si>
    <t>Álvaro Guerrero Gallardo</t>
  </si>
  <si>
    <t>2010-00758</t>
  </si>
  <si>
    <t>11001310502020100075800</t>
  </si>
  <si>
    <t>La ddte. fue desvinculada con justa causa el 14-07-2010 ya que varios de los créditos que ella tramitó como Asesora Comercial resultaron con documentación falsa y adulterada comprometiendo los intereses patrimoniales del Banco; los tramitadores que ubicaban los créditos en el Banco señalaron a la demandante como la persona contacto al interior del mismo.</t>
  </si>
  <si>
    <t>El 26-09-2014 el Tribunal profirió Auto que niega el recurso de Casación al ddante., se presentó queja y desde el 07-07-2015 está al Despacho en la CSJ para resolver. Fallo 2a. instancia el 27-06-2014. El 10-03-2014 radicación del proceso en el Tribunal. Fallo de 1a. instancia el 28-02-2014 . En la audiencia del 22-10-2013 el Juzgado ante la no respuesta del Ministerio sobre el Reglamento Interno con nota de depósito, requierió al apoderado del Banco para que se allegara el reglamento con la nota de depósito y señaló como fecha de audiencia el 06-11-2013 a las 11:00 am. Se señaló el 11-04-2013 a las 11:30 am para respuesta a oficio y cierre del debate probatorio. El 12-03-2013 se terminaron de evacuar los testimonios del Banco y quedó para respuesta a oficio del Ministerio de Trabajo sobre el RIT con constancia de depósito. Continuación 4T el 12-11-2012 a las 2:30 pm testimonios. 4T el 10-10-2012 a las 2.30 pm testigos. El proceso fue enviado al Juzgado 12 Laboral de Descongestión el cual señaló como fecha 3T el 13-07-2012 a las 9:00 am. Continuación 2T Interrogatorio y testimonios el 09-02-2012 a las 9:30 am. 2T Interrogatorio de partes el 13-10-2011 a las 9:30 am (Suspendida). 1T Conciliación el 01-08-2011 a las 10:30 am. El 24-03-2011 se contestó la demanda. El 14-02-2011 se recibió citatorio. el 08-03-2011 se enviaron documentos al abogado.</t>
  </si>
  <si>
    <t>Álvaro Nieto Plaza</t>
  </si>
  <si>
    <t>2011-00188</t>
  </si>
  <si>
    <t>Dentro de la segunda acción de tutea adelantada por el demandante en virtud de la cual se le tuteló el debido proceso y se ordenó su reintegro al Banco se le concedió este de manera transitoria mientras la justicia laboral definia el reintegro definitivo, debiendo este adelantar un proceso judical dentro de los 4 meses seguientes al fallo de tutela. El demandante tiene fuero sindical pues fue nombrado en la jta dva seccional de la UNEB de Barrancabermeja.</t>
  </si>
  <si>
    <t>El 10-11-2016 Tribunal admite apelación y corre traslado. Nueva fecha fallo 1a. instancia el 03-10-2016. Señala el 04-12-2015 para fallo pero se aplazó. Fecha fallo 1a. instancia el 11-07-2014 a las 3:30 pm (Aplazado). Enviado al Juzgado Adjunto. El 01-04-2013 para testimonio de Jaime Gregorio Moreno a las 10:30 am. El 12-03-2013 se evacuó testimonio de Jorge Sanchez en Bogotá. En Barrancabermeja se señalo el 29-01-2013 a las 8:00 audiencia para validar si regresó el Despacho Comisorio de Bogotá. 3T el 21-11-2012 a las 3:00 pm en espera de respuesta de los despachos comisorios. 2T el 11-10-2012 Interrogario de partes y testigos. Nueva fecha 1T Conciliación el 18-05-2012 a las 9:00 am. 1T Conciliación el 29-03-2012 a las 9:00 am (Aplazada). El 14-09-2011 se contestó la demanda. El 31-08-2011 se notificó la demanda por aviso y el 07-09-2011 se le llevan a Bucaramanga los papeles al Abogado externo.</t>
  </si>
  <si>
    <t>Olegario Gutiérrez Cruz</t>
  </si>
  <si>
    <t>2016 - 00307</t>
  </si>
  <si>
    <t>63001310500120160030700-</t>
  </si>
  <si>
    <t>REINTEGRO - PAGO DE SALARIOS Y PRESTACIONES</t>
  </si>
  <si>
    <t>El demandante como Cajero Principal fue despedio por un faltante injustificado de 10 mm, ahora pide reintegro porque afirma que no se le practicaron descargos conforme lo previsto en la CCT</t>
  </si>
  <si>
    <t>Nueva fecha fallo 2a. instancia el 26-10-2018 a las 9:00 am. Fecha fallo 2a. instancia el 25-05-2018 a las 9:00 am (Aplazada). El 03-10-2017 Trib. admite Consulta. Nueva fecha 2T el 15-09-2017 a las 8:00 am, trámite y juzgamiento. 2T el 22-08-2017 a las 8:30 am, trámite y juzgamiento (Aplazada). 1T Conciliación el 14-07-2017 a las 8:00 am; decisión de excepciones previas, saneamiento, fijación del litigio y decreto de pruebas. Contestada el 22-05-2017.</t>
  </si>
  <si>
    <t>Lili Escobar Velásquez</t>
  </si>
  <si>
    <t>2010-00165</t>
  </si>
  <si>
    <t>68679310500120100016500</t>
  </si>
  <si>
    <t>El ddte. fue desvinculado con justa causa; en la actualidad adelanta contra el Banco un proceso por este hecho, y en el presente proceso solicita se reliquiden sus salarios y prestaciones aplicándosele la convención colectiva de trabajo (No le es aplicable por haber sido Gerente desde agosto de 2002)</t>
  </si>
  <si>
    <t>El 01-02-2013 al Despacho para fallo. El 25-01-2013 se presentó oposición en la Corte por el Banco. El 14-01-2013 corre traslado al opositor por 13 días. El 27-11-2012 califica dda. y corre traslado al opositor. El 13-11-2012 sustenta el recurso de casación. El 18-09-2012 corre traslado al recurrente hasta el 17-10-2012. CSJ admite recurso el 12-09-2012. Fallo 2a. instancia el 13-03-2012. En la sentencia se condena en costas al ddte., esta fue apelada y el 07-12-2011 fue enviado el proceso al Tribunal. Fallo 1a. instancia el 18-11-2011. 3T el 13-09-2011 a las 10:00 am para que se presenten alegatos finales sobre un despacho comisorio. 2T Interrogatorio al ddante. el 13-07-2011  a las 9:00 AM. Se envió despacho comisorio a Medellín para el interrogatorio al rep. legal y allí se fijo para el 07-07-2011 a las 9:00 am. El 21-01-2011 se contestó la demanda. El 21-12-2010 llegó aviso de notificación y el 11-01-2011 se envían documentos al Abogado.</t>
  </si>
  <si>
    <t>Jorge Mario Giraldo Pachón</t>
  </si>
  <si>
    <t>76001310500320140013000</t>
  </si>
  <si>
    <t>El demandante fue despedido con justa causa por haber tomado de manera indebida un dinero de una cuenta temporal que estaba a su cargo en cuantía de $2'000.000, lo cual confesó ante el Banco alegando que fue para pagar una extorsion, pero no aportó pruebas de ello ni previamente infomó al Banco que estuviera pasando por esa sitaución.</t>
  </si>
  <si>
    <t>El 24-07-2015 Auto Tribunal adminte Consulta. 1T Conciliación el 09-07-2015 a las 9:00 am; decisión de excepciones previas, saneamiento, fijación del litigio, decreto de pruebas y fallo. El 08-04-2015 contestación a la reforma de la demanda. El 19-03-2015 corre traslado de la reforma a la demanda. Contestada el 06-02-2015. El 20-01-2015 reconoce personería al apoderado del Bco. El 07-01-2015 se enviaron documentos al Abogado. El 13-12-2014 llegó citatorio.</t>
  </si>
  <si>
    <t>Rodrigo Cid Alarcón Loreto</t>
  </si>
  <si>
    <t>2015-00452</t>
  </si>
  <si>
    <t>63001310500120150045200-</t>
  </si>
  <si>
    <t>La ddante. solicita el pago de aportes en época de no cobertura del ISS desde el 1° de diciembre de 1985 hasta el 11 de agosto de 1988.</t>
  </si>
  <si>
    <t>El 22-02-2017 aprueba liquidación de costas y ordena archivo. Fecha fallo 2a. instancia el 07-12-2016 a las 10:00 am. Fallo 1a. instancia el 08-07-2016 a las 02:30 pm. 1T Conciliación el 02-06-2016 a las 2:30 pm, decisión de excepciones previas, saneamiento, fijación del litigio y decreto de pruebas. El 17-05-2016, estese a lo dispuesto por el Superior, se admite la reforma a la demanda. El 27-04-2016 envío expediente para apelación en el efecto devolutivo al Trib. Sup. El 15-03-2016 Auto decide recurso. El 01-03-2016  Auto de trámite rechaza reforma de la demanda. El 21-01-2016 se notificó la demanda.</t>
  </si>
  <si>
    <t>2015-00393</t>
  </si>
  <si>
    <t>76001310500920150039300-</t>
  </si>
  <si>
    <t>PENSIÓN SANCIÓN</t>
  </si>
  <si>
    <t>El ddte. laboró de 1946 a 1988, y por falta de cobertura no se efectuaron las cotizacion. El ddte. está pensionado por Bancolombia.</t>
  </si>
  <si>
    <t>El 26-08-2016 Tribunal admite Consulta. 1T Conciliación el 11-08-2016 a las 9:00 am, decisión de excepciones previas, saneamiento, fijación del litigio, decreto y práctica de pruebas, y fallo. El 20-01-2016 se notificó la demanda.</t>
  </si>
  <si>
    <t>2011-00346</t>
  </si>
  <si>
    <t>El ddte. fue despedido con justa causa y por tutela solicitó el reintegro el cual le fue negado.</t>
  </si>
  <si>
    <t>El 01-11-2016 Tribunal admite recurso de apelación y corre traslado para alegatos. Nueva fecha fallo 1a. instancia el 30-09-2016. Señala 12-02-2016 a las 2:00 pm para fallo (Aplazado). El 26-07-2015 audiencia para incorporar oficios enviados a las Entidades de Seguridad Social y al Banco, y fallo. Nueva fecha fallo 1a. instancia el 14-05-2015 a las 3:00 pm. Fecha fallo 1a. instancia el 06-03-2015 a las 10: 00 a.m (Aplazada). El 21-02-2014 a las 10:00 am audiencia para incorporar despacho y fallo. 2T el 16-08-2013 a las 9:30 am Interrogatorio al demandado y el testimonio de la Gerente de la sucursal. 1T Conciliación el 12-04-2013 a las 2:00 pm. (Niega las excepciones propuestas, se interpuso recurso de apelación el cual fue concedido). El 16-05-2012 se contestó la demanda. El 09-04-2012 se enviaron documentos al Abogado.</t>
  </si>
  <si>
    <t>2003-00194</t>
  </si>
  <si>
    <t>08001310500920030019400</t>
  </si>
  <si>
    <t>Era Asesora Comercial y dice estar desempeñando funciones de Ejecutivo Junior se compara con Sras. Anaya y Liscano</t>
  </si>
  <si>
    <t>El 03-04-2019 ordena fraccionamiento; archivo. El 27-07-2018 resuelve probada excepción de pago; terminación del proceso. El 04-09-2017 se presentó excepción contra Auto que ordenó Mandamiento de Pago. El 18-08-2017 Auto ordena librar mandamiento de pago. El 05-05-2017 ordena fraccionamiento del título y entrega. Pendiente archivo. El 29-03-2017 se acreditó ante el Juzgado copia de la consignación del pago de la obligación pendiente. El 13-03-2017 Auto obedézcase y cúmplase lo ordenado por el superior. El 09-02-2017 Auto revoca providencia y en su lugar ordena libar mandamiento de pago en contra de BANCOLOMBIA para que efectúe el pago de la obligación a su cargo. El 07-04-2016 Auto admite recurso de apelación contra el Auto que archivó el proceso. El 31-03-2016 pendiente se pronuncie el Tribunal. El 18-12-2015 Auto concede recurso de apelación en efecto devolutivo. El 19-11-2015 el apoderado de la demandante presentó recurso de apelación contra el Auto que negó el mandamiento de pago y ordenó el archivo del proceso. El 12-11-2015 niega solicitud de librar mandamiento de pago. Decrétese la terminación del proceso por PAGO TOTAL, ARCHÍVESE EL EXPEDIENTE. El 25-08-2015 se radicó memorial aclaratorio de respuesta de Oficio. El 19-08-2015 se radicó memorial ante el Juzgado aportando comunicación de fecha 19-06-2015 suscrita por el Jefe de Nómina del Banco. El 07-05-2015 el Juzgado le notifica al Banco si los salarios de las señoras LASCANO y ANAYA certificados en sus comunicaciones de feb. 12/2015 contemplan todos los factores salariales que tienen derecho como empleadas del Banco. El 13-05-2015 ordenan requerir al Banco indique las asignaciones salariales. EL 22-09-2014 ORDENAN LA ENTREGA DE TITULO. El 12-12-2013 Trib. Sup. acepta renuncia a las costas; archivo exp. 13-01-2011 cambio de Magistrado. 24-02-2010 al despacho para fallo. CSJ corre traslado al opositor el 03-02-2010. El 09-09-2009 CSJ admite demanda de Casación y corre traslado. Trib. concede recurso de casación 12-06-2009. Recurso de Casación el 04-12-2008. Fecha fallo 2a. instancia el 28-11-2008. Noviembre 18 de 2005, vencido el término para alegar pasó al despacho del Magistrado ponente para su estudio</t>
  </si>
  <si>
    <t>2015-00052</t>
  </si>
  <si>
    <t>47001310500120150005200</t>
  </si>
  <si>
    <t xml:space="preserve">El ex empleado trabajó en el antiguo Banco Industrial Colombia (BIC) desde el día 11 de enero de 1959 hasta el 23 de agosto de 1979. El BIC lo afilió a partir del 01 de febrero de 1967 y está solicitando que el Banco le reconozca dicho período. El Banco no tenia la obligación de cotizar en época de no cobertura. </t>
  </si>
  <si>
    <t>Nueva fecha 1T Conciliación el 29-07-2015, a las 4:00 pm; decisión de excepciones previas, saneamiento, fijación del litigio, decreto y práctica de pruebas y fallo. 1T Conciliación el 21-07-2015, a las 10 am (Aplazada). Se contestó la demanda y se está a la espera de las audiencias respectivas.</t>
  </si>
  <si>
    <t>En el caso de este ddante. por Tutela se ordenó al Banco pagar el cálculo actuarial.</t>
  </si>
  <si>
    <t>2015-00717</t>
  </si>
  <si>
    <t>13001310500120150071700</t>
  </si>
  <si>
    <t>A raíz de una investigación que adelantó el área de Seguridad del Banco, se concluyó que el empleado tuvo responsabilidad en el fraude que se llevó a cabo en la oficina Sociedad Portuaria. El empleado hace parte de la subdirectiva de Sintrabancol en la ciudad de Cartagena.</t>
  </si>
  <si>
    <t>El Banco es el demandante.</t>
  </si>
  <si>
    <t>2019-00029</t>
  </si>
  <si>
    <t>076109310500320190002900-</t>
  </si>
  <si>
    <t>La dda. tuvo varios decuadres en caja y efectúa rifas en la oficinas con clientes.</t>
  </si>
  <si>
    <t>El Banco actúa como demandante</t>
  </si>
  <si>
    <t>2015-00437</t>
  </si>
  <si>
    <t>11001310503420150043700</t>
  </si>
  <si>
    <t>La demandante fue despedida con justa causa por inconvenientes en el proceso de gestion de calidad</t>
  </si>
  <si>
    <t>Jorge Cañedo De La Hoz</t>
  </si>
  <si>
    <t>2016 - 00437</t>
  </si>
  <si>
    <t>11001310502620160043700-</t>
  </si>
  <si>
    <t>Aunque el resultado es incierto, el riesgo se reclasifica como problable por el resultado parcial desfavorable.</t>
  </si>
  <si>
    <t>La demandante fue despedida sin justa causa estando amparada por fuero circunstanciasl (sintraenfi)</t>
  </si>
  <si>
    <t>El 10-05-2019 Auto aprueba liquidación y archivo. El 23-01-2019 Auto Corte acepta el desistimiento del recurso de Casación. El 07-11-2018 recibido desistimiento del recurso de Casacion del Banco. El 10-09-2018 reparto y radicación en la CSJ. El 01-02-2018 el Banco presenta recurso de Casación. Fecha fallo 2a. instancia el 31-01-2018 (Confirma). SE PRESENTA CASACION. 2T el 12-12-2017 a las 2:30 pm, pruebas, alegatos y fallo. 1T Conciliación el 29-08-2017 a las 10:00 am; decisión de excepciones previas, saneamiento, fijación del litigio y decreto de pruebas. El 08-03-2017 se contestó la demanda.</t>
  </si>
  <si>
    <t>2016-01827</t>
  </si>
  <si>
    <t>05045310500120160182700</t>
  </si>
  <si>
    <t>TITULO PENSIONAL - COTIZACIÓN A COLPENSIONES</t>
  </si>
  <si>
    <t>El ddante. laboró en Apartadó del 17-07-1980 al 11-07-1992 y fue afiliado al ISS en enero de 1982 ya que antes no existía cobertura.</t>
  </si>
  <si>
    <t>Fecha fallo 2a. instancia el 11-05-2018. Nueva fecha 1T Conciliación el 23-02-2018 a las 9:00 am; decisión de excepciones previas, saneamiento, fijación del litigio, decreto y práctica de pruebas y fallo. Nueva fecha 1T Conciliación el 07-02-2018 a las 9:00 am; decisión de excepciones previas, saneamiento, fijación del litigio y decreto de pruebas (Se solicitó aplazamaiento por parte del Banco). 1T Conciliación el 11-09-2017 a las 9:00 am; decisión de excepciones previas, saneamiento, fijación del litigio y decreto de pruebas (Aplazada). Contestada el 08-02-2017. Notificada el 31-01-2017.</t>
  </si>
  <si>
    <t>José Arbeyi Cortés Correa</t>
  </si>
  <si>
    <t>Vr. cálculo actuarial liquidado por COLPENSIONES $8'974.526. Vr. costas $3'142.968 pagadas el 09-08-2018. Ordenaron a COLPENSIONES efectuar el cálculo actuarial</t>
  </si>
  <si>
    <t>2010-00331</t>
  </si>
  <si>
    <t>La ddte. fue desvinculada con justa causa por incurrir en conflicto de intereses</t>
  </si>
  <si>
    <t>Fecha fallo Casación el 02-04-2019. El 06-12-2013 se recibe demanda en la CSJ. El 10-10-2013 se radicó en la CSJ el recurso de casación interpuesto por la ddante. Fecha fallo 2a. instancia el 23-05-2013. Se encuentra al Despacho desde el 19-06-2012. Fecha fallo 1a. instancia el 30-03-2012. 4T el 29-02-2012 a las 3:00 pm. Nueva fecha 3T Interrogatorio a la ddante. el 05-10-2011. 3T Interrogatorio a la ddante. el 02-08-2011 (Aplazada). 2T el 04-03-2011 a las 8:00 a.m testigos de la demandante y 1 del Banco. 1T Conciliación el 17-01-2011 a las 2:00 p.m. El 06-10-2010 se dio por contestada la demanda, se admitió la reforma de la misma y se ordenó correr traslado de este documento. El 22-09-2010 se contestó de demanda. El 22-07-2010 llegó citatorio para notificación.</t>
  </si>
  <si>
    <t>Luis Javier Muñoz Pelaez</t>
  </si>
  <si>
    <t>2014-00494</t>
  </si>
  <si>
    <t>76834310500120140049400-</t>
  </si>
  <si>
    <t>Demandante laboró en el Banco de Colombia del 03 de marzo 1962 al 15 jul 1964 y solicita cotizaciones al ISS</t>
  </si>
  <si>
    <t xml:space="preserve">El 18-06-2018 devuelve exp. al Despacho de origen. El 28-05-2018 niega recurso de Casación por la cuantía. Se presentó recurso de Casación por el Banco. Fallo 2a. Instancia el 20-03-2018. 1T Conciliación el 11-08-2016 a la 1:30 pm; decisisión de excepciones previas, saneamiento, fijación del litigio, decreto y práctica de pruebas y fallo . Contestada el 05-11-2015. El 22-10-2015 se notifica la demanda. </t>
  </si>
  <si>
    <t>Diego Guevara Jaramillo</t>
  </si>
  <si>
    <t xml:space="preserve">En contabilidad incrementaron la provisión a $79'443.509 cuando contabilizaron el pago, y solicitaron llevarlo a terminados. </t>
  </si>
  <si>
    <t>2018-00202</t>
  </si>
  <si>
    <t>05266310500120180020200</t>
  </si>
  <si>
    <t>La ddante. fue despedida cjc por haber entregado una tarjeta débito pre expedida sin cumplir los procedimientos, cuya cuenta resultó defraudada</t>
  </si>
  <si>
    <t>Conciliado por $15'</t>
  </si>
  <si>
    <t>2012-00149</t>
  </si>
  <si>
    <t>81001310500120120014900</t>
  </si>
  <si>
    <t>El ddte. fue Abogado externo del Banco en el cobro de cartera.</t>
  </si>
  <si>
    <t xml:space="preserve">El 12-06-2019 Aprueba costas y archivo. Nueva fecha fallo 2a. instancia el  29-04-2019 a las 9:00 am. Fecha fallo 2a. instancia el  23-04-2019 a las 9:00 am (Aplazado). Desde el 28-07-2013 al Despacho de la Magistrada para fallo. El 21-06-2013 nuestro apdoerado presentó alegatos de conclusión en el Tribunal. El 12-06-2013 el Tribunal avocó conocimiento del recurso interpuesto por el demandante. Se condenó al pago de $15'820.814.81 y costas en un 8% de esa suma; nuestro apoderado apeló la sentencia. 2T el 21-05-2013 para evacuar pruebas, alegatos y fallo. 1T Conciliación el 16-04-2013 a las 9:00 am. Contestada el 17-01-2013. El 19-12-2012 se notificó de la demanda al representante legal del Banco en Arauca. El 31-10-2012 se envían documentos a nuestro apoderado. El 06-10-2012 llegó citatorio con auto admisorio. </t>
  </si>
  <si>
    <t>Vr. Condena $15'820.814.81, costas 2a. instancia $1'200.000. Costas 1a. instancia $2'372.122</t>
  </si>
  <si>
    <t>2014-00551</t>
  </si>
  <si>
    <t>54001310500320140055100</t>
  </si>
  <si>
    <t>Por el resultado desfavorable en primera instancia el riesgo pasa a probable.</t>
  </si>
  <si>
    <t>La ddte. fue despedida con justa causa ya que aumentó en los anexos de riesgo los valores de los créditos de libranza gestionado a empelados de la Fundación de la Mujer, con lo cual puso en riesgo los intereses del Banco pues la fundación descuenta por nómina hasta unos montos de los créditos y no garantiza el mayor valor gestionado por ella y que le fueron entregados a los clientes; adulteró los anexos.</t>
  </si>
  <si>
    <t>El 05-07-2019 Auto termina proceso por pago. El 26-06-2019 se paga condena y costas. El 14-05-2019 aprueba costas y archivo. Fecha fallo 2a. instancia el 12-03-2019. El 16-09-2016 Tribunal admite recurso de apelación. Continuación aud. juzgamiento el 17-08-2016 a las 2:00 pm. Se reprograma audiencia de trámite y juzgamiento para el 08-08-2016 a las 8:00 am. (Decreta receso). Se reprograma audiencia de trámite y juzgamiento para el 27-06-2016 a las 8:00 am. Se reprograma audiencia de trámite y juzgamiento para el 28-04-2016 a las 2:00 pm. Reprograma para el 14-03-2016 a las 2:00 pm Aud. de trámite y juzgamiento. Para el 09-02-2016  a las 2:00 pm se reprograma Aud. de trámite y juzgamiento.  Nueva fecha fallo 1a. instancia el 09-12-2015 a las 2:00 pm. Se reprograma audiencia de trámite y juzgamiento para el 09-11-2015 a las 8:00am. Continuación aud. y fallo el 30-09-2015 a las 8:00 am. Nueva fecha fallo 1a. instancia el 03-09-2015 a las 8:00 am (Se declaró receso de la audiencia). Nueva fecha fallo 1a. instancia el 27-07-2015 a las 8:00 am (Aplazada). Fecha fallo 1a. instancia el 24-06-2015 a las 8:00 am (Aplazada). Continuación 2T el 14-05-2015 a las 8:00 am, fallo.  2T el 17-03-2015 a las 2:00 pm testimonios y juzgamiento (Suspendida). 1T Conciliación el 05-02-2015 a las 4:00 pm; fijación del litigio, decisión de excepciones y decreto de pruebas.  El 29-10-2014 se enviaron documentos al Abogado. El 15-10-2014 llegó citatorio.</t>
  </si>
  <si>
    <t>José Horacio Restrepo López</t>
  </si>
  <si>
    <t>Condena al pago de la indemnización indexada por vr. de $6'455.225. Costas $503.990</t>
  </si>
  <si>
    <t>2010-00589</t>
  </si>
  <si>
    <t>76001310500520100058900</t>
  </si>
  <si>
    <t>No cumplió a cabalidad el procedimiento de retiro de una cuenta de inversión lo que facilitó una defraudación de $242 millones de pesos.</t>
  </si>
  <si>
    <t>El 15-05-2019 Auto obedézcase y cúmplase, aprueba liquidación y ordena archivo. El 28-03-2019 envía exp. al Juzgado origen. El 11-03-2019 Auto no concede recurso de casación interpuesto por el ddante. El 12-09-2018 recepción recurso de casación del ddante. El 31-08-2018 Tribunal confirma absolución. El 22-04-2014 reparto del proceso en el Tribunal. El 31-03-2014 admite recurso de apelación del ddante. Nueva fecha fallo 1a. instancia el 27-02-2014 a las 4:45 pm. Fecha fallo 1a. instancia el 18-12-2013 (Aplazado). El 05-12-2013  a las 11:30 am aud. a la espera de  Despacho Comisorio N° 41 librado a la ciudad de Medellín, debidamente diligenciado. Aud. Despacho Comisorio en el Juzgado 7°  Laboral de Medellín el 22-10-2013 a las 10:30 am. El 11-07-2013 auto fija aud. para el 20-08-2013 a las 11:30 am., a la espera del Despacho Comisorio librado a Medellín, debidamente diligenciado. 11-06-2013 a la espera de respuesta de Despachos Comisorios de Medellín. Continuación 4T el 05-06-2013 a las 8:30 am testimonio de Gloria Rivera testigo de la parte demandante. 4T el 06-03-2013 a las 8:30 am testimonio de Fernando Calvo Trejos. 3T el 06-12-2012 a las 8:30 am testimonios de Manuel Bolívar y Luis Enrique Manrique. 2T el 06-09-2012 Interrogatorio de partes.  El 13-06-2012 testimonio de  José Gilbero Arcila Alzate por despacho comisorio. 1T Conciliación el 17-05-2011. El 04-10-2010 se contestó la demanda.</t>
  </si>
  <si>
    <t>2016-0855</t>
  </si>
  <si>
    <t>11001310502920160058500-</t>
  </si>
  <si>
    <t>INDEMNIZACION DSJC, RELIQUIDACIONES Y MORATORIA</t>
  </si>
  <si>
    <t>La demandante como ejecutivo dio mala asesoría que generó pérdida al Banco</t>
  </si>
  <si>
    <t>El 13-06-2019 archivo definitivo. El 31-05-2019 Auto obedézcase y cúmplase. El 24-04-2019 Tribunal confirma absolución. Nueva fecha para fallo 1a. instancia el 27-04-2018 a las 3:30 pm. Nueva fecha 2T el 18-04-2018 a las 10:30 am. 2T el 27-11-2017 a las 10:30 am, trámite y juzgamiento (Aplazada). 1T Conciliación el 18-08-2017 a las 12:30 pm; decisión de excepciones previas, saneamiento, fijación del litigio y decreto de pruebas. El 17-03-2017 se contestó la demanda.</t>
  </si>
  <si>
    <t>2017-00060</t>
  </si>
  <si>
    <t>11001310502120170006000-</t>
  </si>
  <si>
    <t>La ex trabajadora fue despedida por abusar e incumplir la reestructuracion de créditos.</t>
  </si>
  <si>
    <t>El 26-02-2019 Auto aprueba liquidación y archivo. Fecha fallo 2a. instancia el 24-10-2018 (CONFIRMA). Señala fecha fallo 1a. instancia el 28-09-2018 a las 12:30 pm. Continuación 1T el 07-09-2018 a las 8:30 am. Nueva fecha 1T Conciliación el 08-06-2018 a las 2:30 pm; decisión de excepciones previas, saneamiento, fijación del litigio y decreto de pruebas (Suspende). 1T Conciliación el 22-03-2018 a las 8:30 am; decisión de excepciones previas, saneamiento, fijación del litigio y decreto de pruebas (Aplazada). El 26-04-2017 se notificó el Banco.</t>
  </si>
  <si>
    <t>Luz Claudia Correa González</t>
  </si>
  <si>
    <t>2017 - 00325</t>
  </si>
  <si>
    <t>11001310502220170032500-</t>
  </si>
  <si>
    <t>La demandada se encuentra pensionada desde el año 2014 y se niega a retirarse por tener fuero sindical.</t>
  </si>
  <si>
    <t>El 02-09-2019 aprueba costas y archivo. Fecha 2a. instancia el 06-05-2019 (CONFIRMA). El 12-04-2019 al Despacho por reparto en el Tribunal. 1T el 26-03-2019 a las 9:00 am Audiencia del art. 115 CPT, presentación y decisión de excepciones previas, saneamiento, fijación del litigio, decreto y práctica de pruebas y fallo. El 02-08-2017 fijación por Estado; ordena notificar a la demandada, al sindicato. El 12-06-2017 se radica demanda por parte del Banco.</t>
  </si>
  <si>
    <t>2017-00187</t>
  </si>
  <si>
    <t>66001310500420170018700-</t>
  </si>
  <si>
    <t>La demandante fue desvinculada con justa causa por omitir proceso de visación y generar pérdida económica al Banco.</t>
  </si>
  <si>
    <t>El 15-02-2019 archivo definitivo. El 05-02-2019 Auto aprueba liquidación. Fecha fallo 2a. instancia el 29-11-2018 (CONFIRMA). Continuación aud. el 20-04-2018 a las 8:30 am. Continuación 2T el 15-03-2018 a las 8:30 am (No fue posible desarrollar la aud. por cuanto la titular del Despacho se encontraba en escrutinios. 2T el 06-03-2018 (Se escucharon la mayoría de testigos, suspende).  1T Conciliación el 16-01-2018 a las 10:30 am; decisión de excepciones previas, saneamiento, fijación del litigio y decreto de pruebas. Contestada el 01-09-2017.</t>
  </si>
  <si>
    <t>José Byron Chávez Flórez</t>
  </si>
  <si>
    <t>2017 -00144</t>
  </si>
  <si>
    <t xml:space="preserve"> 66001310500220170014400-</t>
  </si>
  <si>
    <t>El demandante fue desvinculado con justa causa por omitir procesos de custodia de efectivo y quejas de servicio</t>
  </si>
  <si>
    <t>Fecha fallo 2a. instancia el 16-05-2019. Nueva fecha 2T el 30-07-2018 a las 8:00 am, trámite y juzgamiento. 2T el 04-07-2018 a las 8:00 am, trámite y juzgamiento (Aplazada). 1T Conciliación el 23-04-2018 a las 9:00 am. El 02-10-2017 se contestó la demanda.</t>
  </si>
  <si>
    <t>Reynaldo Olvidera Buelvas</t>
  </si>
  <si>
    <t>Condena a reliquidar las prestaciones sociales teniendo en cuenta las bonificaciones del PGC como salariales ($761.407,76); igualmente a la sanción moratoria por $45'360.000 más intereses por mora a partir del 08-07-2018.</t>
  </si>
  <si>
    <t>2017-00510</t>
  </si>
  <si>
    <t>68001310500320170051000-</t>
  </si>
  <si>
    <t>REINTEGRO , PERJUICIOS</t>
  </si>
  <si>
    <t>El ddte. como Gerente fue desvinculado por conflicto de interes, y manejos irregulares.</t>
  </si>
  <si>
    <t>El 29-05-2019 archivo definitivo del expediente. Fecha fallo 2a. instancia el 03-04-2019. 2T el 08-06-2018 a las 8:30 am, trámite y juzgamiento. AUDIENCIA DEL ARTICULO 80 CPT. 1T Conciliación el 24-04-2018 a las 10:30 am; decisión de excepciones previas, saneamiento, fijación del litigio y decreto de pruebas. Notificada el 26-02-2018</t>
  </si>
  <si>
    <t>Facter Gil Jaramillo</t>
  </si>
  <si>
    <t>2018-00166</t>
  </si>
  <si>
    <t>23001310500320180016600-</t>
  </si>
  <si>
    <t>La demandante fue despedida con justa causa porque  incurrió en un conflicto de intereses con un cliente el cual había atendido en el ejercicio de su cargo como Gestora Comercial.</t>
  </si>
  <si>
    <t>2009-01097</t>
  </si>
  <si>
    <t>76001310500420090109700</t>
  </si>
  <si>
    <t xml:space="preserve">Fue despedido con JC al violar las normas de seguridad de la oficina, facilitando una pérdida de $488.714.200.73 por atraco  </t>
  </si>
  <si>
    <t xml:space="preserve">El 17-09-2019 Auto aprueba liquidación y ordena archivo. El 05-07-2019 liquida costas. Fecha fallo CSJ el 26-06-2019. El 14-08-2015 al Despacho para fallo. El 23-07-2015 se presenta OPOSICION por parte de Bancolombia contra la demanda de casación. Enviado poder al Dr. José Roberto Herrera en octubre/2014. Admite recurso de casación 06-05-2014. Ddante. interpuso recurso de Casación. Fallo de 2a. instancia el 19-12-2013. Enviado a los Magistrados de Descongestión el 30-05-2013. A la espera de Oficios del Ministerio de Trabajo 28-11-2012. El 18-05-2011 interrogatorios de parte a  demandante y representante legal. Aud. 08-04-2010 declaración testigos ddante. Aud. 05-04-2010 declaración testigos del ddado. El 19-03-2019 se contestó la demanda y está pendiente la fecha de fijación para audiencia.  </t>
  </si>
  <si>
    <t>Jaime Useche Leal</t>
  </si>
  <si>
    <t>2012-00087</t>
  </si>
  <si>
    <t>08001310500520120008700</t>
  </si>
  <si>
    <t>Se solicita el levantamiento del fuero sindical del empleado, quien desempeña el cargo de Supernumerario en la ciudad de Barranquilla, hace parte de la junta directiva de ANEBAN, y se le adelantó un proceso disciplinario por haber incurrido en el mal pago de una serie de cheques sin las condiciones establecidas en los procedimientos del Banco.</t>
  </si>
  <si>
    <t>Fecha fallo 2a. instancia el 11-12-2018. El 20-03-2018 se radica solicitud de impulso procesal. El ddado. interpuso recurso de Apelación. El 13-03-2017 Audiencia única de trámite (Se practicaron interrogatorio de parte al ddante. testimonios; cierre debate probatorio y se profirió sentencia que concede permiso para despedir con justa causa al ddado.). El 05-02-2017 se notifica en Estado Auto de obedézcase y cúmplase lo resuelto por el Superior. EL 27-10-2016 Tribunal resuelve apelación Auto donde resolvió excepción previa de prescripción propuesta por el ddado. debe ser estudiada al momento de dictar sentencia por el Juzgado de conocimiento. El 06-02-2014 Concede recurso de apelación contra Auto. El 08-10-2014 se presenta memorial al superior solicitando impulso procesal. El 27-05-2013 aud. única de trámite. Se corrió traslado de las excepciones propuestas por el ddado. las cuales fueron declaradas no probadas; el ddado. presenta recurso de apelación el cual es concedido en efecto suspensivo por lo que está pendiente que el Tribunal resuelva y regrese nuevamente al Juzgado de origen para continuar con las siguientes etapas procesales. El 23-04-2014 reparto del proceso a las 16:05:17  repartido a CLIMACO MOLINA RAMOS. El 06-02-2014  Auto concede recurso de apelación, se remite al Trib.Sup. mediante Oficio N° 024 del 06-02-2014. El 27-05-2013 aud. de conciliación a las 2:30 pm (Se corrió traslado por las excepciones propuestas por el ddado. las cuales fueron declaradas no probadas, el ddado. presenta recurso de apelación el cual es concedido en el efecto suspensivo por lo que está pendiente que el Trib. resuelva y regrese nuevamente al Juzgado de origen para continuar con las siguientes etapas procesales). Aud. de trámite el 21-03-2013 a las 2:30 pm. Se notificó personalmente al empleado en las instalaciones del Banco. Así mismo se notificó al presidente de la junta directiva de ANEBAN (Javier de Luque Crespo).</t>
  </si>
  <si>
    <t>Vr. condena en costas $2'484.348. El Banco actúa como demandante.</t>
  </si>
  <si>
    <t>2015-00307</t>
  </si>
  <si>
    <t>73001310500120150030700-</t>
  </si>
  <si>
    <t>RELIQUIDACIÓN DE MESADA PENSIONAL</t>
  </si>
  <si>
    <t>Demandante fue retirado 11 de marzo de 1991, y señala que su mesada pensional no esta acorde con el último salario devengado</t>
  </si>
  <si>
    <t>El 28-10-2019 Auto pone en conocimiento, ordena entregar tíulo. OJO presentaron Ejecutivo X reliquidación. El 23-07-2019 se pagó condena y costas. El 20-06-2019 aprueba liquidación de costas y archivo. El 21-02-2019 remite expediente al Despacho origen. El 23-01-2019 Corte acepta desistimiento del recurso por parte del Banco. El 07-11-2018 recibido desistimiento recurso de Casación Banco. El 12-09-2018 Reparto y radicación en la CSJ. El 02-05-2018 concede recurso de Casación al Banco. El 07-03-2018 se radica Recurso de Casación. Fecha fallo 2a. instancia el 28-02-2018. El 04-10-2016 a las 3:00 pm práctica de pruebas, alegatos y fallo. 1T Conciliación el 07-06-2016 a las 3:00 pm; decisión de excepciones previas, saneamiento, fijación del litigio y decreto de pruebas. El 30-11-2015 se radica contestación de la demanda. El 06-10-2015 se recibe citatorio, se remite poder Abogado.</t>
  </si>
  <si>
    <t>Angélica Fabiola García Ruiz</t>
  </si>
  <si>
    <t>Pago condena por valor de $39'480.169 el 23-07-2019. Este jubilado ya había obtenido en el 2012 reajuste de la pensión.</t>
  </si>
  <si>
    <t>2016-00495</t>
  </si>
  <si>
    <t>11001310501120160049500</t>
  </si>
  <si>
    <t>El 18-06-2019 Tribunal confirma Auto, y termina el proceso. Concede apelación al demandante en efecto suspensivo; ordena enviar al Superior. El 22-03-2019 a las 10:00 am señala Audiencia Especial para resolver excepciones (Declara probadas excepciones; da por terminado el proceso). El 12-02-2019 Auto ordena correr traslado de excepciones. El 16-01-2019 Auto confirma Auto atacado. El 26-09-2018 Auto concede recurso de apelación en efecto suspensivo. El 18-06-2018 el Banco interpone recurso de Reposición y en subsidio el de Apelación. El 13-06-2018 Auto libra mandamiento ejecutivo. El 09-11-2017 Auto pone en conocimiento de la parte ejecutante el certificado de salarios. El 04-08-2017 al Despacho. El 27-07-2017 la parte demandada allega poderes, certificado de existencia y certificación. El 15-11-2016 Auto requiere previo a librar mandamiento de pago.</t>
  </si>
  <si>
    <t>2014-00450</t>
  </si>
  <si>
    <t>11001310500620140045000</t>
  </si>
  <si>
    <t>La demandante fue despedida con justa causa por el incumplimiento de los procesos de vinculación y conocimiento del cliente que presentaron solicitudes de créditos al Banco con información inconsistente y documentación falsa, y que ella presentó a la Gerente de Sucursal para aprobación por excepción por el amplio conocimiento del cliente que sustentó al demandante, así mismo porque recibió en su cuenta de nómina dineros de la venta de un vehiculo de us esposo.</t>
  </si>
  <si>
    <t>El 22-07-2019 devolución al Juzgado origen. Fallo 2a. instancia el 13-06-2019 (Confirma). El 12-06-2017 al Despacho por reparto. El 05-06-2017 enviado al Trib. Sup. Fecha fallo 1a. instancia el 11-05-2017. El 21-02-2017 a las 2:00 pm, audiencia en el Juzgado 2° Laboral de Medellín para llevar a cabo Despacho Comisorio (Declaración Diana G. Estrada). Nueva fecha audiencia el 08-08-2016, a las 04:30 pm. El 07-07-2016 a las 4:00 pm. para pruebas. El 18-11-2015 recibo de memoriales, al Despacho. El 07-04-2015 enviado el exp. al Trib. Sup. en consulta. Fecha fallo 1a. instancia el 27-03-2015 a las 4:45 P.M. 1T Conciliación el 25-03-2015 a las 8:30 am, decisión de excepciones previas, saneamiento y fijación del litigio; si fracasa la conciliación se decretan y practican pruebas y de ser posible se lleva a cabo audiencia de juzgamiento. El 01-09-2014  inadmite contestación de demanda, concede término para subsanar. El 28-07-2014 llegó aviso judicial de notificación con traslado; desde el 21-07-2014 se habían enviado documentos al Abogado, días posteriores se envió traslado a los Abogados y documentos adicionales</t>
  </si>
  <si>
    <t>2014-00706</t>
  </si>
  <si>
    <t>18001310500120140070600</t>
  </si>
  <si>
    <t>El ddo. es directivo sindical de Uneb e incurrió en una mala práctica al abrir una cuenta de una cliente sin recursos a la cual le grabó una póliza de seguros para que le contara como venta, y posteriormente solicitó la reversión de la apertura de la cuenta generando una cuenta por cobrar a la cliente por el valor de la prima del seguro; además confesó realizar esa práctica de abrir cuentas a los clientes sin que ellos lo soliciten y sin dinero, y depués  solicitaba la reversion de la operacion. Los hechos sucedieron el 26-08-2014 y los papeles se envairon al Abogado el 30-09-2014</t>
  </si>
  <si>
    <t>El 16-07-2019 Obedézcase lo resuelto por el Superior y archivo. El 05-07-2019 liquida costas. Fecha fallo 2a. instancia el 12-06-2019 (Revoca pero no autoriza el despido). Fija nueva fecha de fallo el 25-04-2017 a las  3:00 pm. Nueva fecha de fallo el 27-09-2016 a las 3:00 pm. Nueva fecha Aud. de trámite y juzgamiento el 31-05-2016 a las 5:00 pm. 1T Fija Aud. de trámite y juzgamiento el 11-02-2016 a las 3:00 pm. El 15-01-2015 admite demanda. El 15-10-2014 se presentó la demanda a reparto judicial. El 30-09-2014 se enviaron los documentos al Abogado.</t>
  </si>
  <si>
    <t>2019-00275</t>
  </si>
  <si>
    <t>05088310500120190027500</t>
  </si>
  <si>
    <t>La ddada. Indujo a una compeñera de trabajo a abrir unas cuentas a nombre de Personas Jurídicas cuyos representantes legales nada tenían que ver con esta función, y además, el Contador de las mismas está en lista de control</t>
  </si>
  <si>
    <t>2011-00234</t>
  </si>
  <si>
    <t>11001310500420110023400</t>
  </si>
  <si>
    <t>Fue desvinculada con justa causa porque en desarrollo de sus funciones como Gerente utilizó de manera indebida la tarjeta de crédito empresarial entregada única y exclusivamente para el desempeño de sus funciones, y utilizó dicho plástico para compras personales, avances sin estar soportados con viajes programados y no legalizó muchas de estas utilizaciones por el sistema de viajes de bizagi establecido en el Banco.</t>
  </si>
  <si>
    <t>2014-01426</t>
  </si>
  <si>
    <t>05001310500920140142600</t>
  </si>
  <si>
    <t>La ddante. fue despedida cjc por haber pagado un cheque gemeliado por vr. de $89'534.957 omitiendo los procedimientos de seguridad definidos por el Banco</t>
  </si>
  <si>
    <t>Fecha fallo 2a. instancia el 12-09-2019. El 19-09-2018 se envía al Tribunal. Nueva fecha 2T el 11-09-2018 a las 9:00 am; práctica de pruebas y fallo. Nueva fecha 2T el 21-09-2017 a las 9:00 am; práctica de pruebas y fallo (Aplazada a solicitud de las partes). 2T el 16-11-2016 a las 2:00 pm; práctica de pruebas y fallo (Aplazada a solicitud de las partes). 1T Conciliación el 16-02-2016 a las 10.30 am; decisión de excepciones previas, saneamiento, fijación del litigio y decreto de pruebas. Contestada el 03-03-2015. Notificada el 18-02-2015.</t>
  </si>
  <si>
    <t>Se fue a Consulta al Trib. ya que el apoderado de la ddante. no apeló.</t>
  </si>
  <si>
    <t>2008-01343</t>
  </si>
  <si>
    <t>05001310501120080134300</t>
  </si>
  <si>
    <t>El ddante. fue despedido cjc por incumplimiento de los procedimientos establecidos para el desembolso de créditos y manejo del efectivo de la Sucursal.</t>
  </si>
  <si>
    <t>2013-00175</t>
  </si>
  <si>
    <t>76001310500420130017500</t>
  </si>
  <si>
    <t>El demandate fue despedido con justa causa el 14 de septiembre de 2012 por cancelar y vender reiteradamente unos CDTs de su suegra haciendo él directamente los retiros de los dineros de la cuenta de la cliente en su estación de trabajo, sin exhibir poder o autorización alguna y sin informar a sus superiores de éste hecho.</t>
  </si>
  <si>
    <t>Fecha fallo Casación el 13-08-2019 (NO CASA). El 30-08-2018 fija fecha para el 15-01-2018. El 14-10-2015 se radica OPOSICION ante la Corte por parte de Bancolombia. El 03-09-2014 envía exp. a la CSJ. El 21-08-2014 concede recurso de casación. Fallo 2a. instancia el 21-02-2014 a las 8:30 am. Fecha fallo 1a. instancia el 25-11-2013. 2T el 25-11-2013 testigos y fallo. 1T Conciliación el 07-10-2013 a las 2:00 pm, decisión de excepciones, saneamiento y fijación del litigio. Contestada el 28-05-2013. El 14-05-2013 llegó notificación por aviso, y el 17-05-2013 se enviaron documentos al Abogado.</t>
  </si>
  <si>
    <t>2015-00085</t>
  </si>
  <si>
    <t>11001310500320150008500</t>
  </si>
  <si>
    <t xml:space="preserve">La trabajadora fue despedida por registrar a su favor créditos que fueron gestionados por otros ejecutivos, apropiándose de las comisiones sin generarlas y por efectuar consultas y manejo de información de manera indebida. </t>
  </si>
  <si>
    <t>El 09-09-2019 Auto aprueba liquidación de costas y archivo. El 26-06-2019 Fallo CSJ No Casa. 10 Oct 2016 -AL DESPACHO PARA SENTENCIA EN CORTE. El 04-10-2016 se presenta oposición de BANCOLOMBIA S.A., suscrita por el Dr. JUAN PABLO LÓPEZ MORENO. El 18-08-2016 recibida demanda de Casación de la ddante. El 22-06-2016 reparto y readicación en la CSJ. El 10-05-2016 concede recurso de casación a la ddante. Fallo 2a. instancia el 12-04-2016. El 28-10-2015 Tribunal admite apelación. El el 02-10-2015, a las 9:00 am continuacion testimonios y fallo. 2T el 18-08-2015 a las 11:30 am, testigos demandada (Suspende). 1T Conciliación el 06-07-2015 a las 11:30 am; decisión de excepciones, saneamiento y fijación del litigio y decreto de pruebas. Contestada el 19-03-2015. Se notificó a Bancolombia el 06-03-2015.</t>
  </si>
  <si>
    <t>2015-01591</t>
  </si>
  <si>
    <t>05001310501120150159100</t>
  </si>
  <si>
    <t>El ddante. laboró en Apartadó del 13-06-1978 al 01-11-1994 y fue afiliado al ISS en enero de 1982 ya que antes no existía cobertura.</t>
  </si>
  <si>
    <t>Fecha fallo 2a. instancia el 30-08-2018 a las 9:00 am. 2T práctica de pruebas y fallo el 25-07-2017 a las 8:15 am. 1T Conciliación el 25-01-2017 a las 3:15 pm, decisión de excepciones previas, saneamiento, fijación del litigio y decreto de pruebas. Contestada por COLPENSIONES el 26-07-2016. Notificado COLPENSIONES el 219-06-2016. Contestada el 28-06-2016. Notificada el 20-06-2016.</t>
  </si>
  <si>
    <t>Gloria Estella Díaz Arboleda</t>
  </si>
  <si>
    <t>2016-00779</t>
  </si>
  <si>
    <t>11001310503920160077900-</t>
  </si>
  <si>
    <t>INDEMNIZACION DSJC, PERJUICIOS MORALES, REINTEGRO DESCUENTOS EN LA LIQUIDACION Y MORATORIA</t>
  </si>
  <si>
    <t>El demandante como Gestor Comercial fue despedido cjc por sus constantes llegadas tarde.</t>
  </si>
  <si>
    <t>Gustavo Adolfo Poveda Cruz</t>
  </si>
  <si>
    <t xml:space="preserve">Vr. condena $22'003.134 por concepto de indemnización, reintegro de cesantías y de intereses a la cesantía.                           </t>
  </si>
  <si>
    <t>2015-00001</t>
  </si>
  <si>
    <t>05001310501820150000100</t>
  </si>
  <si>
    <t>La ddante. fue despedida cjc por no haber reportado un descuadre en caja (Sobrante) por valor de $100.000 el cual fue reclamado por el cliente.</t>
  </si>
  <si>
    <t>El 06-11-2019 la ddante. desiste del recurso de Casación. El 10-10-2018 envía exp. a la CSJ. El 12-09-2018 concede recurso de Casación. El 22-08-2018 la Apoderada de la demandante interpuso recurso de Casación. Fecha fallo 2a. instancia el 15-08-2018. 2T el 29-06-2016 a las 8:30 am, práctica de toda la prueba y fallo. 1T Conciliacion el 02-02-2016 a las 4:00 pm; decisión de excepciones previas, saneamiento, fijación del litigio y decreto de pruebas. Contestada el 28-04-2015. Notificada el 13-04-2015.</t>
  </si>
  <si>
    <t>Carlos Alberto Herrera Peña</t>
  </si>
  <si>
    <t>2012-00370</t>
  </si>
  <si>
    <t>11001310502120120037000</t>
  </si>
  <si>
    <t>La ddte. fue despedida con justa causa como quiera que gestionó solicitudes de créditos que contenían información inconsistente y que se estableció fue preparada por terceros tramitadores.</t>
  </si>
  <si>
    <t>el 01-10-2019 remite exp. al Despacho origen. El 18-09-2019 fallo Corte NO CASA. El 11-11-2015 -al Despacho para sentencia en CSJ. El 05-11-2015 Bancolombia presenta oposición a la demanda de casacion. Mediante auto del  17-06-2014 el Tribunal concedió el recurso extraordinario de casación a la demandante. En el Tribunal no se condenó en costas. En el Tribunal se presentaron alegatos el 05-03-2014, pendiente fecha de fallo. En el fallo se condenó al reintegro al considerar el juez que al no haberse agotado el procedimiento disciplinario consagrado en la convención, el despido devenía ineficaz y condenó al pago de salarios indexados, prestaciones y aportes a la sguridad social autorizando descontar lo pagado por la liquidación del contrato de trabajo. Fallo 1a. instancia el 31-10-2013 a las 10:30 am. 3T el 31-10-2013 a las 10:30 am. 2T el 07-10-2013 a las 10:00 am. 1T Conciliación el 04-09-2013 a las 11:30 am. El 11-06-2013 subsana contestación de la demanda. Inadmite contestación de la demanda el 22-04-2013. Contestada el 08-03-2013. Notificada el 22-02-2013. El 21-01-2013 llegó citatorio y el 29-01-2013 se enviaron documentos al Abogado.</t>
  </si>
  <si>
    <t>Mocoa</t>
  </si>
  <si>
    <t>2016-00105</t>
  </si>
  <si>
    <t>15759310500120160010500-</t>
  </si>
  <si>
    <t>Aunque el resultado es incierto, el riesgo se clasifica como probable por el resultado parcial desfavorable</t>
  </si>
  <si>
    <t>La demandante fue desvinculada como cajera por errores operativos y alega que no hubo justa causa estando en fuero circunstancial</t>
  </si>
  <si>
    <t>El 19-11-2019 niega recurso de Casación a la ddante. a ddante. interpone recurso de Casación. Fecha fallo 2a. instancia el 10-09-2019 (Revoca y absuelve). 2T el 22-06-2017 a las 9:00 am, práctica de pruebas, alegatos y fallo. 1T Conciliación el 23-02-2017 a las 9:00 am, decisión de excepciones previas, saneamiento, fijación del litigio y decreto de pruebas. Contestada el 06-09-2016.</t>
  </si>
  <si>
    <t>Condena solo al pago de la indemnización; absolvió en todo lo demás.</t>
  </si>
  <si>
    <t xml:space="preserve">Civil </t>
  </si>
  <si>
    <t>2017-00052</t>
  </si>
  <si>
    <t>7341131030012017005200-</t>
  </si>
  <si>
    <t>INDEMNIZACION DSJC, REINTEGRO DESCUENTOS, PERJUICIOS MORALES Y MATERIALES, MORATORIA</t>
  </si>
  <si>
    <t>El trabajador fue despedido con justa causa por omitir procesos y facilitar un fraude, y violacion a Reserva Bancaria.</t>
  </si>
  <si>
    <t>El 23-10-2019 envío exp. al Juzgado - Civil - Circuito - Líbano (Tolima). Fecha fallo 2a. instancia el 10-09-2019 (Revoca y absuelve). El 08-06-2017 recurso de apelación por el Banco. 2T el 01-06-2017 a las 9:30 am, trámite y juzgamiento. 1T Conciliación el 09-05-2017, decisión de excepciones previas, saneamiento, fijación del litigio y decreto de pruebas. El 20-04-2017 se contestó la demanda.</t>
  </si>
  <si>
    <t xml:space="preserve">Especial </t>
  </si>
  <si>
    <t>2017-00144</t>
  </si>
  <si>
    <t>86001310500120170014400-</t>
  </si>
  <si>
    <t>La demandante como Asesora adulteró una certificación comercial para favorecer un cliente.</t>
  </si>
  <si>
    <t>El 1511-2019 se radica solicitud de terminación del proceso por mutuo acuerdo de retiro. Señala aud.  aRT 114 CPT. EL 06-11-2019 a las 11:00 am Tribunal confirma Auto. Resuelve excepcion a favor del Banco y concede apelacion. Fija audiencia  el día 09-04-2018 a las 9:00 am. El 31-08-17 se radica memorial aportando citatorio del art. 292 positivo. Pendiente notificación del demandado. El 05-06-2017 se radica demanda.</t>
  </si>
  <si>
    <t>Hugo Ramón Quintero Gómez</t>
  </si>
  <si>
    <t>2007-00225</t>
  </si>
  <si>
    <t>68001310500420070022500</t>
  </si>
  <si>
    <t>No le figuran cotizaciones entre 1967 Y 1977 a pesar de haber estado en B/manga. y cotizar.</t>
  </si>
  <si>
    <t>El 01-10-2019 recepción expediente Juzgado. El 09-07-2019 fijación Edicto Notificación sentencia. El 27-06-2019 sentencia - Casa. El 12-11-2014 -CSJ al Despacho para sentencia. El 10-06-2014 se presenta demanda de casación en la CSJ. El 29-04-2014 inicia traslado a los recurrentes. El 23-04-2014 CSJ admite recurso y corre traslado. El 12-03-2014 reparto y radicación del proceso. Hasta el 20-12-2013 el proceso no había sido envaido a la Corte. El 30-09-2013 el Tribunal de Bucaramanga concede el recurso de casación. El 10-05-2013 el Banco presenta recurso de casación. Fecha fallo 2a. instancia el 18-04-2013 a las 3:00 pm. Recepción de memorial el 10-12-2012. Corre traslado a las partes por 05 días para alegatos el 21-06-2011. Enviado a los Magistrados de descongestión de Bogotá el 18-07-2011. Nueva fecha fallo 1a. instancia el 16-12-2010. A la fecha de la audiencia no había llegado respuesta del ISS a los oficios, se ordenó requerirlos y se fijo el fallo de 1a. instancia para el 08-07-2010. 2T el 10-02-2010 a las 2:30 pm con incorporación de respuestas a Despachos Comisorios solicitados por las partes. 1T Conciliación el 06-10-2009 a las 2:30 PM</t>
  </si>
  <si>
    <t>La demandante tiene una pensión compartida entre el Banco y COLPENSIONES</t>
  </si>
  <si>
    <t>2018-00269</t>
  </si>
  <si>
    <t>81001310500120180026900-</t>
  </si>
  <si>
    <t>Aunque el resultado es incierto, el riesgo se reclasifica como probable por fallo desfavorable en primera instancia.</t>
  </si>
  <si>
    <t>A través de un informe de seguridad se pudo determinar que la ddada. incumplió procesos operativos.</t>
  </si>
  <si>
    <t>Fecha fallo 2a. instancia el 09-12-2019. 1T el 06-08-2019 niega permiso para despedir; se apela . El 22-01-2019 se admite demanda. El 18-12-2018 se presentó la demanda de Levantamiento de fuero.</t>
  </si>
  <si>
    <t>Matilde Eugenia Gómez Villamarín</t>
  </si>
  <si>
    <t>La demandante como Asesora adulteró una certificacion comercial para favorecer un cliente</t>
  </si>
  <si>
    <t>El 27-11-2019 Acepta desistimiento y terminación del proceso. El 15-11-2019 se radica solicitud de terminación del proceso por mutuo acuerdo de retiro. Señala Aud. art. 114 CPT el 06-11-2019 a las 11:00 am. Tribunal confirma Auto. Resuelve excepcion a favor del Banco y concede apelacion. Fija audiencia el día 09-04-2018 a las 9:00 am.  El 31-08-17 se radica memorial aportando citatorio del art. 292 positivo. El 05-06-2017 se radica demanda.</t>
  </si>
  <si>
    <t>2018-00037</t>
  </si>
  <si>
    <t>15001310500220180003700-</t>
  </si>
  <si>
    <t>El ddte. trabajó del año 1974 a 1981 y afirma que no le cotizaron a pensión.</t>
  </si>
  <si>
    <t>El 18-11-2019 traslado liquidación de costas. El 26-08-2019 Tribunal niega recurso de Casación. Se presenta recurso de Casación por el Banco. Fecha fallo 2a. instancia el 30-04-2019. 2T el 19-03-2019 a las 11:00 am, trámite y juzgamiento. 1T Conciliación el 03-12-2018 a las 10:00 am, decisión de excepciones previas, saneamiento, fijación del litigio y decreto de pruebas. El 16-07-2018 contestó COLPENSIONES. El 15-06-2018 se contestó la demanda. Notificada el 05-06-2018.</t>
  </si>
  <si>
    <t xml:space="preserve">Condena al pago del cálculo actuarial por valor de $85'109.869 pagado el 19-11-2019. Vr. costas $1'656.232 pagadas el 27-11-2019 </t>
  </si>
  <si>
    <t>Civil Purificacion</t>
  </si>
  <si>
    <t>2016 - 0104</t>
  </si>
  <si>
    <t>2016-0104</t>
  </si>
  <si>
    <t>El demandante trabajó por año y 08 meses en Purificación para los años 1976 a 1978, al no haber cobertura del ISS no se cotizó y ahora reclama esos aportes.</t>
  </si>
  <si>
    <t>El 01-11-2018 Auto niega Casación al Banco. Fecha fallo 2a. instancia el 19-09-2018. 2T el 20-06-2017 a las 2:30 pm, práctica de pruebas y fallo. 1T Conciliación el 05-06-2017 a las 2:30 pm ; decisión de excepciones previas, saneamiento, fijación del litigio y decreto de pruebas. El 29-03-2017 se remitió poder al Abogado externo.</t>
  </si>
  <si>
    <t>Diego Alberto Rossi Polo</t>
  </si>
  <si>
    <t>Vr. cálculo actuarial $15'290.460 pagado el 02-12-2019.  Vr. condena en costas $700.00 pagadas el 30-04-2019. pagado</t>
  </si>
  <si>
    <t>1 Civil Guamo</t>
  </si>
  <si>
    <t>2017-00015</t>
  </si>
  <si>
    <t>La demandante trabajó por 03 años en Saldaña para los años 1978 a 1981, al no haber cobertura del ISS no se cotizó y ahora reclama esos aportes.</t>
  </si>
  <si>
    <t>El 10-07-2019 aprueba liquidación de costas y archivo. El 07-06-2019 Envío exp. al Juzgado origen. El 11-04-2019 Auto niega recurso de casación al Banco. El 01-03-2019 el Banco presenta recurso de casación. Fecha fallo 2a. instancia el 21-02-2019 (Tribunal modifica condena). Nueva fecha fallo 1a. instancia el 28-05-2018. Pendiente nueva fecha. 2T trámite y fallo el 07-02-2018 a las 10:00 am (Suspende). 1T Conciliación el 24-07-2017 a las 9:00 am ; decisión de excepciones previas, saneamiento, fijación del litigio y decreto de pruebas. El 29-03-2017 se remitió poder al Abogado externo.</t>
  </si>
  <si>
    <t>Vr. cálculo actuarial $33'238.163 pagado el 02-12-2019. Vr. costas $1'577.484 ya pagadas.</t>
  </si>
  <si>
    <t>2015-00344</t>
  </si>
  <si>
    <t>13001310500320150034400</t>
  </si>
  <si>
    <t>El demandante solicita al juzgado que condene al Banco a pagar los aportes correspondiente al período laborado entre 24 de mayo de 1974 y 05 de noviembre de 1982, previo cálculo actuarial, fecha en la cual tuvo contrato de trabajo con el Banco, y no se cumplió con los aportes y no se ha podido pensionar.</t>
  </si>
  <si>
    <t>Fecha fallo 2a. instancia el 29-05-2018. 1T Conciliación el 21-11-2016; decisción de excepciones previas, saneamiento, fijación del litigio, decreto y práctica de pruebas y fallo. El 04-03-2016 admite contestación de la demanda y reconoce personería jurídica al Apoderado de la demandada. Se contestó la demanda y se está a la espera que se fije fecha para la audiencia.</t>
  </si>
  <si>
    <t>Vr. cálculo actuarial $43'432.092 pagado el 12-12-2019. Vr. costas 1a. instancia $800.000. Costas 2a. Instancia $781.242 para un total de $1'581.242 pagadas el 27-11-2019</t>
  </si>
  <si>
    <t>Chiquinquira</t>
  </si>
  <si>
    <t>2019-00012</t>
  </si>
  <si>
    <t>2019 - 0012</t>
  </si>
  <si>
    <t>La ddada. presenta constantes quejas en su contra por servicio y descuadres.</t>
  </si>
  <si>
    <t>Fecha fallo 2a. instancia el 09-10-2019 (Confirma niega permiso). El 02-09-2019 fallo de 1a. instancia niega permiso para despedir; se apela. Pendiente notificación a la empleada y al sindicato. El 21-06-19 admite demanda. El 14-06-2019 se radicó demanda. El 05-06-2019 se remite poder al Abogado.</t>
  </si>
  <si>
    <t>Vr. costas $2'484.348 pagadas el 23-12-2019. El Banco actúa como demandante.</t>
  </si>
  <si>
    <t>2014-00318</t>
  </si>
  <si>
    <t>73001310500420140031800</t>
  </si>
  <si>
    <t>El ddte. fue despedido con justa causa como quiera que procesó varias operaciones de retiros por pin pad de varios clientes que resultaron fraudulentos y el empleado manipuló la cámara que apunta a su caja para que no enfocara al cliente días previos a los retiros.</t>
  </si>
  <si>
    <t>24-01.2020 se cancela condena y costas.19 Banco presenta recurso de Casación. El 22-10-2019 fallo 2a. instancia (CONFIRMA CONDENA). El 26-04-2017 concede apelación interpuesta por ambas partes y remite al Tribunal Sala Laboral. Fecha fallo 1a. instancia el 26-04-2017. Nueva fecha 2T el 05-04-2017 a las 09:30 am, práctica de pruebas y fallo (Suspende). NIEGA ACUMULACION DE PROCESOS. El 20-09-2016 al Despacho para estudiar acumulación de procesos. Nueva fecha 2T el 19-08-2016 a las 9:30 am práctica de pruebas y fallo (Aplazada en razón de existir petición pendiente de acumulación de procesos). El 10-03-2016 Aplazada audiencia y requiere al demandado para que aporte carpeta laboral del demandante; cumplido lo anterior a Despacho nuevamente. Nueva fecha 2T el 10-03-2016 a las 3:30 pm, práctica de pruebas y fallo (Aplazada nuevamente). Nueva fecha 2T el 27-10-2015 a las 3:00 pm, práctica de pruebas y fallo (Aplazada). Nueva fecha 2T el 02-09-2015 a las 9:30 am, práctica de pruebas y fallo. 2T el 22-07-2015 a las 9:30 am, práctica de pruebas y fallo. 2T el 22-07-2015 a las 9:30 am, práctica de pruebas y fallo (Aplazada por solicitud de la ddante.). 1T Conciliación el 03-03-2015 a las 3:00 pm; saneamiento, decisión de excepciones previas, fijación del litigio y decreto de pruebas. Contestada el 29-01-2015. Notificada el 03-12-2014.  El 18-11-2014 se enviaron documentos al Abogado. El 21-10-2014 llegó citatorio.</t>
  </si>
  <si>
    <t>Vr. condena</t>
  </si>
  <si>
    <t>2019-00110</t>
  </si>
  <si>
    <t>Aunque el resultado es incierto, el riesgo se reclasifica como probable por fallo desfavorable de 1a. Instancia.</t>
  </si>
  <si>
    <t>El ddado. incurrió en actos de irrespeto contra su jefe inmediata y abandonó sus funciones.</t>
  </si>
  <si>
    <t>Tribunal señala 16-10-2019 a las 11:00 am. El 28-08-2019 fallo 1a. instancia no autoriza el despido; se apela. 1T el 21-08-2019 a las 9:30 am art. 114 CPT. El 20-06-2019 admite demanda.</t>
  </si>
  <si>
    <t>2010-00830</t>
  </si>
  <si>
    <t>05001310501920100083000</t>
  </si>
  <si>
    <t>2014-00430</t>
  </si>
  <si>
    <t>08001310500820140043000</t>
  </si>
  <si>
    <t>Aunque el resultado es incierto, el riesgo se reclasifica como probable por el resultado desfavorable en segunda instancia.</t>
  </si>
  <si>
    <t>El ex trabajador fue desvinculado cjc cuando desempeñaba el cargo de Asesor Integral II de la Sucursal Calle 84 en Barranquilla. El motivo de desvinculación radicó en que el ex empleado incurrió en omisiones de procedimiento y código de ética cuando tramitó y desembolsó créditos para su mamá en su estación de trabajo, y además se identificó a través de informe de Auditoría que recibió comisiones por el desemblso de otros créditos que tramitó como Asesor de esa oficina.</t>
  </si>
  <si>
    <t>En Febrero de 2020 se realiza un pago parcial por valor de $71.844.931. El 28-11-2019 se interpone el recurso de Casación. Fecha fallo 2a. instancia el 25-11-2019. Nueva fecha 2T el 18-10-2017 a las 2:30 pm, aud. de trámite y juzgamiento. Nueva fecha 2T el 19-09-2017 a las 9:00 am, aud. de trámite y juzgamiento. Nueva fecha 2T el 14-06-2017 a las 9:00 am, aud. de trámite y juzgamiento (Se aplazó el fallo). 2T el 21-04-2017 a las 11:00 am, aud. de trámite y juzgamiento (Aplazada). El 04-05-2015 Auto agrega Despacho Comisorio al Juez Laboral del Circuito de Medellín (REPARTO), para que sirva recepcionar el testimonio del señor FABIO HERNÁN RUIZ. 1T Conciliación el 18-03-2015 a las 10:00 am. Se contestó la demanda el día 04-12-2014.</t>
  </si>
  <si>
    <t>Sergio Arango Tobón</t>
  </si>
  <si>
    <t>2016-00059</t>
  </si>
  <si>
    <t>76001310501720160005900-</t>
  </si>
  <si>
    <t>Demandante solicita el pago de aportes pensionales en fechas que no había cobertura.</t>
  </si>
  <si>
    <t>24 de Mayo 2020 de cancelan las costas procesales y finaliza el proceso.El 02-09-2019 Auto ordena archivo. El 12-07-2018 Memorial - certificado Pago de Costas. El 09-04-2018 Auto concede apelación de costas. El 22-03-2018 Auto aprueba liquidación y ordena archivo. El 09-03-2018 Obedézcase y cúmplase. Fallo 2a. instancia el 07-02-2018 (Confirma). 2T el 19-10-2016 a las 10:30 am, aud. de trámite y fallo. 1T Conciliación el 19-08-2016 a las 2:00 pm, decisión de excepciones previas, saneamiento, fijación del litigio y decreto de pruebas. Contestada el 21-06-2016. Notificada el 09-06-2016. El 11-05-2016 se remitió poder al Abogado para notificación.</t>
  </si>
  <si>
    <t>Alfonso de Jesús Orozco Arbelaez</t>
  </si>
  <si>
    <t>Vr. cálculo actuarial $26'736.846 pagado el 02-12-2019. Costas procesales pagadas en Mayo de 2020.</t>
  </si>
  <si>
    <t>2009-01109</t>
  </si>
  <si>
    <t>05001310500120090110900</t>
  </si>
  <si>
    <t>Jesús María Arteaga Arias</t>
  </si>
  <si>
    <t>Se incrementa el vr. de la pretensión a $1.000´en el mes de mayo de 2011 con motivo de la condena en primera instancia.</t>
  </si>
  <si>
    <t>2015-00726</t>
  </si>
  <si>
    <t>05001310501020150072600</t>
  </si>
  <si>
    <t>Aunque el resultado es incierto, el riesgo se recalifica como probable por el resultado parcial desfavorable.</t>
  </si>
  <si>
    <t>La ddante. fue despedida cjc por solicitarle a una Abogada externa le diera estudios de títulos para hacerlos y así incrementar sus ingresos. A cambio ella le asignaría un mayor número estudios.</t>
  </si>
  <si>
    <t>EL 12-08-2020 se emite sentencia de segunda Instancia en la que se revoca la decisión inicial y en su lugar se Absuelve al Banco. Continuación 2T el 22-03-2018 a las 3:00 pm, trámite y juzgamiento. Nueva fecha 2T el 02-03-2018 a las 8:30 am, interrogatorio de partes y práctica de toda la prueba y fallo (Suspende). 2T el 03-05-2017 a las 8:30 am, interrogatorio de partes y práctica de toda la prueba y fallo (Aplazada por ausencia del Juez). 1T Conciliación el 20-06-2016 a las 8:30 am; decisión de excepciones previas, saneamiento, fijación del litigio, decreto y práctica de pruebas y de ser posible fallo. Contestada el 28-07-2015. Notificada el 13-07-2015.</t>
  </si>
  <si>
    <t>Condena a pagar la indemnización por valor de $28'811.623 debidamente indexada al momento del pago. Vr. costas 1a. instancia 2 smlmv</t>
  </si>
  <si>
    <t>2016-00892</t>
  </si>
  <si>
    <t>05001310500220160089200</t>
  </si>
  <si>
    <t>La ddante. fue despedida cjc por haberle solicitado préstamos de dinero a varios clientes.</t>
  </si>
  <si>
    <t xml:space="preserve">El 29-07-2020 EL Tribunal Superior confirma fallo absolutorio, el proceso finaliza por que no es objeto de casación..El 17-04-2018 repartido a la Mg. María Eugenia Gómez Velásquez. Fecha fallo 1a. Instancia el 04-04-2018 a las 9:00 am. 2T el 03-04-2018 a las 9:00 am, práctica de pruebas y fallo. 1T Conciliación el 26-09-2017 a las 1:30 pm; decisión de excepciones previas, saneamiento, fijación del litigio y decreto de pruebas. Contestada el 13-03-2017. </t>
  </si>
  <si>
    <t>2016-00618</t>
  </si>
  <si>
    <t>05001310500120160061800</t>
  </si>
  <si>
    <t>La ddante. fue despedida cjc por no haber efectuado correctamente el cuadre de cheques y haberse llevado para su casa un cheque por vr. de $34'1</t>
  </si>
  <si>
    <t>30-07-2020 sentencia del Tribunal que confirma la absolución de primera instancia, el proceso finaliza po rno tener casación.2T el 07-12-2018 a las 9:00 am, práctica de pruebas y fallo. Nueva fecha 1T Conciliación el 05-04-2018 a las 10:00 am; decisión de excepciones previas, saneamiento, fijación del litigio y decreto de pruebas. Nueva fecha 1T Conciliación el 28-02-2018 a las 9:00 am; decisión de excepciones previas, saneamiento, fijación del litigio y decreto de pruebas (Aplazada por Asamblea de ASONAL). 1T Conciliación el 15-01-2018 a las 10:00 am; decisión de excepciones previas, saneamiento, fijación del litigio y decreto de pruebas (Aplazada). Contestada el 17-03-2017. Notificada el 03-03-2017.</t>
  </si>
  <si>
    <t>Luis Fernando Orozco Vélez</t>
  </si>
  <si>
    <t>2010-00877</t>
  </si>
  <si>
    <t>11001310503120100087700</t>
  </si>
  <si>
    <t>El ddte. laboró del 72 al 95 en el Líbano Municpio en el cual la cobertura del ISS comenzó en el año 82 y reclama el reconocimiento de la pensión de jubilación a cargo del Banco. Con anteriorirdad adelantó proceso por esta misma pretensión pero le fue negada la pensión por ser petición antes de tiempo.</t>
  </si>
  <si>
    <t xml:space="preserve"> En Julio se paga el calculo actuarial y ya las cosas habian sido canceladas.22-01-2020 se pagan Costas. 06-11-2019 Remitido exp. al Despacho origen. El 22-10-2019 Sentencia - NO CASA costas a cargo de la parte recurrente y a favor de la opositora. 20 Nov 2014 -AL DESPACHO PARA SENTENCIA EN CORTE. El 18-02-2013 al Despacho para resolver nulidad. El 18-01-2013 nuestro apoderado radicó solicitud de nulidad por cuanto fue resuelto  como apelacion, la cual fue desistida. Mediante comunicación del 19-02-2013 el apoderado del Banco allega copia de la sentencia e informa que se interpuso recurso extraordinario de casación dentro del término legal. El 21-01-2013 el apoderado del Banco interpuso recurso de casación. Fecha fallo 2a. instancia el 10-12-2012. El 24-07-2012 se señala aud. para alegatos y fallo. El 05-03-2012 fue enviado al Juez Adjunto el 24-02-2012 alegatos y fallo. Continuación 3T el 26-01-2012 a las 4:00 pm. 3T el 29-11-2011 a las 4:00 pm (Suspendida). Continuación 2T el Continuación 2T el 25-10-2011 a las 9:30 am Respuesta Oficios (Adelantada). 2T el 22-08-2011 a las 10:30 am (Suspendida). El 05-08-2011 llega exp. del Tribunal. En la 1T la Juez declaró probada la excepción previa de cosa juzgada, decisión contra la cual el apoderado del demandante interpuso recurso de apelación el cual fue concedido por el despacho. 1T Conciliación el 27-04-2011 a las 2:30 pm . El 31-01-2011 se contestó la demanda. El 29-11-2010 llegó citatorio y el 28-12-2010 se envían documentos al abogado.</t>
  </si>
  <si>
    <t>2018-00133</t>
  </si>
  <si>
    <t>11001310503720180013300-</t>
  </si>
  <si>
    <t>El Ddte. como Cajero fue despedido con justa por omitir un proceso de visación y generar pérdida económica al Banco.</t>
  </si>
  <si>
    <t>Se RETIRA el proceso en Octubre por pago Total. Condena pagada en Sept 2020.Fecha fallo 2a. Instancia el 11-06-2019. 1T Conciliación el 14-02-2019 a las 8:30 am, decisión de excepciones previas, saneamiento, fijación del litigio, decreto y práctica de pruebas y fallo. El 29-06-2018 se contestó la demanda. Notificada el 22-06-2018.</t>
  </si>
  <si>
    <t>2007-00365</t>
  </si>
  <si>
    <t>05001310500720070036500</t>
  </si>
  <si>
    <t>El resultado es muy incierto y es probable un fallo adverso</t>
  </si>
  <si>
    <t>Despido cjc por los malos resultados en su gestión; actitud negativa luego de la fusión</t>
  </si>
  <si>
    <t>EL 25 /11/2020 se emite auto que apreuba costas y ordena archivo.En Julio y Agosto de 2020 se hacen los pagos de los valores acordados a Patricia y su abogado, así como pagos a Colpensiones que ya aparecen imputados en su historia laboral. 10-06-2020 fallo de la CSJ donde ordena el reintegro desde el año 2007  y el pago de salarios, prestaciones y seguridad social. El 27-07-2015 Al Despacho para fallo. El 19-03-2015 Recibido Memorial del Apoderado de BANCOLOMBIA S.A informa que a la señora PATRICIA VILLA le han reconocido pensión de vejez a través del Acto Administrativo GNR 125788. Al Despacho para fallo 09-05-2012. Apoderado del Banco presenta oposición el 27-04-2013. CSJ califica demanda y ordena traslado al opositor 10-04-2012. CSJ admite recurso y ordena traslado al recurrente 24-01-2012. Trib. admite recurso de Casación interpuesto por la ddante. 28-06-2011. Auto resuelve se aclara parcialmente sobre las costas, en lo demás no 03-06-2011. Trib. señala aud. para resolver solicitud de aclaración y adición de la stcia. el 31-05-2011 a las 4:00 pm. El 22-02-2011 la ddante. solicita aclaración y adición de stcia. de 2a. instancia. El Bco. interpuso recurso de Casación el 21-02-2011. Fija fecha fallo 2a. instancia el 11-02-2011. Enviado a Magistrados de Descongestión 17-01-2011. Trib. corre traslado por 05 días para alegatos de conclusión 07-05-2010. Se envía al Trib. Sup. por apelación 17-09-2009. Aplaza fallo para el 31-08-2009 a las 4:45 PM. Fecha fallo 1a. instancia el 15-07-2009 a las 4:45 PM. Fija fecha 4T 18-05-2009 a las 9:00 AM testigo Banco. Enviado al Juzgado 8° Laboral de Descongestión 24-04-2009. 4T 06-05-2009 a la 1:30 PM. testigo Banco. Nueva fecha 3T. el 24-02-2009 a las 8:30 AM para evacuar TODA la prueba pendiente. Enviado a Juzgados de Descongestión el 26-06-2008. 3T el 30-09-2008 a las 2:30 PM (Testigos). 2T Interrogatorio de partes el 19-05-2008 a las 2:30 PM. 1T Conciliación 29-11-2007 a las 2:30 PM.</t>
  </si>
  <si>
    <t>Condena al pago de la indemnización indexada por valor de $170´</t>
  </si>
  <si>
    <t>2020-004400</t>
  </si>
  <si>
    <t>05001310501920200004400</t>
  </si>
  <si>
    <t>Aunque el resultado es incierto, el riego se reclasifica en probable.</t>
  </si>
  <si>
    <t>.El demandao incumple el procedimiento de pago de faltantes en caja, por lo que se termina su contrato sujeto a que autoricen el levantamiento del fuero</t>
  </si>
  <si>
    <t>EL proceso se retira en 11/2020. 27-10-2020 se pagan costas a ordenes del juzgado. 03-03-2020 se celebra audiencia y seabsuelve al demandante. 28-02-2020 se fija fecha primera audiencia.31-01-2020 se presenta demanda</t>
  </si>
  <si>
    <t>2019-00280</t>
  </si>
  <si>
    <t>05001310501920190028000</t>
  </si>
  <si>
    <t>REINTEGRO - FUERO CIRCUNSTANCIAL</t>
  </si>
  <si>
    <t>A la ddante. se le terminó el contrato sjc.</t>
  </si>
  <si>
    <t>. EL 15 de Diciembre se concilia el proceso en audiencia y el 15 del mismo mes se cancelan a la accionante 90 millones. 1T Conciliación el 12-11-2020  a las 9:00 am, decisión de excepciones previas, saneamiento, fijación del litigio, decreto y práctica de pruebas y fallo. El 05-08-2019 se contestó la demanda. El 24-07-2019 se notifica el Banco.</t>
  </si>
  <si>
    <t>2017-00099</t>
  </si>
  <si>
    <t>REINTEGRO O INDEMNIZACION DSJC</t>
  </si>
  <si>
    <t>Aunque el resultado es incierto, el riesgo se reclasifica como probable por fallo desfavorable en segunda instancia.</t>
  </si>
  <si>
    <t>La ddte. en calidad de Asesora fue despedida por omitir proceso de visación que generó un fraude por suplantación, y solicita reintegro por no agotar proceso disciplinario.</t>
  </si>
  <si>
    <t>EL proceso se retira en Dic 2020 por pago total.El 03-12-2019 Tribunal niega recurso de Casacióon. Fecha fallo 2a. instancia el 05-11-2019 T(Revoca y condena a la indemnización). 2T el 21-06-2018 trámite y fallo. 1T Conciliación el 17-05-2018 a las 9:30 am; decisión de excepciones previas, saneamiento, fijación del litigio y decreto de pruebas. El 18-02-2018 se remitió poder al Abogado.</t>
  </si>
  <si>
    <t>Juan Diego Sánchez Arbelaez</t>
  </si>
  <si>
    <t>2016-00715</t>
  </si>
  <si>
    <t>05001310501220160071500</t>
  </si>
  <si>
    <t>El ddante. fue despedido cjc por haberle cobrado al Banco un mayor valor al realmente pagado por concepto de alojamiento en un Hotel de Urrao.</t>
  </si>
  <si>
    <t xml:space="preserve"> Revisado en página el proceso está archivado y con fallo favorable al Banco.Fecha fallo 2a. instancia el 27-11-2019 a las 10:30 am. 2T el 25-10-2017 a las 9:00 am, práctica de pruebas y fallo. 1T Conciliación el 25-04-2017 a la 1:30 pm; decisión de excepciones previas, saneamiento, fijación del litigio y decreto de pruebas. Contestada el 16-11-2016. Notificada el 03-11-2016.</t>
  </si>
  <si>
    <t>2011-01014</t>
  </si>
  <si>
    <t>05001310500620110101400</t>
  </si>
  <si>
    <t>Aunque el resultado es incierto, el riesgo es remoto.</t>
  </si>
  <si>
    <t>Luz Stella Ramírez Sáenz</t>
  </si>
  <si>
    <t>2016-01168</t>
  </si>
  <si>
    <t>05001310501620160116800</t>
  </si>
  <si>
    <t>El ddante. fue empleado de Conavi, por el que se venían pagando las cotizaciones a pensión hasta cumplir la edad para pensionarse, en cumplimiento de fallo judicial. Nunca solicitó al Banco la suspensión de las cotizaciones ni acreditó el cumplimiento de los requisitos.</t>
  </si>
  <si>
    <t>El 15-11-2018 se envía al Tribunal Superior. Nueva fecha  1T Conciliación el 01-11-2018 a las 10:30 am; decisión de excepciones previas, saneamiento fijación del litigio, decreto y práctica de pruebas y fallo. Por retardo del Juez, las partes solicitaron aplazar la audiencia y fijar nueva fecha. 1T Conciliación el 04-10-2018 a las 9:30 am; decisión de excepciones previas, saneamiento fijación del litigio, decreto y práctica de pruebas y fallo. Contestada el 08-02-2017. Notificada el 27-01-2017.</t>
  </si>
  <si>
    <t>Carolina Sepúlveda Ramírez</t>
  </si>
  <si>
    <t>2012-00238</t>
  </si>
  <si>
    <t>11001310501320120023800</t>
  </si>
  <si>
    <t>Aunque el resultado sigue siendo incierto, el riesgo pasa a probable por el resultado desfavorble de segunda instancia.</t>
  </si>
  <si>
    <t>El ddte. laboró de 1965 a 1987 en Tabio, Temjo y Zipaquirá por ello solamente se le hicieron aportes al ISS desde noviembre de 1972 cuando laboró en esta última ciudad donde contrario a las demás si existía cobertura del ISS, el seguro le negó la pensión de vejez.</t>
  </si>
  <si>
    <t>El 05-12-2019 se preenta solicitud de aclaración de sentencia. El 01-11-2019 Sentencia Corte no casa. El 22-10-2014 al Despacho para fallo en Corte Suprema. El 08-10-2014 recibido expendiente con oposición.  El 07-10-2014 oposición suscrita por el apoderado de COLPENSIONES. El 04-06-2014 CSJ califica demanda y corre traslado al opositor.  En el Tribunal se condenó a Bancolombia al reconocimeinto de la pensión de vejez encuantía de $841.993.66 mensuales desde el 01-07-2010 y hasta que el ISS subrogue al Banco en esa obligación y condenaron al pago de $38'897.719.66 como retroactivo, el cual está liuqidado hasta el 31-07-2013, condenó en costas en 1a. instancia al Banco y ordena su liquidación y sin costas en 2a. instancia; nuestra apoderada interpuso recurso extraordinario de casación el cual fue concedido. El apoderado del ddte. apeló la sentencia recurso que fue concedido en el efecto suspensivo. El 01-08-2013 pruebas y fallo a las 9:00 am. 1T Conciliación el 19-02-2013 a las 11:00 am (Fracasa conciliación; se oficia a Colpensiones para que certifique la fecha de cobertura del ISS en los Mpios. de Tabio y Tenjo. Suspende hasta recibir respuesta oficio al ISS). Contestada el 28-01-2013. Notificada el 11-12-2012. El 11-09-2012 llegó citatorio y el 08-10-2012 se enviaron documentos al Abogado.</t>
  </si>
  <si>
    <t>30/02/2021</t>
  </si>
  <si>
    <t>Demandó al ISS y al Banco</t>
  </si>
  <si>
    <t>2018-00065</t>
  </si>
  <si>
    <t>11001310502320180006500-</t>
  </si>
  <si>
    <t>Aunque el resultado es incierto, por el resultado parcial desfavorable el riesgo se reclasifica como probable.</t>
  </si>
  <si>
    <t>La ddte. violó la reserva bancaria y suministró informacion a un 3°.</t>
  </si>
  <si>
    <t>El 27-02-2020 se realiza el pago de 71.755.163 por concepto de condena. Nueva fecha 2T el 29-01-2019 a las 10:00 am, trámite y juzgamiento. Nueva fecha 2T el 12-12-2018 a las 9:50 am, trámite y juzgamiento (Aplazada). 2T el 28-11-2018 a las 9:00 am, trámite y juzgamiento (Aplazada). 1T Conciliación el 04-10-2018  a las 10:50 am, decisión de excepciones previas, saneamiento, fijación del litigio y decreto de pruebas. Contestada el 06-07-2018. El 20-06-2018 se notificó el Banco.</t>
  </si>
  <si>
    <t>Condenó al pago de la reliquidación de prestaciones y moratoria por considerar como salariales las bonificaciones del PGC. Absolvió de la indemnización.</t>
  </si>
  <si>
    <t>2019-00132</t>
  </si>
  <si>
    <t>2019 - 0132</t>
  </si>
  <si>
    <t>La dte incurrió en actos de indisciplina y fue sancionada con 5 dias, y solicitan se revoque</t>
  </si>
  <si>
    <t>Señala el 25-02-2020 a las 10:00 am para contestar demanda, pruebas y fallo.</t>
  </si>
  <si>
    <t>2018-00218</t>
  </si>
  <si>
    <t>66001310500320180021800-</t>
  </si>
  <si>
    <t>La ddte. fue desvinculada con justa causa por errores operativos y solicita reintegro por debido proceso.</t>
  </si>
  <si>
    <t>Fecha fallo 1a. instancia el 27-02-2019. 2T el 26-02-2019 a las 8:00 am práctica de pruebas y fallo (Suspende). 1T Conciliación el 16-01-2019 a la 1:30 pm, decisión de excepciones previas, saneamiento, fijación del litigio y decreto de pruebas. El 30-07-2018  se notifica la demanda. El 09-07-2018 se remitió poder al Abogado externo.</t>
  </si>
  <si>
    <t>2019-00385</t>
  </si>
  <si>
    <t>11001310500820190038500-</t>
  </si>
  <si>
    <t>El ddte. solicita indexación de la mesada pensional reconocida por el Banco.</t>
  </si>
  <si>
    <t xml:space="preserve"> 26-08-2020. Audiencia de TyJ con fallo favorable al Banco. 04-05-2020 Fija fecha audiencia 1T. Pendiente 1T. El 17-09-2019 se contesta la demanda. El 03-09-2019 se notifica el Banco.</t>
  </si>
  <si>
    <t>Socorro</t>
  </si>
  <si>
    <t>2018-00109</t>
  </si>
  <si>
    <t>68001310500320180010900-</t>
  </si>
  <si>
    <t>La ddte. como Gerente fue desvinculada sin justa y solicita reintegro por acoso laboral.</t>
  </si>
  <si>
    <t xml:space="preserve">Fallo 1a. instancia el 06-12-2018. 2T el 30-11-2018 a la 1:30 pm., trámite y fallo. 1T Conciliación el 19-09-2018 a las 8:30 am, decisión de excepciones previas, saneamiento, fijación del litigio, decreto y práctica de pruebas y fallo. </t>
  </si>
  <si>
    <t>2018-00062</t>
  </si>
  <si>
    <t>76001310501320180006200-</t>
  </si>
  <si>
    <t>La demandante fue desvinculada con justa por temas de tramitadores y violación de la reserva bancaria.</t>
  </si>
  <si>
    <t>Nueva fecha 2T el 23-01-2020 a las 10:00 am, trámite y juzgamiento. Nueva fecha 2T el 12-12-2019 a las 8:15 am, trámite y juzgamiento. 2T el 13-09-2019 a las 2:00 pm, trámite y juzgamiento (Suspende). 1T Conciliación el 20-06-2019 a las 3:00 pm, decisión de excepciones previas, saneamiento, fijación del litigio y decreto de pruebas. El 09-05-2018 se contesta la demanda. El 24-04-2018 se notifica el Banco. El 26-03-2018 se remite poder al Abogado.</t>
  </si>
  <si>
    <t>2013-00137</t>
  </si>
  <si>
    <t>La ddte. fue desvinculada con justa causa y en un proceso anterior alegó tener la calidad de directiva sindical al momento del despido pero de esa sitaución el Banco no había sido notificado y por ende dentro del proceso la entidad fue absuleta del reintegro por ella solicitado, por acción de tutela solicitó lo mismo y tambien le fue denegado el amparo.</t>
  </si>
  <si>
    <t xml:space="preserve">6/09/2018 CORRIGEN AUTO ANTERIO COLOCANDO COMO FECHA DE AUD PARA EL 15/01/2019 A LAS 8:30 A.M </t>
  </si>
  <si>
    <t>Pablo Ignacio Jane Fernández</t>
  </si>
  <si>
    <t>2014-00004</t>
  </si>
  <si>
    <t>41001310500320140000400</t>
  </si>
  <si>
    <t>El ddte. laboró en neiva de 1964 a 1999 y ha solicitado al Banco el reconocimiento de la pensión del artículo 260 del CST. Pero estuvo afiliado al ISS desde el 1° de enero de 1967 según historia laboral.</t>
  </si>
  <si>
    <t>El 16-02-2017 inicia traslado al opositor BANCOLOMBIA. El 10-11-2016 recibe demanda de Casación por parte del Dr. HUMBERTO SALAZAR CASANOVA. El 20-10-2016 inicia traslado al recurrente. El 28-09-2016 reparto y radicación en la CSJ. El 22-08-2016 envío CSJ (Enviamos poder al Dr. José Roberto Herrera). El 14-06-2016 recepción de memorial de Casación por parte del demandante. Fallo 2a. instancia el 07-06-2016. El 11-06-2014 Trib. Sup. admite recurso de apelación. El 27-05-2014 enviado al Trib. Sup. por apelación del ddante. 1T conciliación el 23-05-2014 a las 8:30 am; decisión de excepciones previas, saneamiento y fijación del litigio; pruebas y fallo. Notificada el 17-02-2014. El 07-02-2014 se enviaron documentos al Abogado. El 24-01-2014 llegó citatorio.</t>
  </si>
  <si>
    <t>2020 - 0042</t>
  </si>
  <si>
    <t>68755311300220200004200-</t>
  </si>
  <si>
    <t>La Dte fue sancionada por incumplir proceso y solicita la nulidad</t>
  </si>
  <si>
    <t>OK RL. 16 OCT 2020 10 AM CONCILIACION, PRUEBAS Y FALLO. SEÑALA AUDIENCIA 25 AGOSTO 2020 A LAS 9AM PARA CONTESTACIÓN.</t>
  </si>
  <si>
    <t>2017-00777</t>
  </si>
  <si>
    <t>11001310502820170077700-</t>
  </si>
  <si>
    <t>La demandante fue despedida con justa por reiterados errores operativos y quejas en su contra</t>
  </si>
  <si>
    <t>La ddante. interpone recurso de Casación. Fecha fallo 2a. instancia el 11-09-2019 (Confirma absolutoria). 2T el 06-02-2019 a las 3:00 pm, trámite y juzgamiento. 1T Conciliación el 30-10-2018 a las 8:30 am, decisión de excepciones previas, saneamiento, fijación del litigio y decreto de pruebas. El 07-05-2018 se contestó la demanda. El 08-03-2018 se remitió poder al Abogado.</t>
  </si>
  <si>
    <t>2018-00098</t>
  </si>
  <si>
    <t>05001310501520180009800</t>
  </si>
  <si>
    <t>El ddante. fue despedido cjc por haber efectuado una serie de retiros de Fiducuentas sin autorización.</t>
  </si>
  <si>
    <t xml:space="preserve"> No presenta el recurso por lo que queda en firme absolución.Se interpone Casación.En Enero de 2020  sale fallo de segunda instancia que CONFIRMA ABSOLUCIÓN.1T Conciliación el 12-12-2018 a las 9:15 am; decisión de excepciones previas, saneamiento, fijación del litigio, decreto y práctica de pruebas y fallo. Contestada el 18-06-2018.</t>
  </si>
  <si>
    <t>Lizeth Johanna Mosquera Rosero</t>
  </si>
  <si>
    <t>5 Pequeñas Causas Laborales</t>
  </si>
  <si>
    <t>2017-00695</t>
  </si>
  <si>
    <t>08001410500520170069500</t>
  </si>
  <si>
    <t>Alega el empleado persecución sindical con motivo de proceso disciplinario efectuado.</t>
  </si>
  <si>
    <t>Nueva fecha Aud. única de trámite el 10-10-2019 a la 8:00 am, contestar demanda, conciliación, trámite y juzgamiento (Aplazada). Nueva fecha Aud. única de trámite el 15-05-2019 a la 8:30 am, contestar demanda, conciliación, trámite y juzgamiento. Nueva fecha Aud. única de trámite el 25-01-2019 a la 1:30 pm, contestar demanda, conciliación, trámite y juzgamiento (Aplazada). Aud. única de trámite el 11-10-2018 a las 9:45 am, contestar demanda, conciliación, trámite y juzgamiento (Aplazada). El 25-04-2018 se notifica de la demanda.</t>
  </si>
  <si>
    <t>Espinal</t>
  </si>
  <si>
    <t>2017-00119</t>
  </si>
  <si>
    <t>66001310500120170011900-</t>
  </si>
  <si>
    <t>El demandante fue desvinculado con justa causa por omitir proceso de visación y generar pérdida económica al Banco.</t>
  </si>
  <si>
    <t xml:space="preserve"> Se notifica sentencia de segunda instancia que confirma la sentencia de primera instancia desfavorable al Banco.Nueva fecha 2T el 30-09-2019 a las 8:00 am, trámite y fallo. 2T el 07-11-2018 a las 8:00 am, trámite y fallo (Aplazada). 1T Conciliación el 22-06-2018 a las 10:00 am; decisión de excepciones previas, saneamiento, fijación del litigio y decreto de pruebas. El 08-09-2017  admite la contestación de la demanda y la reforma presentada por la parte actora, corre traslado por cinco días. Contestada el 24-08-2017.</t>
  </si>
  <si>
    <t>Condena solo a la reliquidación del Aux. de Transporte. Absuelve en todo lo demás</t>
  </si>
  <si>
    <t>El demandante fue despedido cjc por estar vinculado a un fraude en la Región, pasando procesos por alto y consulta de información.</t>
  </si>
  <si>
    <t>En Sept del 2020 nos notifican fallo de segunda instancia desfavorable.2T el 15-03-2017 a las 9:00 am para pruebas, alegatos y fallo. 1T Conciliación el 31-01-2017 a las 9:30 am, decisión de excepciones previas, saneamiento, fijación del litigio y decreto de pruebas. Contestada el 23-11-2016. El 08-11-2016 se notificó la demanda</t>
  </si>
  <si>
    <t>76109310500220200009900-</t>
  </si>
  <si>
    <t>El Banco solicita levantamiento de fuero sindical y permiso para despedir, dado que el ddo incumplio procesos y recibió dinero de clientes</t>
  </si>
  <si>
    <t>19 FEB 2021 SENTENCIA CONDENATORIA, AUTORIZA DESPIDO. 19 FEB 2021 AUDIENCIA TRAMITE Y FALLO, SE CONDENA Y AUTORIZA DESPIDO.</t>
  </si>
  <si>
    <t>Ana Melissa Caro Echeverri</t>
  </si>
  <si>
    <t>2019-00532</t>
  </si>
  <si>
    <t>05001310501920190053200</t>
  </si>
  <si>
    <t xml:space="preserve">La ddante. fue despedida cjc por violación de la reserva Bancaria </t>
  </si>
  <si>
    <t>1T Conciliación el 17-03-2021 a las 9:00 am, decisición de excepciones previas, saneamiento, fijación del litigio, decreto y práctica de pruebas y fallo. El 26-11-2019 se contesta la demanda. El 18-11-2019 se notifica el Banco.</t>
  </si>
  <si>
    <t>2020 - 00081</t>
  </si>
  <si>
    <t>73268310500120200008100-</t>
  </si>
  <si>
    <t>El banco solicita levantamiento de fuero sindical y permiso para despedir, el dda tiene falta a reserva</t>
  </si>
  <si>
    <t>AUDIENCIA 14 OCT 2020, SE PROFIERE SENTENCIA FAVORABLE, SE APELA POR EL DDO. 27 JUL 2020 SE ADMITE DEMANDA.</t>
  </si>
  <si>
    <t>Carlos Alberto Polanía Penagos</t>
  </si>
  <si>
    <t>2016-00327</t>
  </si>
  <si>
    <t>08001310500420160032700</t>
  </si>
  <si>
    <t>La ex empleada fue desvinculada con justa causa por una serie de reclamos de servicio presentados por clientes en el área de caja.</t>
  </si>
  <si>
    <t xml:space="preserve"> El 25-10-2020 se realiza el pago de la condena. El 14-11-2018 el ddante. interpone recurso de Casación. Fallo 2a. instancia al 04-09-2018 (Revoca condena al pago del incentivo de caja y declara como constitutivas de salario las bonificaciones del PGC). 1T Conciliación el 22-08-2017 a las 9:30 am, decisión de excepciones previas, saneamiento, fijación del litigio, decreto y práctica de pruebas y fallo. Se contestó la demanda y se está a la espera que señalen fecha para la audiencia de conciliación y trámite. </t>
  </si>
  <si>
    <t>Israel Vargas Gómez</t>
  </si>
  <si>
    <t xml:space="preserve">Revoca parcialmente la sentencia de 1a. instancia para declarar que las bonificaciones por PGC son constitutivas de salario y ordena reliquidar prestaciones sociales. Valor a pagar $14'455.069.11. </t>
  </si>
  <si>
    <t>2019-00015</t>
  </si>
  <si>
    <t>05045310500120190001500</t>
  </si>
  <si>
    <t xml:space="preserve">El ddante. laboró en Apartadó del 27-03-1967 al 18-03-1969, y del 30-07-1969 al 16-08-1974 en época de no cobertura del ISS </t>
  </si>
  <si>
    <t>EL 26-01-2021 se paga el calculo actuarial .Se recibe liquidación de Colpensiones de Calculo actuarial. Sentencias de primera y segunda instancia desfavorables. 1T Conciliación el 22-10-2019 a las 9:00 am, decisión de excepciones previas, saneamiento, fijación del litigio, decreto y práctica de pruebas y fallo. El 23-04-2019 se contestó la demanda. Notificada el 05-04-2019.</t>
  </si>
  <si>
    <t>Daniel Guillermo Badel Castilla</t>
  </si>
  <si>
    <t>Vr. condena Agencias en Derecho 05 smlmv</t>
  </si>
  <si>
    <t>2019-00451</t>
  </si>
  <si>
    <t>11001310501520190045100-</t>
  </si>
  <si>
    <t>EL proceso se concilia en audiencia en Mayo de 2021.El ddte. afiliado a Sintraenfi fue despedido sin justa y solicita reintegro por fuero circunstancial</t>
  </si>
  <si>
    <t>El 20-11-2019 se notifica el Banco.</t>
  </si>
  <si>
    <t>2015-00408</t>
  </si>
  <si>
    <t>41001310500320150040800-</t>
  </si>
  <si>
    <t>El ex trabajador prestó sus servicios en Aguachica Cesar cuando no existía cobertura del ISS</t>
  </si>
  <si>
    <t>El 05-03-2019 archivo definitivo. El 26-02-2019 Auto aprueba liquidación. El 06-02-2019 niega recurso de Casación. El 17-09-2018 se presenta recurso de Casación. El 12-09-2018 Sentencia Tribunal confirma. El 15-03-2016 Tribunal admite apelación. El 09-03-2016 enviado al T.S en apelación por parte del Banco. 1T Conciliación el 29-02-2016 a las 8:30 am; decisión de excepciones, saneamiento, fijación del litigio, decreto y práctica de pruebas y fallo. El 11-08-2015 se radica contestación de demanda x Bancolombia. El 24-07-2015 se notifica personalmente la demanda.</t>
  </si>
  <si>
    <t>Vr. costas $4.890.621 pagadas el 29-04-2019</t>
  </si>
  <si>
    <t>2017-00111</t>
  </si>
  <si>
    <t>68001310500220170011100-</t>
  </si>
  <si>
    <t>La demandante fue despedida con justa causa al realizar malas practicas comerciales con tarjetas de credito expedidas sin ser solicitadas por clientes, siendo mas de 100</t>
  </si>
  <si>
    <t>Se paga Condena y costas en Mayo de 2020.Nueva fecha 2T el 21-05-2019 sentencia condenatoria. Nueva fecha 2T el 15-05-2019 a las 2:30 pm, Audiencia de trámite y fallo (Aplaza). 2T el 11-03-2019 a las 10:00 am Audiencia de trámite y fallo (Aplazada). 1T Conciliación el 28-06-2018 a las 2:00 pm; decisión de excepciones previas, saneamiento, fijación del litigio y decreto de pruebas. El 13-12-2017 se contestó la demanda. El 29-11-2017 se notificó de la demanda. El 21-11-2017 se remitió poder al Abogado.</t>
  </si>
  <si>
    <t>2018-00227</t>
  </si>
  <si>
    <t>13001310500420180022700-</t>
  </si>
  <si>
    <t>La demandante fue desvinculada sin justa causa y afirma ser directiva sindical</t>
  </si>
  <si>
    <t>El 02 de Septiembre de confirma la sentencia de primera instancia.El 13 de Marzo se emite sentencia desfavorable.El 16-01-2020 a las 10 am, audiencia especial, pruebas y  fallo. El 04-09-2019 Tribunal confirma Auto. Pendiente hasta que se resuelva apelación. El 26-11-2018 notificación por aviso a la demandada. Pendiente notificación al sindicato.</t>
  </si>
  <si>
    <t>Luis Alejandro Cuellar Samper</t>
  </si>
  <si>
    <t>2016-01324</t>
  </si>
  <si>
    <t>05001310501920160132400</t>
  </si>
  <si>
    <t>El ddante. laboró en La Ceja del 02-01-1969 hasta el 31-05-1970 en cuyo Mpio. comenzó la cobertura del ISS en 1968, pero en la historia laboral no aparecen tales cotizaciones.</t>
  </si>
  <si>
    <t>2T el 15-08-2017 a las 9:00 am, trámite y juzgamiento. Nueva fecha 1T Conciliación el 23-03-2018 a la 10:15 am; decisión de excepciones previas, saneamiento, fijación del litigio y decreto de pruebas. Nueva fecha 1T Conciliación el 08-03-2018 a la 1:00 pm; decisión de excepciones previas, saneamiento, fijación del litigio y decreto de pruebas. 1T Conciliación el 15-02-2018 a las 11:45 am; decisión de excepciones previas, saneamiento, fijación del litigio y decreto de pruebas (Aplazada por incapacidad de la Juez). Contestada el 11-09-2017. Notificada el 28-08-2017. El 30-06-2017 se recibió citación para notificación.</t>
  </si>
  <si>
    <t>2020 - 0224</t>
  </si>
  <si>
    <t>11001310502320200022400-</t>
  </si>
  <si>
    <t>El banco solicita levantamiento de fuero sindical y permiso para despedir</t>
  </si>
  <si>
    <t>02 Sep 2021 ARCHIVO DEFINITIVO. 25 ENE 2021 TRIBUNAL CONFIRMA PERMISO. 21 OCT 2020 SENTENCIA FAVORABLE SE APELA POR LA DDA. 22 Sep 2020 NOTIFICACIÓN PERSONAL (ACTA), CITA AUDIENCIA PUBLICA 1 DE OCTUBRE DE 2020, A LAS 2.30 PM. 08 JUL 2020 SE RADICA DEMANDA</t>
  </si>
  <si>
    <t>2018-00463</t>
  </si>
  <si>
    <t>68001310500520180046300-</t>
  </si>
  <si>
    <t>El ddte. fue desvinculado con justa por cambiar tasas de cdt´s y solicita reintegro por no agotarle proceso disciplinario.</t>
  </si>
  <si>
    <t>30 de Sept de 2021 Auto de archivo..2T trámite y juzgamiento el 05-06-2019 a las 8:00 am. 1T Conciliación el 08-04-2019 a las 2:00 pm, decisión de excepciones previas, saneamiento, fijación del litigio y decreto de pruebas . El 18-02-2019 se contestó la demanda. El 04-02-2019 se notificó el Banco. El 30-01-2019 se remite poder y documental al Abogado.</t>
  </si>
  <si>
    <t>Andrea Julieth Mesa Poveda</t>
  </si>
  <si>
    <t>2017-00408</t>
  </si>
  <si>
    <t>15238310500120170040800-</t>
  </si>
  <si>
    <t>REINTEGRO, INDEMNIZACION DSJC</t>
  </si>
  <si>
    <t>La ddte. fue desvinculada con justa causa por maltrato a los colaboradores y quejas de clientes.</t>
  </si>
  <si>
    <t>Se ordena Archivo.Nueva fecha 2T el 08-02-2019 a las 9:30 am, trámite y juzgamiento . 2T el 09-11-2018 a las 9:30 am, trámite y juzgamiento (Aplazada). 1T Conciliación el 26-07-2018 alas 9:30 am, decisión de excepciones previas, saneamiento, fijación del litigio y decreto de pruebas. El 26-03-2018 se remite poder al Abogado.</t>
  </si>
  <si>
    <t>Carlos Alberto Zuluaga Barreto</t>
  </si>
  <si>
    <t>2015-00552</t>
  </si>
  <si>
    <t>11001310500220150055200</t>
  </si>
  <si>
    <t>COMPARTIBILIDAD DE LA PENSION</t>
  </si>
  <si>
    <t>Bancolombia es ddte. y pretende obtener de la jurisdiccion ordinaria una decisión que determine la compartibilidad de la pensión que actualmente le está pagando al demandado.</t>
  </si>
  <si>
    <t>01/08/2021 se ordena el archivo. El 15-05-2017 -al Despacho para sentencia. El 02-05-2017 se radica oposición por el Banco. El 24-02-2017 radica demanda de Casación. El 07-10-2016 se radica en la CSJ para conocer recurso de casación presentado por el demandado. Enviado a la CSJ el 31-08-2016. El ddado. interpone recurso de casación. Fecha fallo 2a. instancia el 03-08-2016. Señala fecha para aud. de fallo el 15-07-2016 a las 9:00 am. El 17-06-2016 Requiere a COLPENSIONES para que remita expediente administrativo del demandado. 2T el 29-06-2016 a las 11:00 am, trámite y fallo (Aplazada). 1T Conciliación el 19-04-2016 a las 3:30 pm; decisión de excepciones previas, saneamiento, fijación del litigio y decreto de pruebas . El 16-10-2015 el Despacho inadmitió la contestación, está en término para subsanar. El 25-09-2015 se radica contestación de la demanda. El 14-09-2015 se notifica personalmente al demandado. El 20-08-2015 admite demanda.</t>
  </si>
  <si>
    <t>Brayan Andrés Maldonado Perdomo</t>
  </si>
  <si>
    <t>Malaga</t>
  </si>
  <si>
    <t>Unico de Aguachica</t>
  </si>
  <si>
    <t>2015-00021</t>
  </si>
  <si>
    <t>El ddante. fue despedido cjc por haber cobrado un cheque girado por un ente Oficial a sabiendas de que el mismo estaba bloqueado. El ex empleado tiene un negocio de cambio de cheques.</t>
  </si>
  <si>
    <t>21/10/2021  El tribunal revoca. Se presentó apelación por parte del Banco. El 16-09-2015 se practicaron pruebas y cita para alegatos y fallo el 22-10-2015 a las 09: 30 am. El 20-08-2015 corre traslado de dictamen y suspende audiencia de trámite. Nueva fecha 2T el 13-08-2015 a las 9:00 am; testimonios y fallo. 2T el 23-07-2015 testimonios (Aplazada). 1T Conciliación el 09-06-2015 a las 3:00 pm; decisión de excepciones previas, saneamiento, fijación del litigio y decreto de pruebas. El 08-04-2015 se radica contestación de la demanda.</t>
  </si>
  <si>
    <t>Jhon Vladimiro Merchán Paredes</t>
  </si>
  <si>
    <t>Condena al pago de la indemnización por despido sin justa causa por valor de $9 millones aproximadamente. Se condenó al Banco a pagar perjuicios morales por el despido por valor de $46 millones de pesos.</t>
  </si>
  <si>
    <t>2017-00380</t>
  </si>
  <si>
    <t>68001310500420170038000-</t>
  </si>
  <si>
    <t>El ddte. fue desvinculado con justa causa por errores operativos con pérdida económica.</t>
  </si>
  <si>
    <t>Continuación 2T el 17-07-2019 a las 10:00 am para fallo. 2T el 17-06-2019 a las 9:00 am, práctica de pruebas y fallo (Suspende). 1T Conciliación el 18-02-2019 a las 2:00 pm, decisión de excepciones previas, saneamiento, fijación del litigio y decreto de pruebas. El 16-07-2018 se contestó la demanda. Notificada el 03-07-2018.</t>
  </si>
  <si>
    <t>Carlos César Rolón Bermúdez</t>
  </si>
  <si>
    <t>2018-00151</t>
  </si>
  <si>
    <t>11001310500220180015100-</t>
  </si>
  <si>
    <t>La ddte. fue desvinculada con justa causa por ausencias reiteradas de su puesto de trabajo.</t>
  </si>
  <si>
    <t>2T trámite y juzgamiento el 17-07-2019 a las 3:30 pm. 1T Conciliación el 28-03-2019 a las 9:00 am, decisión de excepciones previas, saneamiento, fijación del litigio y decreto de pruebas. Contestada el 12-07-2018. El 27-06-2018 se notificó el Banco.</t>
  </si>
  <si>
    <t>Claudia Marcela Castaño Patiño</t>
  </si>
  <si>
    <t>2019-00583</t>
  </si>
  <si>
    <t>11001310501220190058300-</t>
  </si>
  <si>
    <t>La dte solicita reintegro o indemnizacion por no agotar disciplinario previo al despido con justa</t>
  </si>
  <si>
    <t>Pendiente 1T. El 29-11-2019 se contesta la demanda. El 20-11-2019 se notifica el Banco.</t>
  </si>
  <si>
    <t>Juan Fernando Zuluaga</t>
  </si>
  <si>
    <t>2012-00291</t>
  </si>
  <si>
    <t>El ex trabajador firmó mutuo acuerdo de retiro y posteriormente lo desconoció para lo cual inció querella dminsitrativa y acción de tutela, en desarrollo de la cual fue ordenado su reincorporación con la carga que adelantara proceso laboral en los 04 meses siguientes al fallo lo cual no hizo y por ende el Banco le pasó la carta ratificando la terminación de su contrato por mutuo acuerdo.</t>
  </si>
  <si>
    <t>El 26-01-2017 -al Despacho para sentencia en corte. El 16-12-2016 radica oposición en la CSJ BANCOLOMBIA (JRHV). El 24-11-2016 inicia traslado al opositor BANCOLOMBIA. El 23-11-2016 califica demanda y corre traslado al opositor. El 24-08-2016 recibida demanda de casación del ddante. El 19-07-2016 admite recurso de casación en la CSJ y corre traslado al recurrente (Enviamos poder al Dr. José Roberto Herrera). Fecha fallo 2a. instancia el 26-02-2016. Concede apelación al ddante. Nueva fecha fallo 1a. instancia el 25-09-2015. Nueva fecha fallo 1a. instancia el 11-09-2015 a las 5:00 pm (Aplazada). Fecha fallo 1a. instancia el 02-07-2015 a las 3:00 pm (Aplazado). Nueva fecha 2T Interrogatorio de partes el 20-03-2015, y testimonios. 2T Interrogatorio de partes el 15-12-2014 a las 9:00 am, y testimonios (Aplazada). 1T Conciliación el 15-08-2014 a las 9:00 am. El 28-02-2014 el Banco se notificó de la demanda. El 07-02-2014 nos llegó citatorio.</t>
  </si>
  <si>
    <t>2016-00499</t>
  </si>
  <si>
    <t>08001310501120160049900</t>
  </si>
  <si>
    <t>El abogado confirma que el proceso fue archivado. Se retira en Feb 2022.. El esposo de la demandante el señor Reinaldo Paternina  trabajó para el Banco de Colombia y afirma que no se efectuaron los aportes al ISS</t>
  </si>
  <si>
    <t xml:space="preserve">Pendiente 1T. El 11-07-2018 se contestó la demanda. El 05-07-2018 se enviaron documentos al Abogado externo. </t>
  </si>
  <si>
    <t>Deiby David Carvajal Moreno</t>
  </si>
  <si>
    <t>Pacho</t>
  </si>
  <si>
    <t>2018-00237</t>
  </si>
  <si>
    <t>05001310500720180023700</t>
  </si>
  <si>
    <t>Aunque el resultado es incierto por el resultado parcial desfavorable, el riesgo se recalifica como probable.</t>
  </si>
  <si>
    <t>EL abogado confirma el archivo del proceso ejecutivo por lo que se retira el proceso en Feb 2022. La ddante. fue despedida cjc por omitir el procedimiento del Who is Who en la entrega de una tarjeta débito pre expedida ocasionando un fraude al titular de la cuenta.</t>
  </si>
  <si>
    <t>Inician ejecutivo por que no se pagó el proceso en 2019, Se cancela la condena a la espera de costas del ejecutivo..2T trámite y juzgamiento el 31-01-2019 a las 8:30 am. 1T Conciliación el 13-09-2018 a las 3:30 pm, decisión de excepciones previas, saneamiento, fijación del litigio y decreto de pruebas. El 11-07-2018 se contestó la demanda. Notificada el 26-06-2018.</t>
  </si>
  <si>
    <t>Luis Eduardo Forero Medina</t>
  </si>
  <si>
    <t>Condenó al pago de la indemnización por valor de $2'873.923 indexada.</t>
  </si>
  <si>
    <t>2020 - 0127</t>
  </si>
  <si>
    <t>76520310500320200012700-</t>
  </si>
  <si>
    <t>El banco solicita levantamiento de fuero sindical y permiso para despedir, dado que la dda omitio proceso de visación y se genero un fraude</t>
  </si>
  <si>
    <t>10 SEPT 2020 ADMITE DDA Y ORDENA NOTIFICAR. 03 AGOSTO 2020 SE RADICA DEMANDA</t>
  </si>
  <si>
    <t>2021-028</t>
  </si>
  <si>
    <t>Se solicita se otorgue el permiso para despedir con justa causa</t>
  </si>
  <si>
    <t>15-03-2021 Se Radica la Demanda</t>
  </si>
  <si>
    <t>2011-00623</t>
  </si>
  <si>
    <t>05001310501020110062300</t>
  </si>
  <si>
    <t>07}707/2021</t>
  </si>
  <si>
    <t>Richar Montenegro Coronel</t>
  </si>
  <si>
    <t>2021-00497</t>
  </si>
  <si>
    <t>050453310500220210049700</t>
  </si>
  <si>
    <t>Solicita indemnización y reintegro por no encontrarse probada la justa causa</t>
  </si>
  <si>
    <t>Blanca Nubia Erazo Ortega</t>
  </si>
  <si>
    <t>2013-00141</t>
  </si>
  <si>
    <t>El ddte. laboró al servicio del Banco de octubre de 1970 a diciembre de 1981 y durante gran parte de su relación laboral no se hicieron aportes al ISS para los riesgso de IVM por inexistencia de cobertura territorial; demandó laboralmente pidiendo la pensión y el proceso terminó en ambas instancias declarando probada la excepción de petición antes de tiempo.</t>
  </si>
  <si>
    <t>El 12-01-2017 al Despacho para sentencia en la CSJ. El 22-09-2016 recibida demanda de casación BANCOLOMBIA S.A. El 16-08-2016 reparto y radicación en la CSJ (Se remitió poder al Dr. José Roberto Herrera). El 06-07-2016 se envía a la CSJ. El 27-06-2016 concede recurso de Casación a Bancolombia. Fecha fallo 2a. insancia el 19-05-2016 a las 9:15 am. El 06-11-2015 Trib. admite recurso de apelación. Se presenta apelación de Bancolombia. Señala nueva fecha el 14-10-2015 a las 2:00 P.m. aud. de trámite y fallo.  Continuación aud. el 06-07-2015 a las 2:00 pm, Conciliacion, pruebas y fallo. Nueva fecha Aud. fallo el 22-06-2015 a las 10:00 am. Nueva fecha Aud. fallo el 27-04-2015 a las 10:00 am (Aplazada). Aud. fallo el 24-02-2015 a las 9:00 am, previa llegada de las pruebas (Oficios)[Aplazada]. Audiencia el 25-08-2014 a las 9:00 am para interrogatorio a las partes, práctica de pruebas y fallo (Fallo aplazado). Nueva fecha 1T Conciliación el 05-06-2014 a las 10:00 am. La audiencia del 16-01-2014 no se llevó a cabo como quiera que el apoderado del demandante renunció al poder, razón por la cual el Juzgado fijó como nueva fecha para el 23-04-2014 a las 9:00 am para conciliación, decisión de excpeciones, saneamiento, fijación del litigio y decreto de pruebas. Por auto del 01-11-2013 se dio por contestada la demanda y se fijó para el 16-01-2014 a las 9:00 am para audiencia de conciliación. Se presentó contestación de demanda el 23-10-2013. El 20-09-2013 llegó citatorio y el 01-10-2013 se enviaron documentos a la Abogada.</t>
  </si>
  <si>
    <t>2016-00110</t>
  </si>
  <si>
    <t>15001310500120160011000-</t>
  </si>
  <si>
    <t>Los demandantes como Asesores Integrales incurrieron en malas prácticas y fueron despedidos con justa causa.</t>
  </si>
  <si>
    <t>El 10-07-2019 recibida oposición de BANCOLOMBIA. El 17-06-2019 inicia traslado al opositor BANCOLOMBIA S.A. El 10-04-2019 inicia traslado al opositor JEFFER ALEXANDER ÁVILA ÁLVAREZ. El 10-04-2019 califica demanda y corre traslado al opositor. El 11-02-2019 recibida demanda de casación de los ddantes. en la CSJ. El 22-11-2018 se remite poder al Dr. JOSÉ ROBERTO para oposición. El 13-11-2018 reparto y radicación en la CSJ. El 08-10-2018 envío del exp. a la CSJ. El 27-09-2018 Auto concede el recurso de casación a los demandantes. El apoderado de los demandantes interpone recurso de Casación. El 25-07-2018 Tribunal modifica condena - PARCIAL. El 27-03-2017 Tribunal avoca conocimiento. Concede recurso de Apelación interpuesto por ambas partes. Continuación 2T el 07-03-2017 a las 9:00 am para el fallo. 2T el 07-02-2017 a las 8:00 am práctica de pruebas, alegatos y fallo (Suspende). 1T Conciliación 29-11-2016 a las 9:00 am, decisión de excepciones previas, saneamiento, fijación del litigio y decreto de pruebas. Contestada el 12-07-2016. El 15-06-2016 se notificó el Banco.</t>
  </si>
  <si>
    <t>Acoge parcialmente las pretensiones de YEFFER ALEXANDER AVILA ALVAREZ y de YAMIRA DUARTE CUADRO en el sentido de condenar únicamente al pago del incentivo de caja y la indemnización; abusuelve en todo lo demás.</t>
  </si>
  <si>
    <t>2016-0007</t>
  </si>
  <si>
    <t>2016 - 0007</t>
  </si>
  <si>
    <t>INDEMNIZACION DSJC, REINTEGRO DESCUENTOS.</t>
  </si>
  <si>
    <t>La demandante fue despedida con justa causa por omitir procesos y facilitar un fraude, y violacion a reserva bancaria.</t>
  </si>
  <si>
    <t>Fecha falle 2a. instancia el 06-08-2019 (Confirma absolución). 2T el 03-04-2017 a las 2:00 pm práctica de pruebas y fallo. 1T Conciliación el 01-03-2017 a las 9:30 am; decisión de excepciones previas, saneamiento, fijación del litigio y decreto de pruebas. El 14-02-2017 se contesta la demanda.</t>
  </si>
  <si>
    <t>Carlos Andrés Fandiño Aristizabal</t>
  </si>
  <si>
    <t>2017 - 00058</t>
  </si>
  <si>
    <t>La demandante fue desvinculada con justa causa por irrespeto a sus superiores, quejas de cliente y no cumplimiento PGC, y pide reintegro por proceso disciplinario y fuero de salud.</t>
  </si>
  <si>
    <t>Fecha fallo 2a. instancia el 05-06-2019 (CONFIRMA). Fecha fallo 1a. instancia el 03-04-2019 a las 4:00 pm. 2T el 28-03-2019 a las 8:30 am, práctica de pruebas y fallo (Suspende). 1T Conciliación el 21-09-2018 a las 8:30 am; decisión de excepciones previas,saneamiento, fijación del litigio y decreto de pruebas.  23-02-18. El 23-02-2018 radica contestación  demanda BANCOLOMBIA Sucursal Ubaté. El 14-02-2018 Auto no decreta nulidad y ordena seguir adelante con el proceso. El 10-08-2017 se radica recurso de reposición y en subsidio de apelación contra Auto que nombró curador. El 26-07-17 se tiene por contestada demanda de BANCOLOMBIA. El 30-06-2017 se notificó de la demanda el Banco.</t>
  </si>
  <si>
    <t>Margarita Rosa Curiel Calderón</t>
  </si>
  <si>
    <t>2018-00402</t>
  </si>
  <si>
    <t>25290310300220180040200-</t>
  </si>
  <si>
    <t>El ddte. fue despedido por quejas de servicio y errores operativos y pide reintegro por no agotar disciplinario.</t>
  </si>
  <si>
    <t>1T Conciliación el 23-10-2019 a las 9:00 am, decisión de excepciones previas, saneamiento, fijación del litigio y decreto de pruebas. El 11-02-2019 se envió poder a la Abogada Externa.</t>
  </si>
  <si>
    <t>Diego Fernando Rayo Silva</t>
  </si>
  <si>
    <t>2018-00502</t>
  </si>
  <si>
    <t>050453310500120180050200</t>
  </si>
  <si>
    <t>El ddante. laboró en Apartadó del 13-03-1979 al 22-08-1986 y fue afiliado al ISS a partir del 01-01-1982</t>
  </si>
  <si>
    <t>Pendiente 1T. El 29-04-2019 se contestó la demanda. Notificada el 12-04-2019.</t>
  </si>
  <si>
    <t>Gladys Gallo Meza</t>
  </si>
  <si>
    <t>PAGO CESANTÍAS RETROACTIVAS</t>
  </si>
  <si>
    <t>Cesantías Retroactivas</t>
  </si>
  <si>
    <t>El ddte. solicita pago de cesantías retroactivas</t>
  </si>
  <si>
    <t>Audiencia el 01-10-2019 a la 1:30 pm, trámite y juzgamiento única instancia.</t>
  </si>
  <si>
    <t>2018-00128</t>
  </si>
  <si>
    <t>11001310503420180012800-</t>
  </si>
  <si>
    <t>La ddte. fue desvinculada por errores operativos e incumplir horarios y solicita IDSJC por debido proceso convencional.</t>
  </si>
  <si>
    <t>2T el 23-01-2020 a las 2:30 pm, trámite y fallo. Nueva fecha 1T Conciliación el 20-11-2019 a las 8:30 am, decisión de excepciones previas, saneamiento, fijación del litigio y decreto de pruebas. 1T Conciliación el 07-10-2019 a las 8:30 am, decisión de excepciones previas, saneamiento, fijación del litigio y decreto de pruebas (Aplazada). El 23-01-2019 se contestó la demanda. El 18-12-2018 se notificó el Banco.</t>
  </si>
  <si>
    <t>Farina Roca Pacheco</t>
  </si>
  <si>
    <t>2018-00217</t>
  </si>
  <si>
    <t>68001310500620180021700-</t>
  </si>
  <si>
    <t>El ddante. fue desvinculado con justa y solicita pago indemnización y reliquidación con PGC como salario.</t>
  </si>
  <si>
    <t>Nueva fecha 2T el 19-03-2020 a las 8:15 am trámite y fallo. 2T el 07-11-2019 a las 9:00 am, trámite y fallo (Aplazada). 1T Conciliación el 11-06-2019 a las 3:00 pm, decisión de excepciones previas, saneamiento, fijación del litigio y decreto de pruebas. El 10-12-2018 se contesta la demanda. El 26-11-2018 notifica por aviso.</t>
  </si>
  <si>
    <t>Margarita Rosa Arredondo Lobo</t>
  </si>
  <si>
    <t>2017-00335</t>
  </si>
  <si>
    <t>76520310500120170033500-</t>
  </si>
  <si>
    <t xml:space="preserve">El ddte. fue despedido con justa causa por gestionar un crédito con información falsa. </t>
  </si>
  <si>
    <t>El Juzgado 11 Laboral de Medellín señala el 29-01-2020 a las 8:15 am para testimonio. Se practica testimonio y ordena dejar expediente en Secretaría pendiente de señalar fecha de audiencia mientras regresa Comisorio. Nueva fecha continuación 1T el 29-03-2019 a las 8:30 am. Continuación 1T el 10-10-2018 a las 2:00 pm. 1T Conciliación el 10-07-2018 a las 8:30 am; decisión de excepciones previas, saneamiento, fijación del litigio y decreto de pruebas (Suspende). El 18-12-2017 se remitió poder al Abogado.</t>
  </si>
  <si>
    <t>2017 - 00033</t>
  </si>
  <si>
    <t>17001310500120170003300-</t>
  </si>
  <si>
    <t>Aunque el resultado es incierto, el riesgo se reclasifica como probable con motivo del resultado parcial desfavorable.</t>
  </si>
  <si>
    <t>La demandante fue desvinculada por omitir procesos y vincular clientes de alto riesgo</t>
  </si>
  <si>
    <t>04 de Marzo de 2022 se emite auto de archivo.El 20-09-2019 -al Despacho para sentencia en Corte. El 15-07-2019 recibida demanda de Casación DR. HERRERA VERGARA, por BANCOLOMBIA. El 26-06-2019 admite recurso y corre traslado al Banco. El 21-05-2019 reparto y radicación en la CSJ. El 21-05-2019 se remite poder al Dr. JOSE ROBERTO HERRERA para la casación. El 06-05-2019 concede recurso de casación al Banco. Fecha fallo 2a. instancia el 02-04-2019 (Tribunal confirma y modifica condena). Fija fecha para fallo el 14-09-2018. 2T el 13-09-2018 a las 9:00 am, trámite y juzgamiento (Suspende) .1T Conciliación el 11-12-2017 a las 5:00 pm; decisión de excepciones previas, saneamiento, fijación del litigio y decreto de pruebas. Contestada el 23-06-2017.</t>
  </si>
  <si>
    <t>2013-00153</t>
  </si>
  <si>
    <t>El ddte. laboró en el Municipo de Pacho - Cundinamarca de 1970 al 2001; en los primeros 10 años no existió cobertura del ISS en ese Muncipio para los riesgos de IVM y puede que reclame esos aportes o la pensión a cargo del Banco.</t>
  </si>
  <si>
    <t>El 03-09-2018 -al Despacho para sentencia con oposición. El 03-05-2018 Recibida Casación BANCOLOMBIA. El 03-04-2018 se remitió poder a JRH. 22 MAR 2018 REPARTO Y RADICACION EN CORTE. El 18-12-2017 concede recurso de Casación al Banco. El 03-12-2015 el Trib. admite recurso de apelación. Señala nueva fecha el 14-10-2015 a las 2:00 p.m. Continuación 2T el 06-07-2015 a las 11:00 am Conciliacion, pruebas y fallo. Nueva fecha 2T el 22-06-2015 a las 2:00 pm interrogatorio de partes, práctica de pruebas y fallo 2T el 27-04-2015 a las 2:00 pm, interrogatorio de partes, práctica de pruebas y fallo (Aplazada). Continuación 1T conciliación el 24-02-2015 a las 2:00 pm. Continuación 1T conciliación el 15-08-2014 a las 9:00 am (Aplazada). Nueva fecha 1T Conciliación el 05-06-2014 a las 9:00 am (Suspendida). 1T Conciliación el 23-04-2014 a las 10:30 am (Aplazada). 13-01-2014 se contestó la demanda. El 09-12-2013 nuestra apoderada se notificó de la demanda. El 29-11-2013 se envían documentos al Abogado. El 07-11-2013 llegó citatorio.</t>
  </si>
  <si>
    <t>2017-00678</t>
  </si>
  <si>
    <t>11001310501720170067800-</t>
  </si>
  <si>
    <t>INDEMNIZACION DSJC Y RELIQUIDACIONES</t>
  </si>
  <si>
    <t>La demandante fue desvinculada por error operacional que genero cuantiosa perdida economica</t>
  </si>
  <si>
    <t>Nueva fecha 2T el 17-05-2019 a las 3:00 pm, trámite y juzgamiento. Nueva fecha 2T el 26-03-2019 a las 3:00 pm, trámite y juzgamiento (Aplazada). 2T el 15-01-2019 a las 2:30 pm, trámite y juzgamiento (Aplazada). 1T Conciliación el 24-09-2018 a las 9:00 am; decisión de excepciones previas, saneamiento, fijación del litigio y decreto de pruebas. Notificada el 26-02-2018</t>
  </si>
  <si>
    <t>Sebastián Betancourt Restrepo</t>
  </si>
  <si>
    <t>Pto. Berrio</t>
  </si>
  <si>
    <t>2018-00381</t>
  </si>
  <si>
    <t>68001310500520180038100-</t>
  </si>
  <si>
    <t>El ddante. fue despedido con justa por errores y solicita indemnización por no agotarse disciplinario.</t>
  </si>
  <si>
    <t>El 14-08-2019 se envía al Tribunal Superior en Consulta. Nueva fecha 1T Conciliación el 12-08-2019 a las 8:00 am, decisión de excepciones previas, saneamiento, fijación del litigio, decreto y práctica de pruebas y fallo. 1T Conciliación el 05-08-2019 a las 8:00 am, decisión de excepciones previas, saneamiento, fijación del litigio, decreto y práctica de pruebas y fallo (Aplazada). El 10-04-2019 se notifica el Banco.</t>
  </si>
  <si>
    <t>Luis Fernando Zuluaga Ramírez</t>
  </si>
  <si>
    <t>2021 - 0166</t>
  </si>
  <si>
    <t>85001310500220210018000-</t>
  </si>
  <si>
    <t>El Banco solicita levantamiento de fuero sindical y permiso para despedir por apropiarse el empleado de dineros del cajero electronico</t>
  </si>
  <si>
    <t>SEÑALA 14 SEPT 2012 A LAS 02:30 PM PARA AUDIENCIA. 02 SEPT 2021 ADMITE DEMANDA.</t>
  </si>
  <si>
    <t>2021-00359</t>
  </si>
  <si>
    <t>50001310500320210035900-</t>
  </si>
  <si>
    <t>El Banco solicita levantar fuero sindical y permiso para despedir por incumplir horario e incumplir manejo de llaves</t>
  </si>
  <si>
    <t>SEÑALA AUDIENCIA ART 113 CPT EL 03 DICIEMBRE 2021 A LAS 02:30 PM. 04/10/2021 ADMITE DDA</t>
  </si>
  <si>
    <t>18-02.2022</t>
  </si>
  <si>
    <t>2020-0084</t>
  </si>
  <si>
    <t>25899310500120200008400-</t>
  </si>
  <si>
    <t>12-03-2020 SE ADMITE DDA.</t>
  </si>
  <si>
    <t>Osorio Villarreal Karen Alejandra</t>
  </si>
  <si>
    <t>2017-00659</t>
  </si>
  <si>
    <t>05001310500720170065900</t>
  </si>
  <si>
    <t>La ddante. fue despedida cjc por utilizar la TC de un cliente para el pago de un seguro personal</t>
  </si>
  <si>
    <t>2T el 31-05-2018 a las 8:30 am, práctica de pruebas y fallo. 1T Conciliación el 07-02-2018 a las 3:00 pm; decisión de excepciones previas, saneamiento, fijación del litigio y decreto de pruebas. Contestada el 30-10-2017. Notificada el 13-10-2017. El 22-09-2017 se recibe citación para notificación.</t>
  </si>
  <si>
    <t xml:space="preserve">2018-00077 </t>
  </si>
  <si>
    <t>05579310500120180007700</t>
  </si>
  <si>
    <t>La ddante. fue despedida cjc por no haber enviado Oficio mediante el cual le embargaron el salario.</t>
  </si>
  <si>
    <t>Nueva fecha 2T el 04-04-2019 a las 9:00 am trámite y juzgamiento. 2T el 24-01-2019 a las 9:00 am trámite y juzgamiento (Aplazada). 1T Conciliación el 20-09-2018 a las 3:30 pm, decisión de excepciones previas, saneamiento, fijación del litigio y decreto de pruebas (Libró Despacho Comisorio a Juez Laboral de Medellín para recibir los testimonios de la demandada). Contestada el 28-06-2018. Notificada el 22-06-2018.</t>
  </si>
  <si>
    <t>2014-00704</t>
  </si>
  <si>
    <t>76001310501020140070401</t>
  </si>
  <si>
    <t>El demandado está involucardo en fraudes por $484' por retiros por pind pad a 13 clientes los cuales el proceso en el desarrollo de sus funciones de Supernumerario de caja en diversas Sucursales del Banco en la ciudad de Cali. Es miembro de la Jta. Dva. de Sintrabancol Seccional Cali.</t>
  </si>
  <si>
    <t xml:space="preserve">Fecha fallo el 12-03-2019 a las 3:00 pm art. 114 CPT. Nueva fecha para fallo el 27-08-2018 a las 2:00 pm. Fecha fallo el 23-04-2018 a las 10:00 am (Aplazada). El 10-04-2018 Presentaron alegatos. Nueva fecha fallo 1a. instancia el 10-04-2018 A 2:00 pm. Fecha fallo 1a. instancia el 14-12-2017 a las 9:00 am. Fecha fallo 1a. instancia el 27-11-2017 a las 2:00 pm (Aplazado). El 28-08-2017 se envía memorial solicitando el impulso del proceso. Suspende audiencia, pendiente nueva fecha. El 12-05-2016 se hace entrega del CD de la audiencia de imputación de cargos y legalización de la captura. El 16-10-2015 Trib. Sup. confirma Auto que niega nulidad. Nueva fecha aud. el 18-09-2015 a las 2:30 pm, continuación recepción de testimonios y fallo (Aplazada por nulidad interpuesta). EL 29-07-2015 a las 9:00 am continuación recepción de testimonios y fallo. El 13-04-2015 devolución de Despacho Comisorio. El 04-03-2015 se envió Despacho Comisorio a los Juzgados Laborales de Medellín. 2T el 27-05-2015 a las 9:00 am; práctica de pruebas y fallo. 1T Conciliación el 26-02-2015 a las 3:00 pm, decisión de excepciones, fijación del litigio, decreto y práctica de pruebas. El 15-12-2014  Auto tiene por notificado por conducta concluyente al señor CARLOS EUGENIO MURCIA CASTRO, demandado dentro del proceso especial de fuero sindical. Se le indica que debe dar contestación a la demanda en la diligencia programada para el 26-02-2015 a las 3:00 pm  </t>
  </si>
  <si>
    <t>2021-00174</t>
  </si>
  <si>
    <t>63001310500320210017400-</t>
  </si>
  <si>
    <t>La dte como conyuge superstite de extrabajador de Banco solicita pago de cotizaciones de 1960 a 1966 para reajuste pensional</t>
  </si>
  <si>
    <t xml:space="preserve">SE RETIRA POR ACUMULARSE AL DE SEVILLA. BANCOLOMBIA. SOLICITA PRUEBA  AL BANCO FIJA FECHA AUD. ART. 80 CPTSS,  28 FEBRERO 2022,10:00 A.M. 15 DIC 2021 SE PRESENTA INCIDENTE DE NULIDAD. </t>
  </si>
  <si>
    <t>Catalina Restrepo Fajardo</t>
  </si>
  <si>
    <t>2020 - 0025</t>
  </si>
  <si>
    <t>25899310500120200002500-</t>
  </si>
  <si>
    <t>El demandante fue despedido por multiples descuadres y errores, y solicita reintegro por extemporanea la decisión con las faltas</t>
  </si>
  <si>
    <t>03 JUN 2022, APRUEBA LIQUIDACION COSTAS Y ARCHIVO. 24 MARZO 2022 TRIBUNAL CONFIRMA ABSOLUTORIO.</t>
  </si>
  <si>
    <t>2020-00013</t>
  </si>
  <si>
    <t>86001310500120200001300-</t>
  </si>
  <si>
    <t>Se pretende la autorización para terminar el contrato de trabajo con justa causa</t>
  </si>
  <si>
    <t>SEÑALA 31 JULIO 2020 A LAS 2 PM, PARA AUDIENCIA. El 10-02-2020 se presenta la demanda.</t>
  </si>
  <si>
    <t>2020 - 0084</t>
  </si>
  <si>
    <t>SEÑALA 19 MARZO 2021 A LAS 10:00 AM, AUDIENCIA ART 114 CPT. am12 MAR 2020 SE ADMITE DDA.</t>
  </si>
  <si>
    <t>Wilson Alberto Bejarano Rodríguez</t>
  </si>
  <si>
    <t>2017-00376</t>
  </si>
  <si>
    <t>11001310502520170073600-</t>
  </si>
  <si>
    <t>La dte indica que debe nivelarse salarialmente con otros empleados de su area sin embargo no cumple requisitos</t>
  </si>
  <si>
    <t>2T trámite y juzgamiento el 19-02-2020 a las 3:00 pm. Continuación 1T el 13-09-2019 a las 9:00 am. 1T Conciliación el 22-04-2019 a las 11:00 am, decisión de excepciones previas, saneamiento, fijación del litigio y decreto de pruebas (Suspende). Contestada el 25-06-2018. El 12-06-2018 se notificó el Banco.</t>
  </si>
  <si>
    <t>2017-00613</t>
  </si>
  <si>
    <t>11001310502520170061300-</t>
  </si>
  <si>
    <t>La ddte. trabajó del año 1960 a 1975 e informa que no se le efectuaron cotizaciones al ISS.</t>
  </si>
  <si>
    <t>2T el 06-02-2020 a las 3:30 pm trámite y fallo. Nueva fecha 1T Conciliación el 20-09-2019 a las 10:30 am, decisión de excepciones previas, saneamiento, fijación del litigio y decreto de pruebas (Aplazada). Nueva fecha 1T Conciliación el 13-05-2019 a las 12:00 m, decisión de excepciones previas, saneamiento, fijación del litigio y decreto de pruebas (Aplazada). 1T Conciliación el 21-11-2018 a las 12:00 m, decisión de excepciones previas, saneamiento, fijación del litigio y decreto de pruebas (Aplazada). El 22-06-2018 se contestó la demanda. Notificada el 07-06-2018. El 10-05-2018 se remitió poder al Abogado.</t>
  </si>
  <si>
    <t>2019-0074</t>
  </si>
  <si>
    <t>11001310501020190007400-</t>
  </si>
  <si>
    <t>Solicita reintegro por causa de efecto juridico y  no agotar proceso disciplinario previo al despido y no aceptar la justa</t>
  </si>
  <si>
    <t>Pendiente 1T El 08-11-2019 se contesta la demanda. El 25-10-2019 se notifica el Banco</t>
  </si>
  <si>
    <t xml:space="preserve">Abelardo Cuadro Rodríguez </t>
  </si>
  <si>
    <t>2019-05514</t>
  </si>
  <si>
    <t>050453310500220190051400</t>
  </si>
  <si>
    <t xml:space="preserve">El 31-07-2020 se obtiene sentencia de primera instancia Desfavorable.El dtte trabajó en Apartadó desde 1975 hasta 1978 epóca de no cobertura del sistema </t>
  </si>
  <si>
    <t>En proceso de radicacion documentos para liquidación del calculo actuarial .21-01-2020 se contesta la demanda</t>
  </si>
  <si>
    <t>2018-0236</t>
  </si>
  <si>
    <t>La demandante reclama periodos de cotización de 1979 a 1981 cuando no había cobertura del ISS.</t>
  </si>
  <si>
    <t>2T el 29-07-2020 a las 9:00 am, trámite y juzgamiento. 1T Conciliación 30-09-2019 a las 2:00 pm, decisión de excepciones previas, saneamiento, fijación del litigio y decreto de pruebas. El 26-10-2018 se contesta la demanda. El 19-09-2018 se remite poder y carpeta al Abogado externo.</t>
  </si>
  <si>
    <t>2018-00548</t>
  </si>
  <si>
    <t>11001310501420180054800-</t>
  </si>
  <si>
    <t>La ddte. fue desvinculada con justa y solicita reintegro por debido proceso.</t>
  </si>
  <si>
    <t>2T el 12-03-2020 a las 9:30 am, trámite y juzgamiento. Nueva fecha 1T el 10-10-2019 a las 9:00 am, decisión de excepciones previas, saneamiento, fijación del litigio y decreto de pruebas. 1T Conciliación el 14-08-2019 a las 9:00 a.m, decisión de excepciones previas, saneamiento, fijación del litigio y decreto de pruebas (Aplazada). El 21-01-2019 se contesta la demanda. El 13-12-2018 se notifica el Banco.</t>
  </si>
  <si>
    <t>Ramiro Caldas Bernal</t>
  </si>
  <si>
    <t xml:space="preserve">2016-00131 </t>
  </si>
  <si>
    <t>08001310500520160013100</t>
  </si>
  <si>
    <t>Aunque el resultado es incierto por el resultado parcial desfavorable, el riesgo se reclasifica como probable.</t>
  </si>
  <si>
    <t>El ddante. fue desvinculado con justa causa por haber incurrido en incumplimientos procedimentales en el área de caja.</t>
  </si>
  <si>
    <t xml:space="preserve">1T Conciliación el 30-06-2017; decisión de excepciones previas, saneamiento, fijación del litigio, decreto y práctica de pruebas y fallo. Se contestó la demanda y se está a la espera que señalen fecha para la audiencia de conciliación y trámite. </t>
  </si>
  <si>
    <t>Declara las bonificaciones del PGC como constitutivas de salario y ordenó la reliquidación de prestaciones legales y extralegales, la cual arrojó un valor de  $4'014.317; Costas.  Absolvió de las demás pretensiones de la demanda.</t>
  </si>
  <si>
    <t>2015-00651</t>
  </si>
  <si>
    <t>13001310500120150065100</t>
  </si>
  <si>
    <t xml:space="preserve">La empleada fue desvinculada por haber recibido dinero en su cuenta de nómina posterior a un desembolso de crédito de consumo que tramitó de un cliente. </t>
  </si>
  <si>
    <t xml:space="preserve">El 12-12-2019 inicia traslado a BANCOLOMBIA como opositor. El 15-11-2019 sustenta el recurso. El 13-11-2019 presenta demanda de casación. El 03-10-2019 corre traslado a la recurrente. EL 02-10-2019 la CSJ admite el recurso. El 13-09-2019 radicación y reparto en la CSJ. El 16-10-2018 el ddante. interpuso recurso de Casación. Fecha fallo 2a. instancia el 22-08-2018 (Absolutoria). 1T conciliación el 11-10-2016; decisión de excepciones previas, saneamiento, fijación del ltigio, decreto y práctica de pruebas y fallo. El 31-03-2016 contestada la demanda y se está a la espera que señalen fecha para la audiencia de conciliación y trámite. </t>
  </si>
  <si>
    <t>2021 - 0032</t>
  </si>
  <si>
    <t>15176315300120210003200-</t>
  </si>
  <si>
    <t>El Dte fue desvinculado con justa por recibir comisiones de creditos en la cuenta de la hija, y solicita indemnizacion por no agotar disciplinario</t>
  </si>
  <si>
    <t>TIENE X CONTESTADA DDA Y SEÑALA 09  SEPT 2021,  A LAS 2:00 PM AUDIENCIA ART 77 CPT. , para. 18 MAYO SE REMITE PODER Y DOCUMENTAL ABOGADA EXT. PENDIENTE NOTIFICACION</t>
  </si>
  <si>
    <t>2017-0719</t>
  </si>
  <si>
    <t>11001310503920170071900-</t>
  </si>
  <si>
    <t>El ddte. fue desvinculado con justa por errores operativos e incumplimientos.</t>
  </si>
  <si>
    <t>Nueva fecha 2T trámite y fallo el 07-02-2020 a las 9:00 am. 2T trámite y fallo el 10-12-2019 a las 2:30 pm (Aplazada). 1T Conciliación el 26-09-2019 a las 9:00 am, decisión de excepciones previas, saneamiento, fijación del litigio, decreto y práctica de pruebas y fallo (Se requirió a la damandada). El 30-10-2018 se contesta demanda. El 19-10-2018 se notificó el Banco.</t>
  </si>
  <si>
    <t>Javier Mauricio Rodríguez Moreno</t>
  </si>
  <si>
    <t>2013-00262</t>
  </si>
  <si>
    <t>73001310500420130026200</t>
  </si>
  <si>
    <t>La ddte. laboró al servicio del Banco de 1975 a 1982 en el Municipio de Puerto Boyacá en el cual no existía cobertura territorial del ISS por los riesgso de IVM, solo hasta 1982 con el sistema ALA se empezaron a realizar cotizaciones a su favor y hasta su retiro del Banco y por ende reclamó las cotizaciones al ISS por ese periodo, con anterioridad adelantó proceso laboral reclamando el cálculo o bono por ese tiempo pero la sentencia fue desfavorable como quiera que se declaró de oficio probada la excepción de peticón antes de tiempo.</t>
  </si>
  <si>
    <t>El 04-05-2017 inicia traslado al opositor. El 27-03-2017 se presenta recurso de casación por parte del Banco. El 11-10-2016 Tribunal revoca y condena al pago del cálculo actuarial. El 02-07-2015 admite recurso de apelación interpuesto por la demandante. 2T el 22-05-2015 a las 10:00 am, práctica de pruebas, alegatos y fallo. Nueva fecha 1T Conciliación el 11-02-2015 a las 4:00 pm. 1T Conciliación el 14-01-2015 a las 10:00 am (Aplazada). El 31-07-2014 se realizó notificación a la Agencia Nacional de Defensa Jurídica del Estado, en cumplimiento de lo establecido en el art. 612 del C.G.P., concediéndole el término de 25 días para que si a bien lo tiene, se haga parte dentro del proceso. El 13-01-2014 notificada al Banco. El 31-10-2013 notificación de COLPENSIONES. Llegó citatorio y el 29-08-2013 se enviaron documentos al Abogado externo.</t>
  </si>
  <si>
    <t>2022-0034</t>
  </si>
  <si>
    <t>76109310500220220003400-</t>
  </si>
  <si>
    <t>erros en caja y omisión de procesos-</t>
  </si>
  <si>
    <t>OK RL. SEÑALA AUDIENCIA ART 72 CPT , A LAS 09:00 AM DEL 28 ABRIL 2022. EL 04 ABRIL 2022 SE RADICA DDA.</t>
  </si>
  <si>
    <t>2015-00123</t>
  </si>
  <si>
    <t>11001310502520150012300</t>
  </si>
  <si>
    <t>La demandante omitió un procedimiento "who is who" y ello facilitó un fraude por $98'700.000</t>
  </si>
  <si>
    <t>Señala nueva fecha para fallo el 07-02-2019 a las 11:00 am. Nueva fecha fallo 1a. instancia el 13-02-2018 a las 11:30 am. (Aplaza pendiente nueva fecha). Cita para pruebas pendientes, alegatos y fallo el 19-09-2017 a las 11:30 am (Aplazado). Fecha fallo 1a. instancia el 29-06-2017 a las 9:00 am. Se surtió la aud. pero no hubo fallo. Continuación aud. trámite y fallo el 16-02-2017 a las 9:00 am. El 28-11-2016 a las 9:00 am, pruebas alegatos y fallo (Suspendida). Nueva fecha 1T conciliación el 01-06-2016 a las 12:00 m  y pruebas. Nueva fecha 1T Conciliación el 03-02-2016 a las 3:30 pm; decisión de excepciones previas, saneamiento, fijación del litigio y decreto de pruebas. 1T Conciliación el 26-10-2015; decisión de excepciones previas, saneamiento, fijación del litigio y decreto de pruebas (Aplazada). El 10-08-2015 tiene x contestada demanda a Bancolombia. El 08-07-2015 se radica contestación demanda. El 23-06-2015 se notifica de la demanda el apoderado de Bancolombia.</t>
  </si>
  <si>
    <t>Condena al pago de la indemnización y reliquidación del crédito de vivienda convencional; absuelve en todo lo demás</t>
  </si>
  <si>
    <t>2021-00323</t>
  </si>
  <si>
    <t> 68001310500620210032300-</t>
  </si>
  <si>
    <t>Se solicita levantamiento de fuero por incurrir la trabajadora en conflicto con clientes a quienes gestionaba creditos para invertir en su propio negocio</t>
  </si>
  <si>
    <t>16 Sep 2021 RECEPCION DE MEMORIAL APODERADO DEMANDANTE ALLEGA NOTIFICACIÓN. 26 Aug 2021 AUTO ADMITE DEMANDA ORDENA NOTIFICAR</t>
  </si>
  <si>
    <t>08(08(2022</t>
  </si>
  <si>
    <t>2018-0193</t>
  </si>
  <si>
    <t>11001310502420180019300-</t>
  </si>
  <si>
    <t>La ddte. fue desvinculada por reinteradas llegadas tardes y asignar tasa a CDT por fuera de política.</t>
  </si>
  <si>
    <t>2T el 17-04-2020 a las 8:30 am, trámite y juzgamiento. Nueva fecha 1T Conciliación el 13-12-2019 a las 8:30 am, decisión de excepciones previas, saneamiento, fijación del litigio y decreto de pruebas. 1T Conciliación el 24-09-2019 a las 10:00 am, decisión de excepciones previas, saneamiento, fijación del litigio y decreto de pruebas (Aplazada). El 24-10-2018 se contesta demanda. El 19-09-2018 se remite poder y carpeta al Abogado externo.</t>
  </si>
  <si>
    <t>08001310501420180006500</t>
  </si>
  <si>
    <t>El empleado está implicado en estafa a 02 clientes, a quienes consultó saldos y firmas sin justificación ni autorización antes de los ilícitos.</t>
  </si>
  <si>
    <t xml:space="preserve">07 JUNIO 2022 TRIBUNAL CONFIRMA SENTENCIA Y AUTORIZA DESPIDO. 18 FEBRERO 2020 SENTENCIA CONDENA AUTORIZA LEVANTAR FUERO Y DESPIDO. </t>
  </si>
  <si>
    <t>2018-00006</t>
  </si>
  <si>
    <t>54001310500220180000600-</t>
  </si>
  <si>
    <t>REINTEGRO - INDEMNIZACION DCJC - RELIQUIDACIONES Y PERJUICIOS</t>
  </si>
  <si>
    <t>La ddte. fue desvinculada por falta a la reserva bancaria y alega reintegro por debido proceso.</t>
  </si>
  <si>
    <t>Continuación 2T el 18-02-2020 a las 4:30 pm, recepción de testimonio, y si es posible alegatos. 2T el 08-11-2019 a las 9:00 am trámite y alegatos (Suspende). Nueva fecha 2T el 02-07-2019 a las 3:00 pm. 2T el 20-02-2019 a las 3:00 pm, testimonios e interrogatorios de parte (Aplazada). 1T Conciliación el 14-09-2018 a las 10:00 am, decisión de excepciones previas, saneamiento, fijación del litigio y decreto de pruebas.</t>
  </si>
  <si>
    <t>2015-00828</t>
  </si>
  <si>
    <t>11001310501020150082800-</t>
  </si>
  <si>
    <t>La demandante solicita pago de aportes pensionales de la decada del 77 al 80, con destino a Colpensiones.</t>
  </si>
  <si>
    <t>Jairo Alberto Silva Ceballos</t>
  </si>
  <si>
    <t>2015-00324</t>
  </si>
  <si>
    <t>73001310500220150032400-</t>
  </si>
  <si>
    <t>Demandante laboró en el Banco de Colombia del 22 de junio 1974 al 03 enero 1981 y solicita cotizaciones al ISS</t>
  </si>
  <si>
    <t>El 07-11-2019 radica demanda de Casación el Dr. José Roberto Herrera Apoderado de BANCOLOMBIA. El 02-10-2019 inicia traslado al recurrente BANCOLOMBIA S.A. El 15-07-2019 envío expediente a CSJ (OK PODER). El 12-06-2019 Concede recurso de Casación. El 17-05-2019 radica recurso de Casación el Banco. Fecha fallo 2a. instancia el 08-05-2019. Fecha fallo 1a. instancia el 01-03-2018. El 22-08-2017 Auto requiere a COLPENSIONES realice cálculo actuarial (Suspende audiencia y ordena librar Oficio). El 02-03-2017 decreta pruebas de Oficio requiere a COLPENSIONES y a BANCOLOMBIA. 1T Conciliación el 02-03-2017 a las 9:00 am. El 27-09-2016 se notifica COLPENSIONES. En la Audiencia se profiere medida de saneamiento y se vincula a COLPENSIONES. 1T Conciliación el 14-06-2016 a las 9:30 am; decisión de excepciones previas, saneamiento, fijación del litigio y decreto de pruebas. El 19-11-2015 se radicó contestacion de demanda. El 02-10-2015 se recibe citatorio, se remite poder Abogado.</t>
  </si>
  <si>
    <t>2019-00604</t>
  </si>
  <si>
    <t>05001310501220190060400</t>
  </si>
  <si>
    <t>La ddante fue despedida cjc por sobreponer la firma del cliente en la solicitud de un crédito FOPEP.</t>
  </si>
  <si>
    <t>Pendiente 1T. El 19-11-2019 se contestó la demanda. El 06-11-2019 se notiica el Banco.</t>
  </si>
  <si>
    <t>2021-00241</t>
  </si>
  <si>
    <t>050014105005202100241</t>
  </si>
  <si>
    <t>Solicita el pago de periodos que no se cotizaron por falta de cobertura en el lugarde prestación de servicios</t>
  </si>
  <si>
    <t>2013-00052</t>
  </si>
  <si>
    <t>El ddte. laboró al servicio del Banco de Colombia del 01-06-1972 al 02-06-1994 en el Municipio de Saldaña en el cual solo hasta 1982 con la implementación del sistema ALA se dio la cobertura territorial del ISS y por ende reclama los aportes al ISS por el periodo no cotizado.</t>
  </si>
  <si>
    <t>El 04-02-2019 reparto y radicación en la CSJ. El 23-10-2018 concede Casación. El 05-10-2018 se recibió recurso de Casación BANCOLOMBIA. Fecha fallo 2a. instancia el 18-09-2018 (TRIBUNAL CONFIRMA CONDENA). El 04-05-2016 Tribunal admite recurso. Se presenta apelación por parte del Banco. Señala 1T el 22-04-2016 a las 9:00 am para audiencia conciliación, trámite y fallo. El 28-04-2015 a las 9:00 am aud. conciliación (Aplazada). Nueva fecha 1T Conciliación el 08-10-2014 a las 2:00 pm. 1T Conciliación el 28-11-2013 a las 2:00 pm (Aplazada). El 26-07-2013 llegó aviso art 29 CPT. El 25-07-2013 se enviaron documentos al Abogado externo.</t>
  </si>
  <si>
    <t>2 Civil</t>
  </si>
  <si>
    <t>2016-00155</t>
  </si>
  <si>
    <t>25290311200220160015500-</t>
  </si>
  <si>
    <t>Aunque el resultado es incierto, el riesgo se re clasifica como probable</t>
  </si>
  <si>
    <t>Demandante fue despedida con justa causa y mediante orden de tutela ordenaron su reintegro, disponiendo dirimir el asunto ante la justicia ordinaria.</t>
  </si>
  <si>
    <t>El 26-11-2018 al Despacho para sentencia. El 20-11-2018 radica oposición el Banco. El 23-10-2018 inicia traslado al opositor BANCOLOMBIA S.A. El 03-10-2018 recibida demanda de casación. El 29-08-2018 inicia traslado en la CSJ a la recurrente. El 24-05-2018 envía a la CSJ. El 16-05-2018 el Tribunal concede recurso de Casación a la ddante. Fecha fallo 2a. instancia el 07-03-2018 a las 9:00 am (Modifica parcialmente la sentencia de 1a.). Fecha fallo 1a. instancia el 28-06-2017 a las 2:15 pm. 2T el 02-02-2017 a las 9:00 am, pruebas. 1T Conciliación el 05-12-2016 a las 9:00 am; decisión de excepciones previas, saneamiento, fijación del litigio y decreto de pruebas. El 16-06-2016 se radica contestación de la demanda.</t>
  </si>
  <si>
    <t>Nelson Antonio Vargas Ríos</t>
  </si>
  <si>
    <t xml:space="preserve">Se trae nuevamente a vigentes por recurso de Casación interpuesto por la demandante. Condenó únicamente al pago de 02 meses de salario los cuales no se adeudan; negó la nulidad del despido. </t>
  </si>
  <si>
    <t>2017-00175</t>
  </si>
  <si>
    <t>68001310500520170017500-</t>
  </si>
  <si>
    <t>La demandante fue despedida como Gerente de Factoring por diversas quejas en su contra por mala atención a los usuarios</t>
  </si>
  <si>
    <t>Continuación 2T el 16-11-2018 a las 8:00 am, trámite y fallo. 2T el 02-08-2018 a las 8:30 am, Aud. del art. 80. trámite y juzgamiento (Suspende). Por no haber subsanado la contestación de la demanda, el Despacho la tiene por NO CONTESTADA y fija 1T Conciliación el 01-03-2018 a las 2:30 pm; decisión de excepciones previas, saneamiento, fijación del litigio y decreto de pruebas. El 06-09-2017 Auto inadmite contestación de la demanda. Contestada el 01-08-2017. Notificada el 18-07-2017.</t>
  </si>
  <si>
    <t>2011-00933</t>
  </si>
  <si>
    <t>11001310502220110093300</t>
  </si>
  <si>
    <t>El ddado. es pensionado del Banco y desde nov. de 1998 recibe pensión del ISS</t>
  </si>
  <si>
    <t>El 17-10-2018 califica demanda y corre traslado al opositor COLPENSIONES. El 29-08-2018 inicia traslado al recurrente GUSTAVO MERCHÁN GÓMEZ. El 01-02-2018 envío a la  CSJ. El 29-06-2017 recibo recurso de  Casación del demandado. Fecha fallo 2a. instancia el 21-06-2017. El 21-11-2016 Tribunal admite recurso de apelación. Fecha fallo 1a. instancia el 01-09-2016. Señala audiencia el 25-07-2016 a las 2:30 pm. Realiza  audiencia, incorpora documental. El 10-09-2015 diligencia de notificación a la ANDJE. El 27-05-2015  Tribunal Superior profiere Auto que declara la nulidad de todo lo actuado desde la audiencia de conciliación por no haber vinculado a la ANDJE. Fecha fallo 1a. instancia el 08-07-2014 a las 9.00 am. El 20-03-2014 recepción oficio COLPENSIONES. El 18-03-2014 recepción memorial Resolución COLPENSIONES  Aud. el 18-09-2013 a las 2:30 pm para conciliación, práctica de pruebas y fallo (Suspende). El 22-04-2013 contesta demanda COLPENSIONES. El 20-03-2013 se tiene como sucesor procesal a COLPENSIONES, ordena notificar. 1T Conciliación el 25-07-2012. El 18-04-2012 al Despacho. El 10-04-2012 contestaron demanda. El 22-03-2012 certificación de citatorio tramitado. El 08-02-2012 admite demanda. El 15-12-2011 se radicó en la oficina de reparto judicial la demanda. El 07-12-2011 de diciembre se envía poder a los Abogados.</t>
  </si>
  <si>
    <t>Alfredo Duarte Gómez</t>
  </si>
  <si>
    <t>El Banco actúa como demandante en este proceso cuya pretensión es la compartibilidad de la pensión con COLPENSIONES.</t>
  </si>
  <si>
    <t>2022-0115</t>
  </si>
  <si>
    <t>41551310500120220011500-</t>
  </si>
  <si>
    <t>Presenta varios descuadres injustificados</t>
  </si>
  <si>
    <t>SEÑALA AUDIENCIA ART 115 CPT EL 04 AGOSTO 2022 a las 3:00 PM.</t>
  </si>
  <si>
    <t>2018-00527</t>
  </si>
  <si>
    <t>13001310500720180052700.</t>
  </si>
  <si>
    <t xml:space="preserve">Levantamiento del fuero sindical por el incumplimiento de las obligaciones legales, contractuales y reglamentarias cometidas por el trabajador accionado quien en el desempeño de sus funciones como “Asesor Integral II”, el día 14 de agosto de 2018, incumplió los procedimientos establecidos por el Banco para la consulta y suministro de información sobre cuentas corrientes de clientes.  El demandado actuó de manera negligente por cuanto desconoció los procedimientos para la consulta del estado de la cuenta corriente del cliente Jaime Salas sin su autorización, lo que constituye un incumplimiento grave a sus responsabilidades y obligaciones como trabajador de Bancolombia S.A.
El accionado incumplió de forma grave su obligación especial de realizar personalmente la labor, en los términos estipulados y según las instrucciones impartidas por el Banco, en el desempeño las funciones que le confiaron.
Como corolario, el demandando puso en riesgo los intereses y patrimonio del Banco, así como se afectó gravemente la imagen de mi mandante ante el cliente Jaime Salas, a quien se le consultó el estado de su cuenta corriente sin su autorización y a quien le fueron sustraídos $15.100.000.
</t>
  </si>
  <si>
    <t>Pendiente notificación al empleado y al sindicato. el 11-04-2019 admite demanda. Desistimiento de la demanda el 22 de nov 2022 y se acepta.</t>
  </si>
  <si>
    <t>Mariano Amaris Consuegra</t>
  </si>
  <si>
    <t>2017-00622</t>
  </si>
  <si>
    <t>11001310503920170062200-</t>
  </si>
  <si>
    <t>El ddte. solicita reintegro, y fue desvinculado cjc por incumplir procesos.</t>
  </si>
  <si>
    <t>El ddante. interpuso recurso de Casación. Fecha fallo 2a. Instancia el 10-07-2019 (CONFIRMA). 1T Conciliación el 17-06-2019 a las 9:00 am, decisión de excepciones previas, saneamiento, fijación del litigio, decreto y práctica de pruebas y fallo. El 09-10-2018 se contesta la demanda. Notificada el 25-09-2018.</t>
  </si>
  <si>
    <t>Faborable</t>
  </si>
  <si>
    <t>05001310501620170009300</t>
  </si>
  <si>
    <t>La ddante. es cónyuge de un extrabajador de Palmeras de La Costa con quienes se hizo una conciliación en un Juzgado civil de Caucasia.</t>
  </si>
  <si>
    <t>Concede recurso de apelación interpuesto por el Abogado de la demandante. Nueva fecha 1T Conciliación el 05-04-2019 a las 10:30 am; decisión de execpciones previas, saneamiento, fijación del litigio, decreto y práctica de pruebas y fallo. 1T Conciliación el 20-03-2019 a las 10:00 am; decisión de execpciones previas, saneamiento, fijación del litigio, decreto y práctica de pruebas y fallo (Aplazada). Contestada el 06-06-2018.</t>
  </si>
  <si>
    <t>2017 - 00132</t>
  </si>
  <si>
    <t>54001310500320170013200-</t>
  </si>
  <si>
    <t>La demandante como Cajera incurrió en malas prácticas y pide reintegro por no agotar proceso disciplinario.</t>
  </si>
  <si>
    <t>Fecha fallo 1a. instancia el 04-12-2017. 2T el 29-11-2017 a las 9:00 am Audiencia de trámite y juzgamiento (Decreta receso). 1T Conciliación el 02-10-2017 a las 2:00 pm; decisión de excepciones previas, saneamiento, fijación del litigio y decreto de pruebas. El 05-07-2017 se contesta la demanda. El 20-06-2017 se notifica el Banco. el tribunal confirma la absolución de primera inst</t>
  </si>
  <si>
    <t xml:space="preserve">Luis Raúl Barros Fuentes </t>
  </si>
  <si>
    <t>2016-00140</t>
  </si>
  <si>
    <t>11001310503620160014000-</t>
  </si>
  <si>
    <t>El demandante fue despedido con justa causa por omitir procesos operativos en el proceso de visación, y ello le generó al Banco una pérdida económica de $147 millones.</t>
  </si>
  <si>
    <t>1T Conciliación el 18-09-2017 a las 2:30 pm; decisión de excepciones previas, saneamiento, fijación del litigio y decreto de pruebas. El 19-01-2017 se contestó la demanda. El 16-09-2016 se remitió poder al Abogado Externo.</t>
  </si>
  <si>
    <t>Lina Marcela Restrepo Gómez</t>
  </si>
  <si>
    <t>2011-00251</t>
  </si>
  <si>
    <t>20001310500220110025100</t>
  </si>
  <si>
    <t>La demandante prestó sus servicios a SODEXO COLOMBIA S.A. donde desarrollababa labores de aseo y cafetería en las instalaciones del Banco. Nunca existió dependencia y/o subordinación por parte de Bancolombia. Su empleador siempre fue SODEXO, y el contrato que tiene el Banco con dicha empresa es de Oferta Mercantil. No existe ninguna relación de tipo laboral.</t>
  </si>
  <si>
    <t>Sodesho asume el pago d el acondena.El 28-07-2016 Tribunal admite recurso de Apelación por BANCOLOMBIA S.A. y SODEXO S.A.S. Fecha fallo 1a. instancia el 20-06-2016. Pendiente que el Juzgado de origen avoque el conocimiento del proceso y fije fecha para continuar con el trámite del mismo. El 30-09-2013 terminó Descongestión y se devuelve al Juzgado de origen. El 22-08-2013 aud. declaración testigo de la ddante. El 24-07-2013 mediante acta N° 199 el MP Dr. ALVARO LOPEZ VALERA resuelve revocar la providencia de fecha y procedencia conocidas, para en su lugar aceptar la intervención del apoderado general de SODEXO S.A en la aud. de conciliación en representación de la demandada. El 23-10-2012 aud. de práctica de pruebas.  1T Conciliación el 10-10-2012. Se contestó la demanda.</t>
  </si>
  <si>
    <t>2021-00527</t>
  </si>
  <si>
    <t>76001310500920210052700-</t>
  </si>
  <si>
    <t>La Dte fue despedida por gestionar creditos con documental irregular (tramitadores)</t>
  </si>
  <si>
    <t>09 DIC 2021 SE CONTESTA DDA. 22 NOV 2021 SE RECIBE NOTIFICACION. 04 NOV 2021 SE RECIBE DDA.</t>
  </si>
  <si>
    <t>Adolfo Consuegra Díaz</t>
  </si>
  <si>
    <t>2018-00782</t>
  </si>
  <si>
    <t>05001310500720180078200</t>
  </si>
  <si>
    <t>La ddante. laboró en Apartadó del 20-09-1978 al 31-12-1981 sin cobertura del ISS.</t>
  </si>
  <si>
    <t>1T Conciliación el 24-04-2019 a las 3:00 pm, decisión de excepciones previas, saneamiento, fijación del litigio, decreto y práctica de pruebas y fallo. Se contesta la demanda el 22-02-2019. El 18-02-2019 se notifica el Banco.</t>
  </si>
  <si>
    <t>2016-00121</t>
  </si>
  <si>
    <t>20001310500120160012100</t>
  </si>
  <si>
    <t>El ex empleado prestó sus servicios del 15 de mayo de 1964 hasta el 01 de Marzo de 1971, y presenta demanda argumentando que el Banco no le cotizó este periodo, siendo que no existía la obligación porque no había cobertura en dicho periodo.</t>
  </si>
  <si>
    <t xml:space="preserve">El 02-05-2018 admite apelación. 2T el 15-03-2018 a las 8:30 am, trámite y juzgamiento. 1T Conciliación el 06-12-2017; decisión de excepciones previas, saneamiento, fijación del litigio y decreto de pruebas. Se contestó la demanda por parte del apodeado del Banco. </t>
  </si>
  <si>
    <t>2018-00143</t>
  </si>
  <si>
    <t>05001310501920180014300</t>
  </si>
  <si>
    <t>La ddante. fue despedida sjc por haberse involucrado sentimentalmente con dos jefes del Área. Solicita el reintegro por un accidente que tuvo en el Gimnasio.</t>
  </si>
  <si>
    <t>2T el 05-08-2020 a las 9:00 am, trámite y juzgamiento. 1T Conciliación el 30-04-2019 a las 4:00 pm, decisión de excepciones previas, saneamiento, fijación del litigio y decreto de pruebas. El 14-06-2018 admite contestación de la demanda. Notificada el 28-05-2018.</t>
  </si>
  <si>
    <t>2011-00403</t>
  </si>
  <si>
    <t>68001310500320110040301</t>
  </si>
  <si>
    <t>El ddte. fue desvinculado con justa causa por haber incurrido en conflictos de intereses con los clientes de la Sucursal que gerenciaba y obtener provecho para sí y para su esposa.</t>
  </si>
  <si>
    <t>Este proceso fue conocido inicialmente por el Juzgado 2° de B/manga. Por auto del 05-09-2013 avocó el conocimiento el Juzgado 3° Laboral con nuevo radicado.</t>
  </si>
  <si>
    <t>2018-00464</t>
  </si>
  <si>
    <t>13001310500220180046400-</t>
  </si>
  <si>
    <t>El ddte. se desvinculó mediante mutuo acuerdo y después se retractó, alegando caso de salud.</t>
  </si>
  <si>
    <t>El 23-10-2019 a las 9:00 am continuación 1T práctica de pruebas y fallo. 1T Conciliación el 06-09-2019 a las 9:00 am, decisión de excepciones previas, saneamiento, fijación del litigio, decreto y práctica de pruebas y fallo (Suspende). El 22-02-2019 se contestó la demanda. El 08-02-2019 se notificó el Banco.</t>
  </si>
  <si>
    <t>2018-00239</t>
  </si>
  <si>
    <t>54001310500120180023900-</t>
  </si>
  <si>
    <t>El empleado incumplió procesos y se ve comprometio con lavado de activos.</t>
  </si>
  <si>
    <t>2T el 26-08-2019 a las 3:00 pm, audiencia de trámite. Señala audiencia el 30-05-2019 a las 2:30 pm, presentación y decisión de excepciones previas, saneamiento, fijación del litigio y decreto de pruebas. El 06-02-2019 Auto ordena emplazamiento. Ordena notificar a SINTRABANCOL. Admite demanda y cita audiencia art. 114 CPT el 09-10-2018 alas 9:00 am. El 31-07-2018 se radicó demanda.</t>
  </si>
  <si>
    <t>Cesar Augusto Rodriguez Ramirez</t>
  </si>
  <si>
    <t>2017-00722</t>
  </si>
  <si>
    <t>11001310501820170072200-</t>
  </si>
  <si>
    <t xml:space="preserve">La ddte. trabajó del año 1965 a 1987 y afirma que no le cotizaron a pensión </t>
  </si>
  <si>
    <t>Dispuso requerir a COLPENSIONES allegue el expediente administrativo y la historia laboral de la parte actora y fijó fecha para el 24-04-2019 a las 10:00 am para fallo. 2T el 04-03-2019 a las 10:00 am, trámite y fallo (Suspende). 1T Conciliación el 22-11-2018 a las 11:30 am, decisión de excepciones previas, saneamiento, fijación del litigio y decreto de pruebas. Contestada el 27-072018. El 12-07-2018 se notificó el Banco.</t>
  </si>
  <si>
    <t>Pedro José Ruiz Calderón</t>
  </si>
  <si>
    <t>2017-00141</t>
  </si>
  <si>
    <t>2017 - 0141</t>
  </si>
  <si>
    <t>El demandante prestó sus servicios en el año 1970 donde no había cobertura del ISS y ahora reclama los aportes pensionales.</t>
  </si>
  <si>
    <t>1T Conciliación el 19-11-2017 a las 9:00 am; decisión de excepciones previas, saneamiento, fijación del litigio y decreto de pruebas y fallo. Contestada el 08-08-2017. El 16-06-2017 se recibió citación para notificación.</t>
  </si>
  <si>
    <t>2017-0085</t>
  </si>
  <si>
    <t>11001310502120170008500-</t>
  </si>
  <si>
    <t>La demandante fue despedida con justa causa al realizar un cambio de segmento a un cliente sin cumplir los requisitos para ello, y aprobarle un producto por un mayor valor sin tener justificación.</t>
  </si>
  <si>
    <t>La ddante. interpone recurso de Casación. Fecha fallo 2a. instancia el 12-06-2019 (CONFIRMA). El 11-02-2019 se envía exp. al Tribunal Superior en apelación por parte de la ddante. Continuación 2T el 29-01-2019 a las 2:30 pm, fallo. Continuación 2T el 22-11-2018 a las 11:30 am, fallo (Suspende). 2T el 12-07-2018 a las 2:30 pm, trámite y juzgamiento (Suspende). 1T Conciliación el 24-04-2018 a las 3:30 pm; decisión de excepciones previas, saneamiento, fijación del litigio y decreto de pruebas. El 02-04-2017 se notificó el Banco.</t>
  </si>
  <si>
    <t>2016-00340</t>
  </si>
  <si>
    <t>05001310501720160034000</t>
  </si>
  <si>
    <t>La ddante. fue despedida cjc por conflicto de interés al recibir $150.000 de un cliente el día en que le hicieron el desembolso de un crédito.</t>
  </si>
  <si>
    <t>Juan Miguel Valencia Cardona</t>
  </si>
  <si>
    <t>2020-265</t>
  </si>
  <si>
    <t>050013105018202000265</t>
  </si>
  <si>
    <t>08-04-2021 Se contesta la demanda</t>
  </si>
  <si>
    <t>2019-747</t>
  </si>
  <si>
    <t>050013105008201900747</t>
  </si>
  <si>
    <t>El 15-04-2020 Se contesta la demanda</t>
  </si>
  <si>
    <t>Oscar Eduardo Peña Pachón</t>
  </si>
  <si>
    <t>2018-0317</t>
  </si>
  <si>
    <t>11001310502220180031700-</t>
  </si>
  <si>
    <t>El ddte. fue desvinculado por conflicto de interés y mala práctica comercial, y solicita reintegro.</t>
  </si>
  <si>
    <t>1T Conciliación el 06-02-2020  a las 8:30 am, decisión de excepciones previas, saneamiento, fijación del litigio y decreto de pruebas. El 24-10-2018 contesta demanda. El 19-09-2018 se remite poder y carpeta al Aboado externo.</t>
  </si>
  <si>
    <t>2017 -00108</t>
  </si>
  <si>
    <t>66001310500120170010800-</t>
  </si>
  <si>
    <t>El demandante fue desvinculado con justa causa por presentarse una perdida de efectivo de una tula bajo su custodia</t>
  </si>
  <si>
    <t>Nueva fecha 2T el 29-09-2020 a las 8:00 am. trámite y juzgamiento. Nueva fecha 2T el 08-11-2019 a las 8:00 am, trámite y fallo (Aplaza). 2T el 13-11-2018 a las 8:00 am, trámite y fallo (Aplazada) . 1T Conciliación el 25-06-2018 a las 8:00 am; decisión de excepciones previas, saneamiento, fijación del litigio y decreto de pruebas. El 18-09-2017 se contestó la demanda.</t>
  </si>
  <si>
    <t>2016-00423</t>
  </si>
  <si>
    <t>73001310500120160042301-</t>
  </si>
  <si>
    <t>El trabajador reclama 06 años de cotizaciones durante el periodo de 1975 a 1981.</t>
  </si>
  <si>
    <t>En Julio de 2020 se paga el cálculo, ya las costas se habían cancelado anteriroemnte..El 16-10-2019 fallo 2a. instancia (CONFIRMA CONDENA). 2T el 22-11-2018 a las 9:00 am, práctica de pruebas y fallo. Nueva fecha 1T Conciliación el 06-08-2018 a las 4:00 pm, decisión de excepciones previas, saneamiento, fijación del litigio y decreto de pruebas. Acta del 14-09-2017 Ordena vincular a COLPENSIONES; ordena suspender el proceso. 1T Conciliación el 14-09-2017 a las 2:00 pm; decisión de excepciones previas, saneamiento, fijación del litigio y decreto de pruebas. El 17-02-2017 se notificó el Banco.</t>
  </si>
  <si>
    <t>2017-00454</t>
  </si>
  <si>
    <t>66001310500220170045400-</t>
  </si>
  <si>
    <t>INDEMNIZACION DSJC - PAGO DEDUCCIONES</t>
  </si>
  <si>
    <t>El demandante fue despedido con justa por falta a la reserva bancaria.</t>
  </si>
  <si>
    <t>Fecha fallo 2a. instancia el 07-11-2019 (Confirma absolución). Nueva fecha 2T el 04-04-2019 a las 9:00 am, trámite y juzgamiento. 2T el 15-02-2019 a las 9:00 am. Trámite y juzgamiento (Apladada). 1T Conciliación el 12-10-2018 a las 10:30 am, decisión de excepciones previas, saneamiento, fijación del litigio y decreto de pruebas. El 18-05-2018 se notifica el Banco. El 05-02-2018 se remitió poder al Abogado.</t>
  </si>
  <si>
    <t>2016-00113</t>
  </si>
  <si>
    <t>73001310500620160011300-</t>
  </si>
  <si>
    <t>El demandante laboró en los años 1972 a 1974, y no se le efectuaron aportes por falta de cobertura del ISS</t>
  </si>
  <si>
    <t>El 15-10-2019 fallo 2a. instancia (CONFIRMA CONDENA). El 27-07-2017 se envía en apelación al Tribunal. 2T el 26-07-2017 a las 9:00 am, trámite y juzgamiento. 1T Conciliacón el 26-04-2017 a las 3:00 pm; decisión de excepciones previas, saneamiento, fijación del litidio y decreto de pruebas. Contestada el 25-01-2017. Notificada el 11-01-2017. Se recibe citatorio y se remite poder al Abogado.</t>
  </si>
  <si>
    <t>Condena a pagar el cálculo actuarial que efectúe COLPENSIONES</t>
  </si>
  <si>
    <t>2013-00359</t>
  </si>
  <si>
    <t>11001310502020130035900</t>
  </si>
  <si>
    <t>El ddte. laboró al servicio del Banco de Colombia en San Andrés, Bucaramanga y Cartagena de 1957 a 1987, en algunas de esta ciudades no existió cobrtura del ISS, bien porque no había comenzado la obligación o porque no había cobertura territorial y ha reclamado al Banco el pago de los aportes para el riesgo de IVM por los tiempos de no cobertura.</t>
  </si>
  <si>
    <t>El 08-10-2018 -al Despacho para sentencia. El 02-05-2018 Radica Casación BANCOLOMBIA. El 18-07-2016 reparto y radicación en la CSJ (Se remitió poder al Dr. José Roberto Herrera). El 08-06-2016 se envía a la CSJ, fecha salida :08/06/2016, Oficio: 0545. El 02-12-2015 niega queja a la demandante, remite a al Corte. El 16-07-2015 se concede recurso de casacion a Bancolombia. El 09-07-2015 el Tribunal profiere fallo que revoca y condena a Bancolombia a pagar el cálculo actuarial; concede recurso de casación. Fecha fallo 1a. instancia el 20-06-2014. En la audiencia se evacuó la etapa de conciliación,  se evacuó el interrogatorio al demandante y testimonio, y como la demandante presentó un recurso de apelación el Juzgado lo concedió y el proceso se suspendió hasta tanto no llegue el recurso del Tribunal. 1T Conciliación el 05-02-2014 a las 2:15 pm; interrogario al representante legal y  testimonio. El 03-12-2013 se contestó demanda. El 30-09-2013 se enviaron documentos al Abogado. El 20-08-2013 llegó citatorio.</t>
  </si>
  <si>
    <t>Ramón Morales Vásquez</t>
  </si>
  <si>
    <t>2009-00751</t>
  </si>
  <si>
    <t>11001310501020090075100</t>
  </si>
  <si>
    <t>Laboró al servicio del Banco de 1966 a 1991 y reclama la pensión del reglamento Interno de Trabajo, pero no llevaba 10 o más años de servicio al inicio de la obligación de cotizar al ISS</t>
  </si>
  <si>
    <t>Auto fija audiencia para el  20-02-2020 . 16 -01-2020  al despacho parte actora descorre traslado de excepciones. 04-12- 2019 auto de tramite corre traslado excepciones. 02-12- 2019 al despacho para excepciones. 07-11-2019 Auto libra mandamiento ejecutivo parcial. Entrega título costas y notifica por Estado. El 05-07- 2019 al Despacho con Ejecutivo. Fecha fallo Casación el 07-11-2018. El 22-03-2013 al Despacho para fallo. El 19-03-2013 recibido expediente con oposición. El 26-02-2013 inicia traslado al opositor. El 20-02-2013 califica demanda y corre traslado al opositor. El 11-02-2013 se sustentó la demanda de casación. Admite recurso y corre traslado el 12-12-2012. Radicado en la CSJ el 08-11-2012. Acepta sustitución del apoderado del ddado. 20-09-2011. Fecha fallo 2a. instancia el 31-07-2012. Corre traslado a las partes por 05 días para alegatos 07-06-2011. Fallo 1a. instancia el 28-02-2011. 3T el 29-09-2010 a las 10:30 am para respuesta a Oficios. 2T Interrogatorio de las partes el 27-05-2010  las 8:30 am. 1T Conciliación el 27-04-2010. El 04-02-2010 se contestó la demanda. El 25-11-2009 llegó citatorio.</t>
  </si>
  <si>
    <t>Vr. costas y Agencias en Derecho 1a. Instancia y en CSJ $10'505.500 pagadas el 14-08-2019</t>
  </si>
  <si>
    <t>2019-00160</t>
  </si>
  <si>
    <t>73001310500520190016000-</t>
  </si>
  <si>
    <t>El 13-12-2019 se notifica el Banco. El 18-10-2019 se remite poder al Abogado.</t>
  </si>
  <si>
    <t>2016 -00309</t>
  </si>
  <si>
    <t>76001310501020160030900-</t>
  </si>
  <si>
    <t>INDEMNIZACION DSJC, PERJUICIOS MORALES Y MATERIALES</t>
  </si>
  <si>
    <t>La trabajadora fue despedida con justa por operaciones personales en su caja y a favor de un 3o y mala actitud.</t>
  </si>
  <si>
    <t>Nueva fecha 2T el 31-03-2020 a las 3:00 pm práctica de pruebas y fallo. SENTENCIA. Nueva fecha 2T el 22-11-2019 a las 9:00 am (Aplaza por cierre de Juzgados). Nueva fecha 2T el 20-09-2018 a las 3:00 pm, fallo (Aplaza por cierre de Juzgados). 2T el 09-07-2018 a las 9:30 am, práctica de pruebas y fallo (Suspende). 1T Conciliación el 22-02-2018 a las 9:00 am; decisión de excepciones previas, saneamiento, fijación del litigio y decreto de pruebas. Contestada el 22-02-2017. Notificada el 08-02-2017.</t>
  </si>
  <si>
    <t>2016-00130</t>
  </si>
  <si>
    <t>73001310500420160013000-</t>
  </si>
  <si>
    <t>Demandante fue despedido con justa causa por irregularidades en caja, que genero una pérdida patrominial al Banco.</t>
  </si>
  <si>
    <t>El 14-06-2019 Reparto y radicación en la CSJ. El 06-03-2019 concede Casación al ddante. El 18-01-2019 ddante. radica presenta recurso de Casación. Fecha fallo 2a. instancia el 05-12-2018. Fecha fallo 1a. instancia el 24-10-2017. Continuación 2T el 28-09-2017 a las 9:30 am; testigos. 2T el 15-06-2017 a las 9:30 am; trámite y juzgamiento (Suspende). 1T Conciliación el 13-03-2017, a las 3:00 pm, decisión de excepciones previas, saneamiento, fijación del litigio y decreto de pruebas. NIEGA ACUMULACION DE PROCESOS. El 20-09-2016, al Despacho para estudiar acumulación de procesos. El 01-08-2016 se radicó contestacion de demanda.</t>
  </si>
  <si>
    <t>Nidia Martha Aldana Lizcano</t>
  </si>
  <si>
    <t>2018-00278</t>
  </si>
  <si>
    <t>05001310500820180027800</t>
  </si>
  <si>
    <t>Aunque el resultado es incierto, el riesgo se reclasifica como probable por fallo desfavaroble en 1a. instancia.</t>
  </si>
  <si>
    <t xml:space="preserve">La ddante. fue despedida cjc por tener en su poder varias tarjetas débito con sus claves de unas monjas, a las cuales les hacía transacciones sin estar ellas presentes lo cual está prohibido. </t>
  </si>
  <si>
    <t>.Corte NO CASA la sentencia de seguda instancia y absuelve. Aud. fallo 1a. instancia el 15-10-2019. Nueva fecha 2T el 07-10-2019 a las 2:00 pm, trámite y juzgamiento (Suspende). 2T el 18-03-2019 a las 2:00 pm, trámite y juzgamiento (Aplazada). 1T Conciliación el 25-09-2018 a las 9:00 am; decisión de excepciones previas, saneamiento, fijación del litigio y decreto de pruebas. El 29-06-2018 se contestó la demanda. Notificada el 18-06-2018.</t>
  </si>
  <si>
    <t>Apolinar Jaimes M.</t>
  </si>
  <si>
    <t>2017-00002</t>
  </si>
  <si>
    <t>08001310501320170000200-</t>
  </si>
  <si>
    <t>La actora solicita que se tenga como factor constitutivo de salario la bonificación que recibía trimestralmente por valor de $500.000 mensual, en consecuancia se ordene a Bancolombia a reliquidar las prestaciones sociales, indemnización por despido injusto y salario, prima extralegal y sanción moratoria.</t>
  </si>
  <si>
    <t>Fecha fallo 1a. Instancia el 19-09-2019, se apela por parte del Banco.</t>
  </si>
  <si>
    <t>2020-00352</t>
  </si>
  <si>
    <t>050013105008202000542</t>
  </si>
  <si>
    <t>Solicita que se declare que el despido fue injusto y que se reintegre por que no se agoto el debiso proceso y subsidiario se le pague el valor de la indemanización</t>
  </si>
  <si>
    <t>Se realizó fallo de primera instancia. 24.03-2021 Se contesta la demanda</t>
  </si>
  <si>
    <t>2014-0089</t>
  </si>
  <si>
    <t>Solicita el pago de aportes desde 1974 hasta 1992</t>
  </si>
  <si>
    <t>23 MARZO 2022 SE RADICA EN COLPENSIONES SOLICITUD CALCULO ACTUARIAL. PROCESO</t>
  </si>
  <si>
    <t>Gustavo Adolfo Gómez Giraldo</t>
  </si>
  <si>
    <t>2020-0318</t>
  </si>
  <si>
    <t>11001310501320200031800-</t>
  </si>
  <si>
    <t>EL proceso se concilia en 70 millones. .La Dte fue DCJS por malas practicas y solicita reintegro por no agotar disciplinario</t>
  </si>
  <si>
    <t>TIENE X NO CONTESTADA DDA Y SEÑALA 07 DICIEMBRE DE 2022 A LA HORA DE LAS 9:00 A.M. - SE PRESENTA NULIDAD. SEÑALA AUDIENCIAS ART 77 Y 80 CPT EL 07 DICIEMBRE 2022 A LA HORA DE LAS 9:00 A.M..27 SEPT 2021 SE REMITE PODER Y CARTA CONTRATO ABOGADO EXT. 18 May 2021 AUTO ADMITE DEMANDA. 04 NOV 2020 INADMITE DEMANDA. 03 SEPT 2020 LLEGA DEMANDA PENDIENTE ADMISION</t>
  </si>
  <si>
    <t>2019 - 00381</t>
  </si>
  <si>
    <t>08001310500120190038100-</t>
  </si>
  <si>
    <t>El Dte fue despedido con justa por mala practica  y solicita indemnizacion</t>
  </si>
  <si>
    <t>17-01-2020 EL Banco se notifica de la Demanda.</t>
  </si>
  <si>
    <t>Juan Felipe Restrepo Sanchez</t>
  </si>
  <si>
    <t>2019-00174</t>
  </si>
  <si>
    <t>68001310500620190017400-</t>
  </si>
  <si>
    <t>El ddte. fue despedido con justa causa por procesos irregulares con CDT´S</t>
  </si>
  <si>
    <t xml:space="preserve"> 1T Conciliación el 04-03-2020, decisión de excepciones previas, saneamiento, fijación del litigio y decreto de pruebas. El 06-08-2019 se contesta la demanda. El 23-07-2019 se notifica el Banco.</t>
  </si>
  <si>
    <t>2016-00160</t>
  </si>
  <si>
    <t>11001310501920160016000-</t>
  </si>
  <si>
    <t>La demandante como Cajera omitió procedimientos y realizó transacciones indebidas.</t>
  </si>
  <si>
    <t>El proceso se concilia y se pagan 45 millones.Nueva fecha el 29-05-2020 a las 2:30 pm, alegatos y fallo. Nueva fecha para fallo el 27-11-2019 a las 2:30 pm (Aplazada). Nueva fecha para fallo el 11-04-2019 a las 11:30 am. Nueva fecha 2T el 19-09-2018 a las 2:30 pm, testigos y fallo (Suspende). 2T el 21-03-2018 a las 10:30 am, trámite y pruebas (Suspende). 1T Conciliación el 31-08-2017 a las 9:30 am; decisión de excepciones previas, saneamiento, fijación del litigio y decreto de pruebas . Contestada el 23-11-2016. Notificada el 08-11-2016.</t>
  </si>
  <si>
    <t>2016-00836</t>
  </si>
  <si>
    <t>05001310500920160083600</t>
  </si>
  <si>
    <t>. Se realiza audiencia de fallo en primera inst y se ABSUELVE al Banco. EL abogado interpone recuerso de apelación. Nueva fecha 2T el 13-04-2020 a las 3:30 pm práctica de pruebas y fallo. Nueva fecha 2T el 17-07-2019 a las 9:00 am práctica de pruebas y fallo (Aplazada a solicitud de la parte demandante). 2T el 28-08-2018 a las 9:00 am, práctica de pruebas y fallo (Aplazada). 1T Conciliación el 04-09-2017 a las 9:00 am; decisión de excepciones previas, saneamiento, fijación del litigio, decreto y práctica de pruebas. Contestada el 21-09-2016. Notificada el 09-09-2016.</t>
  </si>
  <si>
    <t>2019-00200</t>
  </si>
  <si>
    <t>05001310501020190020000</t>
  </si>
  <si>
    <t>El ddante. fue despedido cjc por pagar un cheque con firmas adulteradas</t>
  </si>
  <si>
    <t>1T Conciliación el 10-11-2020 a las 8:30 am; decisión de excepciones previas, saneamiento, fijación del litigio, decreto y práctica de pruebas y fallo. El 27-05-2019 se contestó la demanda. Notificada el 13-05-2019.</t>
  </si>
  <si>
    <t>08001310500920180010900</t>
  </si>
  <si>
    <t>El empleado carece de causa para iniciar esta acción toda vez que el vínculo laboral existente entre él y BANCOLOMBIA se encuentra vigente.</t>
  </si>
  <si>
    <t>El 25-10-2018  ordena mantener el expediente en Se retitra en Junio 2023 porque ya fue retirado el empleado po  orden de otra demanda.Secretaría hasta tanto se resuelva recurso de queja del proceso Rad. 2018-00253. 1T el 18-09-2018 a las 2:00 pm, Aud de trámite, contestar demanda y trámite y juzgamiento (Aplazada por solicitud del Apoderado del demandado). El 31-08-2018 Auto que desestima la solicitud conforme a lo resuelto en Auto del 14-08-2018. El 21-08-2018 el Apoderado de SINTRABANCOL radica solicitud de acumulación de procesos con los otros que adelanta BANCOLOMBIA contra el señor MELKIS AMAYA. El 14-08-2018 Auto niega solicitud deprecada de acumulación de procesos por tratarse de dos acciones diferentes, una de levantamiento de fuero y otra de reintegro. El 08-08-2018 el demandante solicita acumulación de proceso con el que cursa en el Juzgado 14 Laboral de B/quilla. instaurado por BANCOLOMBIA (Levantamiento de fuero para despedir). El  03-08-2018 notifica Auto que reconoce personería jurídica, da por notificado a BANCOLOMBIA S.A. El 16-07-2018 se notifica de la demanda.</t>
  </si>
  <si>
    <t>2022-00198</t>
  </si>
  <si>
    <t>05001310501220220019800</t>
  </si>
  <si>
    <t>Agrede a una persona un 25 de Diciembre  y la mamá de la agredida presenta queja formal.</t>
  </si>
  <si>
    <t>Se contestó la demanda. Se concilia el proceso en audiencia.</t>
  </si>
  <si>
    <t>Mario Pérez Quiroz</t>
  </si>
  <si>
    <t>2018-00635</t>
  </si>
  <si>
    <t>05001310501620180063500</t>
  </si>
  <si>
    <t>El ddante. fue despedido cjc por sus contínuas llegadas tarde y descuadre en caja no reportado. Alega la nulidad del despido por no haberse agotado el proceso disciplinario.</t>
  </si>
  <si>
    <t>1T Conciliación el 24-09-2020 a las 9:30 am, decisión de excepciones previas, saneamiento, fijación del litigio, decreto y práctica de de pruebas y fallo. Contestada el 11-12-2018. Notificada el 27-11-2018. Se concilia en audiencia</t>
  </si>
  <si>
    <t>2017-00692</t>
  </si>
  <si>
    <t>05001310500520170069200</t>
  </si>
  <si>
    <t>El ddante. demandó a COLPENSIONES y al MINHACIENDA; el Juez de Oficio vinculó a BANCOLOMBIA</t>
  </si>
  <si>
    <t>2T el 06-02-2020 a las 8:30 am trámite y juzgamiento. 1T Conciliación el 10-06-2019 a las 3:30 pm, decisión de excepciones previas, saneamiento, fijación del litigio y decreto de pruebas. Contestada el 02-11-2018. Notificada el 25-10-2018.</t>
  </si>
  <si>
    <t>Miguel Angel Noriega de la Hoz</t>
  </si>
  <si>
    <t>2018-00229</t>
  </si>
  <si>
    <t>05001310501420180022900</t>
  </si>
  <si>
    <t>El ddante. fue despedido cjc por no haber reportado un sobrante en caja por $1'000.000, dinero entregado de más por un cliente por error; al hacer la reclamación, el ex empleado le devolvió el dinero de sus propios recursos.</t>
  </si>
  <si>
    <t>1T Conciliación el 23-04-2020 a las 8:30 am, decisión de excepciones previas, saneamiento, fijación del litigio, decreto y práctica de pruebas y fallo. El 08-03-2019 se contestó la demanda. Notificada el 22-02-2019.</t>
  </si>
  <si>
    <t>2022-0130</t>
  </si>
  <si>
    <t>50001310500320220013000-</t>
  </si>
  <si>
    <t>La Dte como subgerente solicita nulidad del mutuo acuerdo afirmando que padecia caso de salud</t>
  </si>
  <si>
    <t xml:space="preserve">14 JULIO 2022 SE CONTESTA DDA. 22 JUNIO 2022 SE RECIBE AVISO </t>
  </si>
  <si>
    <t>2018-00101</t>
  </si>
  <si>
    <t>68001310500420180010100-</t>
  </si>
  <si>
    <t>INDEMNIZACION DSJC, RELIQUIDACIONES, MORATORIA Y PERJUICIOS</t>
  </si>
  <si>
    <t>La ddte. firmó mutuo acuerdo de retiro y ahora solicita su nulidad alegando haber sido presionada.</t>
  </si>
  <si>
    <t xml:space="preserve">Junio 2023. Se orden archivo del proceso.Nueva fecha 2T pruebas y juzgamiento el 06-08-2019 a la 1:00 pm. Nueva fecha 2T el 19-06-2019 a la 1:00 pm, trámite y juzgamiento (Suspende). 2T el 30-05-2019 a las 9:00 am, audiencia de trámite y juzgamiento (Aplazada). 1T Conciliación el 13-03-2019 a las 3:00 pm, decisión de excepciones previas, saneamiento, fijación del litigio y decreto de pruebas. </t>
  </si>
  <si>
    <t>2016-00152</t>
  </si>
  <si>
    <t>11001310500320160015200-</t>
  </si>
  <si>
    <t>La demandante laboró del 07 junio 1973 al 16 agosto 1995, y existe periodos que no le fueron cotizados por falta de cobertura del ISS</t>
  </si>
  <si>
    <t>El 24-05-2019 -al Despacho para sentencia sin oposición. El 31-01-2019 se presenta demanda de Casación por el Banco (LÓPEZ). El 20-09-2018 envío a la CSJ. El 17-08-2018 concede Casación al Banco (LA CASACION LA PRESENTARA LOPEZ MORENO). El 03-07-2018 al Despacho para resolver Casación. Fecha fallo 2a. instancia el 20-02-2018 (Confirma). Enviado el 10-07-2017 al Trib. en apelación. Señala el 07-07-2017 a las 9:00 am para fallo. El 19-04-2017 el Tribunal confirma Auto. 2T. el 09-12-2016 a las 9:00 trámite y juzgamiento (Suspende en espera de resolución de recurso). 1T Conciliación el 31-10-2016 a las 8:30 am; decisión de excepciones previas, saneamiento, fijación del litigio y decreto de pruebas.</t>
  </si>
  <si>
    <t>Oscar Armando Zambrano Guzman</t>
  </si>
  <si>
    <t>2014-00043</t>
  </si>
  <si>
    <t>76001310500220140004300-</t>
  </si>
  <si>
    <t>La ddante. busca desconocer el mutuo acuerdo que finalizó su relación laboral el 21 febrero 2011.</t>
  </si>
  <si>
    <t>El 20-02-2020 a las 2:00 pm para esperar respuesta de Oficios y dictar sentencia. Cita el 29-07-2019 a la 1:30 pm para fallo (Aplazada). 2T trámite y juzgamiento el 31-05-2019 a las 9:00 am. Continuación 1T el 28-03-2019 a las 10:00 am. Nueva fecha 1T Conciliación el 03-07-2018 a las 3:00 pm (Suspende). Nueva fecha 1T Conciliación el 19-09-2017 a las 9:30 am  (Aplazada). Nueva fecha 1T el 15-03-2017 a las 2:00 pm Conciliación (Aplazada). Nueva fecha 1T el 29-09-2016 a las 9:00 am Conciliación. 1T Conciliación el 13-04-2016 a las 9:00 am; decisión de excepciones previas, saneamiento, fijación del litigio y decreto de pruebas (Aplazada). El 23-09-2015 se radica contestación de la demanda. El 28-08-2015 se recibió citatorio y se remite poder al Abogado.</t>
  </si>
  <si>
    <t xml:space="preserve">Martín Adolfo Sanjuanelo Riaño </t>
  </si>
  <si>
    <t>08001310500420200002600-</t>
  </si>
  <si>
    <t xml:space="preserve">La Dte solicita nulidad de transacción de mutuo y  reintegro por considerar que tiene fuero de salud </t>
  </si>
  <si>
    <t>EL 20 DE JUN SE CONTESTA LA DEMANDA</t>
  </si>
  <si>
    <t>RELOQUIDACIÓN MESADA PENSIONAL</t>
  </si>
  <si>
    <t>21 Feb 2020 DISPONE PRESENTAR LIQUIDACIÓN DE SENTENCIA  28 Oct 2019 ORDENA ENTREGAR TITULO.. OJO PRESENTARON EJECUTIVO X RELIQUIDACION. 23 JUL 2019 SE PAGO CONDENA Y COSTAS</t>
  </si>
  <si>
    <t xml:space="preserve">Rafael Bautista Barraza Rivera </t>
  </si>
  <si>
    <t>2017-00511</t>
  </si>
  <si>
    <t>13001310500620170051100</t>
  </si>
  <si>
    <t>La ddante. terminó su contrato de trabajo a través de Mutuo Acuerdo.  En la demanda alega que fue coaccionada por su jefe a firmar el documento y que padece un tema de salud del cual era conocedor el Banco.</t>
  </si>
  <si>
    <t>El 23-08-2018 se envía exp. al Tribunal Superior de C/gena. 2T el 15-08-2018 trámite y juzgamiento. 1T Conciliación el 15-05-2018 a las 3:30 pm, dicisión de excepciones previas, saneamiento, fijación de litigio y decreto de pruebas. El 20-04-2018 admite contestación de la demanda. El 28-02-2018 se contestó la demanda por parte del Banco. El 14-02-2018 se notifica de la demanda.</t>
  </si>
  <si>
    <t>2022-00246</t>
  </si>
  <si>
    <t>05001310502120220024600-</t>
  </si>
  <si>
    <t>Se termina su contrato por incumplimientos y desacato a sus deberes y obligaciones</t>
  </si>
  <si>
    <t>2020-272</t>
  </si>
  <si>
    <t>050013105001202000272</t>
  </si>
  <si>
    <t xml:space="preserve">REINTEGRO POR DSJC </t>
  </si>
  <si>
    <t>El empledo fue despidido sin justa causa. Presentó tutela por temas de salud y fue reintegrado. Ahora quiere la protección y le pagemos los salarios y prestaciones del tiempo de su desvinculación</t>
  </si>
  <si>
    <t>El 20-05-2021 Se cntesta la demanda</t>
  </si>
  <si>
    <t>2012-00314</t>
  </si>
  <si>
    <t>20001310500220120031400</t>
  </si>
  <si>
    <t xml:space="preserve">La pretensiones principales de esta demanda son el reajuste de la pension de jubilacion a la ex empleada. Manifiesta que trabajó en el antiguo Banco de Colombia entre el 11 febrero de 1955, hasta el 15 de octubre de 1979.  </t>
  </si>
  <si>
    <t>El 31-10-2019 inicia traslado la opositora. Eñ 10-10-2019 el Banco presenta demanda de Casación. El 04-07-2019 inicia traslado a BANCOLOMBIA. El 03-07-2019 admite recurso y corre traslado a la parte recurrente por el término legal. El 25-04-2019 reparto y radicación en CSJ. El 03-12-2018 el Banco radica recurso de Casación. El 20-11-2018 el Tribunal revoca parcial y condena. El 20-05-2014 Trib. Sup. avoca conocimiento y admite apelación. La parte ddante. interpone recurso de apelación. Fecha fallo 1a. instancia el 02-04-2014. 1T Conciliación el 06-02-2014 a las 8:30 am. El 19-06-13 el Trib. admitió la apelación del auto proferido el 23-04-13 por el Juzgado 2° Laboral de V/dupar. El 15-05-13 el Juzgado resuelve no reponer el proveido de fecha 23-04-13; se remite al Trib. Sup. a la sala laboral. El 29-04-13 se interpuso recurso de reposición y en subsidio el de apelación contra auto del 23-04- 2013, por medio del cual tiene por no contestada la demanda. Se contestó la demanda y se presentó a la personeria, por el tema del paro judicial, y para evitar asi incurrir en extemporaneidad de términos en la contestación. Se está a la espera de que se fije fecha para la audiencia de conciliación.</t>
  </si>
  <si>
    <t>Garagoa</t>
  </si>
  <si>
    <t>2020 - 0069</t>
  </si>
  <si>
    <t>11001310502820200006900-</t>
  </si>
  <si>
    <t>La Dte solicita que el PGC y SVA sea tenido como factor salarial y se reliquide</t>
  </si>
  <si>
    <t>23 OCT 2020 SE REMITE AL ABOGADO DDA</t>
  </si>
  <si>
    <t>2016-00233</t>
  </si>
  <si>
    <t>08001310500420160023300</t>
  </si>
  <si>
    <t>El ddante. prestaba sus servicios a la empresa MORPHO CARDS DE COLOMBIA proveedor del Banco, quienes son los encargados de grabar los plásticos de tarjetas de crédito que se entregan a los clientes. El  demandante afirma haber sufrido un accidente en las escaleras del Edificio Regional Bancolombia cuando ingresaba a cumplir su jornada de trabajo. El ex trabajador fue desvinculado por parte de Morpho cards (Su empleador) por vencimiento del término fijo y argumenta que tenía restricciones médicas.</t>
  </si>
  <si>
    <t>Nueva fecha 2T el 23-07-2018 a las 9:30 am, trámite y juzgamiento. 2T el 31-01-2018 a las 10:00 am, trámite y juzgamiento (Aplazada por lic. de maternidad de la Juez). 1T Conciliación el 04-12-2017; decisión de excepciones previas, saneamiento, fijación del litigio y decreto de pruebas.  El 26-09-2017 Auto notificación por conducta concluyente a BANCOLOMBIA y reconoce personería. El 19-09-2017 se contesta la demanda. El 17-09-2017 se envía poder al Abogado externo. El 23-08-2017 se recibió aviso de notificación.</t>
  </si>
  <si>
    <t>Ingrid Aeilita Barrero</t>
  </si>
  <si>
    <t>2021-0620</t>
  </si>
  <si>
    <t>11001310502520210062000-</t>
  </si>
  <si>
    <t>EL Dte fue desvinculado por incurrir en descuadres en cajero multifuncional y solicita reintegro por sintraenfi</t>
  </si>
  <si>
    <t>25 ENERO 2022 SE RADICA CONTESTACION DDA. 24 DIC 2021 SE REMITE PODER Y CARTA. 15 DIC 2021 SE NOTIFICA AL BANCO. 17 NOV 2021 ADMITE DDA.</t>
  </si>
  <si>
    <t>2021-0007</t>
  </si>
  <si>
    <t>76001310501520210007000-</t>
  </si>
  <si>
    <t>Condenar a Parking Ole S.A.S. y solidariamente a Bancolombia y otros, al pago de prestaciones sociales, sanción moratoria, facultades ultra y extrapetita y costas procesales.</t>
  </si>
  <si>
    <t xml:space="preserve">El 10-08-2020  a la 1:30 pm, Aud. trámite. Pendiente de fecha para la contestación de la demanda (Única instancia) El 17-09-2019 se notificó la demanda. </t>
  </si>
  <si>
    <t>Gabriel Guillermo Trillos</t>
  </si>
  <si>
    <t>2018-00491</t>
  </si>
  <si>
    <t>11001310503920180049100-</t>
  </si>
  <si>
    <t>La ddte. fue despedida con justa y solicita reintegro por no agotar disciplinario</t>
  </si>
  <si>
    <t>1T Conciliación el 28-01-2020 a las 10:00 am, decisión de excepciones previas, saneamiento, fijación del litigio y decreto de pruebas y fallo. El 20-05-2019 se contesta la demanda.</t>
  </si>
  <si>
    <t>2017-00563</t>
  </si>
  <si>
    <t>66001310500120170056300-</t>
  </si>
  <si>
    <t>La ddte. fue desvinculada con justa causa por malas prácticas y omisión de procesos, también pide reliquidaciones teniendo pgc como salario.</t>
  </si>
  <si>
    <t>Nueva fecha 2T el 28-05-2020 a las 8:00 am trámite y juzgamiento. 2T el 11-10-2019 a las 8:00 am, trámite y juzgamiento (Aplazada). 1T Conciliación el 12-02-2019 a las 11:00 am, decisión de excepciones previas, saneamiento, fijación del litigio y decreto de pruebas. El 27-07-2018 admite contestación de la demanda. Notificada el 12-06-2018. El 10-05-2018 se remitió poder al Abogado.</t>
  </si>
  <si>
    <t>Jorge Ignacio Lamar Leal</t>
  </si>
  <si>
    <t>Civil Circuito Garagoa</t>
  </si>
  <si>
    <t>2016-00039</t>
  </si>
  <si>
    <t>15299310300120160003900-</t>
  </si>
  <si>
    <t>REINTEGRO - SUBSIDIARIA INDEMNIZACION POR TERMINACION DE CONTRATO - RELIQUIDACIONES</t>
  </si>
  <si>
    <t>La demandante fue desvinculada con justa causa por errores operativos, existiendo conflicto colectivo.</t>
  </si>
  <si>
    <t>El 14-02-2018 inicia traslado al oporsitor BANCOLOMBIA. El 12-10-2017 inicia traslado al recurrente. El 11-10-2017 Corte admite recurso de Casación. El 01-06-2017 se envía exp. a la CSJ. El 19 -05-2017 Auto concede recurso de Casacion. Fecha fallo 2a. instancia el 22-02-2017 (Tribunal revoca el fallo y absuelve al Banco). Fecha fallo el 11-11-2016 (FALLO PARCIAL CONDENATORIO). 1T Conciliación el 10-10-2016 decisión de excepciones previas, saneamiento, fijación del litigio y decreto de pruebas El 26-08-2016 se radica constestación de la demanda.</t>
  </si>
  <si>
    <t>2022-0392</t>
  </si>
  <si>
    <t>11001310500820220039200-</t>
  </si>
  <si>
    <t>El Dte fue despedido con justa por irrespeto con el jefe y solicita indemnización</t>
  </si>
  <si>
    <t>Se contesta la demanda</t>
  </si>
  <si>
    <t>2019-00158</t>
  </si>
  <si>
    <t>05001310502020190015800</t>
  </si>
  <si>
    <t>El ddante. se está comparando con otro empleado proveniente del BIC, quien tiene beneficios que no le aplican a aquel.</t>
  </si>
  <si>
    <t>Pendiente 1T. El 11-07-2019 se contesta la demanda. Notificada el 27-06-2019.</t>
  </si>
  <si>
    <t>2019-229</t>
  </si>
  <si>
    <t>54001310500420190022900-</t>
  </si>
  <si>
    <t>La dte fue despedida con justa por vinculacion irregular de clientes que fueron reportados en listas</t>
  </si>
  <si>
    <t>17 MARZO 2021 SE RECIBE NOTIFICACIÓN DIGITAL. 09 FEB 2021 SE REMITE PODER Y DOCUMENTAL AL APODERADO DR VERGEL. 25 ENE 2021 SE RECIBE CITATORIO</t>
  </si>
  <si>
    <t>Ruben Darío Pinza Hidalgo</t>
  </si>
  <si>
    <t>2019-00365</t>
  </si>
  <si>
    <t>11001310502920190036500-</t>
  </si>
  <si>
    <t>La ddte. como Gerente Leasing fue desvinculada por errores del cargo que generaron pérdida económica.</t>
  </si>
  <si>
    <t>1T Conciliación el 04-05-2020 a las 10:30 am, decisión de excepciones previas, saneamiento, fijación del litigio y decreto de pruebas. El 30-09-2019 se contesta la demanda. El 18-09-2019 se notifica el Banco.</t>
  </si>
  <si>
    <t>2018-00148</t>
  </si>
  <si>
    <t>73001310500420180014800-</t>
  </si>
  <si>
    <t>El ddte. fue desvinculado con justa causa por retiros en caja a favor de terceros sin autorización.</t>
  </si>
  <si>
    <t>2T el 12-02-2020 a las 9:00 am, trámite y juzgamiento. 1T Conciliación el  08-07-2019 a las 3:00 pm, decisión de excepciones previas, saneamiento, fijación del litigio y decreto de pruebas. El 30-07-2018 se contestó la demanda. El 13-07-2018 se notificó el Banco.</t>
  </si>
  <si>
    <t>2016 - 00536</t>
  </si>
  <si>
    <t>11001310502520160053600-</t>
  </si>
  <si>
    <t>La demandante fue despedida por incumplir sus funciones como Gestora Comercial, ya que no atendía a los clientes y no cumplía el horario.</t>
  </si>
  <si>
    <t>Nueva fecha El 09-10-2019 a las 2:30 pm trámite y juzgamiento (Suspende). Nueva fecha el 22-05-2019 a las 3:30 pm trámite y fallo (Aplaza). Nueva fecha 2T el 25-10-2018 a las 11:10 am, se evacuarán únicamente los interrogatorios de parte. Nueva fecha 2T el 05-09-2018 a las 9:00 am, trámite y juzgamiento. 2T el 27-04-2018 a las 9:00 am, trámite y juzgamiento (Aplazada). 1T Conciliación el 31-01-2018 a las 9:30 am; decisión de excepciones previas, saneamiento, fijación del litigio y decreto de pruebas. El 07-07-2017 se contesta la demanda. El 27-06-2017 se notifica el Banco.</t>
  </si>
  <si>
    <t>Juan Pablo Tirado Gómez</t>
  </si>
  <si>
    <t>2015-00103</t>
  </si>
  <si>
    <t>11001310501920150010300-</t>
  </si>
  <si>
    <t>La demandante demanda a COLPENSIONES por la pensión de sobrevivientes, el Banco fue vinculado de oficio por el Juez pero no existe una pretensión contra el Banco.</t>
  </si>
  <si>
    <t>Nueva fecha Aud. alegatos y fallo el 22-10-2019 a las 11:30 am. Fija nueva fecha el 24-04-2019 a las 11:30 am, trámite y fallo (Suspende). Fija nueva fecha el 11-10-2018 a las 2:30 pm trámite y fallo (Aplazada a solicitud de COLPENSIONES). El 11-04-2018 11 Auto requiere a BANCOLOMBIA aporte documental. Nueva fecha 2T el 06-04-2018 a las 2:30 pm trámite y fallo. Nueva fecha 2T el 24-10-2017 a las 3:30 pm trámite y fallo (Aplazada). 2T el 25-04-2017 a las 2:30 pm trámite y fallo (Aplazada). 1T Conciliación el 31-10-2016 a las 8:30 am, decisión de excepciones previas, saneamiento, fijación del litigio y decreto de pruebas. Notificada el 02-05-2016. El 07-04-2016 se remitió poder al Abogado externo.</t>
  </si>
  <si>
    <t>Ignacio Antonio Sierra Pinedo</t>
  </si>
  <si>
    <t>2020-00569</t>
  </si>
  <si>
    <t>050014105004202000056900-</t>
  </si>
  <si>
    <t>Juzgado de pequeñas causas. Solicita reinetgro po rlíder sindical, pero No era y por no estar de acuerdo con la justa. No pasar cheque por luz blanca y ultravioleta</t>
  </si>
  <si>
    <t>Se Contestó la demanda en aueincia del 28 de Nov</t>
  </si>
  <si>
    <t xml:space="preserve">Primera </t>
  </si>
  <si>
    <t>2018-00044</t>
  </si>
  <si>
    <t>52001310500320180004400-</t>
  </si>
  <si>
    <t>La ddte. fue despedida con justa por omitir el proceso de visación y pagar 02 cheques fraudulentos que generaron pérdida.</t>
  </si>
  <si>
    <t>2T el 28-02-2019 a las 9:00 am, trámite y juzgamiento. 1T Conciliación el 15-08-2018 a las 9:00 am, decisión de excepciones previas, saneamiento, fijación del litigio y decreto de pruebas. El 03-05-2018 se contestó la demanda. El 20-03-2018 se remitió poder al Abogado.</t>
  </si>
  <si>
    <t>2017-00235</t>
  </si>
  <si>
    <t>18001310500120170023500-</t>
  </si>
  <si>
    <t>El demandado como asesor cobro dinero a clientes por gestionar servicios y se apropio del dinero</t>
  </si>
  <si>
    <t>Se practican pruebas y señala fallo para el 24-01-2020 a las 10:00 am. Nueva fecha 1T el 21-08-2019 a las 3:00 pm, Audiencia de pruebas y fallo. Nueva fecha 1T el 14-12-2018 a las 9:00 am, Audiencia de pruebas y fallo (Aplazada). 1T el 16-08-2018 a las 9:00 am, Audiencia de pruebas y fallo (Aplazada). Auto fija Audiencia del art. 114 C.P.L. para el 25-01-2018 a las 10:00 am. El 06-09-2017 se reforma la demanda. El 15-05-2017 se notifica al demandado.</t>
  </si>
  <si>
    <t>Nestor Mauricio Torres Trujillo</t>
  </si>
  <si>
    <t>Laboral B/bermeja</t>
  </si>
  <si>
    <t>2016-00348</t>
  </si>
  <si>
    <t>La demandada realizó un pago en caja de $20 MM por pin pad, sin pedir cédula ni afectar ninguna cuenta con la transacción, lo que generó una pérdida económica.</t>
  </si>
  <si>
    <t>En vista de que no obstante haber recibido la ddada. la citación para notificarse, no lo ha hecho, se le nombro Curador Ad Litem y se emplaza notificándole esta situación. El 16-06-2016 se radicó demanda.</t>
  </si>
  <si>
    <t>2018-00070</t>
  </si>
  <si>
    <t>68001310500620180007000-</t>
  </si>
  <si>
    <t>La ddte. consultó clientes que posteriormente fueron defraudados en sus cuentas y ella aceptó suministrar la informacion a terceros no autorizados.</t>
  </si>
  <si>
    <t>2T el 14-08-2019 a las 9:00 am, audiencia de trámite y juzgamiento. 1T Conciliación el 27-03-2019 a las 2:30 pm, decisión de excepciones previas, saneamiento, fijación del litigio y decreto de pruebas. El 14-09-2018 se contestó la demanda.</t>
  </si>
  <si>
    <t>2018-00001</t>
  </si>
  <si>
    <t>23001310500120180000100</t>
  </si>
  <si>
    <t>El demandante trabajó para el Banco de Colombia desde al año 1956 hasta el año 1970  y afirma que no se efectuaron los aportes al ISS.</t>
  </si>
  <si>
    <t>2T el 19-03-2020 a las 8:30 am, trámite y juzgamiento. 1T Conciliación el 18-09-2019 a las 8:30 am; saneamiento, fijación del litigio y decreto de pruebas. El 31-07-2018 se contestó la demanda.</t>
  </si>
  <si>
    <t>Carmen Delia Rodriguez Morales</t>
  </si>
  <si>
    <t>2020-00210</t>
  </si>
  <si>
    <t>050013105003202000210-</t>
  </si>
  <si>
    <t>20/09/2022 aud de conciliación y se fija de segunda para noviembre del año 2023.El 14/09/2020 nos notifican la demanda.</t>
  </si>
  <si>
    <t>José Mauricio Aldana Torres</t>
  </si>
  <si>
    <t>2019-00423</t>
  </si>
  <si>
    <t>11001310500420190042300-</t>
  </si>
  <si>
    <t>Despedido cjc solicita reintegro por no agotar proceso disciplinario previo al despido y no aceptar la justa.</t>
  </si>
  <si>
    <t>25-02-2020Fijan fecha de conciliación.Pendiente 1T. El 27-09-2019 se contesta la demanda. El 02-09-2019 se notifica el Banco.</t>
  </si>
  <si>
    <t>Jorge Alberto Londoño Lugo</t>
  </si>
  <si>
    <t>2020 - 0267</t>
  </si>
  <si>
    <t>11001310500520200026700-</t>
  </si>
  <si>
    <t>El dte fue despedido con justa por gestionar creditos sin verificar los soportes</t>
  </si>
  <si>
    <t>21 ENE 2021 SE RADICA CONTESTACION DDA. 14 DIC 2020 SE RECIBE NOTIFICACION - DCTO 806 (EN TERMINOS)</t>
  </si>
  <si>
    <t>05001310500120190028000</t>
  </si>
  <si>
    <t>El ddante. fue despedido sjc y solicita que las bonificaciones por PGC sean reconocidas como salario.</t>
  </si>
  <si>
    <t>Dic 2023 se desarchiva y pasa a Ejecutivo conexo. 1T Conciliación el 26-11-2020 a las 11:00 am, decisión de excepciones previas, saneamiento, fijación del litigio y decreto de pruebas. El 16-08-2019 se contestó la demanda. El 31-07-2019 se notificó el Banco.</t>
  </si>
  <si>
    <t>Juan Sebastián Briñez Cano</t>
  </si>
  <si>
    <t>2022-00257</t>
  </si>
  <si>
    <t>05045310500220220025700</t>
  </si>
  <si>
    <t>Prestó un Pagaré para firma de Avalista y la firma fue falsificada</t>
  </si>
  <si>
    <t>2017-00490</t>
  </si>
  <si>
    <t>11001310503920170049000-</t>
  </si>
  <si>
    <t>El Ddte. solicita indexar factores salariales que determinaron el monto de su pensión.</t>
  </si>
  <si>
    <t>El 06-11-2019 Tribunal profirió Auto (Orden tutela) dispuso revocar la providencia censurada para en su lugar declarar no probada la excepción previa de cosa juzgada y en consecuencia continuar con el trámite del proceso. Fecha fallo 2a. instancia el 26-06-2019 (CONFIRMA declara probada la excepción de cosa juzgada y termina proceso). El Apoderado del demandante interpuso recurso de apelación. Declara probada la excepción previa de Cosa Juzgada y ordena la terminación del proceso. 1T Conciliación el 23-04-2019 a las 2:30 pm, decisión de excepciones previas, saneamiento, fijación del litigio, decreto y práctica de pruebas y fallo. El 18-09-2018 se contestó la demanda. El 04-09-2018 se notificó el Banco.</t>
  </si>
  <si>
    <t>Carlos Francisco Azuero Oñate</t>
  </si>
  <si>
    <t>2020 - 0364</t>
  </si>
  <si>
    <t>11001310503820200036400-</t>
  </si>
  <si>
    <t>El dte solicita aportes pensionales de 1964 a 1966</t>
  </si>
  <si>
    <t>17 MAR 2021 SE NOTIFICA AL BANCO. 09 OCT 2020 REMITE PODER Y DOCUMENTAL AL ABOGADO EXTERNO. 14 DIC 2020 SE SUBSANA DDA, PENDIENTE ADMISION Y NOTIFICACION</t>
  </si>
  <si>
    <t>Juan de Dios Peña Bektran</t>
  </si>
  <si>
    <t>2018-00448</t>
  </si>
  <si>
    <t>11001310502320180044800-</t>
  </si>
  <si>
    <t>El ddte. fue desvinculado con justa por omisión a procesos y solicita reintegro por debido proceso.</t>
  </si>
  <si>
    <t>2T trámite y juzgamiento el 07-05-2019 a las 8:30 am. 1T Conciliación el 11-04-2019 a las 2:30 pm, decisión de excepciones previas, saneamiento, fijación del litigio y decreto de pruebas. El 18-12-2019 se contestó la demanda. El 07-12-2018 se notificó el Banco.</t>
  </si>
  <si>
    <t>31/01/20233</t>
  </si>
  <si>
    <t>2018-0464</t>
  </si>
  <si>
    <t>11001310502520180046400-</t>
  </si>
  <si>
    <t>El dte fue despedido con justa causa por error el tramite d eimpuestos y solicita nulidad x no agotar disciplinario previo al despido</t>
  </si>
  <si>
    <t>Continuación 2T el 20-02-2020 a las 9:30 am, práctica de interrogatorios. 2T el 08-11-2019 a las 10:00 am, trámite y juzgamiento (Suspende). 1T Conciliación el 08-07-2019 a las 11:30 am, decisión de excepciones previas, saneamiento, fijación del litigio y decreto de pruebas. El 15-11-2018 se contesta demanda. El 30-10-2018 se notificó el Banco.</t>
  </si>
  <si>
    <t>32/01/2024</t>
  </si>
  <si>
    <t>Elizabeth Patiño Muñoz</t>
  </si>
  <si>
    <t>2015-00974</t>
  </si>
  <si>
    <t>11001310502720150097400-</t>
  </si>
  <si>
    <t>El demandante como Cajero incurrió en errores operativos graves que generaron su desvinculación.</t>
  </si>
  <si>
    <t xml:space="preserve">Continuación 2T trámite y fallo el 23-08-2017 a las 9:30 am , requiere a la ddada. para que allegue documental e información. 2T el 24-05-2017 a las 9:30 am práctica de pruebas, alegatos y fallo (Suspende). 1T Conciliación el 08-02-2017 a las 11:30 am, decisión de excepciones previas, saneamiento, fijación del litigio y decreto de pruebas. El 19-07-2016 se radicó contestacion de demanda. Notificada el 05-07-2016. </t>
  </si>
  <si>
    <t>John Edwin Henao</t>
  </si>
  <si>
    <t>2015-01106</t>
  </si>
  <si>
    <t>41001310500120150110600-</t>
  </si>
  <si>
    <t>Cajero despedido cjc por errores operativos y malos manejos de efectivo, señala que no se le efectuó proceso disciplinario previo al despido.</t>
  </si>
  <si>
    <t>2T el 10-11-2016 a las 8:30 am, práctica de pruebas y fallo. 1T Conciliación el 20-06-2016 a las 3:00 pm, decisión de excepciones previas, saneamiento, fijación del litigio y decreto de pruebas. El 20-04-2016 resuelve reforma de la demanda. El 09-02-2016 se radica contestación de la demanda. El 20-01-2016 se notificó la demanda.</t>
  </si>
  <si>
    <t>2019-00172</t>
  </si>
  <si>
    <t>05001310500620190017200</t>
  </si>
  <si>
    <t>1T Conciliación el 01-03-2021 a las 9:00 am, decisión de excepciones previas, saneamiento, fijación del litigio, decreto y práctica de pruebas. El 12-07-2019 se contestó la demanda. Notificada el 03-07-2019.</t>
  </si>
  <si>
    <t>2016-00410</t>
  </si>
  <si>
    <t>11001310502220160041000-</t>
  </si>
  <si>
    <t>La demandante fue desvinculada con justa por un grave error operativo al digitar mal una transacción, lo que generó una perdida de 19mm</t>
  </si>
  <si>
    <t>El 20-11-2019 al Despacho en CSJ para admisión. El 17-09-2019 envío a la CSJ. El 26-08-2019 concede recurso de Casación a la ddante. El 14-05-2019 pasa al grupo de Casaciones. Fecha fallo 2a. instancia el 10-04-2019 (CONFIRMA). Nueva fecha 2T el 24-09-2018 a las 8:15 am, trámite y juzgamiento. 2T el 03-09-2018 a las 3:30 pm, trámite y juzgamiento (Aplazada por incapacidad del Juez). 1T Conciliación el 30-08-2018 a las 9:00 am;  decisión de excepciones previas, saneamiento, fijación del litigio y decreto de pruebas y fallo, arts. 77 Y 80 CPTSS. El 08-09-2017 se contestó la demanda.</t>
  </si>
  <si>
    <t>2021-00476</t>
  </si>
  <si>
    <t>11001310503520210047600-</t>
  </si>
  <si>
    <t>El Dte fue despedido por realizar mal un proceso generando perdida de 300mm</t>
  </si>
  <si>
    <t>11 ENERO 2022 SE RADICA CONTESTACION. 01 DIC 2021 SE RECIBE NOTIFICACION. 04 NOV 2021 SE RECIBE SUBSANACION DDA.</t>
  </si>
  <si>
    <t>John Jairo Falcon Prasca</t>
  </si>
  <si>
    <t>2019-00323</t>
  </si>
  <si>
    <t>05001310500920190032300</t>
  </si>
  <si>
    <t>09/07/2020 se emite fallo absolutorio para el Banco.1T Conciliación el 09-07-2020 a las 9:00 am, decisión de excepciones previas, saneamiento, fijación del litigio, decreto y práctica de pruebas y fallo. El 12-07-2019 se contestó la demanda. Notificada el 08-07-2019.</t>
  </si>
  <si>
    <t>2022-0062</t>
  </si>
  <si>
    <t>05001310500220220016200</t>
  </si>
  <si>
    <t>INDEMNIZACIÓN DESPIDO INDIRECTO</t>
  </si>
  <si>
    <t>Renuncia con tema de salud</t>
  </si>
  <si>
    <t>David Guerrero</t>
  </si>
  <si>
    <t>2019-00509</t>
  </si>
  <si>
    <t>05045310501220190050900</t>
  </si>
  <si>
    <t>Se termina el contrato por un Cheque que contiene una firma falsa</t>
  </si>
  <si>
    <t xml:space="preserve">Se fija fecha de audiencia art 77 para el día 12 de octubre de 2023 a las 2 pm. 04 de septiembre de 2023 auto tiene por no contestada la demanda: a pesar de que remitieron el correo a notificaciones judiciales el mismo no fue remitido a la gerencia de relaciones laborales. </t>
  </si>
  <si>
    <t>2018-00195</t>
  </si>
  <si>
    <t>05001310502320180019500</t>
  </si>
  <si>
    <t>La ddante. fue despedida cjc por activar una tarjeta débito de su cónyuge, y solicitarle a una compañera la activación de la clave sin informarle a quién pertenecía la tarjeta ni que el titular tampoco se encontraba en la oficina.</t>
  </si>
  <si>
    <t>Pendiente 1T. El 11-12-2018 se contesta la demanda. El 27-11-2018 se notifica de la demanda.</t>
  </si>
  <si>
    <t>2021-00554</t>
  </si>
  <si>
    <t>0050013105008202100554</t>
  </si>
  <si>
    <t>Solicita se declare que hubo fuerza en la firma del mutuo, por lo que es nulo y debe ser reintegrado</t>
  </si>
  <si>
    <t>Se realizó la audiencia de primera instancia.Se contestó la demanda</t>
  </si>
  <si>
    <t>2019-0568</t>
  </si>
  <si>
    <t>76001310501720190056800-</t>
  </si>
  <si>
    <t>PGC y Bonificaciones como factor salarial</t>
  </si>
  <si>
    <t>16 MARZO 2022 RADICA CONTESTACIÓN DDA. 02 MARZO 2022 SE RECIBE NOTIFICACION VIRTUAL</t>
  </si>
  <si>
    <t>2019-00660</t>
  </si>
  <si>
    <t>0500131050122019006600</t>
  </si>
  <si>
    <t>Reclama los aportes del periodo comprendido entre el 10 de marzo de 1976 y el 31 de diciembre de 1981</t>
  </si>
  <si>
    <t>22-01-2020 la demanda se contesta</t>
  </si>
  <si>
    <t>2022-00237</t>
  </si>
  <si>
    <t>05 045 31 05 002 2022 00237 00 </t>
  </si>
  <si>
    <t>Violación a reserva Bancaria mostrando datos personales de un cliente a un tercero</t>
  </si>
  <si>
    <t>2021-00118</t>
  </si>
  <si>
    <t>11001310502420210011800-</t>
  </si>
  <si>
    <t>La Dte como ejecutiva fue DCJC por modificar cupos de sus tarjetas y solicita reintegro por debido proceso</t>
  </si>
  <si>
    <t>10 May 2022 BANCOLOMBIA ALLEGA CONTESTACION. 29 ABRIL 2022 SE RECIBE DEMANDA</t>
  </si>
  <si>
    <t>2019-0274</t>
  </si>
  <si>
    <t>16-03-2020. Se contesta la demanda.</t>
  </si>
  <si>
    <t>2017-00169</t>
  </si>
  <si>
    <t>54001310500320170016900-</t>
  </si>
  <si>
    <t>RELIQUIDACIÓN PRESTACIONES SOCIALES</t>
  </si>
  <si>
    <t>Aunque el resultado es incierto, el riesgo se reclasifica como probable por el resultado parcial desfavorable</t>
  </si>
  <si>
    <t>La demandante se desvinculó por pensión y ahora solicita reliquidación de primas y cesantías (Salario $3'744.300).</t>
  </si>
  <si>
    <t>El 06-11-2019 la ddante. presenta recurso de Casación. El 22-10-2019 Tribunal revoca condena y absuelve (Ddante. presenta recurso de Casación). Nueva fecha el  07-05-2018 a las 3:00 pm Audiencia de trámite y juzgamiento (Suspende y fija fecha para fallo el 08-05-2018). El 04-12-2017 a las 3:00 pm Audiencia de pruebas (Suspende, pendiente nueva fecha). 1T Conciliación el 02-10-2017 a las 4:00 pm; decisión de excepciones previas, saneamiento, fijación del litigio y decreto de pruebas. El 26-06-2017 notificó el Banco.</t>
  </si>
  <si>
    <t>19/97/2023</t>
  </si>
  <si>
    <t>La acción se encuentra prescrita</t>
  </si>
  <si>
    <t>2018-00437</t>
  </si>
  <si>
    <t>05001310500920180043700</t>
  </si>
  <si>
    <t>La ddante. fue despedida sjc y pretende se le tengan en cuenta las bonificaciones por PGC, como constitutivas de salario.</t>
  </si>
  <si>
    <t>Nueve fecha 1T Conciliación el 18-09-2019 a las 11:15 am; decisión de excepciones previas, saneamiento, fijación del litigio y decreto de pruebas1T Conciliación el 02-09-2019 a las 9:00 am; decisión de excepciones previas, saneamiento, fijación del litigio y decreto de pruebas (Aplazada por Asamblea ASONAL). Contestada el 11-10-2018. El 27-09-2018 se notifica de la demanada.</t>
  </si>
  <si>
    <t>2020-428</t>
  </si>
  <si>
    <t>050013105007202000428</t>
  </si>
  <si>
    <t>Se realizó fallo de primera intancia. 25-03-2021 Se contesta la demanda</t>
  </si>
  <si>
    <t>Luis Ramón Carvajal Serna</t>
  </si>
  <si>
    <t>2023-00253</t>
  </si>
  <si>
    <t>05001410500920230025300-</t>
  </si>
  <si>
    <t>Se retira empleado por falta de confianza y promevor inversiones en Omegapro</t>
  </si>
  <si>
    <t>Juzgado de pequeñas causas. Se contesta la demanda el 06 de marzo</t>
  </si>
  <si>
    <t>2023-00434</t>
  </si>
  <si>
    <t>005001310500820230004340-</t>
  </si>
  <si>
    <t>Solicita el pago de la indemnización por depido sin justa,</t>
  </si>
  <si>
    <t>Se Contestó la demanda</t>
  </si>
  <si>
    <t>2022-0173</t>
  </si>
  <si>
    <t>La Dte es acusada de solicitar dinero a 3 clientes por abrir cuenta de ahorros</t>
  </si>
  <si>
    <t>23 de Enero de 2023 se subsana la demanda</t>
  </si>
  <si>
    <t>2021 - 0168</t>
  </si>
  <si>
    <t>11001310502420210016800-</t>
  </si>
  <si>
    <t>Solicita el Dte reintegro o indemnizacion por considerar sin justa causa el despido y no agotar debido proceso</t>
  </si>
  <si>
    <t xml:space="preserve">11 Nov 2022 RECEPCIÓN MEMORIAL- RECURSO REPOSICION EN SUBSIDIO APELACION. 08 Nov 2022 AUTO DA POR NO CONTESTADA LA DEMANDA. </t>
  </si>
  <si>
    <t>Álvaro José Escobar Lozada</t>
  </si>
  <si>
    <t>2019 - 0880</t>
  </si>
  <si>
    <t>11001310500220190088000-</t>
  </si>
  <si>
    <t>La Dte fue despedida por malas practicas comerciales y solicita indemnizacion por disciplinario y reliquidaciones</t>
  </si>
  <si>
    <t>17 JUN 2021 SE CONTESTA DDA</t>
  </si>
  <si>
    <t>Carlos Ariel Salazar Vélez</t>
  </si>
  <si>
    <t>2019-00413</t>
  </si>
  <si>
    <t>54001310500220190041300-</t>
  </si>
  <si>
    <t>15-04-2020 fija fecha de audiencia 1T. Pendiente 1T. El 13-12-2019 se contesta la demanda. El 03-12-2019 se notifica el Banco.</t>
  </si>
  <si>
    <t>2017 - 00037</t>
  </si>
  <si>
    <t>El ddte. reclama aportes pensionales de 1970 a 1976 donde no había cobertura del ISS.</t>
  </si>
  <si>
    <t>2T el 31-08-2018 trámite y juzgamiento. 1T Conciliación el 14-08-2018  a las 9:00 am, decisión de excepciones previas, saneamiento, fijación del litigio y decreto de pruebas. El 09-04-2018 se notifica de la demanda. El 26-03-2018 se remite poder al Abogado.</t>
  </si>
  <si>
    <t>Demetrio Arévalo Forero</t>
  </si>
  <si>
    <t>2017 -00448</t>
  </si>
  <si>
    <t>11001310500720170044800-</t>
  </si>
  <si>
    <t>El demandante fue despedido con justa causa o y solicita reliquidaciones PGC y moratoria</t>
  </si>
  <si>
    <t>Continuación 2T el 12-07-2018 a las 11:30 am, trámite y juzgamiento. 2T el 12-04-2018 a las 8:30 am, art. 80 CPL (Suspende). 1T Conciliación el 29-01-2018 a las 12:30 pm; decisión de excepciones previas, saneamiento, fijación del litigio y decreto de pruebas. El 08-09-2017 se contestó la demanda.</t>
  </si>
  <si>
    <t>Condena solo a la indemnización.</t>
  </si>
  <si>
    <t>2018-00291</t>
  </si>
  <si>
    <t>11001310501920180029100-</t>
  </si>
  <si>
    <t>El ddte. fue despedido con justa causa por descuadre e irrespeto, y pide reintegro por no agotarse disciplinario previo al despido.</t>
  </si>
  <si>
    <t>30 de sept 2024 se archiva proceso. 2T el 25-03-2020 a las 2:30 pm, trámite y juzgamiento. 1T Conciliación el 22-08-2019 a las 10:30 am, decisión de excepciones previas, saneamiento, fijación del litigio y decreto de pruebas. El 18-12-2018 se contesta la demanda. El 03-12-2018 se notificó el Banco.</t>
  </si>
  <si>
    <t>2017-0790</t>
  </si>
  <si>
    <t>11001310500920170079000-</t>
  </si>
  <si>
    <t>La ddte. fue desvinculada con justa causa por errores operativos y manejo irregular.</t>
  </si>
  <si>
    <t>2024-09-17 Archivo Definitivo.Nueva fecha 2T el 12-03-2020 a las 9:00 am, trámite y fallo. 2T el 02-10-2019 a las 9:00 am, trámite y fallo (Aplazada). 1T Conciliación el 31-05-2019 a las 2:30 pm, decisión de excepciones previas, saneamiento, fijación del litigio y decreto de pruebas.El 24-10-2018 se contesta la demanda. El 19-09-2018 se remite poder y carpeta al Abogado externo.</t>
  </si>
  <si>
    <t>2018-00223</t>
  </si>
  <si>
    <t>76001310501820180022300-</t>
  </si>
  <si>
    <t>El ddte. fue pensionado en el año 1981 y reclama su indexacion a la 1a mesada pensional.</t>
  </si>
  <si>
    <t>1T Conciliación el 22-10-2019 a la 1:30 pm, decisión de excepciones previas, saneamiento, fijación del litigio y decreto de pruebas y fallo. El 17-07-2018 se contestó la demanda. El 04-07-2018 se notifícó el Banco.</t>
  </si>
  <si>
    <t>2015-00888</t>
  </si>
  <si>
    <t>11001310500920150088800-</t>
  </si>
  <si>
    <t>La demandante en calidad de Gerente fue despedida con justa causa por estar involucrada en una suplantación que generó una pérdida de $200 mm aprox.</t>
  </si>
  <si>
    <t>2024-09-09 Archivo Definitivo. Nueva fecha 2T para fallo el 17-08-2018 a las 2:30 pm. 2T el 18-07-2018 a las 9:00 am audiencia de trámite y juzgamiento (Suspende). Nueva fecha 1T Conciliación el 26-01-2018 a las 11:00 am; decisición de excepciones previas, saneamiento, fijación del litigio y decreto de pruebas. 1T Conciliación el 29-06-2017 a las 2:30 p.m; decisición de excepciones previas, saneamiento, fijación del litigio y decreto de pruebas (Aplazada). El 18-10-2016 tiene por contestada la demanda y corre traslado de reforma. El 17-06-2016 se radica contestación de la demanda.</t>
  </si>
  <si>
    <t>76001310500720150016300-</t>
  </si>
  <si>
    <t>La demandante fue despedida con justa causa por adulterar información de clientes para otorgar préstamos.</t>
  </si>
  <si>
    <t>2024-09-19 Auto ordena archivo LIQUIDA Y APRUEBA COSTAS. 27 JUN 2024 1T Conciliación el 24-09-2015 a la 1:30 pm; decisión de excepciones previas, saneamiento, decición del litigio y decreto de pruebas y fallo. El 28-07-2015 se notifica personalmente de la demanda.</t>
  </si>
  <si>
    <t>2019-00263</t>
  </si>
  <si>
    <t>05001310501320190026300</t>
  </si>
  <si>
    <t>La ddante. trabajó en Ambalema en época de no cobertura del ISS y reclama cotizaciones del 16-07-1975 al 31-12-1981</t>
  </si>
  <si>
    <t>EN Dic 2023 se pagan costas y se solicita calculo actuaral. 12-06-2020. Audicnecia de Conciliación y TyJ. condenan al pago del titulo pensional por el tiempo laborano no cotizado. 1T Conciliación el 13-07-2020 a las 3:30 pm, decisición de excepciones previas, saneamiento, fijación del litigio, decreto y práctica de pruebas y fallo. El 18-09-2019 se contestó la demanda. El 04-09-2019 se notifica el Banco.</t>
  </si>
  <si>
    <t>José Dolores Morelos Corena</t>
  </si>
  <si>
    <t>2017-00455</t>
  </si>
  <si>
    <t>05001310500320170045500</t>
  </si>
  <si>
    <t>2T el 04-03-2019 a las 9:00 am; práctica de pruebas y juzgamiento. 1T Conciliación el 08-06-2018 a las 11:00 am; decisión de excepciones previas, saneamiento, fijación del litigio y decreto de pruebas (Se practicarán los Interrogatorios de parte [Decretó de Oficio los testimonios de JOSÉ NEVARDO CALLE GUERRA y NATALIA CASTRILLÓN RESTREPO a quienes debemos citar; presentar certificación de las capacitaciones especialmente en lo relacionado con el WHO IS WHO; validar si se hizo Acta de Explicaciones). Contestada el 29-08-2017. Notificada el 14-08-2017. El 27-07-2017 se recibió citación para notificación.</t>
  </si>
  <si>
    <t>2017-00577</t>
  </si>
  <si>
    <t>05001310501420170057700</t>
  </si>
  <si>
    <t>La ddante. fue despedida sjc.; solicita el reintegro por caso de salud, y reliquidación de prestaciones sociales por considerar que las bonificaciones por PGC son salario.</t>
  </si>
  <si>
    <t>Se interpone casación por parte de Bancolombia. Continuación 2T el 17-09-2018 a las 10:00 am para fallo. 2T el 06-09-2018 a las 8:30 am, Audiencia de trámite y juzgamiento (Suspende). 1T Conciliación el 08-06-2018 a la 1:30 pm; decisión de excepciones previas, saneamiento, fijación del litigio y decreto de pruebas (Decretó de Oficio la presentación de los comprobantes de pago de la ddante. de 2013). El 18-10-2017 se contestó la demanda. Notificada el 03-10-2017. El 29-08-2017 se recibió citación para notificación.</t>
  </si>
  <si>
    <t>Condena al reintegro, absuelve en todo lo demás.</t>
  </si>
  <si>
    <t>2018-00571</t>
  </si>
  <si>
    <t>05045310500120180057100</t>
  </si>
  <si>
    <t xml:space="preserve">El ddante. laboró en Apartadó del 01-03-1966 al 01-03-1970, y del 23-10-1970 al 16-03-1974 en época de no cobertura del ISS </t>
  </si>
  <si>
    <t>El proceso se encuentra archivado.Pendiente 1T. El 23-04-2019 se contestó la demanda. Notificada el 05-04-2019.</t>
  </si>
  <si>
    <t>2020-00406</t>
  </si>
  <si>
    <t>0050013105009202000406</t>
  </si>
  <si>
    <t>Solicita la reliquidación de sus prestaciones teniendo en cuenta factores no salariales como PGC.</t>
  </si>
  <si>
    <t>Se realiz aud de primera instancia y condenan a la indemnización por no estar probada la J.C y se condena a sanción oratoria.Se coentsta la demanda</t>
  </si>
  <si>
    <t>2017-00424</t>
  </si>
  <si>
    <t>08001310500620170042400</t>
  </si>
  <si>
    <t>La ddante. se desempeñaba como Cajera Principal de la Oficina Buenavista II en Barranquilla, fue desvinculada con justa causa por incumplimiento de funciones en el área de caja.</t>
  </si>
  <si>
    <t>2T el 08-04-2019 trámite y fallo. 1T Conciliación el 03-09-2018 a las 4:00 pm, dicisión de excepciones previas, saneamiento, fijación de litigio y decreto de pruebas. Se admite contestaciòn de la demanda.</t>
  </si>
  <si>
    <t>Silvia Liliana Gallo Orozco</t>
  </si>
  <si>
    <t>2021-216</t>
  </si>
  <si>
    <t>0050013105019202100216</t>
  </si>
  <si>
    <t>Banco Industrial Colombiano</t>
  </si>
  <si>
    <t>EL demandante recla,a un tiempo de afiliación al Sistema cuando trabajó en Andes</t>
  </si>
  <si>
    <t>El 18-06-2021 se Contesta la demanda</t>
  </si>
  <si>
    <t>2015-01525</t>
  </si>
  <si>
    <t>05001310501520150152500</t>
  </si>
  <si>
    <t>El ddante. laboró en Turbo del 10-07-1965 al 24-04-1970, época en la cual no había cobertura del ISS.</t>
  </si>
  <si>
    <t>1T Conciliación el 06-03-2019 a las 3:15 pm, decisión de excepciones previas, saneamiento, fijación del litigio, decreto y práctica de pruebas y fallo. Contestada el 26-05-2016. Notificada el 16-05-2016.</t>
  </si>
  <si>
    <t>Oliver David Pulgarin</t>
  </si>
  <si>
    <t>2017-00593</t>
  </si>
  <si>
    <t>05001310500720170059300</t>
  </si>
  <si>
    <t>El ddante. reclama las cotizaciones a pensión del 06-02-1978 hasta el 31-08-1982, período en el cual no había cobertura del ISS en el Mpio. de Andes.</t>
  </si>
  <si>
    <t>1T Conciliación el 03-10-2017 a las 8:30 am, decisión de excepciones previas, saneamiento, fijación del litigio, decreto y práctica de pruebas y fallo. Contestada el 14-08-2017. Notificada el 02-08-2017.</t>
  </si>
  <si>
    <t>Conciliado por el valor del cálculo actuarial que efectúe COLPENSIONES</t>
  </si>
  <si>
    <t>2018-00599</t>
  </si>
  <si>
    <t>05001310501920180059900</t>
  </si>
  <si>
    <t>La ddante. fue despedida cjc por conflicto de interés al aprobar créditos para la empresa donde su compañero permanente es el Gerente, y recibir consignaciones por altas sumas en su cuenta de ahorros por parte de dicha empresa.</t>
  </si>
  <si>
    <t>1T Conciliación el 03-02-2020 a las 4:00 pm, decisición de excepciones previas, saneamiento, fijación del litigio y decreto de pruebas. Contestada el 13-12-2018. Notificada el 03-12-2018.</t>
  </si>
  <si>
    <t>2022-00269</t>
  </si>
  <si>
    <t>05001310502030220026900-</t>
  </si>
  <si>
    <t>Ejecutivo que incurrió en malas practicas de vinculación de clientes - Claudia Espinosa</t>
  </si>
  <si>
    <t>Ingrid Camila</t>
  </si>
  <si>
    <t>2019-00268</t>
  </si>
  <si>
    <t>05001310500920190026800</t>
  </si>
  <si>
    <t>El ddante. terminó el contrato de trabajo de mutuo acuerdo. Reclama como salarial las bonificaciones del PGC</t>
  </si>
  <si>
    <t>11-03-2020 se celebra primera audiencia y absuelven al banco con base en una cosa juzgada por el acat de transacción con la que finalizó el contrato de trabajo.1T Conciliación el 11-03-2020 a las 4:15 pm, decisición de excepciones previas, saneamiento, fijación del litigio y decreto de pruebas.  El 26-07-2019 se contestó la demanda. Notificada el 10-06-2019.</t>
  </si>
  <si>
    <t>Oscar Mauricio Carvajal Grimaldi</t>
  </si>
  <si>
    <t>2019-00720</t>
  </si>
  <si>
    <t>050013105009201900720-</t>
  </si>
  <si>
    <t>El 31-08-2020 de contesta la demanda. El 17-02-2020 se admite la demanda.</t>
  </si>
  <si>
    <t>00120190029800-</t>
  </si>
  <si>
    <t>Solicita el pago de aportes por tiempo en el que no habia cobertura</t>
  </si>
  <si>
    <t>2019-00612</t>
  </si>
  <si>
    <t>05001310502020190061200</t>
  </si>
  <si>
    <t>Reclama los aportes del periodo comprendido entre el 21 de enero de 1976 y el 31 de diciembre de 1981</t>
  </si>
  <si>
    <t>22-05-2020 Audiencia de Conciliación. El 14-01-2020 se contesta la demanda.</t>
  </si>
  <si>
    <t>05001310500120170032300</t>
  </si>
  <si>
    <t>El ddante. firmó Acuerdo de Terminación del Contrato (Transacción) y ahora alega la nulidad de la misma.</t>
  </si>
  <si>
    <t>A la espera de si se interpone casación.Se emite sentencia absolutoria en Febrero de 2021.09/07/2020 se da la audiencia de Tramite y se Absuelve al Banco. Nueva fecha 2T el 22-11-2019 a las 9:00 am, práctica de pruebas y fallo. 2T el 24-10-2019 a las 9:00 am, práctica de pruebas y fallo (Aplazada). 1T Conciliación el 23-10-2018 a las 10:00 am; decisión de excepciones previas, saneamiento, fijación del litigio y decreto de pruebas. Contestada el 04-08-2017.</t>
  </si>
  <si>
    <t>2021-00240</t>
  </si>
  <si>
    <t>050013105010202100240</t>
  </si>
  <si>
    <t>2021-00446</t>
  </si>
  <si>
    <t>11001310503720210044600-</t>
  </si>
  <si>
    <t>La Dte fue desvinculada por omitir proceso de autenticación y perdida economica y solicita reintegro por fuero de salud</t>
  </si>
  <si>
    <t>16 DIC 2021 SE CONTESTA DDA. 16 NOV 2021 SE RECIBE CITATORIO. 24 SEPT 2021 SE RECIBE DEMANDA.</t>
  </si>
  <si>
    <t>2019-00335</t>
  </si>
  <si>
    <t>11001310502520190033500-</t>
  </si>
  <si>
    <t>Solicita la ddte. reintegro por fuero circunstancial de sintraenfi al considerar que fue despedida sin justa</t>
  </si>
  <si>
    <t>Pendiente 1T. El 30-09-2019 se contesta la demanda. El 18-09-2019 se notifica el Banco.</t>
  </si>
  <si>
    <t>Bogotá</t>
  </si>
  <si>
    <t>PEDRO CHARRIA ANGULO</t>
  </si>
  <si>
    <t>MIGUEL LOPEZ HERRERA</t>
  </si>
  <si>
    <t>ROBERTO SANDOVAL BALLESTEROS</t>
  </si>
  <si>
    <t>VELEZ</t>
  </si>
  <si>
    <t>JAIR GABRIEL FONSECA</t>
  </si>
  <si>
    <t>EL PLATO</t>
  </si>
  <si>
    <t>LEORMANDO GARCIA MEDINA</t>
  </si>
  <si>
    <t>CARTAGENA</t>
  </si>
  <si>
    <t>LUIS JERONIMO ESPINOSA HAECKERMANN</t>
  </si>
  <si>
    <t>CARLOS HERNAN GODOY FAJARDO</t>
  </si>
  <si>
    <t>no aplica</t>
  </si>
  <si>
    <t>ARMENIA</t>
  </si>
  <si>
    <t>ALVARO NIETO PLAZA</t>
  </si>
  <si>
    <t>FUNDACIÓN</t>
  </si>
  <si>
    <t>Pensión de Jubilación, indexación</t>
  </si>
  <si>
    <t>Pedro Charria A. - Rodriguez</t>
  </si>
  <si>
    <t xml:space="preserve">Luis Fernando Rojas Arango </t>
  </si>
  <si>
    <t>8 s.m.l. Poder 4, 2a 4</t>
  </si>
  <si>
    <t>JUAN C. DIAZ DOMINGUEZ</t>
  </si>
  <si>
    <t>1500000 + 10smmlv al terminar</t>
  </si>
  <si>
    <t>CARLOS GODOY</t>
  </si>
  <si>
    <t>JAIRO ALBERTO MONTES OSPINA</t>
  </si>
  <si>
    <t>GUSTAVO ARBELAEZ ARBELAEZ</t>
  </si>
  <si>
    <t>GUILLERMO BOTERO COTES</t>
  </si>
  <si>
    <t>SANTIAGO DIAGO GARCIA</t>
  </si>
  <si>
    <t>FANNY GUTIERREZ LOZADA</t>
  </si>
  <si>
    <t>IBAGUE</t>
  </si>
  <si>
    <t>ANTONIO MELO MEDINA</t>
  </si>
  <si>
    <t>5 s.m.m.l. 50% ($860.025)al inicio, 50% sentencia 2a. Instancia</t>
  </si>
  <si>
    <t>Winston Rubio Segura</t>
  </si>
  <si>
    <t>Lisimaco D'croz Satizabal</t>
  </si>
  <si>
    <t>CARLOS HERNAN GODOY FAJARDO - casacion DR. CHARRIA.</t>
  </si>
  <si>
    <t>Manuel E. Perez Diaz / Charria, Camacho, Lopez</t>
  </si>
  <si>
    <t>Jaime H. Zuluaga</t>
  </si>
  <si>
    <t xml:space="preserve">No hay fallo 1 isntacia.  Se presentó excepción   de casa juzgada. </t>
  </si>
  <si>
    <t>Ines Espinosa de Barbosa</t>
  </si>
  <si>
    <t>P. CHARRIA JAIME CERON/ Elcy Bravo de Martínez</t>
  </si>
  <si>
    <t>Rosa del Carmen Olmos Hernandez</t>
  </si>
  <si>
    <t>Jaime Antonio Caballero Garcia</t>
  </si>
  <si>
    <t>Hector Uribe Vasquez</t>
  </si>
  <si>
    <t>DR. LUIS FERNANDO ROJAS A.</t>
  </si>
  <si>
    <t>Charria camacho lopez/ Beatriz Vélez V.</t>
  </si>
  <si>
    <t xml:space="preserve">Gustavo Arbelaez Arbelaez </t>
  </si>
  <si>
    <t>DR. JULIO CESAR CARRILLO G.</t>
  </si>
  <si>
    <t>DR. MANUEL OSORIO URREA</t>
  </si>
  <si>
    <t>nov 2003 revoca primera instancia  y condena la banco al reintegro  y al pago de salarios y prestaciones dejados de percibir.</t>
  </si>
  <si>
    <t>DRA. MARIA CRISTINA AGUILAR</t>
  </si>
  <si>
    <t>Charria Camacho lopez</t>
  </si>
  <si>
    <t>Clara Lasso de Ramírez/Charria Camacho Lopez ??</t>
  </si>
  <si>
    <t>JOSE ROBERTO HERRERA VERGARA</t>
  </si>
  <si>
    <t>MANUEL OSORIO URREA</t>
  </si>
  <si>
    <t>JOSE ROBERTO HERRERA / Angel Maria Corzo Labrador</t>
  </si>
  <si>
    <t>MIGUEL ANGEL MARQUEZ SERRANO</t>
  </si>
  <si>
    <t>Carlos Valega Puello/ JRHV</t>
  </si>
  <si>
    <t>JUAN FELIPE MOLINA ALVAREZ</t>
  </si>
  <si>
    <t>JAIME ARIAS LOPEZ</t>
  </si>
  <si>
    <t>CARLOS VALEGA PUELLO</t>
  </si>
  <si>
    <t>JESUS SERRANO OCHOA</t>
  </si>
  <si>
    <t>2006</t>
  </si>
  <si>
    <t>Gustavo Arbelaez Arbelaez</t>
  </si>
  <si>
    <t>César Torres Serrano</t>
  </si>
  <si>
    <t>Leon Arturo Garcia de la Cruz</t>
  </si>
  <si>
    <r>
      <t xml:space="preserve">Acepta </t>
    </r>
    <r>
      <rPr>
        <b/>
        <sz val="7"/>
        <color indexed="10"/>
        <rFont val="Arial"/>
        <family val="2"/>
      </rPr>
      <t>desistimiento de la parte actora</t>
    </r>
    <r>
      <rPr>
        <sz val="7"/>
        <rFont val="Arial"/>
        <family val="2"/>
      </rPr>
      <t xml:space="preserve"> 09-02-2009. Fija fecha para resolver desistimiento del ddante. 09-02-2009. 4T respuesta oficios 29-01-2009. 3T 26-11-2008 respuesta oficios. Nueva fecha aud. 06-11-2008. 2T el 11-09-2008 respuesta oficios. 1T Conciliación el 25-08-2008</t>
    </r>
  </si>
  <si>
    <t>alfonso prada correa</t>
  </si>
  <si>
    <t xml:space="preserve">Leon Arturo Garcia de la Cruz </t>
  </si>
  <si>
    <r>
      <t>Terminado por conciliación el 22-05-2009</t>
    </r>
    <r>
      <rPr>
        <sz val="7"/>
        <rFont val="Arial"/>
        <family val="2"/>
      </rPr>
      <t>. Nueva fecha 1T Conciliación el 22-05-2009 a las 10:00 AM. 1T Conciliación el 08-05-2009 a las 11:00 AM. Aplazada</t>
    </r>
  </si>
  <si>
    <r>
      <t xml:space="preserve">Corre traslado de liquidación de costas el 22-09-2009. Tribunal resuelve recurso de reposición y ordena estarse a lo resuelto en el Auto del 28-07-2009. Recurso de reposición contra Auto del 28-07-2009 que ordenó el archivo del expediente. El proceso subio al Tribunal en consulta pero por ser aplicable el Decreto 3930 de 2008 de conmoción no se dió tramite  la misma y por auto de fecha 28-07-2009 se ordena devolver el expediente al Juzgado de orígen para su archivo. Continuación 4T el 12-02-2008 a las 10:15 am. 4T el 17-01-2008 a las 8:15 am. Nueva fecha 3T 20-05-2009 10:15 AM. Nueva fecha 3T el 16-04-2009 a las 9:15 am. 3T el 02-02-2009. Enviado a Juzgados de descongestión el 11-02-2008 </t>
    </r>
    <r>
      <rPr>
        <b/>
        <sz val="7"/>
        <color indexed="10"/>
        <rFont val="Arial"/>
        <family val="2"/>
      </rPr>
      <t>Rad. 2007-0350</t>
    </r>
    <r>
      <rPr>
        <sz val="7"/>
        <rFont val="Arial"/>
        <family val="2"/>
      </rPr>
      <t>. 3T el 17-01-2008 a las 8:15 AM testimonios (Suspendida). 2T el 17-01-2008 8:15 AM testimonios ddada. 1T Conciliación el 04-12-2007 8:15 AM. 23 de julio de 2007 notificado el banco.</t>
    </r>
  </si>
  <si>
    <t>Guadith Pallares Velasquez</t>
  </si>
  <si>
    <t xml:space="preserve">calra ines acosta morales </t>
  </si>
  <si>
    <r>
      <rPr>
        <b/>
        <sz val="7"/>
        <color indexed="10"/>
        <rFont val="Arial"/>
        <family val="2"/>
      </rPr>
      <t>Juzgado declara terminado el proceso por transacción y ordena el archivo del expediente el 27-10-2009</t>
    </r>
    <r>
      <rPr>
        <sz val="7"/>
        <rFont val="Arial"/>
        <family val="2"/>
      </rPr>
      <t>. Fecha fallo 1a. Instancia el 07-05-2010 a las 4:30 PM. 3T el 05-10-2009 a las 2:00 PM testigos ddante. 2T interrogatorio de parte ddada. 23-06-2009 a las 8:30 AM. 1T Conciliación el 09-03-2009 a las 11:00 AM</t>
    </r>
  </si>
  <si>
    <r>
      <rPr>
        <sz val="7"/>
        <rFont val="Arial"/>
        <family val="2"/>
      </rPr>
      <t>Fija fecha fallo 2a. instancia el 05-05-2009 a las 5:00 PM. Sigue en estudio el recurso de apelación en el Trib. según informe de la Abo. externa del 17-12-2008</t>
    </r>
    <r>
      <rPr>
        <sz val="7"/>
        <color indexed="10"/>
        <rFont val="Arial"/>
        <family val="2"/>
      </rPr>
      <t>.</t>
    </r>
    <r>
      <rPr>
        <sz val="7"/>
        <rFont val="Arial"/>
        <family val="2"/>
      </rPr>
      <t xml:space="preserve"> Recurso de Apelación del ddante. en trámite. Fallo 5 de febrero de 2007 a las 5:00 p.m..    JUZGAMIENTO EL 27/11/2006A LAS 5:PM.   25 OCT 2006 9:00 A.M. CUARTA AUDIENCIA TRAMITE, RECEPCIÓN TESTIMONIOS PARTE DEMANDADA, 10:00 A.M. INSPECCIÓN JUDICIAL, 11:00 A.M. INTERROGATORIO DE PARTE AL DEMANDANTE.   5 de abril de 2006 8:30 tercera audiencia de trámite testimonios parte demandada..     31 de mayo de 2005 1T</t>
    </r>
  </si>
  <si>
    <t>Oscar Alberto Velasquez Alzate</t>
  </si>
  <si>
    <r>
      <t xml:space="preserve">Ordena archivo del proc. 24-02-2009. </t>
    </r>
    <r>
      <rPr>
        <b/>
        <sz val="7"/>
        <rFont val="Arial"/>
        <family val="2"/>
      </rPr>
      <t>Trib. declara ejecutoriada la sentencia 30-01-2009</t>
    </r>
    <r>
      <rPr>
        <sz val="7"/>
        <rFont val="Arial"/>
        <family val="2"/>
      </rPr>
      <t>. Fija fecha para fallo 2a. instancia el 27-03-2009. Fija fecha para fallo 1a instancia 30-04-2008 a las 5:00 PM Juzg. 2° Descongestión. FIJA FECHA AUDIENCIA O DILIGENCIA, RECEPCIONA TOTALIDAD DE LA PRUEBA DECLARATIVA DE AMBAS PARTES, SE?ALA EL 29 DE MAYO DE 2007 A LAS 9:30AM.29 de mayo de 2.007 recepcion de testigos.  conciliacion 8 de noviembre de 2006.  demanda  contestada el  26 de abril de 2.006</t>
    </r>
  </si>
  <si>
    <t xml:space="preserve">Jose Roberto Herrera Vergara </t>
  </si>
  <si>
    <t>Jesus Serrano Ochoa</t>
  </si>
  <si>
    <r>
      <rPr>
        <b/>
        <sz val="7"/>
        <color indexed="10"/>
        <rFont val="Arial"/>
        <family val="2"/>
      </rPr>
      <t>Terminado por conciliación</t>
    </r>
    <r>
      <rPr>
        <sz val="7"/>
        <color indexed="10"/>
        <rFont val="Arial"/>
        <family val="2"/>
      </rPr>
      <t>.</t>
    </r>
    <r>
      <rPr>
        <sz val="7"/>
        <rFont val="Arial"/>
        <family val="2"/>
      </rPr>
      <t xml:space="preserve"> Fecha fallo Juzgado 2° Adjunto al 9° Lab. el 30-07-2010 a las 4:35 pm. </t>
    </r>
    <r>
      <rPr>
        <b/>
        <sz val="7"/>
        <rFont val="Arial"/>
        <family val="2"/>
      </rPr>
      <t>(Aplazada)</t>
    </r>
    <r>
      <rPr>
        <sz val="7"/>
        <rFont val="Arial"/>
        <family val="2"/>
      </rPr>
      <t>. Nueva fecha 3T Interrogatorio de partes y testigos el 15-06-2010 a las 9:00 am. Enviado al Juzgado 2° Laboral ADJUNTO al 9° Laboral. 3T Interrogatorio de partes y testigos el 26-08-2010 a las 9:00 am. Continuación 2T el 22-01-2010 a las 9:00 AM. 2T el 01-07-2009 a las 9:00 AM Testigos. 1T. Conciliación el 01-12-2008 a las 10:00 AM.</t>
    </r>
  </si>
  <si>
    <r>
      <rPr>
        <b/>
        <sz val="7"/>
        <color indexed="10"/>
        <rFont val="Arial"/>
        <family val="2"/>
      </rPr>
      <t>Terminado por conciliación</t>
    </r>
    <r>
      <rPr>
        <sz val="7"/>
        <color indexed="10"/>
        <rFont val="Arial"/>
        <family val="2"/>
      </rPr>
      <t>.</t>
    </r>
    <r>
      <rPr>
        <sz val="7"/>
        <rFont val="Arial"/>
        <family val="2"/>
      </rPr>
      <t xml:space="preserve"> Fecha fallo Juzgado 2° Adjunto al 9° Lab. el 30-07-2010 a las 4:35 pm. (Aplazada). Fecha fallo Juzgado 2° Adjunto al 9° Lab. el 30-07-2010 a las 4:35 pm. Nueva fecha 3T Interrogatorio de partes y testigos el 15-06-2010 a las 9:00 am. Enviado al Juzgado 2° Laboral ADJUNTO al 9° Laboral. 3T Interrogatorio de partes y testigos el 26-08-2010 a las 9:00 am. Continuación 2T el 22-01-2010 a las 9:00 AM. 2T el 01-07-2009 a las 9:00 AM Testigos. 1T. Conciliación el 01-12-2008 a las 10:00 AM.</t>
    </r>
  </si>
  <si>
    <r>
      <rPr>
        <b/>
        <sz val="7"/>
        <color indexed="10"/>
        <rFont val="Arial"/>
        <family val="2"/>
      </rPr>
      <t>Terminado por conciliación.</t>
    </r>
    <r>
      <rPr>
        <sz val="7"/>
        <rFont val="Arial"/>
        <family val="2"/>
      </rPr>
      <t xml:space="preserve"> Fecha fallo 1a. instancia el 23-11-2010 a las 4:00 pm.  2T Interrogatorio de partes el 14-07-2010 a las 8:30 am. 1T Conciliación 25-02-2010 a las 3:30 PM.</t>
    </r>
  </si>
  <si>
    <r>
      <rPr>
        <b/>
        <sz val="7"/>
        <color indexed="10"/>
        <rFont val="Arial"/>
        <family val="2"/>
      </rPr>
      <t>Terminado por conciliación.</t>
    </r>
    <r>
      <rPr>
        <sz val="7"/>
        <rFont val="Arial"/>
        <family val="2"/>
      </rPr>
      <t xml:space="preserve"> 1T Conciliación el 14-09-2010 a las 9:00 am.</t>
    </r>
  </si>
  <si>
    <r>
      <rPr>
        <b/>
        <sz val="7"/>
        <color indexed="10"/>
        <rFont val="Arial"/>
        <family val="2"/>
      </rPr>
      <t>Terminado por conciliación.</t>
    </r>
    <r>
      <rPr>
        <sz val="7"/>
        <rFont val="Arial"/>
        <family val="2"/>
      </rPr>
      <t xml:space="preserve"> Continuación 3T el 07-10-2010 a las 11:00 am espera Despacho Comisorio. 3T el 19-08-2010 a las 11.00 am. testimonio y espera Despacho Comisorio. Continuación 2T el 01-06-2010 a las 8:15 am testigos del demandante. 2T Interrogatorio de partes el 04-05-2010 a las 9:15 am. 1T Conciliación el 12-04-2010 a las 10:14 am. El 21-01-2010 se contestó la demanda. El 06-11-2009 se recibió citatorio y el 04-12-2009 se envían documentos al Abogado.</t>
    </r>
  </si>
  <si>
    <r>
      <rPr>
        <b/>
        <sz val="7"/>
        <color indexed="10"/>
        <rFont val="Arial"/>
        <family val="2"/>
      </rPr>
      <t>Terminado por conciliación.</t>
    </r>
    <r>
      <rPr>
        <sz val="7"/>
        <rFont val="Arial"/>
        <family val="2"/>
      </rPr>
      <t xml:space="preserve"> 2T Interrogatorio de partes y 01 testigo el 25-01-2011 a las 8:30 am. 1T Conciliación el 06-10-2010 a las 10:30 am.</t>
    </r>
  </si>
  <si>
    <r>
      <rPr>
        <b/>
        <sz val="7"/>
        <color indexed="10"/>
        <rFont val="Arial"/>
        <family val="2"/>
      </rPr>
      <t>Terminado por conciliación por parte de Aplicamos Ltda.</t>
    </r>
    <r>
      <rPr>
        <sz val="7"/>
        <rFont val="Arial"/>
        <family val="2"/>
      </rPr>
      <t xml:space="preserve"> 1T Conciliación el 26-01-2011 a las 8:30 am.</t>
    </r>
  </si>
  <si>
    <r>
      <t xml:space="preserve">Se presentó memorial de </t>
    </r>
    <r>
      <rPr>
        <b/>
        <sz val="7"/>
        <color indexed="10"/>
        <rFont val="Arial"/>
        <family val="2"/>
      </rPr>
      <t>desistimiento</t>
    </r>
    <r>
      <rPr>
        <sz val="7"/>
        <rFont val="Arial"/>
        <family val="2"/>
      </rPr>
      <t xml:space="preserve"> por parte del ddante. el 15-04-2011. 3T el 25-04-2011 a las 10:30 am. Testigos. 2T Interrogatorio de partes y testigos del ddado. el 11-04-2011 a la 1:30 pm. 1T Conciliación el 30-03-2011 a las 8:30 am. Contestada el 08-02-2011. Notificada el 26-01-2011.</t>
    </r>
  </si>
  <si>
    <r>
      <rPr>
        <b/>
        <sz val="7"/>
        <color indexed="10"/>
        <rFont val="Arial"/>
        <family val="2"/>
      </rPr>
      <t>Desistido por la ddante</t>
    </r>
    <r>
      <rPr>
        <sz val="7"/>
        <rFont val="Arial"/>
        <family val="2"/>
      </rPr>
      <t xml:space="preserve">. La exempleada pertenecía al mapa de cargos profesionales y por lo tanto no le aplicaba la convención colectiva. </t>
    </r>
  </si>
  <si>
    <r>
      <rPr>
        <b/>
        <sz val="7"/>
        <color indexed="10"/>
        <rFont val="Arial"/>
        <family val="2"/>
      </rPr>
      <t>Terminado por conciliación.</t>
    </r>
    <r>
      <rPr>
        <sz val="7"/>
        <rFont val="Arial"/>
        <family val="2"/>
      </rPr>
      <t xml:space="preserve"> 1T Conciliación el 29-06-2011 a las 10:00 am. Contestada el 24-05-2011. Notificada el 10-05-2011.</t>
    </r>
  </si>
  <si>
    <r>
      <rPr>
        <b/>
        <sz val="7"/>
        <color indexed="10"/>
        <rFont val="Arial"/>
        <family val="2"/>
      </rPr>
      <t>Terminado por conciliación.</t>
    </r>
    <r>
      <rPr>
        <sz val="7"/>
        <rFont val="Arial"/>
        <family val="2"/>
      </rPr>
      <t xml:space="preserve"> Nueva fecha 1T Conciliación el 08-07-2011 a las 2:00 pm. Nueva fecha 1T Conciliación el 23-06-2011 a las 3:30 pm. en el </t>
    </r>
    <r>
      <rPr>
        <b/>
        <sz val="7"/>
        <rFont val="Arial"/>
        <family val="2"/>
      </rPr>
      <t>Juzgado 2° Adjunto</t>
    </r>
    <r>
      <rPr>
        <sz val="7"/>
        <rFont val="Arial"/>
        <family val="2"/>
      </rPr>
      <t xml:space="preserve"> al 12 Laboral. 1T Conciliación el 10-02-2011 a las 2:30 pm. (Aplazada por permiso del Juez)</t>
    </r>
  </si>
  <si>
    <r>
      <rPr>
        <b/>
        <sz val="7"/>
        <color indexed="10"/>
        <rFont val="Arial"/>
        <family val="2"/>
      </rPr>
      <t>Terminado por conciliación y retiro del empleado del Banco el 31-05-2011.</t>
    </r>
    <r>
      <rPr>
        <sz val="7"/>
        <rFont val="Arial"/>
        <family val="2"/>
      </rPr>
      <t xml:space="preserve"> Fecha fallo 1a. Instancia el 09-06-2011 a las 4:30 pm. Continuación aud. 10-05-2011 a las 8:30 am. presentar a todos los testigos del Banco. Continuación aud. 13-04-2011 a las 8:30 am. Continuación aud. 22-03-2011 a la 1:30 pm. 1T Conciliación el 18-02-2011 a las 8:30 am</t>
    </r>
  </si>
  <si>
    <r>
      <rPr>
        <b/>
        <sz val="7"/>
        <color indexed="10"/>
        <rFont val="Arial"/>
        <family val="2"/>
      </rPr>
      <t>Terminado por conciliación</t>
    </r>
    <r>
      <rPr>
        <sz val="7"/>
        <rFont val="Arial"/>
        <family val="2"/>
      </rPr>
      <t xml:space="preserve"> el 23-08-2011. 1T Conciliación el 23-08-2011 a las 8:30 am. Remitido al </t>
    </r>
    <r>
      <rPr>
        <b/>
        <sz val="7"/>
        <rFont val="Arial"/>
        <family val="2"/>
      </rPr>
      <t>Juez 2° Adjunto</t>
    </r>
    <r>
      <rPr>
        <sz val="7"/>
        <rFont val="Arial"/>
        <family val="2"/>
      </rPr>
      <t xml:space="preserve"> al Juzgado 10 Laboral el 09-08-2011. Contestada el 09-07-2011.</t>
    </r>
  </si>
  <si>
    <r>
      <rPr>
        <b/>
        <sz val="7"/>
        <color indexed="10"/>
        <rFont val="Arial"/>
        <family val="2"/>
      </rPr>
      <t>Terminado por conciliación el 02-11-2011</t>
    </r>
    <r>
      <rPr>
        <sz val="7"/>
        <rFont val="Arial"/>
        <family val="2"/>
      </rPr>
      <t xml:space="preserve">. 1T Conciliación el 02-11-2011 a las 8:30 am. Enviado al </t>
    </r>
    <r>
      <rPr>
        <b/>
        <sz val="7"/>
        <rFont val="Arial"/>
        <family val="2"/>
      </rPr>
      <t>Juzgado 1° Adjunto</t>
    </r>
    <r>
      <rPr>
        <sz val="7"/>
        <rFont val="Arial"/>
        <family val="2"/>
      </rPr>
      <t xml:space="preserve"> al 17 Laboral. Contestada el 30-08-2011.</t>
    </r>
  </si>
  <si>
    <r>
      <rPr>
        <b/>
        <sz val="7"/>
        <color indexed="10"/>
        <rFont val="Arial"/>
        <family val="2"/>
      </rPr>
      <t>Terminado por desistimiento</t>
    </r>
    <r>
      <rPr>
        <sz val="7"/>
        <rFont val="Arial"/>
        <family val="2"/>
      </rPr>
      <t xml:space="preserve"> del demandante el 13-07-2006.</t>
    </r>
  </si>
  <si>
    <r>
      <rPr>
        <b/>
        <sz val="7"/>
        <color indexed="10"/>
        <rFont val="Arial"/>
        <family val="2"/>
      </rPr>
      <t>Desistido por el Banco.</t>
    </r>
    <r>
      <rPr>
        <sz val="7"/>
        <rFont val="Arial"/>
        <family val="2"/>
      </rPr>
      <t xml:space="preserve"> Continuación única aud. de trámite el 19-02-2009. 15 FEB 2007 9:30 AM CONT UNICA AUD TRÁMITE CON RECEPCIÓN DE TESTIMONIOS. .   Abril 5 de 2006  a la hora de las 9:30 a.m, continuación de la audiencia única de trámite con recepción de testimonios de la parte demandante..     mayo 12 de 2005 testimonios. 2005 03 03 recepcion testimonjos dddo.      La inspección judicial solicitada por el demandante en las oficinas del Banco es con el fin de "revisar la tarjeta de firmas del titular de la cuenta para comparar la firma con la impresa en el cheque pagado y constatar esa misma firma con la que aparece en el sistema..."..     Dddo. Presentó excepción previa de inepta demanda y s ela negaron, apelaron el auto, -sin definir-  conoce el m.p. Dr. Miguel A. Noriega desde agosto de 2.002</t>
    </r>
  </si>
  <si>
    <r>
      <t xml:space="preserve">El 13-09-2007 el juzgado de conocimiento </t>
    </r>
    <r>
      <rPr>
        <b/>
        <sz val="7"/>
        <rFont val="Arial"/>
        <family val="2"/>
      </rPr>
      <t>ordenó el</t>
    </r>
    <r>
      <rPr>
        <sz val="7"/>
        <rFont val="Arial"/>
        <family val="2"/>
      </rPr>
      <t xml:space="preserve"> </t>
    </r>
    <r>
      <rPr>
        <b/>
        <sz val="7"/>
        <rFont val="Arial"/>
        <family val="2"/>
      </rPr>
      <t>archivo del expediente</t>
    </r>
    <r>
      <rPr>
        <sz val="7"/>
        <rFont val="Arial"/>
        <family val="2"/>
      </rPr>
      <t xml:space="preserve"> debido a que la contraparte no gestionó el proceso durante 06 meses continuos, en aplicación del Art. 17 de la ley 712 de 2001. Hasta la fecha no se ha notificado al Sr. Freddy Gentile demandado en este proceso, por lo cual no han señalado fecha para la 1T conciliación.  Se solicitó al Despacho archivar el proceso de acuerdo con la ley 712/01. Pendiente de notificar la dda al 3° Fredy Gentile</t>
    </r>
  </si>
  <si>
    <r>
      <rPr>
        <b/>
        <sz val="7"/>
        <color indexed="10"/>
        <rFont val="Arial"/>
        <family val="2"/>
      </rPr>
      <t>Terminado por conciliación.</t>
    </r>
    <r>
      <rPr>
        <sz val="7"/>
        <rFont val="Arial"/>
        <family val="2"/>
      </rPr>
      <t xml:space="preserve"> El 19-10-2011 se concilió el proceso y la terminación del contrato por mutuo acuerdo de las partes y el Juzgado le dió aprobación al acta. Aud. despacho comisorio Juzgado 19 Laboral de Med. el 24-10-2011. El sindicato se notificó el 06-05-2011, el juzgado señaló el 13-05-2011 para audiencia a la cual solo asistió el sindicato, por ello el proceso quedó a la espera a que el curador se posesione y conteste la demanda para luego señalar nuevamente fecha de audiencia.  El 17-02-2011 admitieron la demanda. El 15-02-2011 fue radicada la demanda. El 27-01-2011 se enviaron documentos al abogado.</t>
    </r>
  </si>
  <si>
    <r>
      <rPr>
        <b/>
        <sz val="7"/>
        <color indexed="10"/>
        <rFont val="Arial"/>
        <family val="2"/>
      </rPr>
      <t>Terminado por conciliación</t>
    </r>
    <r>
      <rPr>
        <sz val="7"/>
        <rFont val="Arial"/>
        <family val="2"/>
      </rPr>
      <t xml:space="preserve"> el 01-02-2012. Única audiencia el 01-02-2012 a las 9:00 am, se resuelve el litigio debido a la cuantía. Notificada el 12-01-2012.</t>
    </r>
  </si>
  <si>
    <r>
      <t xml:space="preserve">Fallo 1a. instancia el 31-10-2011 a las 4:00 pm. Nueva fecha 2T Interrogatorio de parte al representante del Banco y Testigos el 21-09-2011 a las 9:00 am. 2T Interrogatorio de parte al representante del Banco y Testigos el 22-06-2011 a las 9:00 am. 1T el 10-05-2011 a las 9:00 am. </t>
    </r>
    <r>
      <rPr>
        <b/>
        <sz val="7"/>
        <rFont val="Arial"/>
        <family val="2"/>
      </rPr>
      <t>testigos</t>
    </r>
    <r>
      <rPr>
        <sz val="7"/>
        <rFont val="Arial"/>
        <family val="2"/>
      </rPr>
      <t>. Enviado a Juez Adjunto el 17-03-2011. Nueva fecha 1T el 10-05-2011 a las 9:00 am. 1T el 03-03-2011 a las 8:30 am. La demanda se presentó el 03-12-2010.</t>
    </r>
  </si>
  <si>
    <r>
      <t xml:space="preserve">Corre traslado a las partes por 05 días para alegatos de conclusión el 29-09-2011. Concede recurso de apelación al ddante. el 16-08-2011. Avoca conocimiento y fija fecha fallo 1a. instancia el 29-07-2011 a las 4:30 pm. Enviado a </t>
    </r>
    <r>
      <rPr>
        <b/>
        <sz val="7"/>
        <rFont val="Arial"/>
        <family val="2"/>
      </rPr>
      <t>Juez Adjunto</t>
    </r>
    <r>
      <rPr>
        <sz val="7"/>
        <rFont val="Arial"/>
        <family val="2"/>
      </rPr>
      <t xml:space="preserve"> el 02-05-2011. Fecha fallo 1a. instancia el 16-08-2011 a las 4:30 pm. 4T Interrogatorio al ddado. el 29-11-2010 a las 11:00 am. 3T Interrogatorio al ddante. el 14-07-2010 a las 10:30 am. 2T el 03-05-2010 a las 10:00 AM. testimonios. 1T Conciliación el 26-10-2009. </t>
    </r>
  </si>
  <si>
    <r>
      <rPr>
        <b/>
        <sz val="7"/>
        <color indexed="10"/>
        <rFont val="Arial"/>
        <family val="2"/>
      </rPr>
      <t>Terminado por conciliación el 19-07-2012.</t>
    </r>
    <r>
      <rPr>
        <sz val="7"/>
        <rFont val="Arial"/>
        <family val="2"/>
      </rPr>
      <t xml:space="preserve"> 2T Interrogatorio al ddado. el 19-07-2012 a las 2:30 pm. El Tribunal negó la nulidad propuesta y el proceso ya llegó al juzgado el 27-04-2012 fecha en la cual la providencia de téngase en cuenta. Se encuentra en el Trib. Sup. de C/marca. para resolver apelación e incidente de nulidad propuesto. El juzgado mediante providencia del 17-06-2011 se decide la reposición contra el auto del 29-04-2011 que decidió la nulidad formulada por el Banco, el juzgado no lo repuso y concedió la apelación formulada por ambas partes en el efecto suspensivo. 1T el 04-05-2011 para audiencia de conciliación. Ante la desición del juzgado interpusimos nulidad por indebida notificación y el 08-04-2011 el juzgado corrió traslado del incidente de nulidad a la pasiva por el término de 3 días, se enviaron telegramas a la ddte. su apoderada y al Banco pero no a nuestra apoderada para que asistan a la audiencia,  1T Conciliación el 04-05-2011 a las 8:30 am. Por auto del 26-11-2010 el juzgado revocó el auto del 20-08-2010 y declaró con pleno valor y efecto el auto admisorio, consideró notificada por conducta concluyente la demanda a la parte demandada y reconoció personería a Xiomara Clavijo nuestra apoderada; la apoderada de la ddte. presentó dos escritos uno el 13-09-2011, es decir un día antes que el auto del 20-08-2010 fuera notificado por estado y otro escrito el 17-09-2010 allegando el traslado. Pediente 1T. A través de providencia notificada por Estado el día 14-09-2010, se declaró la nulidad a partir del auto del auto admisorio y se dispuso concederle a la parte actora 05 DÍAS HÁBILES para aportar el traslado de la demanda, so pena de rechazo. El término vencía el día 21-09-2010 según  aviso secretarial, el Juzgado fue nuevamente abierto el día 13 después de cambio de secretario. El 19-07-2010 llegó citatorio para notificación.</t>
    </r>
  </si>
  <si>
    <r>
      <rPr>
        <b/>
        <sz val="7"/>
        <color indexed="10"/>
        <rFont val="Arial"/>
        <family val="2"/>
      </rPr>
      <t>Terminado por conciliación el 24-07-2012.</t>
    </r>
    <r>
      <rPr>
        <sz val="7"/>
        <rFont val="Arial"/>
        <family val="2"/>
      </rPr>
      <t xml:space="preserve"> El 02-02-2012 se admite la demanda. El 18-11-2011 se presentó demanda en la oficina judicial de reparto. En noviembre/2011 se enviaron documentos al Abogado</t>
    </r>
  </si>
  <si>
    <r>
      <rPr>
        <b/>
        <sz val="7"/>
        <color indexed="10"/>
        <rFont val="Arial"/>
        <family val="2"/>
      </rPr>
      <t>Terminado por Conciliación.</t>
    </r>
    <r>
      <rPr>
        <sz val="7"/>
        <rFont val="Arial"/>
        <family val="2"/>
      </rPr>
      <t xml:space="preserve"> Nueva fecha 1T Conciliación el 21-08-2012 a las 8:30 am. 1T Conciliación el 06-08-2012 a las 2:00 pm (Aplazada). Avoca el conocimiento el </t>
    </r>
    <r>
      <rPr>
        <b/>
        <sz val="7"/>
        <rFont val="Arial"/>
        <family val="2"/>
      </rPr>
      <t>Juzgado 6° Laboral de Descongestión</t>
    </r>
    <r>
      <rPr>
        <sz val="7"/>
        <rFont val="Arial"/>
        <family val="2"/>
      </rPr>
      <t xml:space="preserve"> el 10-05-2012. Enviado a los </t>
    </r>
    <r>
      <rPr>
        <b/>
        <sz val="7"/>
        <rFont val="Arial"/>
        <family val="2"/>
      </rPr>
      <t>Juzgados de Descongestión</t>
    </r>
    <r>
      <rPr>
        <sz val="7"/>
        <rFont val="Arial"/>
        <family val="2"/>
      </rPr>
      <t>. Contestada el 15-02-2012. Notificada el 31-01-2012.</t>
    </r>
  </si>
  <si>
    <r>
      <rPr>
        <b/>
        <sz val="7"/>
        <color indexed="10"/>
        <rFont val="Arial"/>
        <family val="2"/>
      </rPr>
      <t>Terminado por desistimiento.</t>
    </r>
    <r>
      <rPr>
        <sz val="7"/>
        <rFont val="Arial"/>
        <family val="2"/>
      </rPr>
      <t xml:space="preserve"> EL 07-09-2011 se envió en apelación al Tribunal Superior de Santa Rosa de Viterbo. El juez denegó las pretensiones de la demandante. El 07-09-2011 a las 9:00 am audiencia para recepcionar testimonios y dictar fallo. El 09-08-2011 a las 9 am audiencia pruebas y fallo. Según informe de nov. de 2010 el proceso esta al despacho para notificar al ddado.  y que conteste. El 04-08-2010 nos informan que hasta la última semana de julio se admitió la demanda y esta semana se notificó al demandado y al rep. legal del sindicato para que contestaran la demanda. El 12-03-2010 se envairon documentos al Abogado</t>
    </r>
  </si>
  <si>
    <r>
      <rPr>
        <b/>
        <sz val="7"/>
        <color indexed="10"/>
        <rFont val="Arial"/>
        <family val="2"/>
      </rPr>
      <t>Terminado por desistimiento.</t>
    </r>
    <r>
      <rPr>
        <sz val="7"/>
        <rFont val="Arial"/>
        <family val="2"/>
      </rPr>
      <t xml:space="preserve"> La demanda fue rechazada y nuestro Abogado interpuso recurso de apelación el cual está en el Tribunal de Santa Rosa de Viterbo el cual no lo ha resuelto. Se presentó demanda el 15-12-2011. En noviembre se enviaron documentos al Abogado.</t>
    </r>
  </si>
  <si>
    <t>Rosa Helena Lozano (JRH)</t>
  </si>
  <si>
    <r>
      <t xml:space="preserve">Fecha fallo 2a. instancia el 30-08-2012. La sentencia subió al Tribunal en el grado jurisdiccional de Consulta. El 30-03-2012 a las 5:00 pm se cita a audiencia para fallo. 1T Conciliación el 30-11-2011 a las 3:00 pm. Envía a </t>
    </r>
    <r>
      <rPr>
        <b/>
        <sz val="7"/>
        <rFont val="Arial"/>
        <family val="2"/>
      </rPr>
      <t>Juez Adjunto</t>
    </r>
    <r>
      <rPr>
        <sz val="7"/>
        <rFont val="Arial"/>
        <family val="2"/>
      </rPr>
      <t xml:space="preserve"> el 22-09-2011. Notificada el 28-07-2011. El 14-07-2011 se enviaron documentos al abogado.</t>
    </r>
  </si>
  <si>
    <r>
      <rPr>
        <b/>
        <sz val="7"/>
        <color indexed="10"/>
        <rFont val="Arial"/>
        <family val="2"/>
      </rPr>
      <t>Terminado por Desistimiento del demandante.</t>
    </r>
    <r>
      <rPr>
        <sz val="7"/>
        <rFont val="Arial"/>
        <family val="2"/>
      </rPr>
      <t xml:space="preserve"> 1T Conciliación el 03-05-2010, se llamó en garantía al ISS. Se contestó la demanda el 24 de Febrero de 2010 </t>
    </r>
  </si>
  <si>
    <t>José Roberto Herrera Vergara  (María Clara Buitrago)</t>
  </si>
  <si>
    <r>
      <t xml:space="preserve">El 21-09-2010 se declara </t>
    </r>
    <r>
      <rPr>
        <b/>
        <sz val="7"/>
        <rFont val="Arial"/>
        <family val="2"/>
      </rPr>
      <t>desierto el recurso por falta de sustentación</t>
    </r>
    <r>
      <rPr>
        <sz val="7"/>
        <rFont val="Arial"/>
        <family val="2"/>
      </rPr>
      <t>. Corre traslado al recurrente del 22-07-2010 al 02-09-2010 . Desde el 19-05-2010 está al despacho en la Corte  para admisión. El 22-09-2009 fue enviado al Tribunal por apelación de la sentencia. El 10-09-2009 se profiere sentencia absolutoria. El 04-08-2009 llegó el proceso del Tribunal confirmando auto del 1603-2009. Concede recurso de apelación al ddante. por negarse el Juzgado a decretar la prueba testimonial, ya que los testigos estaban presentes en la aud. y su testimonio iba a estar "contaminado". 1T Conciliación el 16-03-2009 a las 9:00 AM</t>
    </r>
  </si>
  <si>
    <r>
      <rPr>
        <b/>
        <sz val="7"/>
        <rFont val="Arial"/>
        <family val="2"/>
      </rPr>
      <t>Terminado por conciliación</t>
    </r>
    <r>
      <rPr>
        <sz val="7"/>
        <rFont val="Arial"/>
        <family val="2"/>
      </rPr>
      <t xml:space="preserve"> el 15-09-2010 por parte de la la EEBB con la ddante. El 9 de marzo de 2010 se contestó la demanda,  25 de enero de 2010 llegó citatorio</t>
    </r>
  </si>
  <si>
    <r>
      <t xml:space="preserve">El 14-09-2010 se declaró </t>
    </r>
    <r>
      <rPr>
        <b/>
        <sz val="7"/>
        <rFont val="Arial"/>
        <family val="2"/>
      </rPr>
      <t>desierto el recurso de casación</t>
    </r>
    <r>
      <rPr>
        <sz val="7"/>
        <rFont val="Arial"/>
        <family val="2"/>
      </rPr>
      <t xml:space="preserve"> en la Corte. El 24-08-2009 se envía poder a José Roberto, somos opositores. El 23-07-2009 el recurrente retira el expediente. El 15-04-2009 a  Despacho. Pendiente respuesta del ISS a oficios.  demanda contestada el  7 de junio de 2.007. </t>
    </r>
  </si>
  <si>
    <r>
      <t xml:space="preserve">El 23-04-2012 aprueba liquidación de costas y ordena el archivo. El 14-03-2012 </t>
    </r>
    <r>
      <rPr>
        <b/>
        <sz val="7"/>
        <rFont val="Arial"/>
        <family val="2"/>
      </rPr>
      <t>devuleto al juzgado de origen</t>
    </r>
    <r>
      <rPr>
        <sz val="7"/>
        <rFont val="Arial"/>
        <family val="2"/>
      </rPr>
      <t>. El 05-03-2012 la ddte. presenta recurso extraordinario de casación. Fallo 2a. instancia el 31-01-2012. Enviado a los Magistrados de Descongestión el 11-04-2011 (Mag. Rodrigo Avalos Ospina). Corre traslado a las partes por 05 días para alegatos el 21-01-2010. Concede apelación al ddante. 11-11-2009. Fija fecha fallo 1a. instancia el 30-10-2009 a las 4:00 pm. Aud. respuesta oficio el 13-10-2009 a las 10:00 am. 07-09-2009 aud. respuesta oficios 9:00 am. 2T Interrogatorio de parte al demandante 10-06-2009 a las 8:15 am. 1T Conciliación el 04-06-2009 a las 11:00 am. Contestada la demanda el 29-04-2009.</t>
    </r>
  </si>
  <si>
    <r>
      <t xml:space="preserve">Se declaró </t>
    </r>
    <r>
      <rPr>
        <b/>
        <sz val="7"/>
        <rFont val="Arial"/>
        <family val="2"/>
      </rPr>
      <t>probada la excepción previa  de ineptitud de la demanda</t>
    </r>
    <r>
      <rPr>
        <sz val="7"/>
        <rFont val="Arial"/>
        <family val="2"/>
      </rPr>
      <t>. Fue enviado en descongestión a Bogotá y correspondió al  Dr. Isa Rafael Ulloque. Por telegrama del 03-02-2012 el Tribunal de Tunja nos informa que el proceso fue enviado al Trib. Sup. de Bogotá en Descongestión para resolver las excepciones previas. Fecha fallo 1a. instancia el 06-10-2011 a las 4:00 pm siempre y cuando el Tribunal haya resuelto las excepciones. Pendiente 1T. El 15-09-2010 se contestó la demanda. El 01-09-2010 llegó citatorio para notificación.</t>
    </r>
  </si>
  <si>
    <r>
      <t xml:space="preserve">Condena al </t>
    </r>
    <r>
      <rPr>
        <b/>
        <sz val="7"/>
        <rFont val="Arial"/>
        <family val="2"/>
      </rPr>
      <t>ISS</t>
    </r>
    <r>
      <rPr>
        <sz val="7"/>
        <rFont val="Arial"/>
        <family val="2"/>
      </rPr>
      <t xml:space="preserve"> a pagar la pensión de sobrevivientes.</t>
    </r>
  </si>
  <si>
    <r>
      <t xml:space="preserve">Proceso </t>
    </r>
    <r>
      <rPr>
        <b/>
        <sz val="7"/>
        <color indexed="10"/>
        <rFont val="Arial"/>
        <family val="2"/>
      </rPr>
      <t>desistido</t>
    </r>
    <r>
      <rPr>
        <sz val="7"/>
        <rFont val="Arial"/>
        <family val="2"/>
      </rPr>
      <t xml:space="preserve"> conjuntamente en abril/2012 toda vez que el empleado llegó a un acuerdo de terminación del contrato con el Banco. El día 12 de Febrero de 2008 se llevó a cabo interrogatorio de parte al funcionario Jose Daniel Gutiérrez en la ciudad de Santa Marta por parte del abogado Carlos Valega. El día 27 de Febrero de 2008 se llevó a cabo el recepcionamiento de los testimonios de Daniel Méndez realizado en el juzgado 8° Laboral del Cto de Barranquilla a través de despacho comisiorio. Se fijó 1°Audiencia de trámite para el 01 de Febrero de 2007 a las 3:00 p.m .Se concedió recurso de apelación en contra del auto que decretó la acumulación de los procesos, pendiente de fecha para resolver en el tribunal. Se presentó demanda el 21 de Junio de 2005 y se admitió el 01 de Julio de 2005. Se señaló Audiencia de conciliación para el 01 de Marzo de 2006 a las 3:00 p.m.</t>
    </r>
  </si>
  <si>
    <t>Tomas Cassiani Miranda</t>
  </si>
  <si>
    <r>
      <t xml:space="preserve">Fecha fallo 2a instancia el 15-03-2013 a las 5:00 pm. Fecha fallo 1a. instancia el 16-07-2012 a las 4:00 pm. 4T aud. incidental el 09-04-2012 a las 10:30 am en la cual se dará traslado a las partes del escrito de aclaración del dictamen pericial. El 27-01-2012 avoca el conocimiento el </t>
    </r>
    <r>
      <rPr>
        <b/>
        <sz val="7"/>
        <rFont val="Arial"/>
        <family val="2"/>
      </rPr>
      <t>Juzgado 4° Laboral de Descongestión</t>
    </r>
    <r>
      <rPr>
        <sz val="7"/>
        <rFont val="Arial"/>
        <family val="2"/>
      </rPr>
      <t xml:space="preserve">. El 17-01-2012 se envía a los Juzgados de Descongestión. El 15-12-2011 se devuelve el exp. al Juzgado de origen para que continúe el trámite.  14-12-2011 se requiere a la perito para que complemente el dictamen. 27-05-2011 corre traslado por 03 días del dictamen pericial solicitado por el ddante. 3T el 24-05-2011 a las 3:30 pm. testigos del ddante. 2T Interrogatorio de partes (Juzgado </t>
    </r>
    <r>
      <rPr>
        <b/>
        <sz val="7"/>
        <rFont val="Arial"/>
        <family val="2"/>
      </rPr>
      <t>1° Adjunto</t>
    </r>
    <r>
      <rPr>
        <sz val="7"/>
        <rFont val="Arial"/>
        <family val="2"/>
      </rPr>
      <t xml:space="preserve"> al 6° Laboral) el 11-04-2011 a las 9:00 am. Continuación 1T Conciliación el 29-11-2010 a las 9:00 am. Trib. revoca y ordena seguir adelante con el trámite 22-07-2010. Nueva fecha fallo 2a. instancia el 16-07-2010 a las 4:00 pm. Fallo 2a. instancia el 02-07-2010 a las 4:00 pm. Concede recurso de apelación al ddante. 12-06-2009. Juzgado declaró probadas las excepciones de cosa juzgada y prescripción poniéndole fin al proceso. 1T Conciliación el 03-06-2009 a las 2:30 PM</t>
    </r>
  </si>
  <si>
    <r>
      <t xml:space="preserve">Fecha fallo 2a. instancia el 30-08-2013 a las 4:00 pm. Radicado en el Trib. Sup. el 27-11-2012. Nueva fecha fallo 1a. instancia el 14-09-2012 a las 4:45 pm. Nueva fecha fallo 1a. instancia el 31-08-2012 a las 4:45 pm (Aplazado). Fecha fallo 1a. Instancia el 31-07-2012 a las 4:45 pm (Aplazado). 1T Conciliación el 14-06-2012 a las 11:00 am </t>
    </r>
    <r>
      <rPr>
        <b/>
        <sz val="7"/>
        <rFont val="Arial"/>
        <family val="2"/>
      </rPr>
      <t>Juzgado 9° Laboral de Descongestión</t>
    </r>
    <r>
      <rPr>
        <sz val="7"/>
        <rFont val="Arial"/>
        <family val="2"/>
      </rPr>
      <t>. Se contestó el 28-03-2012. Se notificó el 14-03-2012. Llegó citación para notificación el 02-03-2012.</t>
    </r>
  </si>
  <si>
    <r>
      <t xml:space="preserve">El 31-10-2013 la CSJ aprueba la transacción y declara terminado el proceso. Terminado por </t>
    </r>
    <r>
      <rPr>
        <b/>
        <sz val="7"/>
        <rFont val="Arial"/>
        <family val="2"/>
      </rPr>
      <t>conciliación</t>
    </r>
    <r>
      <rPr>
        <sz val="7"/>
        <rFont val="Arial"/>
        <family val="2"/>
      </rPr>
      <t xml:space="preserve"> el 18-10-2013. El 20-02-2013 al Despacho para fallo. El 15-02-2013 Recibida oposición suscrita por el Dr. JUAN HERRERA GAVIRIA apoderado del ddante.  El 22-01-2013 Califica demanda y corre traslado al opositor. El 20-11-2012 Recibido expediente con demanda suscrita por el Apoderado de BANCOLOMBIA. El 23-10-2012 Inicia traslado al recurrente. El 16-10-2012 Amite recurso y corre traslado. Enviado a la CJS el 30-08-2012. Trib. Sup. concede recurso de casación al ddado. el 21-08-2012. Nueva fecha fallo 2a. instancia el 05-07-2012 a las 4:00 pm. Fecha fallo 2a. instancia el 28-06-2012 a las 3:00 pm (Aplazada). Aud. 08-11-2011 a las 3:30 pm declaración del Perito y fallo 1a. instancia. Se posesiona perito Psicólogo solicitado por el ddante. el 17-06-2011. </t>
    </r>
    <r>
      <rPr>
        <b/>
        <sz val="7"/>
        <rFont val="Arial"/>
        <family val="2"/>
      </rPr>
      <t>Aplazado fallo</t>
    </r>
    <r>
      <rPr>
        <sz val="7"/>
        <rFont val="Arial"/>
        <family val="2"/>
      </rPr>
      <t>. Fecha fallo 1a. instancia el 20-06-2011 a la 1:15 pm. 2T el 22-03-2011 a las 9:00 am (Testigos). 1T Conciliación 08-02-2011 a las 8:30 am; es posible que se practique toda la prueba por ser de Oralidad. El 28-10-2010 se contestó la demanda.</t>
    </r>
  </si>
  <si>
    <r>
      <t xml:space="preserve">Fecha fallo 2a. instancia el 30-04-2013. Fecha fallo 1a. instancia el 30-11-2012. Avoca el conocimiento el Juzgado 3° Laboral de </t>
    </r>
    <r>
      <rPr>
        <b/>
        <sz val="7"/>
        <rFont val="Arial"/>
        <family val="2"/>
      </rPr>
      <t>Descongestión</t>
    </r>
    <r>
      <rPr>
        <sz val="7"/>
        <rFont val="Arial"/>
        <family val="2"/>
      </rPr>
      <t xml:space="preserve"> el 13-03-2012. 4T el 26-04-2012 a las 10:00 am Interrogatorio al ddante. Continuación 3T el 25-08-2011 a las 9:00 am. Testigos. Juzgado ordena Comisión a Medellín el 18-03-2011. 3T el 10-03-2011 a las 9:00 am. Testigos. 2T Interrogatorio de parte al ddado. el 07-10-2010 a las 9:00 am. 1T Conciliación el 16-07-2010 a las 9:00 am. Se contestó la demanda el 03-02-2010 </t>
    </r>
  </si>
  <si>
    <r>
      <t xml:space="preserve">Fecha fallo 2a. instancia el 30-04-2013. Fecha fallo 1a. instancia el 31-10-2012. Avoca conocimiento el </t>
    </r>
    <r>
      <rPr>
        <b/>
        <sz val="7"/>
        <rFont val="Arial"/>
        <family val="2"/>
      </rPr>
      <t>Juzgado 1° Laboral de Descongestión</t>
    </r>
    <r>
      <rPr>
        <sz val="7"/>
        <rFont val="Arial"/>
        <family val="2"/>
      </rPr>
      <t xml:space="preserve"> el 20-06-2012. Enviado a </t>
    </r>
    <r>
      <rPr>
        <b/>
        <sz val="7"/>
        <rFont val="Arial"/>
        <family val="2"/>
      </rPr>
      <t>Juez de Descongestión</t>
    </r>
    <r>
      <rPr>
        <sz val="7"/>
        <rFont val="Arial"/>
        <family val="2"/>
      </rPr>
      <t xml:space="preserve"> el 27-04-2011. Continuación 3T el 09-06-2011 a las 9:00 am en espera de respuesta oficios. Continuación 3T el 12-04-2011 a las 8:30 am. Pendiente 1T Conciliación. Se contestó la demanda el 03 de marzo de 2010.</t>
    </r>
  </si>
  <si>
    <t>Beatriz Vélez Vengoechea</t>
  </si>
  <si>
    <r>
      <t xml:space="preserve">Fecha fallo 2a. instancia el 26-07-2013. Enviado a los Magistrados de </t>
    </r>
    <r>
      <rPr>
        <b/>
        <sz val="7"/>
        <rFont val="Arial"/>
        <family val="2"/>
      </rPr>
      <t>Descongestión</t>
    </r>
    <r>
      <rPr>
        <sz val="7"/>
        <rFont val="Arial"/>
        <family val="2"/>
      </rPr>
      <t xml:space="preserve"> el 05-06-2013. Fecha fallo 1a. instancia el 29-01-2013. 1T Conciliación el 31-10-2011. Se contestó la demanda.</t>
    </r>
  </si>
  <si>
    <r>
      <rPr>
        <b/>
        <sz val="7"/>
        <color indexed="10"/>
        <rFont val="Arial"/>
        <family val="2"/>
      </rPr>
      <t>Terminado por conciliación</t>
    </r>
    <r>
      <rPr>
        <sz val="7"/>
        <rFont val="Arial"/>
        <family val="2"/>
      </rPr>
      <t xml:space="preserve"> el 07-11-2013. 1T Conciliación el 07-11-2013 a las 10:00 am. Contestada el 23-07-2013. Notificada el 10-07-2013.</t>
    </r>
  </si>
  <si>
    <r>
      <t xml:space="preserve">El 26-11-2013 devuelto al Despacho de origen. Fecha fallo 2a. instancia el 23-10-2013. Radicado en el Trib. Sup. el 04-12-2012. Nueva fecha 2T Interrogatorio de partes y testigos 26-11-2012 a la 9:00 am (Es posible que profiera fallo). 2T Interrogatorio de partes y testigos 18-09-2012 a la 1:30 pm (Es posible que profiera fallo) </t>
    </r>
    <r>
      <rPr>
        <b/>
        <sz val="7"/>
        <rFont val="Arial"/>
        <family val="2"/>
      </rPr>
      <t>Aplazada</t>
    </r>
    <r>
      <rPr>
        <sz val="7"/>
        <rFont val="Arial"/>
        <family val="2"/>
      </rPr>
      <t>. 1T Conciliación el 13-08-2012 a las 3:00 pm. Contestada el 13-07-2012. Notificada el 27-06-2012. Admite demanda el 12-04-2012.</t>
    </r>
  </si>
  <si>
    <r>
      <t xml:space="preserve">Fecha fallo 2a. instancia el 17-06-2013. El 23-01-2013 enviado al Trib. Sup. de </t>
    </r>
    <r>
      <rPr>
        <b/>
        <sz val="7"/>
        <rFont val="Arial"/>
        <family val="2"/>
      </rPr>
      <t>Descongestión</t>
    </r>
    <r>
      <rPr>
        <sz val="7"/>
        <rFont val="Arial"/>
        <family val="2"/>
      </rPr>
      <t xml:space="preserve"> de Santa Marta. El 15-08-2012 corre traslado a las partes para alegatos. Fecha fallo 1a. instancia el 09-07-2012. Pendiente 1T. El 12-04-2012 se recepcionaron los testimonios de Daniel Méndez y Milena Villamizar por parte del Banco, mediante despacho comisorio. Se contestó la demanda el día 14-12-2011.</t>
    </r>
  </si>
  <si>
    <r>
      <rPr>
        <b/>
        <sz val="7"/>
        <color indexed="10"/>
        <rFont val="Arial"/>
        <family val="2"/>
      </rPr>
      <t>Terminado por conciliación el 03-03-2014.</t>
    </r>
    <r>
      <rPr>
        <sz val="7"/>
        <rFont val="Arial"/>
        <family val="2"/>
      </rPr>
      <t xml:space="preserve"> 1T Conciliación el 03-03-2014 a las 9:30 am, decisión de excepciones previas, saneamiento, fijación del litigio y decreto de pruebas. Notificada el 07-11-2013.</t>
    </r>
  </si>
  <si>
    <r>
      <t xml:space="preserve">Por auto del 05-03-2014 el Tribunal acepta </t>
    </r>
    <r>
      <rPr>
        <b/>
        <sz val="7"/>
        <color indexed="10"/>
        <rFont val="Arial"/>
        <family val="2"/>
      </rPr>
      <t xml:space="preserve">desistimiento </t>
    </r>
    <r>
      <rPr>
        <sz val="7"/>
        <rFont val="Arial"/>
        <family val="2"/>
      </rPr>
      <t xml:space="preserve">y ordena la devolución del expediente al juzgado. </t>
    </r>
    <r>
      <rPr>
        <b/>
        <sz val="7"/>
        <color indexed="10"/>
        <rFont val="Arial"/>
        <family val="2"/>
      </rPr>
      <t>Desistido por fallo favorable en el Juzgado 4° Laboral de Cúcuta</t>
    </r>
    <r>
      <rPr>
        <sz val="7"/>
        <rFont val="Arial"/>
        <family val="2"/>
      </rPr>
      <t>. En razón al fallo de 2a. instancia definitivo proferido en el proceso adelantado en el juzgado 4° laboral, el 04-03-2014 se presentó ante el Tribunal desistimiento del recurso de apelación presentado contra la sentencia de 1a. instancia adjuntando copia de la carta de despido del ddado. Por auto notificado el 18-02-2014. Radicado en el Trib. el 18-12-2013. Fecha fallo 1a. instancia el 25-11-2013 a las 3:00 pm. El 15-10-2013 a las 9:00 am testigos del Banco. 2T el 16-09-2013 a las 3:00 pm testimonios del Banco. La audiencia del 03-09-2013 no se realizó porque no había llegado respuesta al oficio del Ministerio de Trabajo con el depósito de la convención. 1T el 31-07-2013 a las 3:00 pm para audiencia en la cual deberán asistir las partes y los testigos. El 16-07-2013 se notificó al demandado de la demanda. El 10-07-2013 se radicó demanda en la oficina de reparto judicial.</t>
    </r>
  </si>
  <si>
    <t>2011</t>
  </si>
  <si>
    <t>Manuel Pérez Díaz</t>
  </si>
  <si>
    <r>
      <t xml:space="preserve">El apoderado del Bco. apeló pero </t>
    </r>
    <r>
      <rPr>
        <b/>
        <sz val="7"/>
        <rFont val="Arial"/>
        <family val="2"/>
      </rPr>
      <t>desistirá</t>
    </r>
    <r>
      <rPr>
        <sz val="7"/>
        <rFont val="Arial"/>
        <family val="2"/>
      </rPr>
      <t xml:space="preserve"> de la misma en consideración al vr. de la condena y que la ddante. no apeló. 2T el 04-12-2013 práctica de pruebas y fallo. Se contestó la demanda, y el Juzgado programó audiencia de conciliación donde asistió el representante legal (Aura Elena Escudero), quien es la Gerente de la Sucursal Montería Principal. En dicha audiencia NO se concilió las pretensiones de la demandante, razón por la cual se continuará el trámite con las demás etapas del proceso.</t>
    </r>
  </si>
  <si>
    <r>
      <t xml:space="preserve">El 18-02-2014 regresa el proceso del Tribunal al Juzgado. </t>
    </r>
    <r>
      <rPr>
        <b/>
        <sz val="7"/>
        <rFont val="Arial"/>
        <family val="2"/>
      </rPr>
      <t>Trib. de Descongestión</t>
    </r>
    <r>
      <rPr>
        <sz val="7"/>
        <rFont val="Arial"/>
        <family val="2"/>
      </rPr>
      <t xml:space="preserve"> señala fecha fallo 2a. instancia el 29-11-2013 a las 4:00 pm. Al Despacho para fallo el 19-09-2012. Fecha fallo 1a. instancia el 29-06-2012. Mediante oficio del 11-04-2012 se informa que el proceso correspondió al Juzgado 14 Laboral de Descongestión. Enviado a Juzgados de Descongestión el 16-01-2012. Nueva fecha fallo 1a. instancia el 13-12-2011 a las 4:00 pm. Nueva fecha fallo 1a. instancia el 30-11-2011 a las 4:00 pm. Fecha fallo 1a. Instancia el 28-10-2011 a las 3:00 pm. 2T el 27-04-2011 a las 10:30 am. Testigo. 1T Conciliación el 09-02-2011 a las 9:30 am. El 22-10-2010 se contestó la demanda. El 10-09-2010 llegó citatorio para notificación.</t>
    </r>
  </si>
  <si>
    <r>
      <t xml:space="preserve">El 30-01-2014 se ordena archivo del proceso. Fallo 2a. instancia el 19-11-2013. El 06-08-2013 envía exp. en consulta al Trib. Sup. 2T el 31-07-2013 a las 4:00 pm, declara probada la excepción de Cosa Juzgada. El 12-02-2013 auto pone en conocimiento. Ordena librar oficio; se notifica el 04-12-2012 por paro judicial. Aud. de trámite el 21-06-2102 incorporó documentos y se requirió al Banco para allegar la prueba de la cosa juzgada. 1T Conciliación el 17-05-2012. El  20-02-2012 se envía al  proceso al Juzgado de </t>
    </r>
    <r>
      <rPr>
        <b/>
        <sz val="7"/>
        <rFont val="Arial"/>
        <family val="2"/>
      </rPr>
      <t>Descongestión</t>
    </r>
    <r>
      <rPr>
        <sz val="7"/>
        <rFont val="Arial"/>
        <family val="2"/>
      </rPr>
      <t xml:space="preserve"> Laboral en Armenia. 1T el 21-10-2011 a las 8:30 am, pendiente prueba de cosa juzgada de los Juzgados 14 y 15 del Circuito de Bogotá. 1T Conciliación el 30-09-2011 (Suspendida). El 17-11-2010 se contestó la demanda. El 17-09-2010 llegó citatorio para notificación.</t>
    </r>
  </si>
  <si>
    <r>
      <rPr>
        <b/>
        <sz val="7"/>
        <color indexed="10"/>
        <rFont val="Arial"/>
        <family val="2"/>
      </rPr>
      <t>Terminado por conciliación.</t>
    </r>
    <r>
      <rPr>
        <sz val="7"/>
        <rFont val="Arial"/>
        <family val="2"/>
      </rPr>
      <t xml:space="preserve"> El 10-07-2014 en esta audiencia las partes concilian y por lo tanto se da por terminado el proceso. Nueva fecha 3T  el 10-07-2014 a las 09:00 am, recepción de testimonios del ddante. 3T el 20-06-2014 a las 09:00 am aud. recepción testimonios del ddante (Aplazada). El 02-05-2014 el Juzgado 9° Laboral de Descongestión de Medellín, avoca el conocimiento del proceso. El 04-03-2014 se remite a reparto de los Jueces laborales de Descongestión de Medellín. El 31-01-2014 Confirma Auto. Nueva fecha de audiencia de decisión el 31-01-2014 a las 11:00 am. El 04-12-2013 el Trib. avoca conocimiento y corre traslado a las partes por el término de 05 días para presentar alegatos, y fija como fecha de audiencia de decisión el 16- 12-2013 a las 11:00 am. Radicado el 07-05-2013 en el Trib. Superior. El 26-04-2013 Auto pone en conocimiento de las partes que se remitió el proceso al Trib. Sup. de Medellín, Sala de Descongestión el 22-04-2013. 3T el 05-04-2013 a las 8:30 am Testigos (En esta audiencia se declaró no probado el incidente de nulidad de indebida notificación propuesta por los codemandados JOSÉ DARÍO ORTÍZ Y MUROS TECHOS S.A. El apoderado de los anteriores interpone recurso de reposición y en subsidio el de apelación. Resuelto el de reposición el Despacho confirma la decisión y concede el recurso de apelación interpuesto). 2T Interrogatorio de parte el 18-03-2013 a las 8.30 am. 1T Conciliación el 05-03-2013 a las 8:30 am. El 25-09-2012 avoca conocimiento el </t>
    </r>
    <r>
      <rPr>
        <b/>
        <sz val="7"/>
        <rFont val="Arial"/>
        <family val="2"/>
      </rPr>
      <t>Juzgado 19 Laboral de Descongestión</t>
    </r>
    <r>
      <rPr>
        <sz val="7"/>
        <rFont val="Arial"/>
        <family val="2"/>
      </rPr>
      <t xml:space="preserve">. El 27-08-2012 enviado a los Juzgados de </t>
    </r>
    <r>
      <rPr>
        <b/>
        <sz val="7"/>
        <rFont val="Arial"/>
        <family val="2"/>
      </rPr>
      <t>Descongestión</t>
    </r>
    <r>
      <rPr>
        <sz val="7"/>
        <rFont val="Arial"/>
        <family val="2"/>
      </rPr>
      <t>. El 17-11-2011 se notificó el RL de Suramericana. El Juzgado llama en garantía a Suramericana de Seguros el 04-10-2011. Contestada el 30-09-2011.</t>
    </r>
  </si>
  <si>
    <r>
      <t xml:space="preserve">El 05-06-2014 el Banco interpone recurso de Casación. Fecha fallo 2a. instancia el 30-05-2014. El 27-05-2013 enviado a los </t>
    </r>
    <r>
      <rPr>
        <b/>
        <sz val="7"/>
        <rFont val="Arial"/>
        <family val="2"/>
      </rPr>
      <t>Magistrados de Descongestión</t>
    </r>
    <r>
      <rPr>
        <sz val="7"/>
        <rFont val="Arial"/>
        <family val="2"/>
      </rPr>
      <t xml:space="preserve">. El 30-01-2013 el apoderado del Banco presenta alegatos. Corre traslado a las partes para alegatos el 23-01-2013. Nueva fecha fallo 1a. instancia 12-06-2012 a las 4:30 pm. Nueva fecha fallo 1a. instancia 31-05-2012 a las 4:30 pm. Nueva fecha fallo 1a. instancia 30-04-2012 a las 4:30 pm (Aplazado). Nueva fecha fallo 1a. instancia 30-11-2011 a las 4:45 pm (Aplazado). Aplaza fallo 1a. instancia para el 31-10-2011. Fallo 1a. instancia el 30-09-2011 a las 4:45 pm. 4T el 01-09-2011 a las 2:00 pm. Testigos. 3T el 28-07-2011 a las 2:00 pm. Testigos. 2T Interrogatorio de partes el 05-07-2011 a las 2:00 pm. Nueva fecha 1T Conciliación el 24-05-2011 a las 2:00 pm. Enviado al </t>
    </r>
    <r>
      <rPr>
        <b/>
        <sz val="7"/>
        <rFont val="Arial"/>
        <family val="2"/>
      </rPr>
      <t>Juzgado 2° Adjunto</t>
    </r>
    <r>
      <rPr>
        <sz val="7"/>
        <rFont val="Arial"/>
        <family val="2"/>
      </rPr>
      <t xml:space="preserve"> al 4° Laboral. 1T Conciliación el 06-07-2011 a las 10:30 am. Contestada el 14-02-2011. Notificada el 31-01-2011.</t>
    </r>
  </si>
  <si>
    <r>
      <t xml:space="preserve">Aud. </t>
    </r>
    <r>
      <rPr>
        <b/>
        <sz val="7"/>
        <color indexed="10"/>
        <rFont val="Arial"/>
        <family val="2"/>
      </rPr>
      <t>Única instancia</t>
    </r>
    <r>
      <rPr>
        <sz val="7"/>
        <rFont val="Arial"/>
        <family val="2"/>
      </rPr>
      <t xml:space="preserve"> el 07-10-2014 a las 9:00 am; en esta se presenta la contestación de la demanda, pruegas y fallo. El 26-08-2014 se enviaron documentos al Abogado. El 19-08-2014 se recibió citación para notificación.</t>
    </r>
  </si>
  <si>
    <r>
      <rPr>
        <b/>
        <sz val="7"/>
        <color indexed="10"/>
        <rFont val="Arial"/>
        <family val="2"/>
      </rPr>
      <t>Terminado por desistimiento</t>
    </r>
    <r>
      <rPr>
        <sz val="7"/>
        <rFont val="Arial"/>
        <family val="2"/>
      </rPr>
      <t xml:space="preserve">. El 20-10-2014 remite exp. al Juzgado de origen. El 02-10-2014 el Trib. aprueba el desistimiento. El 04-06-2013 Ordena envío a la Secretaría de esta sala con el fin de que sea repartido entre los dos nuevos Despachos de los </t>
    </r>
    <r>
      <rPr>
        <b/>
        <sz val="7"/>
        <rFont val="Arial"/>
        <family val="2"/>
      </rPr>
      <t>Magistrados de</t>
    </r>
    <r>
      <rPr>
        <sz val="7"/>
        <rFont val="Arial"/>
        <family val="2"/>
      </rPr>
      <t xml:space="preserve"> </t>
    </r>
    <r>
      <rPr>
        <b/>
        <sz val="7"/>
        <rFont val="Arial"/>
        <family val="2"/>
      </rPr>
      <t>Descongestión</t>
    </r>
    <r>
      <rPr>
        <sz val="7"/>
        <rFont val="Arial"/>
        <family val="2"/>
      </rPr>
      <t xml:space="preserve">. El 03-05-2013 Trib. avoca conocimiento y concede a las partes 05 días para presentar alegaciones si a bien lo tienen. El 04-03-2013 Desestima solicitud de nulidad elevada por el extremo activo de la litis (Concede el recurso de apelación en el efecto suspensivo y se ordena remisión del  proceso al Trib. Sup. de Medellín -Sala Laboral- para lo de su competencia). Aud. el 04-03-2013 a las 4:00 pm para resolver incidente de nulidad propuesto por el ddante. El 13-02-2013 Auto rodena correr traslado, se ordena incorporar al expediente el escrito presentado por la parte actora obrante de folios 407 a 409. SE CORRE TRASLADO DEL MISMO A LA ACCIONADA POR EL TÉRMINO LEGAL DE TRES DÍAS. 4T el 09-08-2012 a las 8:30 am. 3T el 04-07-2012 a las 9:00 am Testigos. 2T Interrogatorio de partes y un testigo el 09-05-2012 a las 8:30 am. 1T Conciliación el 10-04-2012 a las 10:30 am. Avoca el conocimiento el </t>
    </r>
    <r>
      <rPr>
        <b/>
        <sz val="7"/>
        <rFont val="Arial"/>
        <family val="2"/>
      </rPr>
      <t>Juzgado 6° Laboral de Descongestión</t>
    </r>
    <r>
      <rPr>
        <sz val="7"/>
        <rFont val="Arial"/>
        <family val="2"/>
      </rPr>
      <t xml:space="preserve"> el 08-03-2012. Enviado a los Juzgados de Descongestión el 16-01-2012. Notificada el 12-01-2012.</t>
    </r>
  </si>
  <si>
    <r>
      <rPr>
        <b/>
        <sz val="7"/>
        <color indexed="10"/>
        <rFont val="Arial"/>
        <family val="2"/>
      </rPr>
      <t>Terminado por conciliación</t>
    </r>
    <r>
      <rPr>
        <sz val="7"/>
        <rFont val="Arial"/>
        <family val="2"/>
      </rPr>
      <t xml:space="preserve">. 1T Conciliación el 11-11-2014 a las 9:00 am, fijación del litigio y decreto de pruebas. El 15-08-2014 inadmite contestación y otorga 05 días para cumplir requisitos. Notificada el 22-07-2014. </t>
    </r>
  </si>
  <si>
    <r>
      <t xml:space="preserve">El 11-03-2014 lectura de fallo de Descongestión. El 05-11-2013 notifican el envío del exp. al </t>
    </r>
    <r>
      <rPr>
        <b/>
        <sz val="7"/>
        <rFont val="Arial"/>
        <family val="2"/>
      </rPr>
      <t>Trib. Sup. de Descongestión</t>
    </r>
    <r>
      <rPr>
        <sz val="7"/>
        <rFont val="Arial"/>
        <family val="2"/>
      </rPr>
      <t xml:space="preserve"> de Sta. Marta. El 02-04-2013 el ddante. interpuso recurso de apelación pero por falta de sustentación fue declarado desierto y se fue a Consulta. Fallo 1a. instancia el 22-03-2013 a las 3:30 pm. Aud. el 19-02-2013 testimonio de Mauricio Crispín. Audiencia el 17-10-2012 a las 9:00 am para resolver objeciones al dictamen efectuadas por el apoderado de del ddante. (Aplazada por el paro). El 27-09-2012 se decide la objeción al dictamen , fecha para la cual el Banco deberá allegar al Juzgado los Programas de Prevención o Vigilancia Epidemiológica y el factor de riesgo Psicosocial que ofrece el sector financiero. En aud. del 04-09-2012 el apoderado del ddte. objetó el dictamen. Se libró Despacho Comisorio a Bogotá para testimonio de Jorge Sánchez pero el Abogado al 26-04-2012 no lo había remitido. Correspondió al </t>
    </r>
    <r>
      <rPr>
        <b/>
        <sz val="7"/>
        <rFont val="Arial"/>
        <family val="2"/>
      </rPr>
      <t>Juzgado 3° de Descongestión</t>
    </r>
    <r>
      <rPr>
        <sz val="7"/>
        <rFont val="Arial"/>
        <family val="2"/>
      </rPr>
      <t xml:space="preserve">. Enviado a los Juzgados de Descongestión el 01-02-2012 y por ende no se celebró la audiencia del 08-02-2012. Continuación 4T el 08-02-2012 a las 9:00 am para resolver objeción al dictamen de la Junta Regional de Calificación de Invalidez. Continuación 4T el 25-01-2012 a las 9:00 testimonios (Suspende). Continuación 4T el 22-11-2011 a las 9:00 am interrogatorio al RL de SURATEP y dos testigos del Banco (Suspende). Continuación 4T el 31-10-2011 a las 9:00 am Testigos ddante. (Suspende). 4T el 16-06-2011 a las 9:00 am. Interrogatorio de parte al ddado. y codemandados. 3T el 17-08-2010 testigos del demandante. 2T Interrogatorio al ddante. y testigos ddante. el 08-03-2010. Continuación 1T el 13-08-2009. 1T Conciliación 12-08-2009 suspendida.  </t>
    </r>
  </si>
  <si>
    <r>
      <rPr>
        <b/>
        <sz val="7"/>
        <color indexed="10"/>
        <rFont val="Arial"/>
        <family val="2"/>
      </rPr>
      <t>Terminado por desistimiento el 14-01-2015.</t>
    </r>
    <r>
      <rPr>
        <sz val="7"/>
        <rFont val="Arial"/>
        <family val="2"/>
      </rPr>
      <t xml:space="preserve"> El 14-01-2015 juzgado aprueba desistimiento. Desistido por el Banco por arreglo con el ex empleado. El 12-06-2014  Auto admite especial de fuero sindical-permiso para despedir y ordena notificar personalmente. Demanda presentada el 06-06-2014. El 20-05-2014 se enviaron documentos a los Abogados para el inicio del proceso.</t>
    </r>
  </si>
  <si>
    <r>
      <t xml:space="preserve">El 03-10-2013 remite expediente al Despacho de origen. El 26-06-2013 declara </t>
    </r>
    <r>
      <rPr>
        <b/>
        <sz val="7"/>
        <rFont val="Arial"/>
        <family val="2"/>
      </rPr>
      <t>desierto</t>
    </r>
    <r>
      <rPr>
        <sz val="7"/>
        <rFont val="Arial"/>
        <family val="2"/>
      </rPr>
      <t xml:space="preserve"> el recurso de casación. El 21-03-2013 al Despacho para admisión. El apoderado del ddte. interpuso recurso de casación. Fecha fallo 2a. instancia el 19-09-2012. Fecha fallo 1a. instancia el 16-07-2012 a las 2:30 pm. 1T Conciliación el 28-05-2012 a las 9:00 am. El 12-03-2012 se contestó la demanda. El 31-01-2012 llegó citatorio y el 07-02-2012 se enviaron documentos al Abogado.</t>
    </r>
  </si>
  <si>
    <r>
      <t xml:space="preserve">El 21-02-2013 al Despacho para fallo. Aud. respuesta oficios el 13-09-2012 a las 9:30 am. Enviado a Juzgados de </t>
    </r>
    <r>
      <rPr>
        <b/>
        <sz val="7"/>
        <rFont val="Arial"/>
        <family val="2"/>
      </rPr>
      <t>Descongestión</t>
    </r>
    <r>
      <rPr>
        <sz val="7"/>
        <rFont val="Arial"/>
        <family val="2"/>
      </rPr>
      <t xml:space="preserve"> el 05-07-2012. 4T el 24-11-2011 a las 8:15 am para testimonio de Oscar casallas y María Mercedes Ballén, queda pendiente evacuar las pruebas para que el Juzgado profiera fallo. Nueva fecha continuación 3T el 05-10-2011 a las 8:15 am prueba testimonial. Continuación 3T el 06-09-2011 a las 8:15 am Testigos ddada. 3T el 27-07-2011 a las 8:15 am para interrogatorio de parte a la ddte. 2T Interrogatorio al ddado. el 09-06-2011 a las 8:15 am. 1T Conciliación el 03-05-2011 a las 8 am. El 15-02-2011 se contestó la demanda. El 17-12-2010 llegó citatorio y el 28-12-2010 se enviaron documentos al abogado.</t>
    </r>
  </si>
  <si>
    <r>
      <rPr>
        <b/>
        <sz val="7"/>
        <color indexed="10"/>
        <rFont val="Arial"/>
        <family val="2"/>
      </rPr>
      <t>Terminado por desistimiento de la ddante. el 24-07-2015</t>
    </r>
    <r>
      <rPr>
        <sz val="7"/>
        <rFont val="Arial"/>
        <family val="2"/>
      </rPr>
      <t>. Nueva fecha 2T Interrogatorio de partes el 24-07-2015 a las 9:00 am; testigos y Fallo. 2T Interrogatorio de partes el 05-02-2015 a las 2:00 pm; testigos y Fallo (Aplazada). 1T Conciliación el 02-09-2014  a las 09:00 am; saneamiento, decisión de excepciones, fijación del litigio y decreto de pruebas. Contestada el 28-04-2014. Notificada el 07-04-2014. El 10-03-2014 llegó citatorio.</t>
    </r>
  </si>
  <si>
    <r>
      <t xml:space="preserve">Fecha fallo 2a. instancia el 26-03-2015 a las 4:30 pm. El 13-12-2013  Auto traslado de 05 días para alegatos. El 21-05-2013 enviado a los </t>
    </r>
    <r>
      <rPr>
        <b/>
        <sz val="7"/>
        <rFont val="Arial"/>
        <family val="2"/>
      </rPr>
      <t>Magistrados de Descongestión</t>
    </r>
    <r>
      <rPr>
        <sz val="7"/>
        <rFont val="Arial"/>
        <family val="2"/>
      </rPr>
      <t xml:space="preserve">. Radicado en el Tribunal Superior el 15-06-2012. Fallo 1a. instancia el 09-09-2011 a las 4:00 pm. Pendiente fallo hasta tanto no llegue respuesta al oficio enviado a Helm Trust solicitado por la ddante. Continuación 4T el 09-05-2011 a las 8:30 am testigo Banco. Nueva fecha 4T el 04-05-2011 a las 8:30 am en el </t>
    </r>
    <r>
      <rPr>
        <b/>
        <sz val="7"/>
        <rFont val="Arial"/>
        <family val="2"/>
      </rPr>
      <t>Juzgado</t>
    </r>
    <r>
      <rPr>
        <sz val="7"/>
        <rFont val="Arial"/>
        <family val="2"/>
      </rPr>
      <t xml:space="preserve"> </t>
    </r>
    <r>
      <rPr>
        <b/>
        <sz val="7"/>
        <rFont val="Arial"/>
        <family val="2"/>
      </rPr>
      <t>2°</t>
    </r>
    <r>
      <rPr>
        <sz val="7"/>
        <rFont val="Arial"/>
        <family val="2"/>
      </rPr>
      <t xml:space="preserve"> </t>
    </r>
    <r>
      <rPr>
        <b/>
        <sz val="7"/>
        <rFont val="Arial"/>
        <family val="2"/>
      </rPr>
      <t>Adjunto</t>
    </r>
    <r>
      <rPr>
        <sz val="7"/>
        <rFont val="Arial"/>
        <family val="2"/>
      </rPr>
      <t xml:space="preserve"> al 8° Laboral. Enviado al Juzgado 2° </t>
    </r>
    <r>
      <rPr>
        <b/>
        <sz val="7"/>
        <rFont val="Arial"/>
        <family val="2"/>
      </rPr>
      <t>Adjunto</t>
    </r>
    <r>
      <rPr>
        <sz val="7"/>
        <rFont val="Arial"/>
        <family val="2"/>
      </rPr>
      <t xml:space="preserve"> al 8° Laboral el 15-03-2011. 4T el 07-04-2011 a las 8:30 am. (Testigos). 3T el 01-03-2011 a las 8:30 am (Testigos). 2T Interrogatorio de partes el 11-11-2010 a las 8:30 am. 1T Conciliación el 22-09-2010 a la 1:30 pm</t>
    </r>
  </si>
  <si>
    <r>
      <rPr>
        <b/>
        <sz val="7"/>
        <color indexed="10"/>
        <rFont val="Arial"/>
        <family val="2"/>
      </rPr>
      <t>Terminado por conciliación el 08-09-2015.</t>
    </r>
    <r>
      <rPr>
        <sz val="7"/>
        <rFont val="Arial"/>
        <family val="2"/>
      </rPr>
      <t xml:space="preserve"> 1T Conciliación el 08-09-2015 a las 9:30 am; decisión de excepciones previas, saneamiento y fijación del litigio, decreto de pruebas y a continuación audiencia de trámite en la que se practicarán las pruebas decretadas y se presentarán alegatos de conclusión.  Notificada el 09-04-2015.</t>
    </r>
  </si>
  <si>
    <t>José Roberto Herrera</t>
  </si>
  <si>
    <r>
      <t xml:space="preserve">El 07-10-2015 el apoderado de la ddante. presenta </t>
    </r>
    <r>
      <rPr>
        <b/>
        <sz val="7"/>
        <rFont val="Arial"/>
        <family val="2"/>
      </rPr>
      <t>desistimiento</t>
    </r>
    <r>
      <rPr>
        <sz val="7"/>
        <rFont val="Arial"/>
        <family val="2"/>
      </rPr>
      <t xml:space="preserve"> del recurso de Casación. El 16-07-2015 el apoderado de la ddante. interpuso recurso de casación. Fecha fallo 2a. instancia el 30-06-2015. El 20-11-2013 corre traslado de 05 días para alegatos. El 23-05-2013 enviado a los </t>
    </r>
    <r>
      <rPr>
        <b/>
        <sz val="7"/>
        <rFont val="Arial"/>
        <family val="2"/>
      </rPr>
      <t>Magistrados de Descongestión</t>
    </r>
    <r>
      <rPr>
        <sz val="7"/>
        <rFont val="Arial"/>
        <family val="2"/>
      </rPr>
      <t xml:space="preserve">. Radicado en el Tribunal Superior el 31-07-2012. Fija fecha de fallo 1a. instancia el 10-02-2012 a las 4:00 pm. Juzgado de origen envía al </t>
    </r>
    <r>
      <rPr>
        <b/>
        <sz val="7"/>
        <rFont val="Arial"/>
        <family val="2"/>
      </rPr>
      <t>Juzgado 7° Laboral de Descongestión</t>
    </r>
    <r>
      <rPr>
        <sz val="7"/>
        <rFont val="Arial"/>
        <family val="2"/>
      </rPr>
      <t xml:space="preserve"> quien avocó su conocimiento 23-01-2012. Enviado el 14-12-2011 al Juzgado de origen para que programen fecha de fallo. Fallo 1a. instancia el 16-12-2011 a las 4:45 pm. Continuación 4T el 09-11-2011 a las 10:00 continuación del testimonio de Martha Ofelia Ramírez. 4T el 12-10-2011 a las 2:00 pm Testigos. 4T el 26-09-2011 a las 9:00 am Testigos (Aplazada). 3T el 21-07-2011 a las 2:00 pm Testigos. 2T Interrogatorio de partes y </t>
    </r>
    <r>
      <rPr>
        <b/>
        <sz val="7"/>
        <rFont val="Arial"/>
        <family val="2"/>
      </rPr>
      <t>testigos</t>
    </r>
    <r>
      <rPr>
        <sz val="7"/>
        <rFont val="Arial"/>
        <family val="2"/>
      </rPr>
      <t xml:space="preserve"> el 13-05-2011 a las 9:00 am en el Juzgado </t>
    </r>
    <r>
      <rPr>
        <b/>
        <sz val="7"/>
        <rFont val="Arial"/>
        <family val="2"/>
      </rPr>
      <t>1° Adjunto</t>
    </r>
    <r>
      <rPr>
        <sz val="7"/>
        <rFont val="Arial"/>
        <family val="2"/>
      </rPr>
      <t xml:space="preserve"> al 6° Laboral. 1T Conciliación el 23-02-2011 a las 9:00 am</t>
    </r>
  </si>
  <si>
    <t xml:space="preserve">Clara Lasso de Ramírez </t>
  </si>
  <si>
    <r>
      <t xml:space="preserve">El 04-11-2014 archivo definitivo. El 22-05-2013 el ddante. presenta recurso de Casación. Fecha fallo 2a. instancia el 17-05-2013. Se encuentra al Despacho desde el 25-06-2012. Fecha fallo 1a. instancia el 25-05-2012. El 25-01-2012 devuelven Despacho Comisorio. El 16-01-2012 el proceso fue enviado a </t>
    </r>
    <r>
      <rPr>
        <b/>
        <sz val="7"/>
        <rFont val="Arial"/>
        <family val="2"/>
      </rPr>
      <t>Descongestión</t>
    </r>
    <r>
      <rPr>
        <sz val="7"/>
        <rFont val="Arial"/>
        <family val="2"/>
      </rPr>
      <t xml:space="preserve"> y correspondió al Juzgado 10 de Descongestión. Se señaló el 07-12-2011 a las 11:00 am para respuesta al Despacho Comisorio. Continuación 4T el 20-10-2011 a las 11:00 am respuesta despacho comisorio. Continuación 4T el 21-09-2011 a las 8:30 am (suspendida). Continuación 4T el 09-08-2011 a las 8:30 am testimonios de la Gte. y la Líder de Servicio. 4T el 26-07-2011 testimonios del Banco. 3T Interrogatorio a la ddante. el 14-06-2011 a las 8:30 am. 2T Interrogatorio al ddado. el 30-05-2011 a las 8:30 am. 1T Conciliación el 16-05-2011, se decretaron pruebas. El 09-02-2011 se recibió citatorio y el 08-03-2011 se enviaron documentos al abogado.</t>
    </r>
  </si>
  <si>
    <r>
      <rPr>
        <b/>
        <sz val="7"/>
        <color indexed="10"/>
        <rFont val="Arial"/>
        <family val="2"/>
      </rPr>
      <t>Termiando por conciliación el 18-01-2016.</t>
    </r>
    <r>
      <rPr>
        <sz val="7"/>
        <rFont val="Arial"/>
        <family val="2"/>
      </rPr>
      <t xml:space="preserve"> 2T el 17-09-15 a las 9:00 am. 1T el 06-05-15 a las 3:30 pm. El 27-01-2015  Auto decide recurso, repone providencia del 04-12-2014. 1T el 13-01-2015 a las 2:30 pm Conciliación, resuelve solicitud, trámite y fallo. Contestada el 03-07-2014. El 18-06-2014 notificada por aviso. </t>
    </r>
  </si>
  <si>
    <r>
      <rPr>
        <b/>
        <sz val="7"/>
        <color indexed="10"/>
        <rFont val="Arial"/>
        <family val="2"/>
      </rPr>
      <t>Terminado por conciliación.</t>
    </r>
    <r>
      <rPr>
        <sz val="7"/>
        <rFont val="Arial"/>
        <family val="2"/>
      </rPr>
      <t xml:space="preserve"> Nueva fecha 1T Conciliación el 10-02-2016 a las 4:00 pm; decisión de excepciones previas, saneamiento, fijación del litigio y decreto de pruebas. 1T Conciliación el 12-11-2015 a la 1:30 pm; decisión de excepciones previas, saneamiento, fijación del litigio y decreto de pruebas (Aplazada). El 07-07-2015 se contestó la demanda. Notificada el 23-06-2015.</t>
    </r>
  </si>
  <si>
    <r>
      <t xml:space="preserve">El 06-04-2016 Auto termina proceso por pago y ordena archivo. El 27-10-2014 se interpone recurso de Casación. Nueva fecha fallo 2a. instancia el 15-10-2014. Fallo 2a. instancia el 25-04-2014 a las 03:00 pm . El 05-11-2013 enviado a los </t>
    </r>
    <r>
      <rPr>
        <b/>
        <sz val="7"/>
        <rFont val="Arial"/>
        <family val="2"/>
      </rPr>
      <t>Magistrados de Descongestión</t>
    </r>
    <r>
      <rPr>
        <sz val="7"/>
        <rFont val="Arial"/>
        <family val="2"/>
      </rPr>
      <t xml:space="preserve"> de Sta. Marta. El 20-05-2013 el ddado. presenta alegatos. El 17-05-2013 el ddante. presenta alegatos. El 09-05-2013 Trib. corre traslado a las partes para alegar. El 01-02-2013 se presentó apelación al fallo. El fallo de 1a. instancia condenó a la suma de $90'480.000 por concepto de indemnización, $5'895.000 por perjuicios morales, $5'707.200 por concepto de indemnización moratoria, y $5'000.000 por concepto de costas. Citaron para el 29-01-2013 para cierre del debate probatorio y posible fallo. Continuación 4T el 22-01-2013 a las 3:00 pm. para incorporar documental solicitada por oficio. Continuación 4T el 19-11-2012 a las 3:30 pm. Continuación 4T el 12-10-2012 a las 3:00 pm (Aplazada por paro judicial). En descongestión se fijó para el 04-07-2012 a las 3.00 pm para inspección, dieron 03 días para allegar hoja de vida. El proceso fue enviado al Juzgado Primero de descongestión. Continuación 4T el 28-02-2012 a las 10:00 am testimonio y exhibición de documentos. 4T el 17-11-2011 a las 9:00 am testigo y exhibición de documentos. 3T Interrogatorio de parte el 05-09-2011. 2T el 18-07-2011 Testigos ddante. 1T Conciliación el 25-10-2010 a las 8:30 am. El 05-02-2010 se contestó la demanda.</t>
    </r>
  </si>
  <si>
    <r>
      <rPr>
        <b/>
        <sz val="7"/>
        <color indexed="10"/>
        <rFont val="Arial"/>
        <family val="2"/>
      </rPr>
      <t>Terminado por conciliación.</t>
    </r>
    <r>
      <rPr>
        <sz val="7"/>
        <rFont val="Arial"/>
        <family val="2"/>
      </rPr>
      <t xml:space="preserve"> El 17-05-2016 se presentó al Trib. memorial de desistimiento por transacción. Se envía al TS en Consulta por no haber sido apelada por el ddante. Fecha fallo 1a. Instancia el 17-07-2015 a las 2:00 pm (Declaró probada la cosa juzgada). 1T Conciliación el 12-06-2015 a las 2:00 pm; decisión de excepciones previas, saneamiento y fijación del litigio, decreto de pruebas. El 15-01-2015 se contestó la demanda.</t>
    </r>
  </si>
  <si>
    <r>
      <rPr>
        <b/>
        <sz val="7"/>
        <color indexed="10"/>
        <rFont val="Arial"/>
        <family val="2"/>
      </rPr>
      <t>Terminado por conciliación el 08-09-2016.</t>
    </r>
    <r>
      <rPr>
        <sz val="7"/>
        <rFont val="Arial"/>
        <family val="2"/>
      </rPr>
      <t xml:space="preserve"> 2T el 29-03-2017 a las 9:00 am, práctica de pruebas y fallo. Nueva fecha 1T Conciliación el 17-08-2016 a las 4:00 pm; decisión de excepciones previas, saneamiento, fijación del litigio y decreto de pruebas. 1T Conciliación el 28-07-2016 a las 4:00 pm; decisión de excepciones previas, saneamiento, fijación del litigio y decreto de pruebas (Aplazada). Contestada el 29-02-2016. Notificada el 16-02-2016. Se recibió citación para notificación el 02-02-2016.</t>
    </r>
  </si>
  <si>
    <r>
      <t xml:space="preserve">Fecha fallo 2a. instancia el 24-05-2016. El 13-06-2013 se envía en Consulta al Tribunal. Fecha fallo 1a. instancia el 26-04-2013 a las 4:00 pm. Aud. Despacho Comisorio en Bogotá el 12-02-2013 a las 11:00 am. 2T Interrogatorio de partes y testigos de ambas partes el 06-12-2012 a las 8:30 am. Continuación 1T el 27-11-2012 a las 3:00 pm en el Juzgado 15 Lab. de Descongestión. Se suspende la 1T por apelación de decisión de no declarar probada la excepción previa de cosa juzgada, y haber condenado en costas al Banco.  1T Conciliación el 06-07-2011 a las 2:00 pm </t>
    </r>
    <r>
      <rPr>
        <b/>
        <sz val="7"/>
        <rFont val="Arial"/>
        <family val="2"/>
      </rPr>
      <t>Juzgado 1° Adjunto</t>
    </r>
    <r>
      <rPr>
        <sz val="7"/>
        <rFont val="Arial"/>
        <family val="2"/>
      </rPr>
      <t xml:space="preserve"> al 7° Laboral de Medellín. Enviado el 06-05-2011 al </t>
    </r>
    <r>
      <rPr>
        <b/>
        <sz val="7"/>
        <rFont val="Arial"/>
        <family val="2"/>
      </rPr>
      <t>Juzgado 1° Adjunto</t>
    </r>
    <r>
      <rPr>
        <sz val="7"/>
        <rFont val="Arial"/>
        <family val="2"/>
      </rPr>
      <t xml:space="preserve"> al 7° Laboral de Medellín. Contestada el 27-04-2011. Notificada el 05-04-2011.</t>
    </r>
  </si>
  <si>
    <r>
      <t xml:space="preserve">Fecha fallo 2a. instancia el 06-05-2016. Fecha fallo 1a. instancia el 31-10-2014. El 06-05-2014  Auto requiere a la codemandada LIBERTY SEGUROS S.A para que proceda a retirar las copias pertinentes y el envío de las mismas a la Junta Nacional de Calificación de Invalidez en aras de discutirse la objeción formulada, para lo cual se concede el término de 10 días so pena de entender que se desiste de la objeción formulada. No se accede a la solicitud de Curador Ad Litem. El 02-08-2013 se termina la medida de descongestión por lo que se envía el presente proceso a Apoyo Judicial para su reparto a los Juzgados de Descongestión que continúan. El 24-05-2013 deja sin efecto auto y se corre traslado a la parte demandante y co-demandada BANCOLOMBIA S.A por tres (03) días del escrito de objeción al dictamen emitido por la Junta  Regional de Calificación de Invalidez de Antioquia, obrante a folios 401 Y 402 del expediente, el cual fue presentado por la apoderada de la co-demandada LIBERTY SEGUROS DE VIDA S.A, y acorde al numeral 1º del artículo 238 modificado Dec. 2282 de 1999, art. 1º, mod. 110 del C.P.C. El 15-05-2013 El Juzgado Diecinueve Laboral de Descongestión del Circuito de Medellín, avoca el conocimiento del presente proceso. Se rechaza la solicitud de ampliación y aclaración del dictamen, por no ser procedente. Se ordena la expedición copias de las piezas procesales conducentes para ser enviadas a la Junta Nacional de Calificación de Invalidez, una vez aportadas las copias procesales pertinentes se enviarán las mismas a las dependencias de la Junta Nacional para que se determine si la calificación existente en el presente proceso contiene el fundamento técnico-científico y jurídico requerido. Así mismo se deja de presente que los gastos en los que se incurran correrán a cargo de LIBERTY Seguros de Vida S.A. El el 22-04-2013 Se pone en conocimiento a las partes la respuesta allegada por la JUNTA REGIONAL DE CALIFICACIÓN DE INVALIDEZ, para que se pronuncien como consideren necesario. El 07-03-2013 Se requiere a la Apoderada de LIBERTY para que informe al Despacho la dirección exacta de la JUNTA REGIONAL DE CALIFICACIÓN DE INVALIDEZ DE ANTIOQUIA. El 09-10-2012 El Despacho accede a la solicitud presentada por la Apoderada de LIBERTY SEGUROS DE VIDA S.A.; por lo tanto se ordena requerir a la Junta Regional de Invalidez para que aporten copia íntegra del expediente administrativo del señor VICTOR HUGO DUQUE SALAZAR. El 08-10-2012 Auto requiere al Abogado del ddante. para que pague las expensas para sacar copia al proceso y así surtir el trámite de la aclaración y complementación ante la Junta Regional de Calificación de Invalidez. 4T el 13-08-2012 a las 8:30 am (Testigos). Nueva fecha 3T Interrogatorio de partes 09-07-2012 a las 8:30 am y a la 1:30 pm testigos. Nueva fecha 3T Interrogatorio de partes 07-06-2012 8:30 am y a la 1:30 pm testigos (Aplazada). Nueva fecha 3T Interrogatorio de partes y testigos 17-05-2012 8:30 am </t>
    </r>
    <r>
      <rPr>
        <b/>
        <sz val="7"/>
        <rFont val="Arial"/>
        <family val="2"/>
      </rPr>
      <t>Juzgado 16 Laboral de Descongestión (Aplazada)</t>
    </r>
    <r>
      <rPr>
        <sz val="7"/>
        <rFont val="Arial"/>
        <family val="2"/>
      </rPr>
      <t>. Enviado a Juzgados de Descongestión el 23-03-2012. Nueva fecha 3T Interrogatorio de partes y testigos el 17-04-2012 a las 8:30 am (Aplazada).  Nueva fecha 3T Interrogatorio de partes y testigos el 28-03-2012 a las 8:30 am (Aplazada). Nueva fecha 3T Interrogatorio de partes y testigos el 12-03-2012 a las 8:30 am (Aplazada). 2T el 27-02-2012 traslado dictament pericial. Ordena enviar a la Junta Regional de Calificación de Invalidez 23-02-2011. 2T Interrogatorio de partes y testigos el 15-03-2011 a las 8:30 am (Aplazada). Nueva fecha continuación 1T el 09-02-2011 a las 10:30 am. Continuación 1T Conciliación el 01-02-2011 a las 10:30 am (Aplazada). Apelación de la apoderada de Liberty, del auto por no haber decretado la prosperidad de todas las excepciones propuestas en la contestación de la dda.  1T Conciliación el 12-07-2010 a las 10:30 am. Contestada el 17-04-2009</t>
    </r>
  </si>
  <si>
    <r>
      <t xml:space="preserve">Vr. indemnización indexada $4'536.681. Costas $940.147. </t>
    </r>
    <r>
      <rPr>
        <b/>
        <sz val="7"/>
        <rFont val="Arial"/>
        <family val="2"/>
      </rPr>
      <t>Total $5'476.828</t>
    </r>
  </si>
  <si>
    <r>
      <rPr>
        <b/>
        <sz val="7"/>
        <color indexed="10"/>
        <rFont val="Arial"/>
        <family val="2"/>
      </rPr>
      <t>Terminado por conciliación el 01-12-2016.</t>
    </r>
    <r>
      <rPr>
        <sz val="7"/>
        <rFont val="Arial"/>
        <family val="2"/>
      </rPr>
      <t xml:space="preserve"> 1T Conciliación el 01-12-2016 a las 9:30 am, decisión de excepciones previas, saneamiento, fijación del litigio y decreto de pruebas. Contestada el 22-04-2016. Notificada el 11-04-2016.</t>
    </r>
  </si>
  <si>
    <r>
      <t xml:space="preserve">07-11-2018 Auto obedézcase y cúmplase. El 03-09-2018 Tribunal niega recurso de costas. El 02-08-2018 Auto concede apelación efecto suspensivo. El 09-07-2018 Auto resuelve objeción de costas. El 23-02-18 Concede recurso de apelación interpuesto por la parte ejecutante contra el auto del 14-12-2017. El 04-12-2017 Auto decide incidente deniega. El 30-10-2017 Auto ordena correr traslado de nulidad. El 06-10-2017 Auto decide recurso. El 31-08-2017 Auto resuelve objeción de costas. El 20-042017 entrega títulos judiciales. El 14-02-2017 traslado art. 108 CPC. El 13-12-2016 Obedézcase y cúmplase - CONFIRMA ordena oficiar a la Compañía de Seguros pagar importe de la Caución constituida en póliza judicial. El 08-08-2016 resuelve apelación y define liquidación. El 15-06-2016 Auto de trámite niega recurso y concede apelación. El 13-10-20-15 ingresa  el proceso al Despacho para resolver sobre la nulidad. </t>
    </r>
    <r>
      <rPr>
        <b/>
        <sz val="7"/>
        <rFont val="Arial"/>
        <family val="2"/>
      </rPr>
      <t xml:space="preserve">El </t>
    </r>
    <r>
      <rPr>
        <sz val="7"/>
        <rFont val="Arial"/>
        <family val="2"/>
      </rPr>
      <t>12-08-2015 El Tribunal dispone remitir el proceso al Juzgado para que resuelva nulidad. Juzgado no repone liquidación de credito y remite al tribunal la apelación.</t>
    </r>
  </si>
  <si>
    <t>José Roberto Herrera Vergara (Giovanna Flórez Montealegre)</t>
  </si>
  <si>
    <r>
      <t xml:space="preserve">Audiencia reprogramada para el 24-11-2016 a las 2:00 pm para dar lectura al fallo. Auto fija fecha audiencia o diligencia para el 27-10-2016 a las 02:00 pm para dar lectura al respectivo fallo </t>
    </r>
    <r>
      <rPr>
        <b/>
        <sz val="7"/>
        <color indexed="10"/>
        <rFont val="Arial"/>
        <family val="2"/>
      </rPr>
      <t>(Aplazada por incapacidad del Juez)</t>
    </r>
    <r>
      <rPr>
        <sz val="7"/>
        <rFont val="Arial"/>
        <family val="2"/>
      </rPr>
      <t>. Fallo suspendido, nueva fecha el 06-10-2016 a las 2:00 pm. Nueva fecha fallo 1a. instancia el 12-02-2016 a las 4:30 pm (Aplazado). Fecha fallo 1a. instancia el 30-10-2015 a las 4:30 p.m. (Aplazado) 2T el 07-09-2015 a las 9:00 am; testimonio. Auto fija fecha aud.y/o diligencia para su continuación el 22-07-2015 a las 2:30 pm. Nueva fecha 1T Conciliación el 20-03-2015 a las 9:30 am;  saneamiento, fijación del litigio y decreto de pruebas. 1T Conciliación el 11-02-2015 a las 2:00 pm;  saneamiento, fijación del litigio y decreto de pruebas (Aplazada). El 26-11-2014 llegó aviso de notificación al Banco y el 27 se envió al Abogado por correo. El 18-11-2014 se enviaron documentos al Abogado.  El 04-10-2014 llegó citatorio.</t>
    </r>
  </si>
  <si>
    <r>
      <t xml:space="preserve">El 24-11-2016 Juzgado aprueba liquidación. El 13-10-2016 fallo 2a. instancia. El 11-11-2015 fallo 1a. instancia. Audiencia el 23-09-2014 a las 9:00 am para alegatos y fallo </t>
    </r>
    <r>
      <rPr>
        <b/>
        <sz val="7"/>
        <color indexed="10"/>
        <rFont val="Arial"/>
        <family val="2"/>
      </rPr>
      <t>(Se aplaza el fallo hasta que llegue el Despacho Comisorio)</t>
    </r>
    <r>
      <rPr>
        <sz val="7"/>
        <rFont val="Arial"/>
        <family val="2"/>
      </rPr>
      <t>. 1T conciliación el 28-04-2014 a las 2:30 pm; decreto de pruebas. El 20-02-2014 se radicó subsanación a la contestación de la demanda. El 04-02-2014 se contestó la demanda.  El 06-12-2013 se enviaron documentos al Abogado. El 22-11-2013 llegó citatorio.</t>
    </r>
  </si>
  <si>
    <r>
      <t xml:space="preserve">El 07-02-2017 declara ejecutoriada la sentencia. Fecha fallo 2a. instancia el 31-01-2017. Fallo 1a. instancia el 04-11-2016. Nueva fecha el 21-10-2016 a las 9:00 am para contestar demanda y práctica de pruebas. -Señala el 03-10-2016 a las 10:00 am para contestar demanda y práctica de pruebas </t>
    </r>
    <r>
      <rPr>
        <b/>
        <sz val="7"/>
        <rFont val="Arial"/>
        <family val="2"/>
      </rPr>
      <t>(Aplazada)</t>
    </r>
    <r>
      <rPr>
        <sz val="7"/>
        <rFont val="Arial"/>
        <family val="2"/>
      </rPr>
      <t>. El 19-07-2016 se radicó demanda.</t>
    </r>
  </si>
  <si>
    <r>
      <rPr>
        <b/>
        <sz val="7"/>
        <color indexed="10"/>
        <rFont val="Arial"/>
        <family val="2"/>
      </rPr>
      <t>Terminado por conciliación el 28-03-2017.</t>
    </r>
    <r>
      <rPr>
        <sz val="7"/>
        <rFont val="Arial"/>
        <family val="2"/>
      </rPr>
      <t xml:space="preserve"> Nueva fecha 1T Conciliación el 28-03-2017 a las 9:30 am, decisión de excepciones previas, saneamiento, fijación del litigio, decreto, práctica de pruebas y fallo. 1T Conciliación el 08-11-2016 a las 9:30 am; decisión de excepciones previas, saneamiento, fijación del litigio, decreto, práctica de pruebas y fallo (Aplazada). El 24-06-2015  Auto decreta NULIDAD.  Continuación 1T el 25-06-2015 a las 9:30 am; en la misma fecha y a continuación se llevará a cabo la práctica de las pruebas decretadas. Continuación 1T el 29-01-2015 a las 9:30 am; en la misma fecha y a continuación se llevará a cabo la práctica de las pruebas decretadas (Llevar los testigos). El 28-07-2014  Auto concede recurso de queja interpuesto por la apoderada de la parte demandada. 1T Conciliación el 28-07-2014 a las 9:30 am; se advierte que en la misma fecha y a continuación se llevará a cabo la práctica de las pruebas decretadas (Suspendida). Contestada el 28-04-2014. Notificada el 07-04-2014. El 10-03-2014 llegó citatorio.</t>
    </r>
  </si>
  <si>
    <r>
      <rPr>
        <b/>
        <sz val="7"/>
        <color indexed="10"/>
        <rFont val="Arial"/>
        <family val="2"/>
      </rPr>
      <t>Terminado por transacción el 26-05-2017, Auto aprueba la transacción y ordena el archivo del exp.</t>
    </r>
    <r>
      <rPr>
        <sz val="7"/>
        <rFont val="Arial"/>
        <family val="2"/>
      </rPr>
      <t xml:space="preserve"> 2T el 28-08-2017 a las 9:00 am, práctica de pruebas y fallo. 1T Conciliación el 24-03-2017 a las 2:00 pm, decisión de excepciones previas, saneamiento, fijación del litigio y decreto de pruebas. Contestada el 14-04-2016. Notificada el 04-04-2016. Se recibió citación para notificación el 15-03-2016.</t>
    </r>
  </si>
  <si>
    <r>
      <rPr>
        <b/>
        <sz val="7"/>
        <color indexed="10"/>
        <rFont val="Arial"/>
        <family val="2"/>
      </rPr>
      <t>Terminado por conciliación el 08-06-2017.</t>
    </r>
    <r>
      <rPr>
        <sz val="7"/>
        <rFont val="Arial"/>
        <family val="2"/>
      </rPr>
      <t xml:space="preserve"> 1T conciliación el 08-06-2017 a las 9:00 am; decisión de excepciones previas, saneamiento, fijación del litigio, decreto y práctica de pruebas, y fallo. Notificada el 17-08-2016. El 10-08-2016 se recibe citación para notificación.</t>
    </r>
  </si>
  <si>
    <r>
      <rPr>
        <b/>
        <sz val="7"/>
        <color indexed="10"/>
        <rFont val="Arial"/>
        <family val="2"/>
      </rPr>
      <t>Terminado por conciliación el 28-07-2017.</t>
    </r>
    <r>
      <rPr>
        <sz val="7"/>
        <rFont val="Arial"/>
        <family val="2"/>
      </rPr>
      <t xml:space="preserve"> 1T Conciliación el 28-07-2017 a las 11.30 am; decisión de excepciones previas, saneamiento, fijación del litigio y decreto de pruebas. Contestada el 02-08-2016. Notificada el 18-07-2016.</t>
    </r>
  </si>
  <si>
    <r>
      <t xml:space="preserve">2T el 28-04-2016 a las 8:30 am, práctica de pruebas y fallo. LIVIN. El 05-11-2015 Se allega al exp. memorial mediante el cual el DR. JORGE ANDRES AMÉZQUITA TORO, Aux. de la Justicia aporta aclaración al dictamen grafológico por él proferido, debido a la objeción presentada por el apoderado del damandado, aclaración de la cual se le corre traslado a las partes por el término de tres (03) días. Una vez en firme, se procederá a fijas fecha para audiencia pública. 2T el 21-05-2015 a las 8:30 am; interrogatorio de partes, práctica de pruebas y fallo </t>
    </r>
    <r>
      <rPr>
        <b/>
        <sz val="7"/>
        <rFont val="Arial"/>
        <family val="2"/>
      </rPr>
      <t>(Aplazada)</t>
    </r>
    <r>
      <rPr>
        <sz val="7"/>
        <rFont val="Arial"/>
        <family val="2"/>
      </rPr>
      <t>. 1T Conciliación el 12-02-2015 a las 8:30 am; saneamiento, fijación del litigio, decisión de excepciones y decreto de pruebas. El 31-10-2014 Trib. Sup. ordena remitir el presente proceso al juez siguiente en el turno de conformidad con lo dispuesto en el art. 153 del CPC mod. por el 144 del CGP. El 03-07-2014 fue enviado el exp. al Trib. Sup. para que resuelva recusación contra la Juez. 1T Conciliación el 03-07-2014 a las 2:00 pm (No se llevó a cabo la audiencia con motivo de la recusación que hizo el apoderado del Banco contra la Juez por enemistad grave y pleito pendiente con ella, ya ha tenido que instaurar 04 tutelas contra ella por negarse a entregarle los títulos judiciales). Contestada el 08-04-2014. Notificada el 26-03-2014. Se recibe citatorio para notificación el 19-02-2014.</t>
    </r>
  </si>
  <si>
    <r>
      <t xml:space="preserve">Condena a la indexación de la primera mesada </t>
    </r>
    <r>
      <rPr>
        <b/>
        <sz val="6"/>
        <rFont val="Arial"/>
        <family val="2"/>
      </rPr>
      <t>que debió ascender a</t>
    </r>
    <r>
      <rPr>
        <sz val="6"/>
        <rFont val="Arial"/>
        <family val="2"/>
      </rPr>
      <t xml:space="preserve"> $66.189,80 desde el 09-06-1982, y a pagar la diferencia entre lo que venía devengando con lo que realmente le correspondía, a partir del 12-04-2005 por efecto de la prescripción.</t>
    </r>
  </si>
  <si>
    <r>
      <rPr>
        <b/>
        <sz val="7"/>
        <color indexed="10"/>
        <rFont val="Arial"/>
        <family val="2"/>
      </rPr>
      <t>Terminado por conciliación el 01-09-2017.</t>
    </r>
    <r>
      <rPr>
        <sz val="7"/>
        <rFont val="Arial"/>
        <family val="2"/>
      </rPr>
      <t xml:space="preserve"> 1T Conciliación el 01-09-2017 a las 8:30 am; decisión de excepciones previas, saneamiento, fijación de litigio y decreto de pruebas. Contestada el 13-06-2017. Notificada el 30-05-2017.</t>
    </r>
  </si>
  <si>
    <r>
      <rPr>
        <b/>
        <sz val="7"/>
        <color indexed="10"/>
        <rFont val="Arial"/>
        <family val="2"/>
      </rPr>
      <t>Terminado por Transacción el 26-09-2017.</t>
    </r>
    <r>
      <rPr>
        <sz val="7"/>
        <rFont val="Arial"/>
        <family val="2"/>
      </rPr>
      <t xml:space="preserve"> Nueva fecha 2T el  19-07-2017 a las 2:00 pm; práctica de pruebas, alegatos y fallo (Aplazada). Nueva fecha 2T el  03-05-2017 a las 2:00 pm; práctica de pruebas, alegatos y fallo (Aplazada). 2T el  03-04-2017 a las 8:30 am; práctica de pruebas, alegatos y fallo (Aplazada ya que está pendiente la valoración del demandante ante la Junta, y el Despacho comisorio para recepcionar testimonios del Banco en la ciudad de Medellín) . 1T Conciliación el 21-11-2016 a las 8:30 am, decisión de excepciones previas, saneamiento, fijación del litigio y decreto de pruebas . Contestada el 19-08-2016. </t>
    </r>
  </si>
  <si>
    <t>Beatriz Vélez Vengoechea (José Roberto Herrera V.)</t>
  </si>
  <si>
    <r>
      <t xml:space="preserve">El 23-05-2017 liquida y aprueba costas, declara ejecutoriada la stcia. y ordena archivo. Fecha fallo 2a. instancia el 22-03-2017. Nueva fecha 2T el 13-02-2017 a las 2:30 pm, trámite y juzgamiento. 2T el 01-12-2016 a las 8:30 am, trámite y juzgamiento </t>
    </r>
    <r>
      <rPr>
        <b/>
        <sz val="7"/>
        <rFont val="Arial"/>
        <family val="2"/>
      </rPr>
      <t>(Aplazada)</t>
    </r>
    <r>
      <rPr>
        <sz val="7"/>
        <rFont val="Arial"/>
        <family val="2"/>
      </rPr>
      <t>. 1T  el 05-09-2016 a las 9:30 am, Conciliación, decisión de excepciones previas, saneamiento, fijación del litigio, decreto de pruebas y de ser procedente se evacuarán las mismas, se escucharán los alegatos de conclusión y se proferirá fallo. El 15-04-2016 se radica contestacion Bancolombia. Notificada el 04-04-2016.</t>
    </r>
  </si>
  <si>
    <r>
      <rPr>
        <b/>
        <sz val="7"/>
        <color indexed="10"/>
        <rFont val="Arial"/>
        <family val="2"/>
      </rPr>
      <t>Terminado por conciliación el 26-10-2017.</t>
    </r>
    <r>
      <rPr>
        <sz val="7"/>
        <rFont val="Arial"/>
        <family val="2"/>
      </rPr>
      <t xml:space="preserve"> 1T Conciliación el 26-10-2017 a las 8:15 am; decisión de excepciones previas, saneamiento, fijación litigio y decreto pruebas. Contestada el 13-02-2017. Notificada el 31-01-2017. El 25-11-2016 se recibió citación para notificación.</t>
    </r>
  </si>
  <si>
    <r>
      <t xml:space="preserve">El 24-10-2017 Auto aprueba liquidación y ordena archivo. El 12-09-2017 regresa de la Corte Suprema. El 28-02-2017 el Trib. niega el recurso de Casación interpuesto por el Banco y </t>
    </r>
    <r>
      <rPr>
        <b/>
        <sz val="7"/>
        <rFont val="Arial"/>
        <family val="2"/>
      </rPr>
      <t>concede</t>
    </r>
    <r>
      <rPr>
        <sz val="7"/>
        <rFont val="Arial"/>
        <family val="2"/>
      </rPr>
      <t xml:space="preserve"> el de la demandante. El 07-12-2016 fecha fallo 2a. instancia a las 08:30 am. El 14-01-2016 el Trib. admite recurso de apelación; al Despacho. Nueva fecha 2T el 12-11-2015 a las 10:00 am, práctica de pruebas y fallo. 2T el 01-10-2015 a las 10:00 am; práctica de pruebas y fallo (Aplazada). 1T Conciliación el 24-06-2015 a las 10:00 am; pruebas y fallo (Requiere a la ddada. para que en el término de 10 días se sirva allegar documental). El 16-02-2015 corre traslado de la reforma de la demanda. Contestada el 16-02-2015. Notificada el 19-01-2015. El 15-10-2014 se envían documentos al Abogado. El 17-09-2014 Auto ordena librar nuevos citatorios. </t>
    </r>
  </si>
  <si>
    <r>
      <rPr>
        <b/>
        <sz val="7"/>
        <color indexed="10"/>
        <rFont val="Arial"/>
        <family val="2"/>
      </rPr>
      <t xml:space="preserve">Terminado por Conciliación </t>
    </r>
    <r>
      <rPr>
        <sz val="7"/>
        <rFont val="Arial"/>
        <family val="2"/>
      </rPr>
      <t>el 05-09-2017; ordena archivo. El 22-02-2017 se radica demanda por parte del Banco.</t>
    </r>
  </si>
  <si>
    <t>José Roberto Herrera Vergara (Jaime A. Caballero)</t>
  </si>
  <si>
    <r>
      <rPr>
        <b/>
        <sz val="7"/>
        <color indexed="10"/>
        <rFont val="Arial"/>
        <family val="2"/>
      </rPr>
      <t>Terminado por conciliación el 14-02-2018.</t>
    </r>
    <r>
      <rPr>
        <sz val="7"/>
        <rFont val="Arial"/>
        <family val="2"/>
      </rPr>
      <t xml:space="preserve"> 1T Conciliación el 14-02-2018 a las 9:00 am; decisión de excepciones, saneamiento, fijación del litigio y decreto de pruebas. El 21-04-2017 se contestó la demanda.</t>
    </r>
  </si>
  <si>
    <r>
      <rPr>
        <b/>
        <sz val="7"/>
        <color indexed="10"/>
        <rFont val="Arial"/>
        <family val="2"/>
      </rPr>
      <t>El 12-02-2018 Terminado por desistimiento.</t>
    </r>
    <r>
      <rPr>
        <sz val="7"/>
        <rFont val="Arial"/>
        <family val="2"/>
      </rPr>
      <t xml:space="preserve"> Pendiente 1T. El 25-07-2017 requiere a BANCOLOMBIA para que notifique a la parte demandada. El 05-04-2017 se remitió citatorio.</t>
    </r>
  </si>
  <si>
    <r>
      <rPr>
        <b/>
        <sz val="7"/>
        <color indexed="10"/>
        <rFont val="Arial"/>
        <family val="2"/>
      </rPr>
      <t>Terminado por conciliación el 23-03-2018.</t>
    </r>
    <r>
      <rPr>
        <sz val="7"/>
        <rFont val="Arial"/>
        <family val="2"/>
      </rPr>
      <t xml:space="preserve"> 1T Conciliación el 23-03-2018 a las 9:00 am; decisión de excepciones previas, saneamiento, fijación del litigio y decreto de pruebas, y de ser posible fallo. Contestada el 24-04-2017. Notificada el 04-04-2017.</t>
    </r>
  </si>
  <si>
    <r>
      <rPr>
        <b/>
        <sz val="7"/>
        <color indexed="10"/>
        <rFont val="Arial"/>
        <family val="2"/>
      </rPr>
      <t>Terminado por desistimiento del demandante el 30-11-2017.</t>
    </r>
    <r>
      <rPr>
        <sz val="7"/>
        <rFont val="Arial"/>
        <family val="2"/>
      </rPr>
      <t xml:space="preserve"> 2T el 30-11-2017 a las 9:00 am, Aud. de trámite y juzgamiento. 1T Conciliación el 11-07-2017 a las 9:00 am; decisión de excepciones previas, saneamiento, fijación del litigio y decreto de pruebas. El 06-02-2017 admite contestación de la demanda. Se notificó la demanda en término de contestación. El 18-11-2016 admite demanda.</t>
    </r>
  </si>
  <si>
    <t>Luis Felipe Arana Madriñán (José Roberto Herrera V.)</t>
  </si>
  <si>
    <r>
      <t xml:space="preserve">Fecha fallo CSJ el 18-06-2018. El 21-03-2013 Al Despacho para fallo. Dentro del término del traslado no fue presentado escrito de oposición alguno por la opositora La Nación- Ministerio de Hacienda y Crédito Público. El 25-02-2013 Inicia traslado al opositor  La Nación- Ministerio de Hacienda y Crédito Público. Inicia traslado a los opositores el 27-02-2013. Admite recurso y corre traslado el 28-08-2012. Recurso de casación por el ddante. el 22-11-2011. Fallo 2a. instancia el 16-11-2011. Enviado a los Magistrados de Descongestión el 05-07-2011. Fecha fallo </t>
    </r>
    <r>
      <rPr>
        <b/>
        <sz val="7"/>
        <rFont val="Arial"/>
        <family val="2"/>
      </rPr>
      <t>Juzgado 1° Adjunto</t>
    </r>
    <r>
      <rPr>
        <sz val="7"/>
        <rFont val="Arial"/>
        <family val="2"/>
      </rPr>
      <t xml:space="preserve"> al 12 Lab. el 13-08-2010 a las 4:30 pm. 2T Interrogatorio de partes el 22-06-2010 a la 1:30 pm. Nueva fecha 1T Conciliación el 20-05-2010 a las 3:00 pm </t>
    </r>
    <r>
      <rPr>
        <b/>
        <sz val="7"/>
        <color indexed="10"/>
        <rFont val="Arial"/>
        <family val="2"/>
      </rPr>
      <t>Juzgado 1° L. Adjunto</t>
    </r>
    <r>
      <rPr>
        <sz val="7"/>
        <rFont val="Arial"/>
        <family val="2"/>
      </rPr>
      <t>. Pendiente nueva fecha 1T Conciliación. Enviado a Juzgados Adjuntos el 18-03-2010. 1T Conciliación el 08-04-2010 a las 10:30 am.</t>
    </r>
  </si>
  <si>
    <r>
      <t xml:space="preserve">El 13-03-2018 se </t>
    </r>
    <r>
      <rPr>
        <b/>
        <sz val="7"/>
        <color indexed="10"/>
        <rFont val="Arial"/>
        <family val="2"/>
      </rPr>
      <t>termina el proceso por desistimiento del demandante</t>
    </r>
    <r>
      <rPr>
        <sz val="7"/>
        <rFont val="Arial"/>
        <family val="2"/>
      </rPr>
      <t>. Se archiva. 2T El 14-07-2017 a las 3:00 pm, pruebas, alegatos y fallo. 1T Conciliación el 30-03-2017 a las 3:00 pm; decisión de excepciones previas, saneamiento, fijación del litigio y decreto de pruebas. Contestada el 21-10-2016. El 03-10-2016 admite demanda. El 07-09-2016 el Juzgado de Pequeñas Causas declara probada excepción de falta de competencia y ordena remitir al Juez Laboral Circuito. Señala audiencia para contestar demanda el 07-09-2016 a las 7:30 am.</t>
    </r>
  </si>
  <si>
    <r>
      <rPr>
        <b/>
        <sz val="7"/>
        <color indexed="10"/>
        <rFont val="Arial"/>
        <family val="2"/>
      </rPr>
      <t>Terminado por conciliación.</t>
    </r>
    <r>
      <rPr>
        <sz val="7"/>
        <rFont val="Arial"/>
        <family val="2"/>
      </rPr>
      <t xml:space="preserve"> 1T Conciliación el 06-04-2018 a las 3:00 pm; decisión de excepciones previas, saneamiento, fijación del litigio y decreto de pruebas. El 12-12-2017 se contestó la demanda. El 21-11-2017 se remitió poder al Abogado.</t>
    </r>
  </si>
  <si>
    <r>
      <rPr>
        <b/>
        <sz val="7"/>
        <color indexed="10"/>
        <rFont val="Arial"/>
        <family val="2"/>
      </rPr>
      <t>Terminado por conciliación el 30-07-2018.</t>
    </r>
    <r>
      <rPr>
        <sz val="7"/>
        <rFont val="Arial"/>
        <family val="2"/>
      </rPr>
      <t xml:space="preserve"> 1T Conciliación el 30-07-2018 a las 11:00 am; decisión de excepciones previas, saneamiento, fijación del litigio y decreto de pruebas. Contestada el 15-03-2018. Notificada el 01-03-2018.</t>
    </r>
  </si>
  <si>
    <r>
      <t xml:space="preserve">El 22-04-2019 se contabilizó el pago faltante por valor </t>
    </r>
    <r>
      <rPr>
        <b/>
        <sz val="7"/>
        <rFont val="Arial"/>
        <family val="2"/>
      </rPr>
      <t>Total $249'585.172</t>
    </r>
    <r>
      <rPr>
        <sz val="7"/>
        <rFont val="Arial"/>
        <family val="2"/>
      </rPr>
      <t>. Condena al pago de la indemnización por vr. de $152'591.347,52 debidamente indexada, más costas por vr. de $27'466.442,52. Se descuentan las Agencias en Derecho a cargo de las demandantes, 1/2 salario mínimo cada una ($1'171.863) para un pago neto de $248'413.309.</t>
    </r>
  </si>
  <si>
    <r>
      <rPr>
        <b/>
        <sz val="7"/>
        <rFont val="Arial"/>
        <family val="2"/>
      </rPr>
      <t>Vr. condena total por $24'788.130</t>
    </r>
    <r>
      <rPr>
        <sz val="7"/>
        <rFont val="Arial"/>
        <family val="2"/>
      </rPr>
      <t>; vr. indemnización $22'396.373, costas 1a. Instancia $1'791.757, costas 2a instancia $600.000.</t>
    </r>
  </si>
  <si>
    <r>
      <rPr>
        <b/>
        <sz val="7"/>
        <color indexed="10"/>
        <rFont val="Arial"/>
        <family val="2"/>
      </rPr>
      <t>Terminado por conciliación el 10-10-2018.</t>
    </r>
    <r>
      <rPr>
        <sz val="7"/>
        <rFont val="Arial"/>
        <family val="2"/>
      </rPr>
      <t xml:space="preserve"> 1T Conciliación el 10-10-2018 a las 9:00 am; decisión de excepciones previas, saneamiento, fijación del litigio, decreto y práctica de pruebas y fallo. Contestada el 06-09-2017. El 28-08-2017 se notificó el Banco. El 01-08-2017 se recibió citación para notifiación.</t>
    </r>
  </si>
  <si>
    <r>
      <rPr>
        <b/>
        <sz val="7"/>
        <color indexed="10"/>
        <rFont val="Arial"/>
        <family val="2"/>
      </rPr>
      <t>Terrminado por conciliación el 30-10-2018.</t>
    </r>
    <r>
      <rPr>
        <sz val="7"/>
        <rFont val="Arial"/>
        <family val="2"/>
      </rPr>
      <t xml:space="preserve"> 1T Conciliación el 30-10-2018 a las 10:00 am; decisión de excepciones previas, saneamiento, fijación del litigio y decreto de pruebas. Contestada el 20-04-2018. El 05-04-2018 se notifica de la demanda.</t>
    </r>
  </si>
  <si>
    <t>Oscar Vergel Canal (José Roberto Herrera V.)</t>
  </si>
  <si>
    <r>
      <rPr>
        <b/>
        <sz val="7"/>
        <color indexed="10"/>
        <rFont val="Arial"/>
        <family val="2"/>
      </rPr>
      <t>El 09-11-2018 Termina por desistimiento</t>
    </r>
    <r>
      <rPr>
        <sz val="7"/>
        <rFont val="Arial"/>
        <family val="2"/>
      </rPr>
      <t>. El 25-10-2018 se radica demanda.</t>
    </r>
  </si>
  <si>
    <t>María Clara Buitrago Arango (José Roberto Herrera V.)</t>
  </si>
  <si>
    <t>José Roberto Herrera V. (Luis Felipe Arana Madriñán)</t>
  </si>
  <si>
    <r>
      <t xml:space="preserve">El 09-11-2018 </t>
    </r>
    <r>
      <rPr>
        <b/>
        <sz val="7"/>
        <color indexed="10"/>
        <rFont val="Arial"/>
        <family val="2"/>
      </rPr>
      <t>terminado por desistimiento</t>
    </r>
    <r>
      <rPr>
        <sz val="7"/>
        <rFont val="Arial"/>
        <family val="2"/>
      </rPr>
      <t>. El 25-10-2018 se radica demanda.</t>
    </r>
  </si>
  <si>
    <r>
      <rPr>
        <b/>
        <sz val="7"/>
        <color indexed="10"/>
        <rFont val="Arial"/>
        <family val="2"/>
      </rPr>
      <t>Terminado por transacción el 31-05-2017.</t>
    </r>
    <r>
      <rPr>
        <sz val="7"/>
        <rFont val="Arial"/>
        <family val="2"/>
      </rPr>
      <t xml:space="preserve"> Fallo de 1a. instancia el 04-11-2016. EL 19-01-2016 a las 9:00 am continuar la aud. única de trámite, donde se recepcionarán los testimonios del señor JOSE LUCIO VALENCIA VALENCIA y en el evento que se allega la respectiva excusa se recepcione el testimonio de CLAUDIA PRADA SANJUAN. El 22-01-2015 continuación única de trámite. El 19-11-2014 se presenta escrito descorriendo las excepciones propuestas por el apoderado de la demandada. El 13-11-2014  aud. única de trámite contestación de la demanda y se corrió traslado de las excepciones previas propuestas. El 22-10-2014 se aporta constancia de entrega de notificación por aviso y solicitud de fijación de fecha de aud. única de trámite. El 16-10-2014 se solicitó al Juzgado se expida notificación por aviso. El 10-10-2014 citación para notificación personal a GELENA RIVERA en calidad de representante legal de ANEBAN; fue devuelta en observancia a que la misma se negó a recibirla. El 06-12-2013 Aviso de notificación a la ddada. El Juzgado 8° Laboral notifica a la señora AIDA GALAN GALINDO. EL 21-11-2013 se presentó citación de notificación personal. El 25-10-2013 se admitió la demanda y se dio traslado a la parte ddada. El Banco presentó la demanda especial de levantamiento de fuero sindical el día 10-10-2013, correspondiéndole el juzgado 8° laboral del circuito, y estamos a la espera de que se surta el trámite respectivo.</t>
    </r>
  </si>
  <si>
    <r>
      <t xml:space="preserve">Las partes </t>
    </r>
    <r>
      <rPr>
        <b/>
        <sz val="7"/>
        <color indexed="10"/>
        <rFont val="Arial"/>
        <family val="2"/>
      </rPr>
      <t>celebraron contrato de Transacción</t>
    </r>
    <r>
      <rPr>
        <sz val="7"/>
        <rFont val="Arial"/>
        <family val="2"/>
      </rPr>
      <t xml:space="preserve">. El 15-05-2017 se acepta desistimiento. El 10-05-2017 se presentó desistimiento de la demanda. Nueva fecha Aud. única el 27-01-2017 a las 9:00 am. 1T el 15 -11-2016 a las 9:00 am (Aplazada). El 29-08-16 admite demanda. Se presentó  la demanda y se está a la espera que señalen fecha para la audiencia de conciliación y trámite. </t>
    </r>
  </si>
  <si>
    <r>
      <rPr>
        <b/>
        <sz val="7"/>
        <color indexed="10"/>
        <rFont val="Arial"/>
        <family val="2"/>
      </rPr>
      <t>Terminado por conciliación el 23-01-2019.</t>
    </r>
    <r>
      <rPr>
        <sz val="7"/>
        <rFont val="Arial"/>
        <family val="2"/>
      </rPr>
      <t xml:space="preserve"> Nueva fecha 2T el 23-01-2019 a las 8:30 am, trámite y juzgamiento. Nueva fecha 2T el 07-12-2018 a las 9:00 am, trámite y juzgamiento (Aplazada). 2T el 11-07-2018 a las 9:00 am, trámite y juzgamiento (Aplazada). 1T Conciliación el 05-09-2017 a las 4:00 pm; decisión de excepciones previas, saneamiento, fijación del litigio y decreto de pruebas. El 21-09-2016 se contesta la demanda. Notificada el 08-09-2016. </t>
    </r>
  </si>
  <si>
    <t>José Roberto Herrera  (Xiomara Clavijo)</t>
  </si>
  <si>
    <r>
      <t xml:space="preserve">Ordena a BANCOLOMBIA pagar el cálculo actuarial que debe liquidar COLPENSIONES por el período comprendido del 02/02/1964 al 28/02/1968. Vr. liquidado por COLPENSIONES </t>
    </r>
    <r>
      <rPr>
        <b/>
        <sz val="7"/>
        <rFont val="Arial"/>
        <family val="2"/>
      </rPr>
      <t>$36’885.451</t>
    </r>
  </si>
  <si>
    <r>
      <t xml:space="preserve">El 16-05-2019 Aprueba liquidación y ordena archivo. El 22-04-2019 Auto obedézcase y cúmplase. Fecha fallo 2a. instancia el 20-03-2019. Señala el 13-12-2018 a las 8:30 am audiencia 114 CPT. Pendiente Comisorio para señalar fecha. Nueva fecha el 21-08-2018 a las 8:30 am Audiencia  art. 114 CPT. El 26-04-2018 a las 2:00 pm, audiencia del art. 80 CPT. El 07-12-2017 a las 8:30 am Audiencia art. 114 del CPT y SS (Suspende, pendiente fecha para continuar con testigos). El 04-05-2017 Tribunal confirma Auto y ordena devolver al Juzgado. Nueva fecha el 23-03-2017 a las 2:00 pm, audiencia art. 114 CPT, conciliacion, decisión de excepciones previas, saneamiento, fijación del litigio  y decreto de pruebas (Juzgado declara no probada excepción, se apela ante el Tribunal). Nueva fecha el 10-02-2017 a las 8:30 am audiencia art. 114 CPT, conciliacion y pruebas. El 18-08-2016 a las 02:15 pm alegatos y fallo </t>
    </r>
    <r>
      <rPr>
        <b/>
        <sz val="7"/>
        <rFont val="Arial"/>
        <family val="2"/>
      </rPr>
      <t>(Suspende audiencia para vincular al sindicato)</t>
    </r>
    <r>
      <rPr>
        <sz val="7"/>
        <rFont val="Arial"/>
        <family val="2"/>
      </rPr>
      <t>. 1T el 14-06-2016 a las 8:30 am, audiencia del art. 114 CPT conciliacion y pruebas. El 26-02-2016 se radica la demanda.</t>
    </r>
  </si>
  <si>
    <r>
      <t xml:space="preserve">El 28-05-2015 al Despacho fue recibido escrito de Oposición dentro del término del traslado. El 20-05-2015 se presenta oposición a la demanda de Casación suscrita por José Roberto Herrera apoderado de Bancolombia. El 25-07-2014 la apoderada de la ddante. interpone recurso de Casación. El 16-07-2014 a las 10:10 am fecha de audiencia para alegaciones y juzgamiento. 2T el 05-11-2013 a las 8:30 am, Interrogatorio de partes, testimonios y fallo. El 22-04-2013 incorpora al expediente Despachos Comisorios N°s 2 y 3. Aud. Despacho Comisorio en Ibagué testigos de la ddante. el 14-03-2013 a las 10:00 am. Aud. Despacho Comisorio en Neiva testigos de la ddante. el 21-02-2013 a las 10:00 am. Juzgado envió oficios para Despachos Comisorios a Bogotá y Neiva. 1T Conciliación el 24-01-2013 a las 10:00 am. Contestada el 26-03-2012. Enviado al Juzgado Laboral </t>
    </r>
    <r>
      <rPr>
        <b/>
        <sz val="7"/>
        <rFont val="Arial"/>
        <family val="2"/>
      </rPr>
      <t>Adjunto</t>
    </r>
    <r>
      <rPr>
        <sz val="7"/>
        <rFont val="Arial"/>
        <family val="2"/>
      </rPr>
      <t xml:space="preserve"> el 12-03-2012. Notificada el 09-03-2012.</t>
    </r>
  </si>
  <si>
    <t>José Roberto Herrera Vergara (María Isabel Cardona Montoya)</t>
  </si>
  <si>
    <t>José Roberto Herrera Vergara (Beatriz Vélez Vengoechea)</t>
  </si>
  <si>
    <t>José Roberto Herrera Vergara (Reynaldo Amaya Mantilla)</t>
  </si>
  <si>
    <r>
      <t xml:space="preserve">Vr. costas 1a. instancia $20'064.871 pagadas el 21-02-2019. Se trae nuevamente a procesos vigentes en vista de que el Apoderado de la demandante apeló el Auto que había ordenado la terminación y archivo del proceso. </t>
    </r>
    <r>
      <rPr>
        <b/>
        <sz val="7"/>
        <color indexed="10"/>
        <rFont val="Arial"/>
        <family val="2"/>
      </rPr>
      <t>$31'084.379.59</t>
    </r>
    <r>
      <rPr>
        <sz val="7"/>
        <rFont val="Arial"/>
        <family val="2"/>
      </rPr>
      <t xml:space="preserve">, pagado el 20-11-2012 condena impuesta. </t>
    </r>
    <r>
      <rPr>
        <b/>
        <sz val="7"/>
        <color indexed="10"/>
        <rFont val="Arial"/>
        <family val="2"/>
      </rPr>
      <t>$110'193.737 y $11'900.068</t>
    </r>
    <r>
      <rPr>
        <sz val="7"/>
        <rFont val="Arial"/>
        <family val="2"/>
      </rPr>
      <t xml:space="preserve"> pagados el 10-09-2014 valores resultantes de la condena impuesta. El 27-03-2017 se pagaron </t>
    </r>
    <r>
      <rPr>
        <b/>
        <sz val="7"/>
        <color indexed="10"/>
        <rFont val="Arial"/>
        <family val="2"/>
      </rPr>
      <t>$47'470.509, 46</t>
    </r>
    <r>
      <rPr>
        <sz val="7"/>
        <rFont val="Arial"/>
        <family val="2"/>
      </rPr>
      <t xml:space="preserve"> Costas recurso de casación </t>
    </r>
    <r>
      <rPr>
        <b/>
        <sz val="7"/>
        <color indexed="10"/>
        <rFont val="Arial"/>
        <family val="2"/>
      </rPr>
      <t>$6'</t>
    </r>
  </si>
  <si>
    <r>
      <rPr>
        <b/>
        <sz val="7"/>
        <color indexed="10"/>
        <rFont val="Arial"/>
        <family val="2"/>
      </rPr>
      <t>Terminado por desistimientoel 31-08-2018.</t>
    </r>
    <r>
      <rPr>
        <sz val="7"/>
        <rFont val="Arial"/>
        <family val="2"/>
      </rPr>
      <t xml:space="preserve"> Se presentó la demanda y se está a la espera que el juzgado fije fecha para la audiencia.</t>
    </r>
  </si>
  <si>
    <r>
      <rPr>
        <b/>
        <sz val="7"/>
        <color indexed="10"/>
        <rFont val="Arial"/>
        <family val="2"/>
      </rPr>
      <t>Desistido el 18-03-2019 por renuncia de la empleada.</t>
    </r>
    <r>
      <rPr>
        <sz val="7"/>
        <rFont val="Arial"/>
        <family val="2"/>
      </rPr>
      <t xml:space="preserve"> Fecha audiencia el 27-03-2019 a las 10:30 am, contestación demanda, presentación y decisión de excepciones previas, saneamiento, fijación del litigio y decreto de pruebas. El 21-02-2019 se radica demanda.</t>
    </r>
  </si>
  <si>
    <r>
      <t xml:space="preserve">El 28-05-2019 Auto obedézcase y cúmplase -Liquidar costas. El 10-04-2019 devolución al Juzgado origen. Fecha fallo 2a. instancia el  07-03-2019. Nueva fecha fallo el 05-04-2017 a las 2:30 pm.  Fecha fallo 1a. instancia el 24-11-2016 a las 2:00 pm </t>
    </r>
    <r>
      <rPr>
        <b/>
        <sz val="7"/>
        <rFont val="Arial"/>
        <family val="2"/>
      </rPr>
      <t>(Aplazada)</t>
    </r>
    <r>
      <rPr>
        <sz val="7"/>
        <rFont val="Arial"/>
        <family val="2"/>
      </rPr>
      <t>. El 01-09-2016 a las 2:00 pm Aud. de trámite y juzgamiento. Nueva fecha 1T Conciliación el 13-06-2016 a las 9:30 am; decisión de excepciones previas, saneamiento, fijación del litigio y decreto de pruebas. 1T Conciliación el 22-02-2016 a las 10:45 am; decisión de excepciones previas, saneamiento, fijación del litigio y decreto de pruebas (Aplazada). El 11-08-2015 se radica contestación demanda de Bancolombia. El 27-07-2015 se notifica personalmente la demanda.</t>
    </r>
  </si>
  <si>
    <r>
      <rPr>
        <b/>
        <sz val="7"/>
        <color indexed="10"/>
        <rFont val="Arial"/>
        <family val="2"/>
      </rPr>
      <t>Terminado por Conciliación el 25-06-2019.</t>
    </r>
    <r>
      <rPr>
        <sz val="7"/>
        <rFont val="Arial"/>
        <family val="2"/>
      </rPr>
      <t xml:space="preserve"> 1T Conciliación el 25-06-2019 a las 9:30 am; decisión de excepciones previas, saneamiento, fijación del litigio, decreto de pruebas y práctica de interrogatorios de parte.  El 23-08-08-2018 se contestó la demanda. Notificada el 08-08-2018.</t>
    </r>
  </si>
  <si>
    <r>
      <rPr>
        <b/>
        <sz val="7"/>
        <color indexed="10"/>
        <rFont val="Arial"/>
        <family val="2"/>
      </rPr>
      <t>El 28-05-2019 Terminado por desistimiento de la ddante.</t>
    </r>
    <r>
      <rPr>
        <sz val="7"/>
        <rFont val="Arial"/>
        <family val="2"/>
      </rPr>
      <t xml:space="preserve"> Acepta desistimiento, archivo del proceso sin condena en costas.  2T el 09-07-2019 a las 9:00 audiencia de trámite y juzgamiento. 1T Conciliación el 12-02-2019 a las 9:00 am, decisión de excepciones previas, saneamiento, fijación del litigio y decreto de pruebas.</t>
    </r>
  </si>
  <si>
    <t>José Roberto Herrera Vergara (Luis Fernando Rojas Arango)</t>
  </si>
  <si>
    <t>José Roberto Herrera Vergara (Raúl Humberto Monroy Gallego)</t>
  </si>
  <si>
    <r>
      <rPr>
        <b/>
        <sz val="7"/>
        <color indexed="10"/>
        <rFont val="Arial"/>
        <family val="2"/>
      </rPr>
      <t>Terminado por desistimiento el 12-08-2019.</t>
    </r>
    <r>
      <rPr>
        <sz val="7"/>
        <rFont val="Arial"/>
        <family val="2"/>
      </rPr>
      <t xml:space="preserve"> El 13-08-2019 a las 9:00 am audiencia de trámite (Deben asistir los testigos). Pendiente la notificación a la demandada y al sindicato. El 06-06-2019 se radicó la demanda por parte del Banco.</t>
    </r>
  </si>
  <si>
    <r>
      <t xml:space="preserve">Fecha fallo CSJ el 05-08-2019. El 31-07-2014 se presentó oposición en la Corte por nuestro Abogado. El 11-06-2013 la ddante. presenta recurso de casación. Fecha fallo 2a. instancia el 31-05-2013 a las 9:00 am. El 22-01-2013 se recibe memorial con alegatos de la parte ddante. El 15-01-2013 corre traslado a las partes por 05 días para alegatos. Fecha fallo 1a. instancia el 28-09-2012 a las 4:00 pm. 4T el 11-07-2012 para testimonio de María Teresa Díez. Según telegrama del 16-04-2012 el proceso quedó en el Juzgado 10 Laboral de </t>
    </r>
    <r>
      <rPr>
        <b/>
        <sz val="7"/>
        <rFont val="Arial"/>
        <family val="2"/>
      </rPr>
      <t>Descongestión</t>
    </r>
    <r>
      <rPr>
        <sz val="7"/>
        <rFont val="Arial"/>
        <family val="2"/>
      </rPr>
      <t>. El 23-02-2012 el Juzgado 3° Lab. Medellín envía respuesta del Despacho Comisorio. Aud. Despacho Comisorio Juzgado 3° Laboral de Medellín el 16-02-2012 a las 2:30 pm. Enviado a los Jugados de Descongestión el 16-01-2012. 3T el 31-01-2012 a las 8:15 am. testigos ddado. 2T Interrogatorio de partes el 12-10-2011 a las 10:00 am. 1T Conciliación el 15-09-2011 a las 11:00 am. Contestada el 09-08-2011. Notificada el 14-07-2011. El 11-05-2011 llegó citación para notificación personal, el 08-07-2011 se enviaron documentos al abogado.</t>
    </r>
  </si>
  <si>
    <r>
      <t xml:space="preserve">El 20-01-2016  Al Despacho para sentencia. El 19-01-2016 Recibido expediente con oposición de BANCOLOMBIA. El 25-11-2015 Inicia traslado al opositor BANCOLOMBIA. Traslado al recurrente el 02-09-2015. El 24-06-2014 el T. S. de Medellín concede recurso de Casación. El 14-05-2015 el ddante. interpone recurso de casación. Fecha fallo 2a. instancia el 30-04-2015. El 04-06-2013 enviado a los </t>
    </r>
    <r>
      <rPr>
        <b/>
        <sz val="7"/>
        <rFont val="Arial"/>
        <family val="2"/>
      </rPr>
      <t>Magistrados de Descongestión</t>
    </r>
    <r>
      <rPr>
        <sz val="7"/>
        <rFont val="Arial"/>
        <family val="2"/>
      </rPr>
      <t>. Cambio de MP el 26-01-2012. Enviado a los Magistrados de descongestión el 18-01-2012. Corre traslado por 05 días a las partes para alegatos el 03-08-2011. Nueva fecha fallo Juzgado 2° Adjunto al 11 Lab. el 30-06-2010 a las 4:30 pm.  Fallo 1a. Instancia el 25-08-2010 a las 4:30 PM. Aud. despacho comisorio B/manga. el 12-02-2010 a las 8:30 am testigo Banco. Aud. despacho comisorio San Gil el 24-11-2009 a las 9:00 am testigo Banco. 4T el 29-09-2009 a las 8:30 AM. 3T testigos el 27-08-2009 a las 2:00 PM. 2T interrogatorio de partes el 21-07-2009 a las 8:30 AM.  1T Conciliación el 26-05-2009 a las 2:30 PM.</t>
    </r>
  </si>
  <si>
    <r>
      <t xml:space="preserve">Vr. cálculo actuarial pagado el 19-09-2019 por valor de $44'424-373. Costas por $2'256.676 pagadas el 01-11-2018. El Tribunal confirmó el fallo de primera instancia, pero revocó la condena en el vr. determinado por el Juzgado, y ordenó a COLPENSIONES efectuar el cálculo actuarial en un término no superior a un mes. Vr. costas 2a. instancia $781.242. Fallo 1a. instancia vr. condena cálculo actuarial $31'335.540,77 el cual se debe indexar al momento del pago. </t>
    </r>
    <r>
      <rPr>
        <b/>
        <sz val="7"/>
        <rFont val="Arial"/>
        <family val="2"/>
      </rPr>
      <t>Vr. total $31'392.390,44. Vr. costas 1a. Instancia $1'475.434</t>
    </r>
  </si>
  <si>
    <r>
      <t xml:space="preserve">El 14-11-2019 Auto aprueba liquidación de costas. El 0209-2019 se paga la condena, pendiente las costas. El 24-07-2019 Auto obedézcase y cúmplase, y ordena liquidar costas. El 17-06-2019 devolución al Juzgado origen. El 21-05-2019 Sentencia del Tribunal revoca moratoria y confirma el DSJC. Nueva fecha 1T Conciliación el 19-03-2019 a las 9:00 am., decisión de excepciones previas, saneamiento, fijación del litigio, decreto y práctica de pruebas y fallo. Nueva fecha 1T Conciliación el 18-10-2018 a las 9:00 am, decisión de excepciones previas, saneamiento, fijación del litigio y decreto de pruebas (Aplazada). 1T Conciliación el 19-10-2017 a las 9:30 am; decisión de excepciones previas, saneamiento, fijación del litigio y decreto de pruebas </t>
    </r>
    <r>
      <rPr>
        <b/>
        <sz val="7"/>
        <rFont val="Arial"/>
        <family val="2"/>
      </rPr>
      <t>(Aplazada por renuncia del Apoderado del demandante)</t>
    </r>
    <r>
      <rPr>
        <sz val="7"/>
        <rFont val="Arial"/>
        <family val="2"/>
      </rPr>
      <t>. El 01-02-2017 se contestó la demanda. Notificada el 18-01-2017. El 2-12-2016 se recibió citación para notificación.</t>
    </r>
  </si>
  <si>
    <t>José Roberto Herrera Vergara   (Juan Felipe Molina Alvarez)</t>
  </si>
  <si>
    <r>
      <t xml:space="preserve">El 18-02-20202 reporta el externo que el proceso tuvo fallo absolutorio en Casación.El 12-04-2016 cambio de Magistrado. El 03-07-2014  al Despacho para sentencia. El 05-06-2014 recibido escrito de oposición suscrito por el apoderado de BANCOLOMBIA. El 22-05-2014 inicia traslado al opositor BANCOLOMBIA S.A. El 04-04-2014  recibida demanda u oposición suscrita por el apoderado de MINHACIENDA. El 11-03-2014  inicia traslado a los opositores LA NACION-MINISTERIO DE HACIENDA Y CREDITO PUBLICO. El 05-03-2014  califica demanda y corre traslado al oposotir. Declárese que la demanda de casación presentada reune los requisitos de Ley, en consecuencia continúa el trámite del recurso. El 24-02-2014 fue recibida sustentación del recurso de casación. El 17-02-2014, con renuncia a términos dentro del término legal. Allega sustitución de poder otorgado al Abogado JAIME HUMBERTO SALAZAR BOTERO. El 29-01-2014 inicia traslado al recurrente. El 24-01-2014 CSJ admite recurso y corre traslado. El 04-12-2013 fue radicado en la CSJ y al Despacho para admisión. El 03-07-2013 el ddante. presenta recurso de casación. Fecha fallo 2a. instancia el 26-06-2013. El 19-02-2013 Auto admite recurso de apelación. Radicado en el Tribunal Superior el 11-02-2013. Nueva fecha fallo 1a. instancia el 10-12-2012 a las 8:30 am. Avoca conocimiento </t>
    </r>
    <r>
      <rPr>
        <b/>
        <sz val="7"/>
        <rFont val="Arial"/>
        <family val="2"/>
      </rPr>
      <t>Juez Adjunto</t>
    </r>
    <r>
      <rPr>
        <sz val="7"/>
        <rFont val="Arial"/>
        <family val="2"/>
      </rPr>
      <t xml:space="preserve"> el 10-08-2011. Enviado a </t>
    </r>
    <r>
      <rPr>
        <b/>
        <sz val="7"/>
        <rFont val="Arial"/>
        <family val="2"/>
      </rPr>
      <t>Juez Adjunto</t>
    </r>
    <r>
      <rPr>
        <sz val="7"/>
        <rFont val="Arial"/>
        <family val="2"/>
      </rPr>
      <t xml:space="preserve"> el 04-08-2011. Fecha fallo 1a. Instancia el 09-08-2011 a las 11:15 am. 2T Interrogatorio de parte al ddado. y testigo el 23-03-2011 a la 1:15 pm. 1T Conciliación el 08-02-2011 a las 11:00 am. El 03-11-2010 se contestó la demanda. Notificada el 20-10-2010.</t>
    </r>
  </si>
  <si>
    <r>
      <t xml:space="preserve">El 12-08-2014 Al Despacho para sentencia. El 10-06-2014 Informe o constancia Secretarial: Dentro del término del traslado no fue recibido escrito de oposición. El 29-04-2014 Inicia traslado al opositor BANCOLOMBIA. El 23-04-2014 Califica demanda y corre traslado al opositor. El 18-02-2014 Inicia traslado al recurrente. El 12-02-2014 Admite recurso y corre traslado. El 05-06-2013 el ddante. interpuso recurso de casación. Fallo 2a. instancia el 31-05-2013. Cambio de MP el 30-01-2012. Enviado a los Magistrados de Descongestión 23-01-2012. Presentación alegatos por parte del Banco el 05-08-2011. Fecha fallo 1a. instancia </t>
    </r>
    <r>
      <rPr>
        <b/>
        <sz val="7"/>
        <rFont val="Arial"/>
        <family val="2"/>
      </rPr>
      <t>Juzgado 2° Adjunto</t>
    </r>
    <r>
      <rPr>
        <sz val="7"/>
        <rFont val="Arial"/>
        <family val="2"/>
      </rPr>
      <t xml:space="preserve"> el 29-04-2011 a las 4:50 pm. 14-03-2011 ordena oficiar al Min. de Hacienda; una vez llegue la documentación fija nueva fecha para fallo. Fecha fallo 1a. instancia el 25-02-2011 a las 4:50 pm. 2T Interrogatorio de partes el 01-02-2011 a las 8:30 am. Nueva fecha 1T Conciliación el 16-09-2010 a las 9:00 am. 1T Conciliación el 24-08-2010 a las 9:00 am </t>
    </r>
    <r>
      <rPr>
        <b/>
        <sz val="7"/>
        <rFont val="Arial"/>
        <family val="2"/>
      </rPr>
      <t>(Aplazada)</t>
    </r>
    <r>
      <rPr>
        <sz val="7"/>
        <rFont val="Arial"/>
        <family val="2"/>
      </rPr>
      <t xml:space="preserve">. Enviado al </t>
    </r>
    <r>
      <rPr>
        <b/>
        <sz val="7"/>
        <rFont val="Arial"/>
        <family val="2"/>
      </rPr>
      <t>Juzgado 2° ADJUNTO</t>
    </r>
    <r>
      <rPr>
        <sz val="7"/>
        <rFont val="Arial"/>
        <family val="2"/>
      </rPr>
      <t xml:space="preserve"> al 1° Laboral el 12-03-2010. Notificada el 15-01-2010.</t>
    </r>
  </si>
  <si>
    <r>
      <t xml:space="preserve"> EL 18 de Febrero de 2021 se procede a retirarlo como activo y pasar a terminados. EL 16/02/2021 NO se Casa la Sentencia es decir que queda en firme la decisión absolutoria.El 05-10-2017 Al Despacho para sentencia. El 02-10-2017 Recibida demanda u oposición del Ministerio de Hacienda. El 05-09-2017 Inicia traslado a los opositores a la Nación Ministerio de Hacienda y Crédito Público. El 29-08-2017 Recibida demanda u Oposición por parte del Apoderado del demandado. El 02-08-2017 Califica demanda y corre traslado al opositor. El 29-03-2017 Admite recurso y corre traslado. El 15-10-2015 envía exp. a la CSJ. El 08-09-2015 el TS admite recurso de Casación. El 18-08-2015 el ddante. interpone recurso de Casación. Fecha fallo 2a. instancia el 31-07-2015. El 23-05-2013 enviado a los </t>
    </r>
    <r>
      <rPr>
        <b/>
        <sz val="7"/>
        <rFont val="Arial"/>
        <family val="2"/>
      </rPr>
      <t>Magistrados de Descongestión</t>
    </r>
    <r>
      <rPr>
        <sz val="7"/>
        <rFont val="Arial"/>
        <family val="2"/>
      </rPr>
      <t xml:space="preserve">. Radicado en el Trib. Sup. el 24-10-2012. Fallo 1a. instancia el 31-08-2012 a las 4:50 pm. Nueva fecha 1T Conciliación el 09-05-2012 a las 8:30 am </t>
    </r>
    <r>
      <rPr>
        <b/>
        <sz val="7"/>
        <rFont val="Arial"/>
        <family val="2"/>
      </rPr>
      <t>Juzgado 16 Lab. Descongestión</t>
    </r>
    <r>
      <rPr>
        <sz val="7"/>
        <rFont val="Arial"/>
        <family val="2"/>
      </rPr>
      <t xml:space="preserve">. Avoca el conocimiento el Juzg. 16 Lab. </t>
    </r>
    <r>
      <rPr>
        <b/>
        <sz val="7"/>
        <rFont val="Arial"/>
        <family val="2"/>
      </rPr>
      <t>Descongestión</t>
    </r>
    <r>
      <rPr>
        <sz val="7"/>
        <rFont val="Arial"/>
        <family val="2"/>
      </rPr>
      <t xml:space="preserve"> 09-04-2012. Enviado a los Juzgados de Descongestión el 17-01-2012 para su trámite. 1T Conciliación el 14-02-2012 a las 2:30 pm. Contestada el 28-10-2011. Notificada el 18-10-2011.</t>
    </r>
  </si>
  <si>
    <t>José Roberto Herrera Vergara (Juan Pablo López Moreno)</t>
  </si>
  <si>
    <t>José Roberto Herrera Vergara (Orlando Erickson Rivera Ramírez)</t>
  </si>
  <si>
    <t>Francisco Jose Quiroga Pachon</t>
  </si>
  <si>
    <r>
      <t xml:space="preserve">El 22-02-2017 Al Despacho para sentencia. El 27-01-2017 Recibida demanda u oposición del Apoderado del demandado. El 07-12-2016 Inicia traslado opositor Ministerio de Hacienda. El 06-12-2016 califica demanda y corre traslado al opositor. El 06-09-2016 al Despacho con sustención del recurso. El 14-10-2015 apoderada del ddante. interpone recurso de Casación. Fecha fallo 2a. instancia el 21-09-2015. El 26-01-2015 Auto avocando conocimiento en cumplimiento del Acuerdo PSSA14-10282 del 31-12-2014 de la Sala Administrativa del C.S. de la J.; y teniendo en cuenta la reorganización de las Salas de decisión y la redistribución de procesos adpotada por la sala Administrativa del Consejo Seccional de la Judicatura, se avoca conocimiento del proceso proveniente del Despacho del DR. LUIS HORACIO VÉLEZ GARCÍA. El 01-11-2013 se corre traslado a las partes por el término de 05 días para presentar alegatos. Radicado en el Trib. Sup. el 19-11-2012. Fecha fallo 1a. instancia el 31-08-2012 a las 4:50 pm. El 13-02-2012 avoca el conocimiento el Juzgado 16 Laboral de Descongestión. El 11-01-2012 envía a Juzgados de Descongestión. El 13-12-2011 se envía el exp. al Juzgado de origen para que continúe el trámite. Se aplazó el fallo porque no han llegado las respuestas a oficios. Fallo 1a. instancia el 30-11-2011 a las 4:30 pm. 3T el 10-10-2011 a las 8:30 am Testigo. 2T el 19-09-2011 a las 9:00 am Inspección Jcial. en el ISS. 1T Conciliación el 12-09-2011 a las 8:30 am.  Enviado al </t>
    </r>
    <r>
      <rPr>
        <b/>
        <sz val="7"/>
        <rFont val="Arial"/>
        <family val="2"/>
      </rPr>
      <t>Juzgado 2° Adjunto al Juzgado 10 Laboral</t>
    </r>
    <r>
      <rPr>
        <sz val="7"/>
        <rFont val="Arial"/>
        <family val="2"/>
      </rPr>
      <t xml:space="preserve"> el 09-08-2011. Contestada el 26-07-2011. Notificada el 11-07-2011.</t>
    </r>
  </si>
  <si>
    <t>José Roberto Herrera Vergara (Clara Lasso de Ramírez)</t>
  </si>
  <si>
    <t> Andres Sierra Amazo</t>
  </si>
  <si>
    <t>José Roberto Herrera Vergara (Carlos Valega Puello)</t>
  </si>
  <si>
    <r>
      <t>El 09-07-2019 se remiten copias a la CSJ para trámite del recurso de Queja. El 22-01-2019 traslado Reposición art. 319 C.G.P. Auto niega Casación. El 18-10-2018 pasa al grupo de Casaciones. Fecha fallo 2a. instancia el 25-09-2018. Fecha fallo 1a. instancia el 30-08-2018. Audiencia el 31-07-2018 a las 3:00 pm, se apela una prueba y se concede en efecto suspensivo. 2T el 24-04-2018 a las 8:15 am, práctica de pruebas, alegatos y fallo. Nueva fecha 1T Conciliación el 12-02-2018 a las 9:30. am; decisión de excepciones previas, saneamiento, fijación del litigio y decreto de pruebas. El 25-08-2017 contesta la demanda COLPENSIONES. 1T Conciliación el 03-08-2017 a las 02:30. pm; decisión de excepciones previas, saneamiento, fijación del litigio y decreto de pruebas (</t>
    </r>
    <r>
      <rPr>
        <b/>
        <sz val="7"/>
        <rFont val="Arial"/>
        <family val="2"/>
      </rPr>
      <t>Aplazada</t>
    </r>
    <r>
      <rPr>
        <sz val="7"/>
        <rFont val="Arial"/>
        <family val="2"/>
      </rPr>
      <t xml:space="preserve"> por falta de respuesta a la demanda por parte de COLPENSIONES). Contestada el 26-01-2017. Notificada el 13-12-2016. Se remitió poder al Abogado externo.</t>
    </r>
  </si>
  <si>
    <r>
      <t xml:space="preserve">El 26-01-2016 se radica OPOSICION en Corte por parte de Bancolombia. El 12-01-2016 retiro exp. por parte del Dr. JOSE ROBERTO HERRERA VERGARA para oposición. El 24-11-2015 CSJ califica demanda y corre traslado al opositor. El 02-09-2015 CSJ admite recurso de casación y corre traslado. El 12-06-2015 el Tribunal concede recurso de casación al demandante. Fecha fallo 2a. instancia el 08-05-2015. Fecha fallo 1a. instancia el 27-08-2014 a las 8:30 am. El 15-08-2014  8:00 am audiencia para declaración del Gerente de Zona Jorge Eduardo Silva. El 28-07-2014 a las 8:30 am declaración de Jorge Eduardo Silva (Esta audiencia no se realizó por el paro judicial). En Bogotá el Despacho Comisorio cayó en el Juzgado 15 Laboral y se señaló como fecha de audiencia para el 01-04-2014 a las 2:30 pm para recepción de los testimonios de Leonardo Chaparro y Gilberto Arcila. El Juzgado se abstiene de recibir a este testigo porque el ostenta la calidad de representante legal ante lo cual nuestro apoderado solicita se le tenga como rep. y se le reciba su interrogatorio y por ende está pendiente que el Juzgado determine la fecha para evacuar este interrogatorio. El 18-10-2013 a las 8:30 am aud. recepción de testimonios. El proceso fue remitido al juzgado 3° laboral de Bucaramanga que avocó conocimiento del mismo el 05-09-2013. El 18-06-2013 a las 9:00 am testigo ddada. El 21-05-2013 a las 9:00 am aud. testimonios del ddante. Nueva fecha para el 03-04-2013 a las 9:00am. Nueva fecha 4T el 14-02-2013 a las 9:00 am, testimonios. Continuación 4T el 25-10-2012 a las 9:00 am, testimonios (Aplazada). Nueva fecha 4T el 09-10-2012 a las 9:00 am (Suspende). 4T el 12-09-2012 a las 9:00 am testigos (Aplazada a solicitud de las partes). 3T el 29-08-2012 a las 9:00 testigos ddante. 2T Interrogatorio de partes y testigo el 16-08-2012. 1T Conciliación el 24-07-2012 a las 8:30 am. Por auto del 20-02-02-2012 se remitió el proceso a los </t>
    </r>
    <r>
      <rPr>
        <b/>
        <sz val="7"/>
        <rFont val="Arial"/>
        <family val="2"/>
      </rPr>
      <t>Juzgados de Descongestión</t>
    </r>
    <r>
      <rPr>
        <sz val="7"/>
        <rFont val="Arial"/>
        <family val="2"/>
      </rPr>
      <t>. Contestada el 18-01-2012. El 07-12-2011 se envían documentos al Abogado. Llegó citatorio el 21-10-2011.</t>
    </r>
  </si>
  <si>
    <r>
      <t xml:space="preserve">Nueva fecha 2T el 02-02-2017 a las 8:30 am práctica de pruebas y fallo. 2T el 09-11-2016 a las 8:30 am práctica de pruebas y fallo </t>
    </r>
    <r>
      <rPr>
        <b/>
        <sz val="7"/>
        <color indexed="10"/>
        <rFont val="Arial"/>
        <family val="2"/>
      </rPr>
      <t>(Aplazada)</t>
    </r>
    <r>
      <rPr>
        <sz val="7"/>
        <rFont val="Arial"/>
        <family val="2"/>
      </rPr>
      <t>. 1T Conciliación el 14-09-2016 a las 3:00 pm, decisión de excepciones previas, saneamiento, fijación del litigio y decreto de pruebas. Contestada el 15-07-2016. Notificada el 05-07-2016.</t>
    </r>
  </si>
  <si>
    <t>Carlos Ballesteros</t>
  </si>
  <si>
    <t>José Roberto Herrera Vergara. (Giovanna Flórez Montealegre)</t>
  </si>
  <si>
    <t>IbaguE</t>
  </si>
  <si>
    <t>UbatE</t>
  </si>
  <si>
    <t>VElez</t>
  </si>
  <si>
    <t>San AndrEs</t>
  </si>
  <si>
    <t>Barrancabermeja</t>
  </si>
  <si>
    <t>Transacción</t>
  </si>
  <si>
    <t>Absolutorio</t>
  </si>
  <si>
    <t>EMPRESA APODERADO BANCO</t>
  </si>
  <si>
    <t>Ninguno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</si>
</sst>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 #,##0.00;[Red]\-&quot;$&quot;\ #,##0.00"/>
    <numFmt numFmtId="44" formatCode="_-&quot;$&quot;\ * #,##0.00_-;\-&quot;$&quot;\ * #,##0.00_-;_-&quot;$&quot;\ * &quot;-&quot;??_-;_-@_-"/>
    <numFmt numFmtId="43" formatCode="_-* #,##0.00_-;\-* #,##0.00_-;_-* &quot;-&quot;??_-;_-@_-"/>
    <numFmt numFmtId="164" formatCode="&quot;$&quot;\ #,##0"/>
    <numFmt numFmtId="165" formatCode="&quot;$&quot;\ #,##0.0"/>
    <numFmt numFmtId="166" formatCode="&quot;$&quot;#,##0_);\(&quot;$&quot;#,##0\)"/>
    <numFmt numFmtId="167" formatCode="&quot;$&quot;\ #,##0;[Red]&quot;$&quot;\ \-#,##0"/>
    <numFmt numFmtId="168" formatCode="_ * #,##0.00_ ;_ * \-#,##0.00_ ;_ * &quot;-&quot;??_ ;_ @_ "/>
    <numFmt numFmtId="169" formatCode="&quot;$&quot;\ #,##0_);[Red]\(&quot;$&quot;\ #,##0\)"/>
  </numFmts>
  <fonts count="36" x14ac:knownFonts="1">
    <font>
      <sz val="11"/>
      <color theme="1"/>
      <name val="Aptos Narrow"/>
      <family val="2"/>
      <scheme val="minor"/>
    </font>
    <font>
      <b/>
      <sz val="11"/>
      <color theme="1"/>
      <name val="Aptos Narrow"/>
      <family val="2"/>
      <scheme val="minor"/>
    </font>
    <font>
      <sz val="11"/>
      <color theme="1"/>
      <name val="Aptos Narrow"/>
      <family val="2"/>
      <scheme val="minor"/>
    </font>
    <font>
      <sz val="10"/>
      <name val="Arial"/>
      <family val="2"/>
    </font>
    <font>
      <b/>
      <sz val="7"/>
      <name val="Arial"/>
      <family val="2"/>
    </font>
    <font>
      <b/>
      <sz val="7"/>
      <color indexed="10"/>
      <name val="Arial"/>
      <family val="2"/>
    </font>
    <font>
      <sz val="6"/>
      <color indexed="8"/>
      <name val="Arial"/>
      <family val="2"/>
    </font>
    <font>
      <sz val="7"/>
      <name val="Arial"/>
      <family val="2"/>
    </font>
    <font>
      <sz val="6"/>
      <name val="Arial"/>
      <family val="2"/>
    </font>
    <font>
      <sz val="7"/>
      <color indexed="8"/>
      <name val="Arial"/>
      <family val="2"/>
    </font>
    <font>
      <sz val="8"/>
      <color indexed="8"/>
      <name val="Arial"/>
      <family val="2"/>
    </font>
    <font>
      <sz val="8"/>
      <name val="Arial"/>
      <family val="2"/>
    </font>
    <font>
      <sz val="5"/>
      <name val="Arial"/>
      <family val="2"/>
    </font>
    <font>
      <sz val="6"/>
      <color indexed="12"/>
      <name val="Arial"/>
      <family val="2"/>
    </font>
    <font>
      <sz val="6"/>
      <color indexed="8"/>
      <name val="Arial Narrow"/>
      <family val="2"/>
    </font>
    <font>
      <sz val="6"/>
      <color indexed="54"/>
      <name val="Arial"/>
      <family val="2"/>
    </font>
    <font>
      <sz val="8"/>
      <color indexed="10"/>
      <name val="Arial"/>
      <family val="2"/>
    </font>
    <font>
      <sz val="7"/>
      <color indexed="14"/>
      <name val="Arial"/>
      <family val="2"/>
    </font>
    <font>
      <b/>
      <sz val="6"/>
      <name val="Arial"/>
      <family val="2"/>
    </font>
    <font>
      <sz val="6"/>
      <color indexed="10"/>
      <name val="Arial"/>
      <family val="2"/>
    </font>
    <font>
      <sz val="7"/>
      <color rgb="FF000000"/>
      <name val="Arial"/>
      <family val="2"/>
    </font>
    <font>
      <sz val="6"/>
      <name val="Arial Narrow"/>
      <family val="2"/>
    </font>
    <font>
      <sz val="7"/>
      <color indexed="10"/>
      <name val="Arial"/>
      <family val="2"/>
    </font>
    <font>
      <sz val="9"/>
      <name val="Arial"/>
      <family val="2"/>
    </font>
    <font>
      <sz val="7"/>
      <color rgb="FF222222"/>
      <name val="Arial"/>
      <family val="2"/>
    </font>
    <font>
      <sz val="10"/>
      <color theme="1"/>
      <name val="Aptos Narrow"/>
      <family val="2"/>
      <scheme val="minor"/>
    </font>
    <font>
      <sz val="7"/>
      <color rgb="FF242424"/>
      <name val="Segoe UI"/>
      <family val="2"/>
    </font>
    <font>
      <b/>
      <sz val="8"/>
      <color indexed="81"/>
      <name val="Tahoma"/>
      <family val="2"/>
    </font>
    <font>
      <sz val="8"/>
      <color indexed="81"/>
      <name val="Tahoma"/>
      <family val="2"/>
    </font>
    <font>
      <b/>
      <sz val="10"/>
      <color indexed="81"/>
      <name val="Tahoma"/>
      <family val="2"/>
    </font>
    <font>
      <sz val="10"/>
      <color indexed="81"/>
      <name val="Tahoma"/>
      <family val="2"/>
    </font>
    <font>
      <b/>
      <sz val="9"/>
      <color indexed="81"/>
      <name val="Tahoma"/>
      <family val="2"/>
    </font>
    <font>
      <sz val="9"/>
      <color indexed="81"/>
      <name val="Tahoma"/>
      <family val="2"/>
    </font>
    <font>
      <b/>
      <sz val="8"/>
      <color theme="1"/>
      <name val="Aptos Narrow"/>
      <family val="2"/>
      <scheme val="minor"/>
    </font>
    <font>
      <sz val="8"/>
      <color rgb="FF000000"/>
      <name val="Arial"/>
      <family val="2"/>
    </font>
    <font>
      <sz val="8"/>
      <color theme="1"/>
      <name val="Aptos Narrow"/>
      <family val="2"/>
      <scheme val="minor"/>
    </font>
  </fonts>
  <fills count="53">
    <fill>
      <patternFill patternType="none"/>
    </fill>
    <fill>
      <patternFill patternType="gray125"/>
    </fill>
    <fill>
      <patternFill patternType="solid">
        <fgColor theme="3" tint="0.499984740745262"/>
        <bgColor indexed="64"/>
      </patternFill>
    </fill>
    <fill>
      <patternFill patternType="solid">
        <fgColor rgb="FFFF00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indexed="42"/>
        <bgColor indexed="64"/>
      </patternFill>
    </fill>
    <fill>
      <patternFill patternType="solid">
        <fgColor indexed="13"/>
        <bgColor indexed="64"/>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51"/>
        <bgColor indexed="64"/>
      </patternFill>
    </fill>
    <fill>
      <patternFill patternType="solid">
        <fgColor indexed="19"/>
        <bgColor indexed="64"/>
      </patternFill>
    </fill>
    <fill>
      <patternFill patternType="solid">
        <fgColor rgb="FF92D050"/>
        <bgColor indexed="64"/>
      </patternFill>
    </fill>
    <fill>
      <patternFill patternType="solid">
        <fgColor theme="2"/>
        <bgColor indexed="64"/>
      </patternFill>
    </fill>
    <fill>
      <patternFill patternType="solid">
        <fgColor rgb="FFCCFFCC"/>
        <bgColor indexed="64"/>
      </patternFill>
    </fill>
    <fill>
      <patternFill patternType="solid">
        <fgColor theme="6" tint="0.79998168889431442"/>
        <bgColor indexed="64"/>
      </patternFill>
    </fill>
    <fill>
      <patternFill patternType="solid">
        <fgColor rgb="FFC5D9F1"/>
        <bgColor indexed="64"/>
      </patternFill>
    </fill>
    <fill>
      <patternFill patternType="solid">
        <fgColor rgb="FFF2DDDC"/>
        <bgColor indexed="64"/>
      </patternFill>
    </fill>
    <fill>
      <patternFill patternType="solid">
        <fgColor rgb="FFDBEEF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9"/>
        <bgColor indexed="64"/>
      </patternFill>
    </fill>
    <fill>
      <patternFill patternType="solid">
        <fgColor rgb="FFF2DCDB"/>
        <bgColor indexed="64"/>
      </patternFill>
    </fill>
    <fill>
      <patternFill patternType="solid">
        <fgColor rgb="FFDAEEF3"/>
        <bgColor indexed="64"/>
      </patternFill>
    </fill>
    <fill>
      <patternFill patternType="solid">
        <fgColor theme="7" tint="0.79998168889431442"/>
        <bgColor indexed="64"/>
      </patternFill>
    </fill>
    <fill>
      <patternFill patternType="solid">
        <fgColor rgb="FF00B0F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B050"/>
        <bgColor indexed="64"/>
      </patternFill>
    </fill>
    <fill>
      <patternFill patternType="solid">
        <fgColor rgb="FFFFFFFF"/>
        <bgColor indexed="64"/>
      </patternFill>
    </fill>
    <fill>
      <patternFill patternType="solid">
        <fgColor theme="4"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rgb="FFEEECE1"/>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9966FF"/>
        <bgColor indexed="64"/>
      </patternFill>
    </fill>
    <fill>
      <patternFill patternType="solid">
        <fgColor theme="6"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bottom style="hair">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medium">
        <color indexed="64"/>
      </right>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168" fontId="3" fillId="0" borderId="0" applyFont="0" applyFill="0" applyBorder="0" applyAlignment="0" applyProtection="0"/>
  </cellStyleXfs>
  <cellXfs count="923">
    <xf numFmtId="0" fontId="0" fillId="0" borderId="0" xfId="0"/>
    <xf numFmtId="0" fontId="6" fillId="8" borderId="6" xfId="0" applyFont="1" applyFill="1" applyBorder="1" applyAlignment="1">
      <alignment horizontal="center" vertical="top" wrapText="1"/>
    </xf>
    <xf numFmtId="0" fontId="6" fillId="8" borderId="2" xfId="1" applyNumberFormat="1" applyFont="1" applyFill="1" applyBorder="1" applyAlignment="1">
      <alignment horizontal="center" vertical="top" wrapText="1"/>
    </xf>
    <xf numFmtId="0" fontId="6" fillId="8" borderId="4" xfId="1" applyNumberFormat="1" applyFont="1" applyFill="1" applyBorder="1" applyAlignment="1">
      <alignment horizontal="center" vertical="top" wrapText="1"/>
    </xf>
    <xf numFmtId="0" fontId="8" fillId="8" borderId="3" xfId="1" applyNumberFormat="1" applyFont="1" applyFill="1" applyBorder="1" applyAlignment="1">
      <alignment horizontal="center" vertical="top" wrapText="1"/>
    </xf>
    <xf numFmtId="0" fontId="8" fillId="8" borderId="4" xfId="1" applyNumberFormat="1" applyFont="1" applyFill="1" applyBorder="1" applyAlignment="1">
      <alignment horizontal="center" vertical="top" wrapText="1"/>
    </xf>
    <xf numFmtId="0" fontId="6" fillId="8" borderId="1" xfId="1" applyNumberFormat="1" applyFont="1" applyFill="1" applyBorder="1" applyAlignment="1">
      <alignment horizontal="center" vertical="top" wrapText="1"/>
    </xf>
    <xf numFmtId="165" fontId="7" fillId="8" borderId="1" xfId="0" applyNumberFormat="1" applyFont="1" applyFill="1" applyBorder="1" applyAlignment="1">
      <alignment horizontal="center" vertical="center"/>
    </xf>
    <xf numFmtId="0" fontId="6" fillId="8" borderId="5" xfId="1" applyNumberFormat="1" applyFont="1" applyFill="1" applyBorder="1" applyAlignment="1">
      <alignment horizontal="center" vertical="top" wrapText="1"/>
    </xf>
    <xf numFmtId="9" fontId="9" fillId="8" borderId="2" xfId="1" applyNumberFormat="1" applyFont="1" applyFill="1" applyBorder="1" applyAlignment="1">
      <alignment horizontal="center" vertical="center" wrapText="1"/>
    </xf>
    <xf numFmtId="0" fontId="8" fillId="8" borderId="1" xfId="0" applyFont="1" applyFill="1" applyBorder="1" applyAlignment="1">
      <alignment horizontal="center" wrapText="1"/>
    </xf>
    <xf numFmtId="0" fontId="10" fillId="8" borderId="1" xfId="1" applyNumberFormat="1" applyFont="1" applyFill="1" applyBorder="1" applyAlignment="1">
      <alignment horizontal="center"/>
    </xf>
    <xf numFmtId="0" fontId="7" fillId="8" borderId="1" xfId="1" applyNumberFormat="1" applyFont="1" applyFill="1" applyBorder="1" applyAlignment="1">
      <alignment horizontal="center" vertical="center"/>
    </xf>
    <xf numFmtId="1" fontId="8" fillId="8" borderId="1" xfId="0" applyNumberFormat="1" applyFont="1" applyFill="1" applyBorder="1" applyAlignment="1">
      <alignment horizontal="center"/>
    </xf>
    <xf numFmtId="0" fontId="11" fillId="8" borderId="1" xfId="1" applyNumberFormat="1" applyFont="1" applyFill="1" applyBorder="1" applyAlignment="1">
      <alignment horizontal="center"/>
    </xf>
    <xf numFmtId="0" fontId="8" fillId="4" borderId="1" xfId="0" applyFont="1" applyFill="1" applyBorder="1" applyAlignment="1">
      <alignment horizontal="center" vertical="top" wrapText="1"/>
    </xf>
    <xf numFmtId="0" fontId="8" fillId="5" borderId="1" xfId="0" applyFont="1" applyFill="1" applyBorder="1" applyAlignment="1">
      <alignment horizontal="center" vertical="top" wrapText="1"/>
    </xf>
    <xf numFmtId="14" fontId="8" fillId="4" borderId="1" xfId="0" applyNumberFormat="1" applyFont="1" applyFill="1" applyBorder="1" applyAlignment="1">
      <alignment horizontal="center" vertical="top" wrapText="1"/>
    </xf>
    <xf numFmtId="1" fontId="8" fillId="8" borderId="1" xfId="0" quotePrefix="1" applyNumberFormat="1" applyFont="1" applyFill="1" applyBorder="1" applyAlignment="1">
      <alignment horizontal="center"/>
    </xf>
    <xf numFmtId="1" fontId="13" fillId="8" borderId="1" xfId="1" applyNumberFormat="1" applyFont="1" applyFill="1" applyBorder="1" applyAlignment="1">
      <alignment horizontal="center"/>
    </xf>
    <xf numFmtId="0" fontId="10" fillId="8" borderId="2" xfId="1" applyNumberFormat="1" applyFont="1" applyFill="1" applyBorder="1" applyAlignment="1">
      <alignment horizontal="center"/>
    </xf>
    <xf numFmtId="1" fontId="13" fillId="8" borderId="2" xfId="0" quotePrefix="1" applyNumberFormat="1" applyFont="1" applyFill="1" applyBorder="1" applyAlignment="1">
      <alignment horizontal="center"/>
    </xf>
    <xf numFmtId="0" fontId="11" fillId="8" borderId="2" xfId="1" applyNumberFormat="1" applyFont="1" applyFill="1" applyBorder="1" applyAlignment="1">
      <alignment horizontal="center"/>
    </xf>
    <xf numFmtId="1" fontId="8" fillId="8" borderId="2" xfId="0" applyNumberFormat="1" applyFont="1" applyFill="1" applyBorder="1" applyAlignment="1">
      <alignment horizontal="center"/>
    </xf>
    <xf numFmtId="1" fontId="8" fillId="8" borderId="1" xfId="1" applyNumberFormat="1" applyFont="1" applyFill="1" applyBorder="1" applyAlignment="1">
      <alignment horizontal="center"/>
    </xf>
    <xf numFmtId="0" fontId="6" fillId="8" borderId="1" xfId="1" quotePrefix="1" applyNumberFormat="1" applyFont="1" applyFill="1" applyBorder="1" applyAlignment="1">
      <alignment horizontal="center" vertical="top" wrapText="1"/>
    </xf>
    <xf numFmtId="1" fontId="13" fillId="8" borderId="1" xfId="0" quotePrefix="1" applyNumberFormat="1" applyFont="1" applyFill="1" applyBorder="1" applyAlignment="1">
      <alignment horizontal="center"/>
    </xf>
    <xf numFmtId="0" fontId="17" fillId="8" borderId="1" xfId="1" applyNumberFormat="1" applyFont="1" applyFill="1" applyBorder="1" applyAlignment="1">
      <alignment horizontal="center" vertical="center"/>
    </xf>
    <xf numFmtId="0" fontId="17" fillId="8" borderId="1" xfId="0" applyFont="1" applyFill="1" applyBorder="1" applyAlignment="1">
      <alignment horizontal="center" vertical="center" wrapText="1"/>
    </xf>
    <xf numFmtId="0" fontId="6" fillId="12" borderId="2" xfId="1" applyNumberFormat="1" applyFont="1" applyFill="1" applyBorder="1" applyAlignment="1">
      <alignment horizontal="center" vertical="top" wrapText="1"/>
    </xf>
    <xf numFmtId="0" fontId="7" fillId="8" borderId="1" xfId="0" applyFont="1" applyFill="1" applyBorder="1" applyAlignment="1">
      <alignment horizontal="center" vertical="center"/>
    </xf>
    <xf numFmtId="1" fontId="13" fillId="8" borderId="2" xfId="1" applyNumberFormat="1" applyFont="1" applyFill="1" applyBorder="1" applyAlignment="1">
      <alignment horizontal="center"/>
    </xf>
    <xf numFmtId="0" fontId="10" fillId="8" borderId="1" xfId="0" applyFont="1" applyFill="1" applyBorder="1" applyAlignment="1">
      <alignment horizontal="center"/>
    </xf>
    <xf numFmtId="0" fontId="7" fillId="8" borderId="2" xfId="1" applyNumberFormat="1" applyFont="1" applyFill="1" applyBorder="1" applyAlignment="1">
      <alignment horizontal="center" vertical="center"/>
    </xf>
    <xf numFmtId="0" fontId="17" fillId="8" borderId="2" xfId="0" applyFont="1" applyFill="1" applyBorder="1" applyAlignment="1">
      <alignment horizontal="center" vertical="center" wrapText="1"/>
    </xf>
    <xf numFmtId="0" fontId="11" fillId="8" borderId="3" xfId="1" applyNumberFormat="1" applyFont="1" applyFill="1" applyBorder="1" applyAlignment="1">
      <alignment horizontal="center"/>
    </xf>
    <xf numFmtId="1" fontId="8" fillId="8" borderId="2" xfId="1" applyNumberFormat="1" applyFont="1" applyFill="1" applyBorder="1" applyAlignment="1">
      <alignment horizontal="center"/>
    </xf>
    <xf numFmtId="0" fontId="7" fillId="8" borderId="2" xfId="0" applyFont="1" applyFill="1" applyBorder="1" applyAlignment="1">
      <alignment horizontal="center" vertical="center"/>
    </xf>
    <xf numFmtId="1" fontId="8" fillId="8" borderId="2" xfId="0" quotePrefix="1" applyNumberFormat="1" applyFont="1" applyFill="1" applyBorder="1" applyAlignment="1">
      <alignment horizontal="center"/>
    </xf>
    <xf numFmtId="0" fontId="6" fillId="8" borderId="10" xfId="1" applyNumberFormat="1" applyFont="1" applyFill="1" applyBorder="1" applyAlignment="1">
      <alignment horizontal="center" vertical="top" wrapText="1"/>
    </xf>
    <xf numFmtId="1" fontId="8" fillId="8" borderId="10" xfId="0" applyNumberFormat="1" applyFont="1" applyFill="1" applyBorder="1" applyAlignment="1">
      <alignment horizontal="center"/>
    </xf>
    <xf numFmtId="1" fontId="7" fillId="8" borderId="2" xfId="0" applyNumberFormat="1" applyFont="1" applyFill="1" applyBorder="1" applyAlignment="1">
      <alignment horizontal="center" vertical="center"/>
    </xf>
    <xf numFmtId="0" fontId="8" fillId="4" borderId="3" xfId="0" applyFont="1" applyFill="1" applyBorder="1" applyAlignment="1">
      <alignment horizontal="center" vertical="top" wrapText="1"/>
    </xf>
    <xf numFmtId="0" fontId="18" fillId="8" borderId="1" xfId="0" applyFont="1" applyFill="1" applyBorder="1" applyAlignment="1">
      <alignment horizontal="center" wrapText="1"/>
    </xf>
    <xf numFmtId="0" fontId="8" fillId="4" borderId="2" xfId="0" applyFont="1" applyFill="1" applyBorder="1" applyAlignment="1">
      <alignment horizontal="center" vertical="top" wrapText="1"/>
    </xf>
    <xf numFmtId="0" fontId="6" fillId="12" borderId="1" xfId="1" applyNumberFormat="1" applyFont="1" applyFill="1" applyBorder="1" applyAlignment="1">
      <alignment horizontal="center" vertical="top" wrapText="1"/>
    </xf>
    <xf numFmtId="1" fontId="8" fillId="12" borderId="1" xfId="0" applyNumberFormat="1" applyFont="1" applyFill="1" applyBorder="1" applyAlignment="1">
      <alignment horizontal="center"/>
    </xf>
    <xf numFmtId="0" fontId="8" fillId="12" borderId="1" xfId="0" applyFont="1" applyFill="1" applyBorder="1" applyAlignment="1">
      <alignment horizontal="center" wrapText="1"/>
    </xf>
    <xf numFmtId="0" fontId="8" fillId="8" borderId="2" xfId="0" applyFont="1" applyFill="1" applyBorder="1" applyAlignment="1">
      <alignment horizontal="center" wrapText="1"/>
    </xf>
    <xf numFmtId="0" fontId="8" fillId="8" borderId="1" xfId="1" applyNumberFormat="1" applyFont="1" applyFill="1" applyBorder="1" applyAlignment="1">
      <alignment horizontal="center"/>
    </xf>
    <xf numFmtId="1" fontId="13" fillId="8" borderId="1" xfId="0" applyNumberFormat="1" applyFont="1" applyFill="1" applyBorder="1" applyAlignment="1">
      <alignment horizontal="center"/>
    </xf>
    <xf numFmtId="0" fontId="8" fillId="8" borderId="2" xfId="1" applyNumberFormat="1" applyFont="1" applyFill="1" applyBorder="1" applyAlignment="1">
      <alignment horizontal="center"/>
    </xf>
    <xf numFmtId="1" fontId="6" fillId="8" borderId="2" xfId="1" applyNumberFormat="1" applyFont="1" applyFill="1" applyBorder="1" applyAlignment="1">
      <alignment horizontal="center"/>
    </xf>
    <xf numFmtId="1" fontId="8" fillId="8" borderId="2" xfId="1" quotePrefix="1" applyNumberFormat="1" applyFont="1" applyFill="1" applyBorder="1" applyAlignment="1">
      <alignment horizontal="center"/>
    </xf>
    <xf numFmtId="0" fontId="8" fillId="5" borderId="3" xfId="0" applyFont="1" applyFill="1" applyBorder="1" applyAlignment="1">
      <alignment horizontal="center" vertical="top" wrapText="1"/>
    </xf>
    <xf numFmtId="0" fontId="8" fillId="5" borderId="2" xfId="0" applyFont="1" applyFill="1" applyBorder="1" applyAlignment="1">
      <alignment horizontal="center" vertical="top" wrapText="1"/>
    </xf>
    <xf numFmtId="0" fontId="8" fillId="12" borderId="2" xfId="1" applyNumberFormat="1" applyFont="1" applyFill="1" applyBorder="1" applyAlignment="1">
      <alignment horizontal="center" vertical="top" wrapText="1"/>
    </xf>
    <xf numFmtId="0" fontId="8" fillId="8" borderId="1" xfId="1" applyNumberFormat="1" applyFont="1" applyFill="1" applyBorder="1" applyAlignment="1">
      <alignment horizontal="center" vertical="top" wrapText="1"/>
    </xf>
    <xf numFmtId="0" fontId="8" fillId="8" borderId="2" xfId="1" applyNumberFormat="1" applyFont="1" applyFill="1" applyBorder="1" applyAlignment="1">
      <alignment horizontal="center" vertical="top" wrapText="1"/>
    </xf>
    <xf numFmtId="0" fontId="8" fillId="8" borderId="1" xfId="0" applyFont="1" applyFill="1" applyBorder="1" applyAlignment="1">
      <alignment horizontal="center"/>
    </xf>
    <xf numFmtId="1" fontId="7" fillId="8" borderId="2" xfId="1" applyNumberFormat="1" applyFont="1" applyFill="1" applyBorder="1" applyAlignment="1">
      <alignment horizontal="center" vertical="center"/>
    </xf>
    <xf numFmtId="0" fontId="8" fillId="5" borderId="1" xfId="0" applyFont="1" applyFill="1" applyBorder="1" applyAlignment="1">
      <alignment horizontal="center" vertical="center" wrapText="1"/>
    </xf>
    <xf numFmtId="0" fontId="19" fillId="5" borderId="1" xfId="0" applyFont="1" applyFill="1" applyBorder="1" applyAlignment="1">
      <alignment horizontal="center" vertical="top" wrapText="1"/>
    </xf>
    <xf numFmtId="0" fontId="19" fillId="8" borderId="2" xfId="1" applyNumberFormat="1" applyFont="1" applyFill="1" applyBorder="1" applyAlignment="1">
      <alignment horizontal="center" vertical="top" wrapText="1"/>
    </xf>
    <xf numFmtId="0" fontId="19" fillId="8" borderId="1" xfId="1" applyNumberFormat="1" applyFont="1" applyFill="1" applyBorder="1" applyAlignment="1">
      <alignment horizontal="center" vertical="top" wrapText="1"/>
    </xf>
    <xf numFmtId="0" fontId="16" fillId="8" borderId="1" xfId="1" applyNumberFormat="1" applyFont="1" applyFill="1" applyBorder="1" applyAlignment="1">
      <alignment horizontal="center"/>
    </xf>
    <xf numFmtId="1" fontId="19" fillId="8" borderId="1" xfId="0" applyNumberFormat="1" applyFont="1" applyFill="1" applyBorder="1" applyAlignment="1">
      <alignment horizontal="center"/>
    </xf>
    <xf numFmtId="0" fontId="19" fillId="8" borderId="1" xfId="0" applyFont="1" applyFill="1" applyBorder="1" applyAlignment="1">
      <alignment horizontal="center" wrapText="1"/>
    </xf>
    <xf numFmtId="0" fontId="19" fillId="0" borderId="2" xfId="0" applyFont="1" applyBorder="1" applyAlignment="1">
      <alignment horizontal="center" vertical="top" wrapText="1"/>
    </xf>
    <xf numFmtId="1" fontId="19" fillId="8" borderId="1" xfId="1" applyNumberFormat="1" applyFont="1" applyFill="1" applyBorder="1" applyAlignment="1">
      <alignment horizontal="center"/>
    </xf>
    <xf numFmtId="0" fontId="8" fillId="9" borderId="2" xfId="1" applyNumberFormat="1" applyFont="1" applyFill="1" applyBorder="1" applyAlignment="1">
      <alignment horizontal="center" vertical="top" wrapText="1"/>
    </xf>
    <xf numFmtId="1" fontId="8" fillId="9" borderId="2" xfId="1" applyNumberFormat="1" applyFont="1" applyFill="1" applyBorder="1" applyAlignment="1">
      <alignment horizontal="center"/>
    </xf>
    <xf numFmtId="0" fontId="8" fillId="9" borderId="1" xfId="0" applyFont="1" applyFill="1" applyBorder="1" applyAlignment="1">
      <alignment horizontal="center" wrapText="1"/>
    </xf>
    <xf numFmtId="0" fontId="8" fillId="9" borderId="1" xfId="1" applyNumberFormat="1" applyFont="1" applyFill="1" applyBorder="1" applyAlignment="1">
      <alignment horizontal="center" vertical="top" wrapText="1"/>
    </xf>
    <xf numFmtId="1" fontId="8" fillId="9" borderId="1" xfId="0" applyNumberFormat="1" applyFont="1" applyFill="1" applyBorder="1" applyAlignment="1">
      <alignment horizontal="center"/>
    </xf>
    <xf numFmtId="0" fontId="19" fillId="4" borderId="1" xfId="0" applyFont="1" applyFill="1" applyBorder="1" applyAlignment="1">
      <alignment horizontal="center" vertical="top" wrapText="1"/>
    </xf>
    <xf numFmtId="0" fontId="6" fillId="0" borderId="2" xfId="1" applyNumberFormat="1" applyFont="1" applyFill="1" applyBorder="1" applyAlignment="1">
      <alignment horizontal="center" vertical="top" wrapText="1"/>
    </xf>
    <xf numFmtId="0" fontId="8" fillId="0" borderId="1" xfId="0" applyFont="1" applyBorder="1" applyAlignment="1">
      <alignment horizontal="center"/>
    </xf>
    <xf numFmtId="0" fontId="8" fillId="0" borderId="2" xfId="1" applyNumberFormat="1" applyFont="1" applyFill="1" applyBorder="1" applyAlignment="1">
      <alignment horizontal="center" vertical="top" wrapText="1"/>
    </xf>
    <xf numFmtId="0" fontId="8" fillId="0" borderId="1" xfId="1" applyNumberFormat="1" applyFont="1" applyFill="1" applyBorder="1" applyAlignment="1">
      <alignment horizontal="center" vertical="top" wrapText="1"/>
    </xf>
    <xf numFmtId="0" fontId="3" fillId="0" borderId="1" xfId="0" applyFont="1" applyBorder="1" applyAlignment="1">
      <alignment horizontal="center" vertical="center"/>
    </xf>
    <xf numFmtId="0" fontId="8" fillId="0" borderId="1" xfId="0" applyFont="1" applyBorder="1" applyAlignment="1">
      <alignment horizontal="center" wrapText="1"/>
    </xf>
    <xf numFmtId="0" fontId="6" fillId="9" borderId="1" xfId="1" applyNumberFormat="1" applyFont="1" applyFill="1" applyBorder="1" applyAlignment="1">
      <alignment horizontal="center" vertical="top" wrapText="1"/>
    </xf>
    <xf numFmtId="0" fontId="8" fillId="0" borderId="1" xfId="1" applyNumberFormat="1" applyFont="1" applyFill="1" applyBorder="1" applyAlignment="1">
      <alignment horizontal="center"/>
    </xf>
    <xf numFmtId="0" fontId="8" fillId="4" borderId="4" xfId="0" applyFont="1" applyFill="1" applyBorder="1" applyAlignment="1">
      <alignment horizontal="center" vertical="top" wrapText="1"/>
    </xf>
    <xf numFmtId="0" fontId="8"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3" fontId="7" fillId="8" borderId="1" xfId="1" applyNumberFormat="1" applyFont="1" applyFill="1" applyBorder="1" applyAlignment="1">
      <alignment horizontal="center" vertical="center"/>
    </xf>
    <xf numFmtId="0" fontId="7" fillId="0" borderId="2" xfId="0" applyFont="1" applyBorder="1" applyAlignment="1" applyProtection="1">
      <alignment horizontal="center" vertical="center" wrapText="1"/>
      <protection locked="0"/>
    </xf>
    <xf numFmtId="0" fontId="7" fillId="9" borderId="2" xfId="1" applyNumberFormat="1" applyFont="1" applyFill="1" applyBorder="1" applyAlignment="1">
      <alignment horizontal="center" vertical="center" wrapText="1"/>
    </xf>
    <xf numFmtId="14" fontId="7" fillId="8" borderId="2" xfId="0" applyNumberFormat="1" applyFont="1" applyFill="1" applyBorder="1" applyAlignment="1">
      <alignment horizontal="center" vertical="center"/>
    </xf>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2" xfId="1" applyNumberFormat="1" applyFont="1" applyFill="1" applyBorder="1" applyAlignment="1">
      <alignment horizontal="center" vertical="top" wrapText="1"/>
    </xf>
    <xf numFmtId="0" fontId="7" fillId="8" borderId="1" xfId="1" applyNumberFormat="1" applyFont="1" applyFill="1" applyBorder="1" applyAlignment="1">
      <alignment horizontal="center" vertical="top" wrapText="1"/>
    </xf>
    <xf numFmtId="1" fontId="7" fillId="8" borderId="1" xfId="0" applyNumberFormat="1" applyFont="1" applyFill="1" applyBorder="1" applyAlignment="1">
      <alignment horizontal="center"/>
    </xf>
    <xf numFmtId="14" fontId="7" fillId="4" borderId="1" xfId="0" applyNumberFormat="1" applyFont="1" applyFill="1" applyBorder="1" applyAlignment="1">
      <alignment horizontal="center" vertical="top" wrapText="1"/>
    </xf>
    <xf numFmtId="14" fontId="7" fillId="5" borderId="1" xfId="0" applyNumberFormat="1" applyFont="1" applyFill="1" applyBorder="1" applyAlignment="1">
      <alignment horizontal="center" vertical="top" wrapText="1"/>
    </xf>
    <xf numFmtId="0" fontId="7" fillId="8" borderId="1" xfId="0" applyFont="1" applyFill="1" applyBorder="1" applyAlignment="1">
      <alignment horizontal="center" wrapText="1"/>
    </xf>
    <xf numFmtId="0" fontId="7" fillId="8" borderId="2" xfId="0" applyFont="1" applyFill="1" applyBorder="1" applyAlignment="1">
      <alignment horizontal="center" wrapText="1"/>
    </xf>
    <xf numFmtId="0" fontId="8" fillId="8" borderId="10" xfId="1" applyNumberFormat="1" applyFont="1" applyFill="1" applyBorder="1" applyAlignment="1">
      <alignment horizontal="center" vertical="top" wrapText="1"/>
    </xf>
    <xf numFmtId="1" fontId="8" fillId="8" borderId="10" xfId="1" applyNumberFormat="1" applyFont="1" applyFill="1" applyBorder="1" applyAlignment="1">
      <alignment horizontal="center"/>
    </xf>
    <xf numFmtId="1" fontId="7" fillId="8" borderId="1" xfId="1" applyNumberFormat="1" applyFont="1" applyFill="1" applyBorder="1" applyAlignment="1">
      <alignment horizontal="center" vertical="center"/>
    </xf>
    <xf numFmtId="0" fontId="8" fillId="8" borderId="3" xfId="0" applyFont="1" applyFill="1" applyBorder="1" applyAlignment="1">
      <alignment horizontal="center" vertical="center" wrapText="1"/>
    </xf>
    <xf numFmtId="0" fontId="19" fillId="5" borderId="1" xfId="0" applyFont="1" applyFill="1" applyBorder="1" applyAlignment="1">
      <alignment horizontal="center" vertical="justify" wrapText="1"/>
    </xf>
    <xf numFmtId="3" fontId="7" fillId="0" borderId="1" xfId="1" applyNumberFormat="1" applyFont="1" applyFill="1" applyBorder="1" applyAlignment="1">
      <alignment horizontal="center" vertical="center"/>
    </xf>
    <xf numFmtId="0" fontId="7" fillId="8" borderId="1" xfId="1" applyNumberFormat="1" applyFont="1" applyFill="1" applyBorder="1" applyAlignment="1">
      <alignment horizontal="center" vertical="center" wrapText="1"/>
    </xf>
    <xf numFmtId="14" fontId="7" fillId="8" borderId="1" xfId="0" applyNumberFormat="1" applyFont="1" applyFill="1" applyBorder="1" applyAlignment="1">
      <alignment horizontal="center" vertical="center"/>
    </xf>
    <xf numFmtId="0" fontId="7" fillId="8" borderId="2" xfId="1" applyNumberFormat="1" applyFont="1" applyFill="1" applyBorder="1" applyAlignment="1">
      <alignment horizontal="center" vertical="center" wrapText="1"/>
    </xf>
    <xf numFmtId="0" fontId="8" fillId="0" borderId="2" xfId="0" applyFont="1" applyBorder="1" applyAlignment="1">
      <alignment horizontal="center" vertical="top" wrapText="1"/>
    </xf>
    <xf numFmtId="1" fontId="6" fillId="8" borderId="1" xfId="1" applyNumberFormat="1" applyFont="1" applyFill="1" applyBorder="1" applyAlignment="1">
      <alignment horizontal="center"/>
    </xf>
    <xf numFmtId="0" fontId="7" fillId="8" borderId="2" xfId="1" applyNumberFormat="1" applyFont="1" applyFill="1" applyBorder="1" applyAlignment="1" applyProtection="1">
      <alignment horizontal="center" vertical="center" wrapText="1"/>
      <protection locked="0"/>
    </xf>
    <xf numFmtId="3" fontId="7" fillId="8" borderId="2" xfId="1" applyNumberFormat="1" applyFont="1" applyFill="1" applyBorder="1" applyAlignment="1">
      <alignment horizontal="center" vertical="center"/>
    </xf>
    <xf numFmtId="14" fontId="7" fillId="8" borderId="1" xfId="1" applyNumberFormat="1" applyFont="1" applyFill="1" applyBorder="1" applyAlignment="1">
      <alignment horizontal="center" vertical="center"/>
    </xf>
    <xf numFmtId="1" fontId="9" fillId="8" borderId="1" xfId="1" applyNumberFormat="1" applyFont="1" applyFill="1" applyBorder="1" applyAlignment="1">
      <alignment horizontal="center" vertical="center"/>
    </xf>
    <xf numFmtId="1" fontId="9" fillId="8" borderId="2" xfId="1" applyNumberFormat="1" applyFont="1" applyFill="1" applyBorder="1" applyAlignment="1">
      <alignment horizontal="center" vertical="center"/>
    </xf>
    <xf numFmtId="0" fontId="7" fillId="4" borderId="0" xfId="0" applyFont="1" applyFill="1" applyAlignment="1">
      <alignment horizontal="center" vertical="center" wrapText="1"/>
    </xf>
    <xf numFmtId="0" fontId="7" fillId="5" borderId="0" xfId="0" applyFont="1" applyFill="1" applyAlignment="1">
      <alignment horizontal="center" vertical="center" wrapText="1"/>
    </xf>
    <xf numFmtId="0" fontId="7" fillId="8" borderId="2" xfId="0" applyFont="1" applyFill="1" applyBorder="1" applyAlignment="1" applyProtection="1">
      <alignment horizontal="center" vertical="center"/>
      <protection locked="0"/>
    </xf>
    <xf numFmtId="0" fontId="7" fillId="8" borderId="1" xfId="1" applyNumberFormat="1" applyFont="1" applyFill="1" applyBorder="1" applyAlignment="1" applyProtection="1">
      <alignment horizontal="center" vertical="center" wrapText="1"/>
      <protection locked="0"/>
    </xf>
    <xf numFmtId="16" fontId="7" fillId="5" borderId="1" xfId="0" applyNumberFormat="1" applyFont="1" applyFill="1" applyBorder="1" applyAlignment="1">
      <alignment horizontal="center" vertical="center" wrapText="1"/>
    </xf>
    <xf numFmtId="14" fontId="8" fillId="8" borderId="1" xfId="1" applyNumberFormat="1" applyFont="1" applyFill="1" applyBorder="1" applyAlignment="1">
      <alignment horizontal="center"/>
    </xf>
    <xf numFmtId="1" fontId="8" fillId="8" borderId="1" xfId="1" applyNumberFormat="1" applyFont="1" applyFill="1" applyBorder="1" applyAlignment="1">
      <alignment horizontal="center" vertical="top" wrapText="1"/>
    </xf>
    <xf numFmtId="0" fontId="22" fillId="8" borderId="2" xfId="1" applyNumberFormat="1" applyFont="1" applyFill="1" applyBorder="1" applyAlignment="1" applyProtection="1">
      <alignment horizontal="center" vertical="center" wrapText="1"/>
      <protection locked="0"/>
    </xf>
    <xf numFmtId="0" fontId="22" fillId="8" borderId="1" xfId="1" applyNumberFormat="1" applyFont="1" applyFill="1" applyBorder="1" applyAlignment="1">
      <alignment horizontal="center" vertical="center" wrapText="1"/>
    </xf>
    <xf numFmtId="1" fontId="22" fillId="8" borderId="1" xfId="1" applyNumberFormat="1" applyFont="1" applyFill="1" applyBorder="1" applyAlignment="1">
      <alignment horizontal="center" vertical="center"/>
    </xf>
    <xf numFmtId="0" fontId="22" fillId="8" borderId="1" xfId="0" applyFont="1" applyFill="1" applyBorder="1" applyAlignment="1">
      <alignment horizontal="center" vertical="center"/>
    </xf>
    <xf numFmtId="0" fontId="22" fillId="4" borderId="1"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2" fillId="14" borderId="1" xfId="0" applyFont="1" applyFill="1" applyBorder="1" applyAlignment="1" applyProtection="1">
      <alignment horizontal="center" vertical="center" wrapText="1"/>
      <protection locked="0"/>
    </xf>
    <xf numFmtId="0" fontId="22" fillId="8" borderId="1" xfId="0"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0" borderId="2" xfId="1" applyNumberFormat="1" applyFont="1" applyFill="1" applyBorder="1" applyAlignment="1">
      <alignment horizontal="center" vertical="center" wrapText="1"/>
    </xf>
    <xf numFmtId="0" fontId="7" fillId="0" borderId="1" xfId="1" applyNumberFormat="1" applyFont="1" applyFill="1" applyBorder="1" applyAlignment="1">
      <alignment horizontal="center" vertical="center" wrapText="1"/>
    </xf>
    <xf numFmtId="0" fontId="7" fillId="0" borderId="1" xfId="1" applyNumberFormat="1" applyFont="1" applyFill="1" applyBorder="1" applyAlignment="1">
      <alignment horizontal="center" vertical="center"/>
    </xf>
    <xf numFmtId="0" fontId="7" fillId="8" borderId="3"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8" borderId="1" xfId="0" applyFont="1" applyFill="1" applyBorder="1" applyAlignment="1" applyProtection="1">
      <alignment horizontal="center" vertical="center"/>
      <protection locked="0"/>
    </xf>
    <xf numFmtId="1" fontId="7" fillId="8" borderId="1" xfId="0" applyNumberFormat="1" applyFont="1" applyFill="1" applyBorder="1" applyAlignment="1">
      <alignment horizontal="center" vertical="center"/>
    </xf>
    <xf numFmtId="1" fontId="7" fillId="8" borderId="1" xfId="1" applyNumberFormat="1" applyFont="1" applyFill="1" applyBorder="1" applyAlignment="1" applyProtection="1">
      <alignment horizontal="center" vertical="center"/>
      <protection locked="0"/>
    </xf>
    <xf numFmtId="0" fontId="7" fillId="4" borderId="2"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0" borderId="2" xfId="1" applyNumberFormat="1" applyFont="1" applyFill="1" applyBorder="1" applyAlignment="1" applyProtection="1">
      <alignment horizontal="center" vertical="center" wrapText="1"/>
      <protection locked="0"/>
    </xf>
    <xf numFmtId="0" fontId="7" fillId="8" borderId="2" xfId="0" applyFont="1" applyFill="1" applyBorder="1" applyAlignment="1">
      <alignment horizontal="center" vertical="center" wrapText="1"/>
    </xf>
    <xf numFmtId="0" fontId="7" fillId="8" borderId="6" xfId="0" applyFont="1" applyFill="1" applyBorder="1" applyAlignment="1" applyProtection="1">
      <alignment horizontal="center" vertical="center" wrapText="1"/>
      <protection locked="0"/>
    </xf>
    <xf numFmtId="1" fontId="7" fillId="8" borderId="6" xfId="0" applyNumberFormat="1" applyFont="1" applyFill="1" applyBorder="1" applyAlignment="1" applyProtection="1">
      <alignment horizontal="center" vertical="center"/>
      <protection locked="0"/>
    </xf>
    <xf numFmtId="49" fontId="7" fillId="8" borderId="6" xfId="0" applyNumberFormat="1" applyFont="1" applyFill="1" applyBorder="1" applyAlignment="1" applyProtection="1">
      <alignment horizontal="center" vertical="center"/>
      <protection locked="0"/>
    </xf>
    <xf numFmtId="0" fontId="7" fillId="4" borderId="6"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0" borderId="1" xfId="1" applyNumberFormat="1" applyFont="1" applyFill="1" applyBorder="1" applyAlignment="1" applyProtection="1">
      <alignment horizontal="center" vertical="center" wrapText="1"/>
      <protection locked="0"/>
    </xf>
    <xf numFmtId="0" fontId="7" fillId="0" borderId="2" xfId="0" applyFont="1" applyBorder="1" applyAlignment="1" applyProtection="1">
      <alignment horizontal="center" vertical="center"/>
      <protection locked="0"/>
    </xf>
    <xf numFmtId="3" fontId="7" fillId="0" borderId="2" xfId="1" applyNumberFormat="1" applyFont="1" applyFill="1" applyBorder="1" applyAlignment="1">
      <alignment horizontal="center" vertical="center"/>
    </xf>
    <xf numFmtId="14" fontId="7" fillId="8" borderId="2" xfId="1" applyNumberFormat="1" applyFont="1" applyFill="1" applyBorder="1" applyAlignment="1">
      <alignment horizontal="center" vertical="center"/>
    </xf>
    <xf numFmtId="1" fontId="7" fillId="8" borderId="2" xfId="1" applyNumberFormat="1" applyFont="1" applyFill="1" applyBorder="1" applyAlignment="1" applyProtection="1">
      <alignment horizontal="center" vertical="center"/>
      <protection locked="0"/>
    </xf>
    <xf numFmtId="17" fontId="7" fillId="4" borderId="1" xfId="0" applyNumberFormat="1" applyFont="1" applyFill="1" applyBorder="1" applyAlignment="1">
      <alignment horizontal="center" vertical="center" wrapText="1"/>
    </xf>
    <xf numFmtId="14" fontId="7" fillId="8" borderId="1" xfId="0" applyNumberFormat="1" applyFont="1" applyFill="1" applyBorder="1" applyAlignment="1">
      <alignment horizontal="center" vertical="center" wrapText="1"/>
    </xf>
    <xf numFmtId="17" fontId="7" fillId="5" borderId="1" xfId="0" applyNumberFormat="1" applyFont="1" applyFill="1" applyBorder="1" applyAlignment="1">
      <alignment horizontal="center" vertical="center" wrapText="1"/>
    </xf>
    <xf numFmtId="49" fontId="7" fillId="8" borderId="2" xfId="1" applyNumberFormat="1" applyFont="1" applyFill="1" applyBorder="1" applyAlignment="1" applyProtection="1">
      <alignment horizontal="center" vertical="center"/>
      <protection locked="0"/>
    </xf>
    <xf numFmtId="49" fontId="7" fillId="8" borderId="1" xfId="1" applyNumberFormat="1" applyFont="1" applyFill="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14" fontId="7" fillId="4" borderId="3" xfId="0" applyNumberFormat="1" applyFont="1" applyFill="1" applyBorder="1" applyAlignment="1">
      <alignment horizontal="center" vertical="center" wrapText="1"/>
    </xf>
    <xf numFmtId="14" fontId="7" fillId="5" borderId="3" xfId="0" applyNumberFormat="1" applyFont="1" applyFill="1" applyBorder="1" applyAlignment="1">
      <alignment horizontal="center" vertical="center" wrapText="1"/>
    </xf>
    <xf numFmtId="14" fontId="7" fillId="4" borderId="0" xfId="0" applyNumberFormat="1" applyFont="1" applyFill="1" applyAlignment="1">
      <alignment horizontal="center" vertical="center" wrapText="1"/>
    </xf>
    <xf numFmtId="0" fontId="7" fillId="0" borderId="1" xfId="0" applyFont="1" applyBorder="1" applyAlignment="1" applyProtection="1">
      <alignment horizontal="center" vertical="center"/>
      <protection locked="0"/>
    </xf>
    <xf numFmtId="14" fontId="7" fillId="0" borderId="1" xfId="1" applyNumberFormat="1" applyFont="1" applyFill="1" applyBorder="1" applyAlignment="1">
      <alignment horizontal="center" vertical="center"/>
    </xf>
    <xf numFmtId="0" fontId="7" fillId="17" borderId="2" xfId="1" applyNumberFormat="1" applyFont="1" applyFill="1" applyBorder="1" applyAlignment="1" applyProtection="1">
      <alignment horizontal="center" vertical="center" wrapText="1"/>
      <protection locked="0"/>
    </xf>
    <xf numFmtId="0" fontId="7" fillId="17" borderId="1" xfId="1" applyNumberFormat="1" applyFont="1" applyFill="1" applyBorder="1" applyAlignment="1">
      <alignment horizontal="center" vertical="center" wrapText="1"/>
    </xf>
    <xf numFmtId="14" fontId="7" fillId="17" borderId="1" xfId="0" applyNumberFormat="1" applyFont="1" applyFill="1" applyBorder="1" applyAlignment="1">
      <alignment horizontal="center" vertical="center"/>
    </xf>
    <xf numFmtId="0" fontId="7" fillId="17" borderId="1" xfId="0" applyFont="1" applyFill="1" applyBorder="1" applyAlignment="1">
      <alignment horizontal="center" vertical="center" wrapText="1"/>
    </xf>
    <xf numFmtId="1" fontId="7" fillId="17" borderId="1" xfId="1" applyNumberFormat="1"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pplyProtection="1">
      <alignment horizontal="center" vertical="center" wrapText="1"/>
      <protection locked="0"/>
    </xf>
    <xf numFmtId="0" fontId="8" fillId="17" borderId="1" xfId="0" applyFont="1" applyFill="1" applyBorder="1" applyAlignment="1">
      <alignment horizontal="center" wrapText="1"/>
    </xf>
    <xf numFmtId="0" fontId="7" fillId="8" borderId="3" xfId="1" applyNumberFormat="1" applyFont="1" applyFill="1" applyBorder="1" applyAlignment="1">
      <alignment horizontal="center" vertical="center" wrapText="1"/>
    </xf>
    <xf numFmtId="1" fontId="7" fillId="0" borderId="1" xfId="1" applyNumberFormat="1" applyFont="1" applyFill="1" applyBorder="1" applyAlignment="1" applyProtection="1">
      <alignment horizontal="center" vertical="center"/>
      <protection locked="0"/>
    </xf>
    <xf numFmtId="14" fontId="7" fillId="4" borderId="2" xfId="0" applyNumberFormat="1" applyFont="1" applyFill="1" applyBorder="1" applyAlignment="1">
      <alignment horizontal="center" vertical="center" wrapText="1"/>
    </xf>
    <xf numFmtId="14" fontId="7" fillId="6" borderId="3" xfId="0" applyNumberFormat="1" applyFont="1" applyFill="1" applyBorder="1" applyAlignment="1">
      <alignment horizontal="center" vertical="center" wrapText="1"/>
    </xf>
    <xf numFmtId="0" fontId="7" fillId="0" borderId="1" xfId="0" applyFont="1" applyBorder="1" applyAlignment="1">
      <alignment horizontal="center" vertical="center"/>
    </xf>
    <xf numFmtId="0" fontId="7" fillId="14" borderId="2" xfId="0" applyFont="1" applyFill="1" applyBorder="1" applyAlignment="1" applyProtection="1">
      <alignment horizontal="center" vertical="center" wrapText="1"/>
      <protection locked="0"/>
    </xf>
    <xf numFmtId="0" fontId="7" fillId="14" borderId="1" xfId="0" applyFont="1" applyFill="1" applyBorder="1" applyAlignment="1" applyProtection="1">
      <alignment horizontal="center" vertical="center" wrapText="1"/>
      <protection locked="0"/>
    </xf>
    <xf numFmtId="0" fontId="7" fillId="0" borderId="2" xfId="0" applyFont="1" applyBorder="1" applyAlignment="1">
      <alignment horizontal="center" vertical="center"/>
    </xf>
    <xf numFmtId="165" fontId="7" fillId="8" borderId="3" xfId="0" applyNumberFormat="1" applyFont="1" applyFill="1" applyBorder="1" applyAlignment="1">
      <alignment horizontal="center" vertical="center"/>
    </xf>
    <xf numFmtId="10" fontId="7" fillId="11" borderId="2" xfId="3" applyNumberFormat="1" applyFont="1" applyFill="1" applyBorder="1" applyAlignment="1">
      <alignment horizontal="center" vertical="center"/>
    </xf>
    <xf numFmtId="10" fontId="7" fillId="11" borderId="1" xfId="3" applyNumberFormat="1" applyFont="1" applyFill="1" applyBorder="1" applyAlignment="1">
      <alignment horizontal="center" vertical="center"/>
    </xf>
    <xf numFmtId="0" fontId="7" fillId="0" borderId="3" xfId="0" applyFont="1" applyBorder="1" applyAlignment="1" applyProtection="1">
      <alignment horizontal="center" vertical="center" wrapText="1"/>
      <protection locked="0"/>
    </xf>
    <xf numFmtId="165" fontId="7" fillId="0" borderId="3" xfId="0" applyNumberFormat="1" applyFont="1" applyBorder="1" applyAlignment="1">
      <alignment horizontal="center" vertical="center"/>
    </xf>
    <xf numFmtId="10" fontId="7" fillId="11" borderId="2" xfId="0" applyNumberFormat="1" applyFont="1" applyFill="1" applyBorder="1" applyAlignment="1">
      <alignment horizontal="center" vertical="center"/>
    </xf>
    <xf numFmtId="14" fontId="7" fillId="5" borderId="2" xfId="0" applyNumberFormat="1" applyFont="1" applyFill="1" applyBorder="1" applyAlignment="1">
      <alignment horizontal="center" vertical="center" wrapText="1"/>
    </xf>
    <xf numFmtId="14" fontId="7" fillId="0" borderId="1" xfId="0" applyNumberFormat="1" applyFont="1" applyBorder="1" applyAlignment="1">
      <alignment horizontal="center" vertical="center"/>
    </xf>
    <xf numFmtId="10" fontId="7" fillId="11" borderId="1" xfId="0" applyNumberFormat="1" applyFont="1" applyFill="1" applyBorder="1" applyAlignment="1" applyProtection="1">
      <alignment horizontal="center" vertical="center" wrapText="1"/>
      <protection locked="0"/>
    </xf>
    <xf numFmtId="3" fontId="7" fillId="0" borderId="1" xfId="0" applyNumberFormat="1" applyFont="1" applyBorder="1" applyAlignment="1">
      <alignment horizontal="center" vertical="center"/>
    </xf>
    <xf numFmtId="10" fontId="7" fillId="20" borderId="3" xfId="3" applyNumberFormat="1" applyFont="1" applyFill="1" applyBorder="1" applyAlignment="1">
      <alignment horizontal="center" vertical="center"/>
    </xf>
    <xf numFmtId="10" fontId="7" fillId="20" borderId="1" xfId="3" applyNumberFormat="1" applyFont="1" applyFill="1" applyBorder="1" applyAlignment="1">
      <alignment horizontal="center" vertical="center"/>
    </xf>
    <xf numFmtId="0" fontId="7" fillId="0" borderId="3" xfId="0" applyFont="1" applyBorder="1" applyAlignment="1">
      <alignment horizontal="center" vertical="center" wrapText="1"/>
    </xf>
    <xf numFmtId="0" fontId="7" fillId="19" borderId="1" xfId="1" applyNumberFormat="1" applyFont="1" applyFill="1" applyBorder="1" applyAlignment="1" applyProtection="1">
      <alignment horizontal="center" vertical="center" wrapText="1"/>
      <protection locked="0"/>
    </xf>
    <xf numFmtId="14" fontId="7" fillId="0" borderId="1" xfId="1" quotePrefix="1" applyNumberFormat="1" applyFont="1" applyFill="1" applyBorder="1" applyAlignment="1">
      <alignment horizontal="center" vertical="center"/>
    </xf>
    <xf numFmtId="0" fontId="7" fillId="0" borderId="2" xfId="0" applyFont="1" applyBorder="1" applyAlignment="1">
      <alignment horizontal="center" vertical="center" wrapText="1"/>
    </xf>
    <xf numFmtId="165" fontId="7" fillId="0" borderId="1" xfId="0" applyNumberFormat="1" applyFont="1" applyBorder="1" applyAlignment="1">
      <alignment horizontal="center" vertical="center"/>
    </xf>
    <xf numFmtId="0" fontId="7" fillId="0" borderId="2" xfId="1" applyNumberFormat="1" applyFont="1" applyFill="1" applyBorder="1" applyAlignment="1">
      <alignment horizontal="center" vertical="center"/>
    </xf>
    <xf numFmtId="14" fontId="7" fillId="0" borderId="2" xfId="1" applyNumberFormat="1" applyFont="1" applyFill="1" applyBorder="1" applyAlignment="1">
      <alignment horizontal="center" vertical="center"/>
    </xf>
    <xf numFmtId="49" fontId="7" fillId="0" borderId="1" xfId="1" applyNumberFormat="1" applyFont="1" applyFill="1" applyBorder="1" applyAlignment="1" applyProtection="1">
      <alignment horizontal="center" vertical="center"/>
      <protection locked="0"/>
    </xf>
    <xf numFmtId="9" fontId="7" fillId="8" borderId="1" xfId="3" applyFont="1" applyFill="1" applyBorder="1" applyAlignment="1">
      <alignment horizontal="center" vertical="center"/>
    </xf>
    <xf numFmtId="14" fontId="7" fillId="0" borderId="1" xfId="1" applyNumberFormat="1" applyFont="1" applyFill="1" applyBorder="1" applyAlignment="1">
      <alignment horizontal="center" vertical="center" wrapText="1"/>
    </xf>
    <xf numFmtId="49" fontId="7" fillId="5" borderId="1" xfId="1" applyNumberFormat="1" applyFont="1" applyFill="1" applyBorder="1" applyAlignment="1" applyProtection="1">
      <alignment horizontal="center" vertical="center"/>
      <protection locked="0"/>
    </xf>
    <xf numFmtId="169" fontId="7" fillId="8" borderId="1" xfId="0" applyNumberFormat="1" applyFont="1" applyFill="1" applyBorder="1" applyAlignment="1">
      <alignment horizontal="center" vertical="center"/>
    </xf>
    <xf numFmtId="0" fontId="7" fillId="0" borderId="2" xfId="4" applyNumberFormat="1" applyFont="1" applyFill="1" applyBorder="1" applyAlignment="1">
      <alignment horizontal="center" vertical="center" wrapText="1"/>
    </xf>
    <xf numFmtId="9" fontId="7" fillId="0" borderId="1" xfId="3" applyFont="1" applyFill="1" applyBorder="1" applyAlignment="1">
      <alignment horizontal="center" vertical="center"/>
    </xf>
    <xf numFmtId="0" fontId="7" fillId="21" borderId="2" xfId="1" applyNumberFormat="1" applyFont="1" applyFill="1" applyBorder="1" applyAlignment="1" applyProtection="1">
      <alignment horizontal="center" vertical="center" wrapText="1"/>
      <protection locked="0"/>
    </xf>
    <xf numFmtId="14" fontId="7" fillId="0" borderId="2" xfId="0" applyNumberFormat="1" applyFont="1" applyBorder="1" applyAlignment="1">
      <alignment horizontal="center" vertical="center"/>
    </xf>
    <xf numFmtId="14" fontId="7" fillId="5" borderId="3" xfId="0" applyNumberFormat="1" applyFont="1" applyFill="1" applyBorder="1" applyAlignment="1">
      <alignment horizontal="center" vertical="center"/>
    </xf>
    <xf numFmtId="14" fontId="7" fillId="4" borderId="4" xfId="0" applyNumberFormat="1" applyFont="1" applyFill="1" applyBorder="1" applyAlignment="1">
      <alignment horizontal="center" vertical="center" wrapText="1"/>
    </xf>
    <xf numFmtId="14" fontId="7" fillId="5" borderId="4" xfId="0" applyNumberFormat="1" applyFont="1" applyFill="1" applyBorder="1" applyAlignment="1">
      <alignment horizontal="center" vertical="center" wrapText="1"/>
    </xf>
    <xf numFmtId="165" fontId="7" fillId="8" borderId="2" xfId="0" applyNumberFormat="1" applyFont="1" applyFill="1" applyBorder="1" applyAlignment="1">
      <alignment horizontal="center" vertical="center"/>
    </xf>
    <xf numFmtId="49" fontId="7" fillId="0" borderId="1" xfId="0" applyNumberFormat="1" applyFont="1" applyBorder="1" applyAlignment="1">
      <alignment horizontal="center" vertical="center"/>
    </xf>
    <xf numFmtId="14" fontId="7" fillId="22" borderId="1" xfId="0" applyNumberFormat="1" applyFont="1" applyFill="1" applyBorder="1" applyAlignment="1">
      <alignment horizontal="center" vertical="center" wrapText="1"/>
    </xf>
    <xf numFmtId="14" fontId="7" fillId="8" borderId="1" xfId="3" applyNumberFormat="1" applyFont="1" applyFill="1" applyBorder="1" applyAlignment="1">
      <alignment horizontal="center" vertical="center"/>
    </xf>
    <xf numFmtId="0" fontId="7" fillId="22" borderId="1" xfId="0" applyFont="1" applyFill="1" applyBorder="1" applyAlignment="1">
      <alignment horizontal="center" vertical="center" wrapText="1"/>
    </xf>
    <xf numFmtId="0" fontId="7" fillId="23" borderId="1" xfId="0" applyFont="1" applyFill="1" applyBorder="1" applyAlignment="1">
      <alignment horizontal="center" vertical="center" wrapText="1"/>
    </xf>
    <xf numFmtId="0" fontId="7" fillId="8" borderId="1" xfId="0" applyFont="1" applyFill="1" applyBorder="1" applyAlignment="1" applyProtection="1">
      <alignment horizontal="center" vertical="center" wrapText="1"/>
      <protection locked="0"/>
    </xf>
    <xf numFmtId="1" fontId="7" fillId="8" borderId="1" xfId="1" applyNumberFormat="1" applyFont="1" applyFill="1" applyBorder="1" applyAlignment="1" applyProtection="1">
      <alignment horizontal="center" vertical="center" wrapText="1"/>
      <protection locked="0"/>
    </xf>
    <xf numFmtId="165" fontId="7" fillId="5" borderId="1" xfId="0" applyNumberFormat="1" applyFont="1" applyFill="1" applyBorder="1" applyAlignment="1">
      <alignment horizontal="center" vertical="center" wrapText="1"/>
    </xf>
    <xf numFmtId="165" fontId="7" fillId="6" borderId="1" xfId="0" applyNumberFormat="1" applyFont="1" applyFill="1" applyBorder="1" applyAlignment="1">
      <alignment horizontal="center" vertical="center" wrapText="1"/>
    </xf>
    <xf numFmtId="165" fontId="7" fillId="6" borderId="3"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xf>
    <xf numFmtId="14" fontId="7" fillId="23" borderId="1" xfId="0" applyNumberFormat="1" applyFont="1" applyFill="1" applyBorder="1" applyAlignment="1">
      <alignment horizontal="center" vertical="center" wrapText="1"/>
    </xf>
    <xf numFmtId="14" fontId="7" fillId="0" borderId="3" xfId="0" applyNumberFormat="1" applyFont="1" applyBorder="1" applyAlignment="1">
      <alignment horizontal="center" vertical="center"/>
    </xf>
    <xf numFmtId="0" fontId="7" fillId="22" borderId="3" xfId="0" applyFont="1" applyFill="1" applyBorder="1" applyAlignment="1">
      <alignment horizontal="center" vertical="center" wrapText="1"/>
    </xf>
    <xf numFmtId="14" fontId="7" fillId="22" borderId="3" xfId="0" applyNumberFormat="1" applyFont="1" applyFill="1" applyBorder="1" applyAlignment="1">
      <alignment horizontal="center" vertical="center" wrapText="1"/>
    </xf>
    <xf numFmtId="14" fontId="7" fillId="23" borderId="3" xfId="0" applyNumberFormat="1" applyFont="1" applyFill="1" applyBorder="1" applyAlignment="1">
      <alignment horizontal="center" vertical="center" wrapText="1"/>
    </xf>
    <xf numFmtId="14" fontId="7" fillId="8" borderId="3" xfId="0" applyNumberFormat="1" applyFont="1" applyFill="1" applyBorder="1" applyAlignment="1">
      <alignment horizontal="center" vertical="center"/>
    </xf>
    <xf numFmtId="14" fontId="7" fillId="25" borderId="1" xfId="1" applyNumberFormat="1" applyFont="1" applyFill="1" applyBorder="1" applyAlignment="1">
      <alignment horizontal="center" vertical="center"/>
    </xf>
    <xf numFmtId="14" fontId="7" fillId="0" borderId="1" xfId="3" applyNumberFormat="1" applyFont="1" applyFill="1" applyBorder="1" applyAlignment="1">
      <alignment horizontal="center" vertical="center"/>
    </xf>
    <xf numFmtId="165" fontId="7" fillId="24" borderId="1" xfId="0" applyNumberFormat="1" applyFont="1" applyFill="1" applyBorder="1" applyAlignment="1">
      <alignment horizontal="center" vertical="center"/>
    </xf>
    <xf numFmtId="165" fontId="7" fillId="24" borderId="3" xfId="0" applyNumberFormat="1" applyFont="1" applyFill="1" applyBorder="1" applyAlignment="1">
      <alignment horizontal="center" vertical="center"/>
    </xf>
    <xf numFmtId="0" fontId="7" fillId="8" borderId="4" xfId="0" applyFont="1" applyFill="1" applyBorder="1" applyAlignment="1">
      <alignment horizontal="center" vertical="center" wrapText="1"/>
    </xf>
    <xf numFmtId="164" fontId="7" fillId="11" borderId="3"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xf>
    <xf numFmtId="0" fontId="7" fillId="23" borderId="3" xfId="0" applyFont="1" applyFill="1" applyBorder="1" applyAlignment="1">
      <alignment horizontal="center" vertical="center" wrapText="1"/>
    </xf>
    <xf numFmtId="164" fontId="7" fillId="20" borderId="3" xfId="0" applyNumberFormat="1" applyFont="1" applyFill="1" applyBorder="1" applyAlignment="1">
      <alignment horizontal="center" vertical="center"/>
    </xf>
    <xf numFmtId="164" fontId="7" fillId="8" borderId="3" xfId="0" applyNumberFormat="1" applyFont="1" applyFill="1" applyBorder="1" applyAlignment="1">
      <alignment horizontal="center" vertical="center"/>
    </xf>
    <xf numFmtId="0" fontId="7" fillId="28" borderId="1" xfId="0" applyFont="1" applyFill="1" applyBorder="1" applyAlignment="1" applyProtection="1">
      <alignment horizontal="center" vertical="center"/>
      <protection locked="0"/>
    </xf>
    <xf numFmtId="0" fontId="7" fillId="28" borderId="1" xfId="1" applyNumberFormat="1" applyFont="1" applyFill="1" applyBorder="1" applyAlignment="1">
      <alignment horizontal="center" vertical="center" wrapText="1"/>
    </xf>
    <xf numFmtId="0" fontId="7" fillId="28" borderId="1" xfId="1" applyNumberFormat="1" applyFont="1" applyFill="1" applyBorder="1" applyAlignment="1">
      <alignment horizontal="center" vertical="center"/>
    </xf>
    <xf numFmtId="14" fontId="7" fillId="28" borderId="1" xfId="1" applyNumberFormat="1" applyFont="1" applyFill="1" applyBorder="1" applyAlignment="1">
      <alignment horizontal="center" vertical="center"/>
    </xf>
    <xf numFmtId="0" fontId="7" fillId="28" borderId="1" xfId="0" applyFont="1" applyFill="1" applyBorder="1" applyAlignment="1">
      <alignment horizontal="center" vertical="center"/>
    </xf>
    <xf numFmtId="164" fontId="7" fillId="11" borderId="1" xfId="0" applyNumberFormat="1" applyFont="1" applyFill="1" applyBorder="1" applyAlignment="1">
      <alignment horizontal="center" vertical="center"/>
    </xf>
    <xf numFmtId="0" fontId="7" fillId="0" borderId="1" xfId="0" applyFont="1" applyBorder="1" applyAlignment="1">
      <alignment horizontal="center"/>
    </xf>
    <xf numFmtId="0" fontId="7" fillId="20" borderId="1" xfId="0" applyFont="1" applyFill="1" applyBorder="1" applyAlignment="1">
      <alignment horizontal="center"/>
    </xf>
    <xf numFmtId="164" fontId="7" fillId="11" borderId="2" xfId="0" applyNumberFormat="1" applyFont="1" applyFill="1" applyBorder="1" applyAlignment="1">
      <alignment horizontal="center" vertical="center"/>
    </xf>
    <xf numFmtId="164" fontId="7" fillId="8" borderId="2" xfId="0" applyNumberFormat="1" applyFont="1" applyFill="1" applyBorder="1" applyAlignment="1">
      <alignment horizontal="center" vertical="center"/>
    </xf>
    <xf numFmtId="165" fontId="7" fillId="29" borderId="1" xfId="0" applyNumberFormat="1" applyFont="1" applyFill="1" applyBorder="1" applyAlignment="1">
      <alignment horizontal="center" vertical="center"/>
    </xf>
    <xf numFmtId="3" fontId="7" fillId="0" borderId="1" xfId="1" applyNumberFormat="1" applyFont="1" applyFill="1" applyBorder="1" applyAlignment="1">
      <alignment horizontal="center" vertical="center" wrapText="1"/>
    </xf>
    <xf numFmtId="165" fontId="7" fillId="20" borderId="3" xfId="0" applyNumberFormat="1" applyFont="1" applyFill="1" applyBorder="1" applyAlignment="1">
      <alignment horizontal="center" vertical="center"/>
    </xf>
    <xf numFmtId="164" fontId="7" fillId="0" borderId="1" xfId="0" applyNumberFormat="1" applyFont="1" applyBorder="1" applyAlignment="1">
      <alignment horizontal="center" vertical="center"/>
    </xf>
    <xf numFmtId="9" fontId="7" fillId="11" borderId="1" xfId="0" applyNumberFormat="1" applyFont="1" applyFill="1" applyBorder="1" applyAlignment="1">
      <alignment horizontal="center" vertical="center"/>
    </xf>
    <xf numFmtId="164" fontId="7" fillId="0" borderId="3" xfId="0" applyNumberFormat="1" applyFont="1" applyBorder="1" applyAlignment="1">
      <alignment horizontal="center" vertical="center"/>
    </xf>
    <xf numFmtId="164" fontId="7" fillId="20" borderId="2" xfId="0" applyNumberFormat="1" applyFont="1" applyFill="1" applyBorder="1" applyAlignment="1">
      <alignment horizontal="center" vertical="center"/>
    </xf>
    <xf numFmtId="0" fontId="7" fillId="28" borderId="2" xfId="1" applyNumberFormat="1" applyFont="1" applyFill="1" applyBorder="1" applyAlignment="1" applyProtection="1">
      <alignment horizontal="center" vertical="center" wrapText="1"/>
      <protection locked="0"/>
    </xf>
    <xf numFmtId="14" fontId="7" fillId="30" borderId="1" xfId="0" applyNumberFormat="1" applyFont="1" applyFill="1" applyBorder="1" applyAlignment="1">
      <alignment horizontal="center" vertical="center" wrapText="1"/>
    </xf>
    <xf numFmtId="14" fontId="7" fillId="28" borderId="3" xfId="0" applyNumberFormat="1" applyFont="1" applyFill="1" applyBorder="1" applyAlignment="1">
      <alignment horizontal="center" vertical="center"/>
    </xf>
    <xf numFmtId="0" fontId="7" fillId="28" borderId="3" xfId="0" applyFont="1" applyFill="1" applyBorder="1" applyAlignment="1">
      <alignment horizontal="center" vertical="center" wrapText="1"/>
    </xf>
    <xf numFmtId="3" fontId="7" fillId="28" borderId="1" xfId="1" applyNumberFormat="1" applyFont="1" applyFill="1" applyBorder="1" applyAlignment="1">
      <alignment horizontal="center" vertical="center" wrapText="1"/>
    </xf>
    <xf numFmtId="0" fontId="7" fillId="28" borderId="2" xfId="0" applyFont="1" applyFill="1" applyBorder="1" applyAlignment="1">
      <alignment horizontal="center" vertical="center"/>
    </xf>
    <xf numFmtId="14" fontId="7" fillId="0" borderId="3" xfId="0" applyNumberFormat="1" applyFont="1" applyBorder="1" applyAlignment="1">
      <alignment horizontal="center"/>
    </xf>
    <xf numFmtId="14" fontId="7" fillId="30" borderId="3" xfId="0" applyNumberFormat="1" applyFont="1" applyFill="1" applyBorder="1" applyAlignment="1">
      <alignment horizontal="center" vertical="center" wrapText="1"/>
    </xf>
    <xf numFmtId="164" fontId="7" fillId="20" borderId="1" xfId="0" applyNumberFormat="1" applyFont="1" applyFill="1" applyBorder="1" applyAlignment="1">
      <alignment horizontal="center" vertical="center"/>
    </xf>
    <xf numFmtId="0" fontId="7" fillId="0" borderId="3" xfId="0" applyFont="1" applyBorder="1" applyAlignment="1">
      <alignment horizontal="center"/>
    </xf>
    <xf numFmtId="14" fontId="7" fillId="29" borderId="1" xfId="0" applyNumberFormat="1" applyFont="1" applyFill="1" applyBorder="1" applyAlignment="1">
      <alignment horizontal="center" vertical="center"/>
    </xf>
    <xf numFmtId="0" fontId="7" fillId="30" borderId="3" xfId="0" applyFont="1" applyFill="1" applyBorder="1" applyAlignment="1">
      <alignment horizontal="center" vertical="center" wrapText="1"/>
    </xf>
    <xf numFmtId="14" fontId="7" fillId="22" borderId="1" xfId="0" applyNumberFormat="1" applyFont="1" applyFill="1" applyBorder="1" applyAlignment="1">
      <alignment horizontal="center" vertical="center"/>
    </xf>
    <xf numFmtId="0" fontId="4" fillId="0" borderId="1" xfId="0" applyFont="1" applyBorder="1" applyAlignment="1">
      <alignment horizontal="center" vertical="center" wrapText="1"/>
    </xf>
    <xf numFmtId="9" fontId="7" fillId="20" borderId="1" xfId="0" applyNumberFormat="1" applyFont="1" applyFill="1" applyBorder="1" applyAlignment="1">
      <alignment horizontal="center" vertical="center"/>
    </xf>
    <xf numFmtId="164" fontId="7" fillId="20" borderId="1" xfId="0" quotePrefix="1" applyNumberFormat="1" applyFont="1" applyFill="1" applyBorder="1" applyAlignment="1">
      <alignment horizontal="center" vertical="center"/>
    </xf>
    <xf numFmtId="0" fontId="7" fillId="0" borderId="14" xfId="0" applyFont="1" applyBorder="1" applyAlignment="1" applyProtection="1">
      <alignment horizontal="center" vertical="center" wrapText="1"/>
      <protection locked="0"/>
    </xf>
    <xf numFmtId="0" fontId="23" fillId="22" borderId="1" xfId="0" applyFont="1" applyFill="1" applyBorder="1" applyAlignment="1">
      <alignment horizontal="center" vertical="top" wrapText="1"/>
    </xf>
    <xf numFmtId="0" fontId="7" fillId="0" borderId="3" xfId="0" applyFont="1" applyBorder="1" applyAlignment="1">
      <alignment horizontal="center" vertical="center"/>
    </xf>
    <xf numFmtId="0" fontId="7" fillId="18" borderId="1" xfId="0" applyFont="1" applyFill="1" applyBorder="1" applyAlignment="1" applyProtection="1">
      <alignment horizontal="center" vertical="center"/>
      <protection locked="0"/>
    </xf>
    <xf numFmtId="0" fontId="7" fillId="18" borderId="1" xfId="1" applyNumberFormat="1" applyFont="1" applyFill="1" applyBorder="1" applyAlignment="1">
      <alignment horizontal="center" vertical="center" wrapText="1"/>
    </xf>
    <xf numFmtId="0" fontId="7" fillId="18" borderId="1" xfId="1" applyNumberFormat="1" applyFont="1" applyFill="1" applyBorder="1" applyAlignment="1">
      <alignment horizontal="center" vertical="center"/>
    </xf>
    <xf numFmtId="14" fontId="7" fillId="18" borderId="1" xfId="1" applyNumberFormat="1" applyFont="1" applyFill="1" applyBorder="1" applyAlignment="1">
      <alignment horizontal="center" vertical="center"/>
    </xf>
    <xf numFmtId="14" fontId="7" fillId="18" borderId="3" xfId="0" applyNumberFormat="1" applyFont="1" applyFill="1" applyBorder="1" applyAlignment="1">
      <alignment horizontal="center" vertical="center" wrapText="1"/>
    </xf>
    <xf numFmtId="164" fontId="7" fillId="18" borderId="3" xfId="0" applyNumberFormat="1" applyFont="1" applyFill="1" applyBorder="1" applyAlignment="1">
      <alignment horizontal="center" vertical="center"/>
    </xf>
    <xf numFmtId="165" fontId="7" fillId="18" borderId="1" xfId="0" applyNumberFormat="1" applyFont="1" applyFill="1" applyBorder="1" applyAlignment="1">
      <alignment horizontal="center" vertical="center"/>
    </xf>
    <xf numFmtId="165" fontId="7" fillId="18" borderId="3" xfId="0" applyNumberFormat="1" applyFont="1" applyFill="1" applyBorder="1" applyAlignment="1">
      <alignment horizontal="center" vertical="center"/>
    </xf>
    <xf numFmtId="14" fontId="7" fillId="18" borderId="3" xfId="0" applyNumberFormat="1" applyFont="1" applyFill="1" applyBorder="1" applyAlignment="1">
      <alignment horizontal="center" vertical="center"/>
    </xf>
    <xf numFmtId="10" fontId="7" fillId="18" borderId="1" xfId="3" applyNumberFormat="1" applyFont="1" applyFill="1" applyBorder="1" applyAlignment="1">
      <alignment horizontal="center" vertical="center"/>
    </xf>
    <xf numFmtId="9" fontId="7" fillId="18" borderId="1" xfId="3" applyFont="1" applyFill="1" applyBorder="1" applyAlignment="1">
      <alignment horizontal="center" vertical="center"/>
    </xf>
    <xf numFmtId="0" fontId="7" fillId="18" borderId="3" xfId="0" applyFont="1" applyFill="1" applyBorder="1" applyAlignment="1">
      <alignment horizontal="center" vertical="center" wrapText="1"/>
    </xf>
    <xf numFmtId="165" fontId="7" fillId="28" borderId="3" xfId="0" applyNumberFormat="1" applyFont="1" applyFill="1" applyBorder="1" applyAlignment="1">
      <alignment horizontal="center" vertical="center"/>
    </xf>
    <xf numFmtId="3" fontId="7" fillId="0" borderId="2" xfId="1" applyNumberFormat="1" applyFont="1" applyFill="1" applyBorder="1" applyAlignment="1">
      <alignment horizontal="center" vertical="center" wrapText="1"/>
    </xf>
    <xf numFmtId="165" fontId="7" fillId="7" borderId="1" xfId="0" applyNumberFormat="1" applyFont="1" applyFill="1" applyBorder="1" applyAlignment="1">
      <alignment horizontal="center" vertical="center"/>
    </xf>
    <xf numFmtId="164" fontId="7" fillId="28" borderId="3" xfId="0" applyNumberFormat="1" applyFont="1" applyFill="1" applyBorder="1" applyAlignment="1">
      <alignment horizontal="center" vertical="center"/>
    </xf>
    <xf numFmtId="165" fontId="7" fillId="3" borderId="1" xfId="0" applyNumberFormat="1" applyFont="1" applyFill="1" applyBorder="1" applyAlignment="1">
      <alignment horizontal="center" vertical="center"/>
    </xf>
    <xf numFmtId="3" fontId="7" fillId="28" borderId="2" xfId="1" applyNumberFormat="1" applyFont="1" applyFill="1" applyBorder="1" applyAlignment="1">
      <alignment horizontal="center" vertical="center" wrapText="1"/>
    </xf>
    <xf numFmtId="165" fontId="7" fillId="28" borderId="1" xfId="0" applyNumberFormat="1" applyFont="1" applyFill="1" applyBorder="1" applyAlignment="1">
      <alignment horizontal="center" vertical="center"/>
    </xf>
    <xf numFmtId="164" fontId="7" fillId="28" borderId="1" xfId="0" applyNumberFormat="1" applyFont="1" applyFill="1" applyBorder="1" applyAlignment="1">
      <alignment horizontal="center" vertical="center"/>
    </xf>
    <xf numFmtId="14" fontId="7" fillId="7" borderId="3" xfId="0" applyNumberFormat="1" applyFont="1" applyFill="1" applyBorder="1" applyAlignment="1">
      <alignment horizontal="center" vertical="center"/>
    </xf>
    <xf numFmtId="0" fontId="7" fillId="28" borderId="1" xfId="1" applyNumberFormat="1" applyFont="1" applyFill="1" applyBorder="1" applyAlignment="1" applyProtection="1">
      <alignment horizontal="center" vertical="center" wrapText="1"/>
      <protection locked="0"/>
    </xf>
    <xf numFmtId="14" fontId="7" fillId="0" borderId="1" xfId="0" applyNumberFormat="1" applyFont="1" applyBorder="1" applyAlignment="1">
      <alignment horizontal="center" vertical="center" wrapText="1"/>
    </xf>
    <xf numFmtId="165" fontId="7" fillId="34"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28" borderId="6" xfId="1" applyNumberFormat="1" applyFont="1" applyFill="1" applyBorder="1" applyAlignment="1">
      <alignment horizontal="center" vertical="center" wrapText="1"/>
    </xf>
    <xf numFmtId="165" fontId="7" fillId="36" borderId="1" xfId="0" applyNumberFormat="1" applyFont="1" applyFill="1" applyBorder="1" applyAlignment="1">
      <alignment horizontal="center" vertical="center"/>
    </xf>
    <xf numFmtId="3" fontId="20" fillId="0" borderId="1" xfId="0" applyNumberFormat="1" applyFont="1" applyBorder="1" applyAlignment="1">
      <alignment horizontal="center" vertical="center"/>
    </xf>
    <xf numFmtId="0" fontId="7" fillId="28" borderId="2" xfId="0" applyFont="1" applyFill="1" applyBorder="1" applyAlignment="1">
      <alignment horizontal="center" vertical="center" wrapText="1"/>
    </xf>
    <xf numFmtId="14" fontId="20" fillId="0" borderId="2" xfId="0" applyNumberFormat="1" applyFont="1" applyBorder="1" applyAlignment="1">
      <alignment horizontal="center" vertical="center"/>
    </xf>
    <xf numFmtId="0" fontId="7" fillId="28" borderId="1" xfId="0" applyFont="1" applyFill="1" applyBorder="1" applyAlignment="1">
      <alignment horizontal="center" vertical="center" wrapText="1"/>
    </xf>
    <xf numFmtId="164" fontId="7" fillId="7" borderId="3" xfId="0" applyNumberFormat="1" applyFont="1" applyFill="1" applyBorder="1" applyAlignment="1">
      <alignment horizontal="center" vertical="center"/>
    </xf>
    <xf numFmtId="0" fontId="7" fillId="38" borderId="1" xfId="1" applyNumberFormat="1" applyFont="1" applyFill="1" applyBorder="1" applyAlignment="1" applyProtection="1">
      <alignment horizontal="center" vertical="center" wrapText="1"/>
      <protection locked="0"/>
    </xf>
    <xf numFmtId="0" fontId="7" fillId="38" borderId="1" xfId="1" applyNumberFormat="1" applyFont="1" applyFill="1" applyBorder="1" applyAlignment="1">
      <alignment horizontal="center" vertical="center" wrapText="1"/>
    </xf>
    <xf numFmtId="0" fontId="7" fillId="38" borderId="1" xfId="1" applyNumberFormat="1" applyFont="1" applyFill="1" applyBorder="1" applyAlignment="1">
      <alignment horizontal="center" vertical="center"/>
    </xf>
    <xf numFmtId="14" fontId="7" fillId="38" borderId="1" xfId="1" applyNumberFormat="1" applyFont="1" applyFill="1" applyBorder="1" applyAlignment="1">
      <alignment horizontal="center" vertical="center"/>
    </xf>
    <xf numFmtId="1" fontId="7" fillId="38" borderId="1" xfId="1" applyNumberFormat="1" applyFont="1" applyFill="1" applyBorder="1" applyAlignment="1" applyProtection="1">
      <alignment horizontal="center" vertical="center"/>
      <protection locked="0"/>
    </xf>
    <xf numFmtId="14" fontId="7" fillId="38" borderId="3" xfId="0" applyNumberFormat="1" applyFont="1" applyFill="1" applyBorder="1" applyAlignment="1">
      <alignment horizontal="center" vertical="center" wrapText="1"/>
    </xf>
    <xf numFmtId="164" fontId="7" fillId="38" borderId="3" xfId="0" applyNumberFormat="1" applyFont="1" applyFill="1" applyBorder="1" applyAlignment="1">
      <alignment horizontal="center" vertical="center"/>
    </xf>
    <xf numFmtId="165" fontId="7" fillId="38" borderId="1" xfId="0" applyNumberFormat="1" applyFont="1" applyFill="1" applyBorder="1" applyAlignment="1">
      <alignment horizontal="center" vertical="center"/>
    </xf>
    <xf numFmtId="14" fontId="7" fillId="38" borderId="3" xfId="0" applyNumberFormat="1" applyFont="1" applyFill="1" applyBorder="1" applyAlignment="1">
      <alignment horizontal="center" vertical="center"/>
    </xf>
    <xf numFmtId="10" fontId="7" fillId="38" borderId="1" xfId="3" applyNumberFormat="1" applyFont="1" applyFill="1" applyBorder="1" applyAlignment="1">
      <alignment horizontal="center" vertical="center"/>
    </xf>
    <xf numFmtId="9" fontId="7" fillId="38" borderId="1" xfId="3" applyFont="1" applyFill="1" applyBorder="1" applyAlignment="1">
      <alignment horizontal="center" vertical="center"/>
    </xf>
    <xf numFmtId="0" fontId="7" fillId="38" borderId="3" xfId="0" applyFont="1" applyFill="1" applyBorder="1" applyAlignment="1" applyProtection="1">
      <alignment horizontal="center" vertical="center" wrapText="1"/>
      <protection locked="0"/>
    </xf>
    <xf numFmtId="0" fontId="7" fillId="38" borderId="1" xfId="0" applyFont="1" applyFill="1" applyBorder="1" applyAlignment="1">
      <alignment horizontal="center" vertical="center"/>
    </xf>
    <xf numFmtId="14" fontId="20" fillId="38" borderId="1" xfId="0" applyNumberFormat="1" applyFont="1" applyFill="1" applyBorder="1" applyAlignment="1">
      <alignment horizontal="center" vertical="center"/>
    </xf>
    <xf numFmtId="0" fontId="7" fillId="38" borderId="1" xfId="0" applyFont="1" applyFill="1" applyBorder="1" applyAlignment="1">
      <alignment horizontal="center" vertical="center" wrapText="1"/>
    </xf>
    <xf numFmtId="3" fontId="20" fillId="38" borderId="1" xfId="0" applyNumberFormat="1" applyFont="1" applyFill="1" applyBorder="1" applyAlignment="1">
      <alignment horizontal="center" vertical="center"/>
    </xf>
    <xf numFmtId="0" fontId="7" fillId="38" borderId="0" xfId="1" applyNumberFormat="1" applyFont="1" applyFill="1" applyBorder="1" applyAlignment="1" applyProtection="1">
      <alignment horizontal="center" vertical="center" wrapText="1"/>
      <protection locked="0"/>
    </xf>
    <xf numFmtId="14" fontId="7" fillId="38" borderId="1" xfId="0" applyNumberFormat="1" applyFont="1" applyFill="1" applyBorder="1" applyAlignment="1">
      <alignment horizontal="center" vertical="center" wrapText="1"/>
    </xf>
    <xf numFmtId="164" fontId="7" fillId="38" borderId="1" xfId="0" applyNumberFormat="1" applyFont="1" applyFill="1" applyBorder="1" applyAlignment="1">
      <alignment horizontal="center" vertical="center"/>
    </xf>
    <xf numFmtId="9" fontId="7" fillId="38" borderId="1" xfId="0" applyNumberFormat="1" applyFont="1" applyFill="1" applyBorder="1" applyAlignment="1">
      <alignment horizontal="center" vertical="center"/>
    </xf>
    <xf numFmtId="0" fontId="7" fillId="38" borderId="2" xfId="1" applyNumberFormat="1" applyFont="1" applyFill="1" applyBorder="1" applyAlignment="1" applyProtection="1">
      <alignment horizontal="center" vertical="center" wrapText="1"/>
      <protection locked="0"/>
    </xf>
    <xf numFmtId="14" fontId="7" fillId="38" borderId="2" xfId="0" applyNumberFormat="1" applyFont="1" applyFill="1" applyBorder="1" applyAlignment="1">
      <alignment horizontal="center" vertical="center" wrapText="1"/>
    </xf>
    <xf numFmtId="164" fontId="7" fillId="38" borderId="2" xfId="0" applyNumberFormat="1" applyFont="1" applyFill="1" applyBorder="1" applyAlignment="1">
      <alignment horizontal="center" vertical="center"/>
    </xf>
    <xf numFmtId="14" fontId="7" fillId="38" borderId="1" xfId="0" applyNumberFormat="1" applyFont="1" applyFill="1" applyBorder="1" applyAlignment="1">
      <alignment horizontal="center" vertical="center"/>
    </xf>
    <xf numFmtId="0" fontId="7" fillId="38" borderId="2" xfId="0" applyFont="1" applyFill="1" applyBorder="1" applyAlignment="1">
      <alignment horizontal="center" vertical="center" wrapText="1"/>
    </xf>
    <xf numFmtId="3" fontId="7" fillId="39" borderId="2" xfId="1" applyNumberFormat="1" applyFont="1" applyFill="1" applyBorder="1" applyAlignment="1">
      <alignment horizontal="center" vertical="center" wrapText="1"/>
    </xf>
    <xf numFmtId="0" fontId="7" fillId="39" borderId="1" xfId="1" applyNumberFormat="1" applyFont="1" applyFill="1" applyBorder="1" applyAlignment="1">
      <alignment horizontal="center" vertical="center" wrapText="1"/>
    </xf>
    <xf numFmtId="0" fontId="7" fillId="39" borderId="1" xfId="1" applyNumberFormat="1" applyFont="1" applyFill="1" applyBorder="1" applyAlignment="1">
      <alignment horizontal="center" vertical="center"/>
    </xf>
    <xf numFmtId="14" fontId="7" fillId="39" borderId="1" xfId="1" applyNumberFormat="1" applyFont="1" applyFill="1" applyBorder="1" applyAlignment="1">
      <alignment horizontal="center" vertical="center"/>
    </xf>
    <xf numFmtId="0" fontId="7" fillId="39" borderId="1" xfId="0" applyFont="1" applyFill="1" applyBorder="1" applyAlignment="1">
      <alignment horizontal="center" vertical="center"/>
    </xf>
    <xf numFmtId="0" fontId="7" fillId="39" borderId="1" xfId="0" applyFont="1" applyFill="1" applyBorder="1" applyAlignment="1">
      <alignment horizontal="center" vertical="center" wrapText="1"/>
    </xf>
    <xf numFmtId="164" fontId="7" fillId="39" borderId="3" xfId="0" applyNumberFormat="1" applyFont="1" applyFill="1" applyBorder="1" applyAlignment="1">
      <alignment horizontal="center" vertical="center"/>
    </xf>
    <xf numFmtId="165" fontId="7" fillId="39" borderId="3" xfId="0" applyNumberFormat="1" applyFont="1" applyFill="1" applyBorder="1" applyAlignment="1">
      <alignment horizontal="center" vertical="center"/>
    </xf>
    <xf numFmtId="165" fontId="7" fillId="39" borderId="1" xfId="0" applyNumberFormat="1" applyFont="1" applyFill="1" applyBorder="1" applyAlignment="1">
      <alignment horizontal="center" vertical="center"/>
    </xf>
    <xf numFmtId="14" fontId="7" fillId="39" borderId="3" xfId="0" applyNumberFormat="1" applyFont="1" applyFill="1" applyBorder="1" applyAlignment="1">
      <alignment horizontal="center" vertical="center"/>
    </xf>
    <xf numFmtId="10" fontId="7" fillId="39" borderId="1" xfId="3" applyNumberFormat="1" applyFont="1" applyFill="1" applyBorder="1" applyAlignment="1">
      <alignment horizontal="center" vertical="center"/>
    </xf>
    <xf numFmtId="9" fontId="7" fillId="39" borderId="1" xfId="3" applyFont="1" applyFill="1" applyBorder="1" applyAlignment="1">
      <alignment horizontal="center" vertical="center"/>
    </xf>
    <xf numFmtId="0" fontId="7" fillId="40" borderId="2" xfId="1" applyNumberFormat="1" applyFont="1" applyFill="1" applyBorder="1" applyAlignment="1" applyProtection="1">
      <alignment horizontal="center" vertical="center" wrapText="1"/>
      <protection locked="0"/>
    </xf>
    <xf numFmtId="0" fontId="7" fillId="40" borderId="1" xfId="1" applyNumberFormat="1" applyFont="1" applyFill="1" applyBorder="1" applyAlignment="1">
      <alignment horizontal="center" vertical="center" wrapText="1"/>
    </xf>
    <xf numFmtId="0" fontId="7" fillId="40" borderId="1" xfId="1" applyNumberFormat="1" applyFont="1" applyFill="1" applyBorder="1" applyAlignment="1">
      <alignment horizontal="center" vertical="center"/>
    </xf>
    <xf numFmtId="14" fontId="7" fillId="40" borderId="1" xfId="1" applyNumberFormat="1" applyFont="1" applyFill="1" applyBorder="1" applyAlignment="1">
      <alignment horizontal="center" vertical="center"/>
    </xf>
    <xf numFmtId="14" fontId="7" fillId="40" borderId="1" xfId="0" applyNumberFormat="1" applyFont="1" applyFill="1" applyBorder="1" applyAlignment="1">
      <alignment horizontal="center" vertical="center" wrapText="1"/>
    </xf>
    <xf numFmtId="164" fontId="7" fillId="40" borderId="3" xfId="0" applyNumberFormat="1" applyFont="1" applyFill="1" applyBorder="1" applyAlignment="1">
      <alignment horizontal="center" vertical="center"/>
    </xf>
    <xf numFmtId="165" fontId="7" fillId="40" borderId="1" xfId="0" applyNumberFormat="1" applyFont="1" applyFill="1" applyBorder="1" applyAlignment="1">
      <alignment horizontal="center" vertical="center"/>
    </xf>
    <xf numFmtId="14" fontId="7" fillId="40" borderId="1" xfId="0" applyNumberFormat="1" applyFont="1" applyFill="1" applyBorder="1" applyAlignment="1">
      <alignment horizontal="center" vertical="center"/>
    </xf>
    <xf numFmtId="10" fontId="7" fillId="40" borderId="1" xfId="3" applyNumberFormat="1" applyFont="1" applyFill="1" applyBorder="1" applyAlignment="1">
      <alignment horizontal="center" vertical="center"/>
    </xf>
    <xf numFmtId="9" fontId="7" fillId="40" borderId="1" xfId="3" applyFont="1" applyFill="1" applyBorder="1" applyAlignment="1">
      <alignment horizontal="center" vertical="center"/>
    </xf>
    <xf numFmtId="0" fontId="7" fillId="40" borderId="1" xfId="0" applyFont="1" applyFill="1" applyBorder="1" applyAlignment="1">
      <alignment horizontal="center" vertical="center" wrapText="1"/>
    </xf>
    <xf numFmtId="14" fontId="20" fillId="0" borderId="1" xfId="0" applyNumberFormat="1" applyFont="1" applyBorder="1" applyAlignment="1">
      <alignment horizontal="center" vertical="center"/>
    </xf>
    <xf numFmtId="0" fontId="7" fillId="28" borderId="6" xfId="0" applyFont="1" applyFill="1" applyBorder="1" applyAlignment="1">
      <alignment horizontal="center" vertical="center" wrapText="1"/>
    </xf>
    <xf numFmtId="14" fontId="7" fillId="22" borderId="2" xfId="0" applyNumberFormat="1" applyFont="1" applyFill="1" applyBorder="1" applyAlignment="1">
      <alignment horizontal="center" vertical="center" wrapText="1"/>
    </xf>
    <xf numFmtId="14" fontId="7" fillId="30" borderId="2" xfId="0" applyNumberFormat="1" applyFont="1" applyFill="1" applyBorder="1" applyAlignment="1">
      <alignment horizontal="center" vertical="center" wrapText="1"/>
    </xf>
    <xf numFmtId="164" fontId="7" fillId="0" borderId="2" xfId="0" applyNumberFormat="1" applyFont="1" applyBorder="1" applyAlignment="1">
      <alignment horizontal="center" vertical="center"/>
    </xf>
    <xf numFmtId="164" fontId="7" fillId="35" borderId="2" xfId="0" applyNumberFormat="1" applyFont="1" applyFill="1" applyBorder="1" applyAlignment="1">
      <alignment horizontal="center" vertical="center"/>
    </xf>
    <xf numFmtId="165" fontId="7" fillId="42" borderId="1" xfId="0" applyNumberFormat="1" applyFont="1" applyFill="1" applyBorder="1" applyAlignment="1">
      <alignment horizontal="center" vertical="center"/>
    </xf>
    <xf numFmtId="0" fontId="7" fillId="28" borderId="2" xfId="0" applyFont="1" applyFill="1" applyBorder="1" applyAlignment="1" applyProtection="1">
      <alignment horizontal="center" vertical="center"/>
      <protection locked="0"/>
    </xf>
    <xf numFmtId="3" fontId="20" fillId="28" borderId="1" xfId="0" applyNumberFormat="1" applyFont="1" applyFill="1" applyBorder="1" applyAlignment="1">
      <alignment horizontal="center" vertical="center"/>
    </xf>
    <xf numFmtId="14" fontId="20" fillId="28" borderId="1" xfId="0" applyNumberFormat="1" applyFont="1" applyFill="1" applyBorder="1" applyAlignment="1">
      <alignment horizontal="center" vertical="center"/>
    </xf>
    <xf numFmtId="14" fontId="7" fillId="28" borderId="1" xfId="0" applyNumberFormat="1" applyFont="1" applyFill="1" applyBorder="1" applyAlignment="1">
      <alignment horizontal="center" vertical="center" wrapText="1"/>
    </xf>
    <xf numFmtId="9" fontId="7" fillId="28" borderId="1" xfId="3" applyFont="1" applyFill="1" applyBorder="1" applyAlignment="1">
      <alignment horizontal="center" vertical="center"/>
    </xf>
    <xf numFmtId="0" fontId="20" fillId="37" borderId="1" xfId="0" applyFont="1" applyFill="1" applyBorder="1" applyAlignment="1">
      <alignment horizontal="center" vertical="center" wrapText="1"/>
    </xf>
    <xf numFmtId="0" fontId="20" fillId="37" borderId="1" xfId="0" applyFont="1" applyFill="1" applyBorder="1" applyAlignment="1">
      <alignment horizontal="center" vertical="center"/>
    </xf>
    <xf numFmtId="14" fontId="20" fillId="37" borderId="1" xfId="0" applyNumberFormat="1" applyFont="1" applyFill="1" applyBorder="1" applyAlignment="1">
      <alignment horizontal="center" vertical="center"/>
    </xf>
    <xf numFmtId="8" fontId="20" fillId="45" borderId="3" xfId="0" applyNumberFormat="1" applyFont="1" applyFill="1" applyBorder="1" applyAlignment="1">
      <alignment horizontal="center" vertical="center"/>
    </xf>
    <xf numFmtId="0" fontId="20" fillId="37" borderId="3" xfId="0" applyFont="1" applyFill="1" applyBorder="1" applyAlignment="1">
      <alignment horizontal="center" vertical="center" wrapText="1"/>
    </xf>
    <xf numFmtId="0" fontId="7" fillId="28" borderId="2" xfId="1" applyNumberFormat="1" applyFont="1" applyFill="1" applyBorder="1" applyAlignment="1">
      <alignment horizontal="center" vertical="center" wrapText="1"/>
    </xf>
    <xf numFmtId="14" fontId="7" fillId="28" borderId="2" xfId="1" applyNumberFormat="1" applyFont="1" applyFill="1" applyBorder="1" applyAlignment="1">
      <alignment horizontal="center" vertical="center"/>
    </xf>
    <xf numFmtId="0" fontId="7" fillId="0" borderId="3" xfId="1" applyNumberFormat="1" applyFont="1" applyFill="1" applyBorder="1" applyAlignment="1">
      <alignment horizontal="center" vertical="center" wrapText="1"/>
    </xf>
    <xf numFmtId="0" fontId="7" fillId="0" borderId="3" xfId="1" applyNumberFormat="1" applyFont="1" applyFill="1" applyBorder="1" applyAlignment="1">
      <alignment horizontal="center" vertical="center"/>
    </xf>
    <xf numFmtId="14" fontId="7" fillId="0" borderId="3" xfId="1" applyNumberFormat="1" applyFont="1" applyFill="1" applyBorder="1" applyAlignment="1">
      <alignment horizontal="center" vertical="center"/>
    </xf>
    <xf numFmtId="0" fontId="7" fillId="0" borderId="6" xfId="1" applyNumberFormat="1" applyFont="1" applyFill="1" applyBorder="1" applyAlignment="1">
      <alignment horizontal="center" vertical="center"/>
    </xf>
    <xf numFmtId="164" fontId="7" fillId="45" borderId="1" xfId="0" applyNumberFormat="1" applyFont="1" applyFill="1" applyBorder="1" applyAlignment="1">
      <alignment horizontal="center" vertical="center"/>
    </xf>
    <xf numFmtId="9" fontId="7" fillId="8" borderId="2" xfId="3" applyFont="1" applyFill="1" applyBorder="1" applyAlignment="1">
      <alignment horizontal="center" vertical="center"/>
    </xf>
    <xf numFmtId="164" fontId="7" fillId="3" borderId="1" xfId="0" applyNumberFormat="1" applyFont="1" applyFill="1" applyBorder="1" applyAlignment="1">
      <alignment horizontal="center" vertical="center"/>
    </xf>
    <xf numFmtId="0" fontId="7" fillId="28" borderId="3" xfId="0" applyFont="1" applyFill="1" applyBorder="1" applyAlignment="1">
      <alignment horizontal="center" vertical="center"/>
    </xf>
    <xf numFmtId="164" fontId="7" fillId="46" borderId="1" xfId="0" applyNumberFormat="1" applyFont="1" applyFill="1" applyBorder="1" applyAlignment="1">
      <alignment horizontal="center" vertical="center"/>
    </xf>
    <xf numFmtId="0" fontId="7" fillId="28" borderId="6" xfId="1" applyNumberFormat="1" applyFont="1" applyFill="1" applyBorder="1" applyAlignment="1">
      <alignment horizontal="center" vertical="center"/>
    </xf>
    <xf numFmtId="0" fontId="20" fillId="28" borderId="2" xfId="0" applyFont="1" applyFill="1" applyBorder="1" applyAlignment="1">
      <alignment horizontal="center" vertical="center" wrapText="1"/>
    </xf>
    <xf numFmtId="0" fontId="20" fillId="28" borderId="1" xfId="0" applyFont="1" applyFill="1" applyBorder="1" applyAlignment="1">
      <alignment horizontal="center" vertical="center" wrapText="1"/>
    </xf>
    <xf numFmtId="0" fontId="20" fillId="28" borderId="1" xfId="0" applyFont="1" applyFill="1" applyBorder="1" applyAlignment="1">
      <alignment horizontal="center" vertical="center"/>
    </xf>
    <xf numFmtId="14" fontId="7" fillId="28" borderId="1" xfId="1" applyNumberFormat="1" applyFont="1" applyFill="1" applyBorder="1" applyAlignment="1" applyProtection="1">
      <alignment horizontal="center" vertical="center" wrapText="1"/>
      <protection locked="0"/>
    </xf>
    <xf numFmtId="10" fontId="7" fillId="33" borderId="1" xfId="3" applyNumberFormat="1" applyFont="1" applyFill="1" applyBorder="1" applyAlignment="1">
      <alignment horizontal="center" vertical="center"/>
    </xf>
    <xf numFmtId="165" fontId="7" fillId="47" borderId="1" xfId="0" applyNumberFormat="1" applyFont="1" applyFill="1" applyBorder="1" applyAlignment="1">
      <alignment horizontal="center" vertical="center"/>
    </xf>
    <xf numFmtId="164" fontId="7" fillId="35" borderId="1" xfId="0" applyNumberFormat="1" applyFont="1" applyFill="1" applyBorder="1" applyAlignment="1">
      <alignment horizontal="center" vertical="center"/>
    </xf>
    <xf numFmtId="8" fontId="20" fillId="37" borderId="3"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7" fillId="0" borderId="3" xfId="0" applyFont="1" applyBorder="1" applyAlignment="1" applyProtection="1">
      <alignment horizontal="center" vertical="center"/>
      <protection locked="0"/>
    </xf>
    <xf numFmtId="0" fontId="7" fillId="30" borderId="1" xfId="0" applyFont="1" applyFill="1" applyBorder="1" applyAlignment="1">
      <alignment horizontal="center" vertical="center" wrapText="1"/>
    </xf>
    <xf numFmtId="164" fontId="7" fillId="44" borderId="3" xfId="0" applyNumberFormat="1" applyFont="1" applyFill="1" applyBorder="1" applyAlignment="1">
      <alignment horizontal="center" vertical="center"/>
    </xf>
    <xf numFmtId="165" fontId="7" fillId="46" borderId="1" xfId="0" applyNumberFormat="1" applyFont="1" applyFill="1" applyBorder="1" applyAlignment="1">
      <alignment horizontal="center" vertical="center"/>
    </xf>
    <xf numFmtId="165" fontId="7" fillId="48" borderId="1" xfId="0" applyNumberFormat="1" applyFont="1" applyFill="1" applyBorder="1" applyAlignment="1">
      <alignment horizontal="center" vertical="center"/>
    </xf>
    <xf numFmtId="165" fontId="7" fillId="44" borderId="1" xfId="0" applyNumberFormat="1" applyFont="1" applyFill="1" applyBorder="1" applyAlignment="1">
      <alignment horizontal="center" vertical="center"/>
    </xf>
    <xf numFmtId="165" fontId="7" fillId="50" borderId="1" xfId="0" applyNumberFormat="1" applyFont="1" applyFill="1" applyBorder="1" applyAlignment="1">
      <alignment horizontal="center" vertical="center"/>
    </xf>
    <xf numFmtId="164" fontId="7" fillId="47" borderId="1" xfId="0" applyNumberFormat="1" applyFont="1" applyFill="1" applyBorder="1" applyAlignment="1">
      <alignment horizontal="center" vertical="center"/>
    </xf>
    <xf numFmtId="164" fontId="7" fillId="44" borderId="1" xfId="0" applyNumberFormat="1" applyFont="1" applyFill="1" applyBorder="1" applyAlignment="1">
      <alignment horizontal="center" vertical="center"/>
    </xf>
    <xf numFmtId="164" fontId="7" fillId="27" borderId="1" xfId="0" applyNumberFormat="1" applyFont="1" applyFill="1" applyBorder="1" applyAlignment="1">
      <alignment horizontal="center" vertical="center"/>
    </xf>
    <xf numFmtId="164" fontId="7" fillId="25" borderId="3" xfId="0" applyNumberFormat="1" applyFont="1" applyFill="1" applyBorder="1" applyAlignment="1">
      <alignment horizontal="center" vertical="center"/>
    </xf>
    <xf numFmtId="14" fontId="7" fillId="44" borderId="1" xfId="0" applyNumberFormat="1" applyFont="1" applyFill="1" applyBorder="1" applyAlignment="1">
      <alignment horizontal="center" vertical="center"/>
    </xf>
    <xf numFmtId="164" fontId="7" fillId="43" borderId="1" xfId="0" applyNumberFormat="1" applyFont="1" applyFill="1" applyBorder="1" applyAlignment="1">
      <alignment horizontal="center" vertical="center"/>
    </xf>
    <xf numFmtId="165" fontId="7" fillId="43" borderId="1" xfId="0" applyNumberFormat="1" applyFont="1" applyFill="1" applyBorder="1" applyAlignment="1">
      <alignment horizontal="center" vertical="center"/>
    </xf>
    <xf numFmtId="0" fontId="20" fillId="37" borderId="2" xfId="0" applyFont="1" applyFill="1" applyBorder="1" applyAlignment="1">
      <alignment horizontal="center" vertical="center" wrapText="1"/>
    </xf>
    <xf numFmtId="8" fontId="7" fillId="32" borderId="3" xfId="0" applyNumberFormat="1" applyFont="1" applyFill="1" applyBorder="1" applyAlignment="1">
      <alignment horizontal="center" vertical="center"/>
    </xf>
    <xf numFmtId="164" fontId="7" fillId="43" borderId="2" xfId="0" applyNumberFormat="1" applyFont="1" applyFill="1" applyBorder="1" applyAlignment="1">
      <alignment horizontal="center" vertical="center"/>
    </xf>
    <xf numFmtId="165" fontId="7" fillId="47" borderId="2" xfId="0" applyNumberFormat="1" applyFont="1" applyFill="1" applyBorder="1" applyAlignment="1">
      <alignment horizontal="center" vertical="center"/>
    </xf>
    <xf numFmtId="164" fontId="7" fillId="34" borderId="2" xfId="0" applyNumberFormat="1" applyFont="1" applyFill="1" applyBorder="1" applyAlignment="1">
      <alignment horizontal="center" vertical="center"/>
    </xf>
    <xf numFmtId="164" fontId="7" fillId="51" borderId="1" xfId="0" applyNumberFormat="1" applyFont="1" applyFill="1" applyBorder="1" applyAlignment="1">
      <alignment horizontal="center" vertical="center"/>
    </xf>
    <xf numFmtId="14" fontId="7" fillId="28" borderId="3" xfId="1" applyNumberFormat="1" applyFont="1" applyFill="1" applyBorder="1" applyAlignment="1">
      <alignment horizontal="center" vertical="center"/>
    </xf>
    <xf numFmtId="0" fontId="7" fillId="28" borderId="3" xfId="1" applyNumberFormat="1" applyFont="1" applyFill="1" applyBorder="1" applyAlignment="1">
      <alignment horizontal="center" vertical="center"/>
    </xf>
    <xf numFmtId="0" fontId="7" fillId="8" borderId="11" xfId="1" applyNumberFormat="1" applyFont="1" applyFill="1" applyBorder="1" applyAlignment="1">
      <alignment horizontal="center" vertical="center" wrapText="1"/>
    </xf>
    <xf numFmtId="164" fontId="7" fillId="49" borderId="3" xfId="0" applyNumberFormat="1" applyFont="1" applyFill="1" applyBorder="1" applyAlignment="1">
      <alignment horizontal="center" vertical="center"/>
    </xf>
    <xf numFmtId="165" fontId="7" fillId="49" borderId="1" xfId="0" applyNumberFormat="1" applyFont="1" applyFill="1" applyBorder="1" applyAlignment="1">
      <alignment horizontal="center" vertical="center"/>
    </xf>
    <xf numFmtId="165" fontId="7" fillId="28" borderId="2" xfId="0" applyNumberFormat="1" applyFont="1" applyFill="1" applyBorder="1" applyAlignment="1">
      <alignment horizontal="center" vertical="center"/>
    </xf>
    <xf numFmtId="164" fontId="7" fillId="52" borderId="1" xfId="0" applyNumberFormat="1" applyFont="1" applyFill="1" applyBorder="1" applyAlignment="1">
      <alignment horizontal="center" vertical="center"/>
    </xf>
    <xf numFmtId="164" fontId="7" fillId="49" borderId="1" xfId="0" applyNumberFormat="1" applyFont="1" applyFill="1" applyBorder="1" applyAlignment="1">
      <alignment horizontal="center" vertical="center"/>
    </xf>
    <xf numFmtId="164" fontId="7" fillId="34" borderId="1" xfId="0" applyNumberFormat="1" applyFont="1" applyFill="1" applyBorder="1" applyAlignment="1">
      <alignment horizontal="center" vertical="center"/>
    </xf>
    <xf numFmtId="9" fontId="7" fillId="49" borderId="1" xfId="3" applyFont="1" applyFill="1" applyBorder="1" applyAlignment="1">
      <alignment horizontal="center" vertical="center"/>
    </xf>
    <xf numFmtId="14" fontId="6" fillId="8" borderId="2" xfId="1" applyNumberFormat="1" applyFont="1" applyFill="1" applyBorder="1" applyAlignment="1">
      <alignment horizontal="center" vertical="top" wrapText="1"/>
    </xf>
    <xf numFmtId="14" fontId="6" fillId="8" borderId="1" xfId="1" applyNumberFormat="1" applyFont="1" applyFill="1" applyBorder="1" applyAlignment="1">
      <alignment horizontal="center"/>
    </xf>
    <xf numFmtId="14" fontId="6" fillId="8" borderId="1" xfId="0" applyNumberFormat="1" applyFont="1" applyFill="1" applyBorder="1" applyAlignment="1">
      <alignment horizontal="center"/>
    </xf>
    <xf numFmtId="14" fontId="6" fillId="8" borderId="2" xfId="1" applyNumberFormat="1" applyFont="1" applyFill="1" applyBorder="1" applyAlignment="1">
      <alignment horizontal="center"/>
    </xf>
    <xf numFmtId="14" fontId="6" fillId="8" borderId="2" xfId="0" applyNumberFormat="1" applyFont="1" applyFill="1" applyBorder="1" applyAlignment="1">
      <alignment horizontal="center"/>
    </xf>
    <xf numFmtId="14" fontId="6" fillId="13" borderId="2" xfId="1" applyNumberFormat="1" applyFont="1" applyFill="1" applyBorder="1" applyAlignment="1">
      <alignment horizontal="center"/>
    </xf>
    <xf numFmtId="14" fontId="6" fillId="8" borderId="10" xfId="1" applyNumberFormat="1" applyFont="1" applyFill="1" applyBorder="1" applyAlignment="1">
      <alignment horizontal="center"/>
    </xf>
    <xf numFmtId="14" fontId="6" fillId="13" borderId="1" xfId="1" applyNumberFormat="1" applyFont="1" applyFill="1" applyBorder="1" applyAlignment="1">
      <alignment horizontal="center"/>
    </xf>
    <xf numFmtId="14" fontId="6" fillId="8" borderId="1" xfId="1" quotePrefix="1" applyNumberFormat="1" applyFont="1" applyFill="1" applyBorder="1" applyAlignment="1">
      <alignment horizontal="center"/>
    </xf>
    <xf numFmtId="14" fontId="6" fillId="12" borderId="1" xfId="1" applyNumberFormat="1" applyFont="1" applyFill="1" applyBorder="1" applyAlignment="1">
      <alignment horizontal="center"/>
    </xf>
    <xf numFmtId="14" fontId="19" fillId="8" borderId="2" xfId="1" applyNumberFormat="1" applyFont="1" applyFill="1" applyBorder="1" applyAlignment="1">
      <alignment horizontal="center"/>
    </xf>
    <xf numFmtId="14" fontId="8" fillId="8" borderId="1" xfId="0" applyNumberFormat="1" applyFont="1" applyFill="1" applyBorder="1" applyAlignment="1">
      <alignment horizontal="center"/>
    </xf>
    <xf numFmtId="14" fontId="8" fillId="8" borderId="2" xfId="1" applyNumberFormat="1" applyFont="1" applyFill="1" applyBorder="1" applyAlignment="1">
      <alignment horizontal="center"/>
    </xf>
    <xf numFmtId="14" fontId="6" fillId="14" borderId="1" xfId="0" applyNumberFormat="1" applyFont="1" applyFill="1" applyBorder="1" applyAlignment="1">
      <alignment horizontal="center" vertical="top" wrapText="1"/>
    </xf>
    <xf numFmtId="14" fontId="8" fillId="8" borderId="2" xfId="0" applyNumberFormat="1" applyFont="1" applyFill="1" applyBorder="1" applyAlignment="1">
      <alignment horizontal="center"/>
    </xf>
    <xf numFmtId="14" fontId="19" fillId="8" borderId="1" xfId="1" applyNumberFormat="1" applyFont="1" applyFill="1" applyBorder="1" applyAlignment="1">
      <alignment horizontal="center"/>
    </xf>
    <xf numFmtId="14" fontId="19" fillId="14" borderId="1" xfId="0" applyNumberFormat="1" applyFont="1" applyFill="1" applyBorder="1" applyAlignment="1">
      <alignment horizontal="center" vertical="top" wrapText="1"/>
    </xf>
    <xf numFmtId="14" fontId="8" fillId="13" borderId="1" xfId="1" applyNumberFormat="1" applyFont="1" applyFill="1" applyBorder="1" applyAlignment="1">
      <alignment horizontal="center"/>
    </xf>
    <xf numFmtId="14" fontId="8" fillId="9" borderId="2" xfId="1" applyNumberFormat="1" applyFont="1" applyFill="1" applyBorder="1" applyAlignment="1">
      <alignment horizontal="center"/>
    </xf>
    <xf numFmtId="14" fontId="8" fillId="9" borderId="1" xfId="1" applyNumberFormat="1" applyFont="1" applyFill="1" applyBorder="1" applyAlignment="1">
      <alignment horizontal="center"/>
    </xf>
    <xf numFmtId="14" fontId="6" fillId="0" borderId="1" xfId="1" applyNumberFormat="1" applyFont="1" applyFill="1" applyBorder="1" applyAlignment="1">
      <alignment horizontal="center"/>
    </xf>
    <xf numFmtId="14" fontId="8" fillId="0" borderId="1" xfId="1" applyNumberFormat="1" applyFont="1" applyFill="1" applyBorder="1" applyAlignment="1">
      <alignment horizontal="center"/>
    </xf>
    <xf numFmtId="14" fontId="7" fillId="8" borderId="1" xfId="0" applyNumberFormat="1" applyFont="1" applyFill="1" applyBorder="1" applyAlignment="1">
      <alignment horizontal="center"/>
    </xf>
    <xf numFmtId="14" fontId="8" fillId="13" borderId="1" xfId="0" applyNumberFormat="1" applyFont="1" applyFill="1" applyBorder="1" applyAlignment="1">
      <alignment horizontal="center" vertical="top" wrapText="1"/>
    </xf>
    <xf numFmtId="14" fontId="8" fillId="8" borderId="10" xfId="1" applyNumberFormat="1" applyFont="1" applyFill="1" applyBorder="1" applyAlignment="1">
      <alignment horizontal="center"/>
    </xf>
    <xf numFmtId="14" fontId="8" fillId="14" borderId="2" xfId="0" applyNumberFormat="1" applyFont="1" applyFill="1" applyBorder="1" applyAlignment="1">
      <alignment horizontal="center" vertical="top" wrapText="1"/>
    </xf>
    <xf numFmtId="14" fontId="8" fillId="13" borderId="2" xfId="0" applyNumberFormat="1" applyFont="1" applyFill="1" applyBorder="1" applyAlignment="1">
      <alignment horizontal="center" vertical="top" wrapText="1"/>
    </xf>
    <xf numFmtId="14" fontId="8" fillId="14" borderId="1" xfId="0" applyNumberFormat="1" applyFont="1" applyFill="1" applyBorder="1" applyAlignment="1">
      <alignment horizontal="center" vertical="top" wrapText="1"/>
    </xf>
    <xf numFmtId="14" fontId="7" fillId="8" borderId="6" xfId="0" applyNumberFormat="1" applyFont="1" applyFill="1" applyBorder="1" applyAlignment="1">
      <alignment horizontal="center" vertical="center"/>
    </xf>
    <xf numFmtId="14" fontId="7" fillId="8" borderId="1" xfId="1" applyNumberFormat="1" applyFont="1" applyFill="1" applyBorder="1" applyAlignment="1" applyProtection="1">
      <alignment horizontal="center" vertical="center"/>
      <protection locked="0"/>
    </xf>
    <xf numFmtId="14" fontId="7" fillId="0" borderId="1" xfId="1" applyNumberFormat="1" applyFont="1" applyFill="1" applyBorder="1" applyAlignment="1" applyProtection="1">
      <alignment horizontal="center" vertical="center"/>
      <protection locked="0"/>
    </xf>
    <xf numFmtId="14" fontId="7" fillId="8" borderId="2" xfId="1" applyNumberFormat="1" applyFont="1" applyFill="1" applyBorder="1" applyAlignment="1" applyProtection="1">
      <alignment horizontal="center" vertical="center"/>
      <protection locked="0"/>
    </xf>
    <xf numFmtId="0" fontId="7" fillId="0" borderId="4" xfId="1" applyNumberFormat="1" applyFont="1" applyFill="1" applyBorder="1" applyAlignment="1">
      <alignment horizontal="center" vertical="center"/>
    </xf>
    <xf numFmtId="0" fontId="0" fillId="18" borderId="1" xfId="0" applyFill="1" applyBorder="1" applyAlignment="1">
      <alignment horizontal="center"/>
    </xf>
    <xf numFmtId="14" fontId="1" fillId="2" borderId="0" xfId="0" applyNumberFormat="1" applyFont="1" applyFill="1" applyAlignment="1">
      <alignment horizontal="center" wrapText="1"/>
    </xf>
    <xf numFmtId="14" fontId="0" fillId="18" borderId="1" xfId="0" applyNumberFormat="1" applyFill="1" applyBorder="1" applyAlignment="1">
      <alignment horizontal="center"/>
    </xf>
    <xf numFmtId="14" fontId="0" fillId="0" borderId="0" xfId="0" applyNumberFormat="1" applyAlignment="1">
      <alignment horizontal="center"/>
    </xf>
    <xf numFmtId="0" fontId="10" fillId="8" borderId="5" xfId="1" applyNumberFormat="1" applyFont="1" applyFill="1" applyBorder="1" applyAlignment="1">
      <alignment horizontal="center" vertical="top" wrapText="1"/>
    </xf>
    <xf numFmtId="0" fontId="11" fillId="0" borderId="3" xfId="0" applyFont="1" applyBorder="1" applyAlignment="1">
      <alignment horizontal="center" vertical="center" wrapText="1"/>
    </xf>
    <xf numFmtId="0" fontId="35" fillId="0" borderId="0" xfId="0" applyFont="1"/>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0" fontId="1" fillId="2" borderId="0" xfId="0" applyFont="1" applyFill="1" applyAlignment="1">
      <alignment horizontal="center" wrapText="1"/>
    </xf>
    <xf numFmtId="0" fontId="6" fillId="8" borderId="7" xfId="0" applyFont="1" applyFill="1" applyBorder="1" applyAlignment="1">
      <alignment horizontal="center"/>
    </xf>
    <xf numFmtId="0" fontId="6" fillId="8" borderId="3" xfId="0" applyFont="1" applyFill="1" applyBorder="1" applyAlignment="1">
      <alignment horizontal="center" vertical="top" wrapText="1"/>
    </xf>
    <xf numFmtId="0" fontId="6" fillId="8" borderId="1" xfId="0" applyFont="1" applyFill="1" applyBorder="1" applyAlignment="1">
      <alignment horizontal="center" vertical="top" wrapText="1"/>
    </xf>
    <xf numFmtId="0" fontId="8" fillId="8" borderId="1" xfId="0" applyFont="1" applyFill="1" applyBorder="1" applyAlignment="1">
      <alignment horizontal="center" vertical="top" wrapText="1"/>
    </xf>
    <xf numFmtId="0" fontId="8" fillId="8" borderId="3" xfId="0" applyFont="1" applyFill="1" applyBorder="1" applyAlignment="1">
      <alignment horizontal="center" vertical="top" wrapText="1"/>
    </xf>
    <xf numFmtId="166" fontId="8" fillId="8" borderId="3" xfId="0" applyNumberFormat="1" applyFont="1" applyFill="1" applyBorder="1" applyAlignment="1">
      <alignment horizontal="center"/>
    </xf>
    <xf numFmtId="0" fontId="11" fillId="8" borderId="6" xfId="0" applyFont="1" applyFill="1" applyBorder="1" applyAlignment="1">
      <alignment horizontal="center" vertical="top" wrapText="1"/>
    </xf>
    <xf numFmtId="0" fontId="8" fillId="8" borderId="6" xfId="0" applyFont="1" applyFill="1" applyBorder="1" applyAlignment="1">
      <alignment horizontal="center" vertical="top" wrapText="1"/>
    </xf>
    <xf numFmtId="0" fontId="11" fillId="8" borderId="1" xfId="0" applyFont="1" applyFill="1" applyBorder="1" applyAlignment="1">
      <alignment horizontal="center"/>
    </xf>
    <xf numFmtId="0" fontId="6" fillId="8" borderId="1" xfId="0" quotePrefix="1" applyFont="1" applyFill="1" applyBorder="1" applyAlignment="1">
      <alignment horizontal="center" vertical="top" wrapText="1"/>
    </xf>
    <xf numFmtId="0" fontId="8" fillId="0" borderId="1" xfId="0" applyFont="1" applyBorder="1" applyAlignment="1">
      <alignment horizontal="center" vertical="top" wrapText="1"/>
    </xf>
    <xf numFmtId="0" fontId="8" fillId="6" borderId="1" xfId="0" applyFont="1" applyFill="1" applyBorder="1" applyAlignment="1">
      <alignment horizontal="center" vertical="top" wrapText="1"/>
    </xf>
    <xf numFmtId="0" fontId="8" fillId="6" borderId="3" xfId="0" applyFont="1" applyFill="1" applyBorder="1" applyAlignment="1">
      <alignment horizontal="center" vertical="top" wrapText="1"/>
    </xf>
    <xf numFmtId="0" fontId="11" fillId="8" borderId="1" xfId="0" applyFont="1" applyFill="1" applyBorder="1" applyAlignment="1" applyProtection="1">
      <alignment horizontal="center" vertical="top" wrapText="1"/>
      <protection locked="0"/>
    </xf>
    <xf numFmtId="0" fontId="11" fillId="8" borderId="6" xfId="0" applyFont="1" applyFill="1" applyBorder="1" applyAlignment="1">
      <alignment horizontal="center"/>
    </xf>
    <xf numFmtId="0" fontId="8" fillId="8" borderId="6" xfId="0" applyFont="1" applyFill="1" applyBorder="1" applyAlignment="1">
      <alignment horizontal="center"/>
    </xf>
    <xf numFmtId="0" fontId="11" fillId="8" borderId="1" xfId="3" applyNumberFormat="1" applyFont="1" applyFill="1" applyBorder="1" applyAlignment="1">
      <alignment horizontal="center"/>
    </xf>
    <xf numFmtId="0" fontId="8" fillId="8" borderId="1" xfId="0" applyFont="1" applyFill="1" applyBorder="1" applyAlignment="1" applyProtection="1">
      <alignment horizontal="center" vertical="top" wrapText="1"/>
      <protection locked="0"/>
    </xf>
    <xf numFmtId="0" fontId="12" fillId="8" borderId="1" xfId="0" applyFont="1" applyFill="1" applyBorder="1" applyAlignment="1">
      <alignment horizontal="center" vertical="top" wrapText="1"/>
    </xf>
    <xf numFmtId="0" fontId="8" fillId="10" borderId="1" xfId="0" applyFont="1" applyFill="1" applyBorder="1" applyAlignment="1">
      <alignment horizontal="center" vertical="top" wrapText="1"/>
    </xf>
    <xf numFmtId="0" fontId="8" fillId="11" borderId="1" xfId="0" applyFont="1" applyFill="1" applyBorder="1" applyAlignment="1">
      <alignment horizontal="center" vertical="top" wrapText="1"/>
    </xf>
    <xf numFmtId="0" fontId="6" fillId="8" borderId="8" xfId="0" applyFont="1" applyFill="1" applyBorder="1" applyAlignment="1">
      <alignment horizontal="center"/>
    </xf>
    <xf numFmtId="0" fontId="10" fillId="8" borderId="2" xfId="0" applyFont="1" applyFill="1" applyBorder="1" applyAlignment="1">
      <alignment horizontal="center"/>
    </xf>
    <xf numFmtId="0" fontId="8" fillId="8" borderId="2" xfId="0" applyFont="1" applyFill="1" applyBorder="1" applyAlignment="1">
      <alignment horizontal="center" vertical="top" wrapText="1"/>
    </xf>
    <xf numFmtId="0" fontId="14" fillId="0" borderId="1" xfId="0" applyFont="1" applyBorder="1" applyAlignment="1">
      <alignment horizontal="center" vertical="top" wrapText="1"/>
    </xf>
    <xf numFmtId="0" fontId="15" fillId="8" borderId="1" xfId="0" applyFont="1" applyFill="1" applyBorder="1" applyAlignment="1">
      <alignment horizontal="center" vertical="top" wrapText="1"/>
    </xf>
    <xf numFmtId="0" fontId="6" fillId="8" borderId="7" xfId="0" quotePrefix="1" applyFont="1" applyFill="1" applyBorder="1" applyAlignment="1">
      <alignment horizontal="center"/>
    </xf>
    <xf numFmtId="0" fontId="11" fillId="8" borderId="5" xfId="0" applyFont="1" applyFill="1" applyBorder="1" applyAlignment="1">
      <alignment horizontal="center" vertical="top" wrapText="1"/>
    </xf>
    <xf numFmtId="0" fontId="8" fillId="8" borderId="5" xfId="0" applyFont="1" applyFill="1" applyBorder="1" applyAlignment="1">
      <alignment horizontal="center" vertical="top" wrapText="1"/>
    </xf>
    <xf numFmtId="0" fontId="16" fillId="8" borderId="1" xfId="0" applyFont="1" applyFill="1" applyBorder="1" applyAlignment="1">
      <alignment horizontal="center"/>
    </xf>
    <xf numFmtId="0" fontId="11" fillId="8" borderId="1" xfId="0" applyFont="1" applyFill="1" applyBorder="1" applyAlignment="1" applyProtection="1">
      <alignment horizontal="center" vertical="center" wrapText="1"/>
      <protection locked="0"/>
    </xf>
    <xf numFmtId="0" fontId="11" fillId="0" borderId="1" xfId="0" applyFont="1" applyBorder="1" applyAlignment="1">
      <alignment horizontal="center" vertical="center" wrapText="1"/>
    </xf>
    <xf numFmtId="1" fontId="4" fillId="8" borderId="1" xfId="1" applyNumberFormat="1" applyFont="1" applyFill="1" applyBorder="1" applyAlignment="1" applyProtection="1">
      <alignment horizontal="center" vertical="center" wrapText="1"/>
      <protection locked="0"/>
    </xf>
    <xf numFmtId="1" fontId="7" fillId="8" borderId="1" xfId="0" applyNumberFormat="1" applyFont="1" applyFill="1" applyBorder="1" applyAlignment="1" applyProtection="1">
      <alignment horizontal="center" vertical="center"/>
      <protection locked="0"/>
    </xf>
    <xf numFmtId="1" fontId="7" fillId="8" borderId="1" xfId="0" quotePrefix="1" applyNumberFormat="1" applyFont="1" applyFill="1" applyBorder="1" applyAlignment="1" applyProtection="1">
      <alignment horizontal="center" vertical="center"/>
      <protection locked="0"/>
    </xf>
    <xf numFmtId="0" fontId="8" fillId="12" borderId="1" xfId="0" applyFont="1" applyFill="1" applyBorder="1" applyAlignment="1">
      <alignment horizontal="center" vertical="top" wrapText="1"/>
    </xf>
    <xf numFmtId="0" fontId="11" fillId="8" borderId="6" xfId="0" quotePrefix="1" applyFont="1" applyFill="1" applyBorder="1" applyAlignment="1">
      <alignment horizontal="center" vertical="top" wrapText="1"/>
    </xf>
    <xf numFmtId="0" fontId="8" fillId="8" borderId="6" xfId="0" quotePrefix="1" applyFont="1" applyFill="1" applyBorder="1" applyAlignment="1">
      <alignment horizontal="center" vertical="top" wrapText="1"/>
    </xf>
    <xf numFmtId="0" fontId="8" fillId="8" borderId="1" xfId="0" quotePrefix="1" applyFont="1" applyFill="1" applyBorder="1" applyAlignment="1">
      <alignment horizontal="center" vertical="top" wrapText="1"/>
    </xf>
    <xf numFmtId="0" fontId="6" fillId="12" borderId="1" xfId="0" applyFont="1" applyFill="1" applyBorder="1" applyAlignment="1">
      <alignment horizontal="center" vertical="top" wrapText="1"/>
    </xf>
    <xf numFmtId="0" fontId="11" fillId="8" borderId="6" xfId="0" applyFont="1" applyFill="1" applyBorder="1" applyAlignment="1" applyProtection="1">
      <alignment horizontal="center" vertical="center" wrapText="1"/>
      <protection locked="0"/>
    </xf>
    <xf numFmtId="1" fontId="7" fillId="8" borderId="2" xfId="0" applyNumberFormat="1" applyFont="1" applyFill="1" applyBorder="1" applyAlignment="1" applyProtection="1">
      <alignment horizontal="center" vertical="center"/>
      <protection locked="0"/>
    </xf>
    <xf numFmtId="0" fontId="6" fillId="8" borderId="4" xfId="0" applyFont="1" applyFill="1" applyBorder="1" applyAlignment="1">
      <alignment horizontal="center" vertical="top" wrapText="1"/>
    </xf>
    <xf numFmtId="0" fontId="6" fillId="8" borderId="2" xfId="0" applyFont="1" applyFill="1" applyBorder="1" applyAlignment="1">
      <alignment horizontal="center" vertical="top" wrapText="1"/>
    </xf>
    <xf numFmtId="1" fontId="7" fillId="8" borderId="3" xfId="0" applyNumberFormat="1" applyFont="1" applyFill="1" applyBorder="1" applyAlignment="1" applyProtection="1">
      <alignment horizontal="center" vertical="center"/>
      <protection locked="0"/>
    </xf>
    <xf numFmtId="0" fontId="11" fillId="8" borderId="11" xfId="0" applyFont="1" applyFill="1" applyBorder="1" applyAlignment="1">
      <alignment horizontal="center" vertical="top" wrapText="1"/>
    </xf>
    <xf numFmtId="0" fontId="8" fillId="8" borderId="11" xfId="0" applyFont="1" applyFill="1" applyBorder="1" applyAlignment="1">
      <alignment horizontal="center" vertical="top" wrapText="1"/>
    </xf>
    <xf numFmtId="0" fontId="6" fillId="8" borderId="1" xfId="0" applyFont="1" applyFill="1" applyBorder="1" applyAlignment="1">
      <alignment horizontal="center"/>
    </xf>
    <xf numFmtId="166" fontId="8" fillId="8" borderId="1" xfId="0" applyNumberFormat="1" applyFont="1" applyFill="1" applyBorder="1" applyAlignment="1">
      <alignment horizontal="center"/>
    </xf>
    <xf numFmtId="166" fontId="8" fillId="8" borderId="2" xfId="0" applyNumberFormat="1" applyFont="1" applyFill="1" applyBorder="1" applyAlignment="1">
      <alignment horizontal="center"/>
    </xf>
    <xf numFmtId="0" fontId="8" fillId="12" borderId="2" xfId="0" applyFont="1" applyFill="1" applyBorder="1" applyAlignment="1">
      <alignment horizontal="center" vertical="top" wrapText="1"/>
    </xf>
    <xf numFmtId="0" fontId="8" fillId="8" borderId="4" xfId="0" applyFont="1" applyFill="1" applyBorder="1" applyAlignment="1">
      <alignment horizontal="center" vertical="top" wrapText="1"/>
    </xf>
    <xf numFmtId="0" fontId="6" fillId="8" borderId="9" xfId="0" applyFont="1" applyFill="1" applyBorder="1" applyAlignment="1">
      <alignment horizontal="center"/>
    </xf>
    <xf numFmtId="0" fontId="10" fillId="8" borderId="10" xfId="0" applyFont="1" applyFill="1" applyBorder="1" applyAlignment="1">
      <alignment horizontal="center"/>
    </xf>
    <xf numFmtId="0" fontId="8" fillId="8" borderId="10" xfId="0" applyFont="1" applyFill="1" applyBorder="1" applyAlignment="1">
      <alignment horizontal="center" vertical="top" wrapText="1"/>
    </xf>
    <xf numFmtId="1" fontId="7" fillId="0" borderId="1" xfId="0" applyNumberFormat="1" applyFont="1" applyBorder="1" applyAlignment="1" applyProtection="1">
      <alignment horizontal="center" vertical="center" wrapText="1"/>
      <protection locked="0"/>
    </xf>
    <xf numFmtId="0" fontId="8" fillId="10" borderId="2" xfId="0" applyFont="1" applyFill="1" applyBorder="1" applyAlignment="1">
      <alignment horizontal="center" vertical="top" wrapText="1"/>
    </xf>
    <xf numFmtId="0" fontId="11" fillId="8" borderId="5" xfId="0" applyFont="1" applyFill="1" applyBorder="1" applyAlignment="1">
      <alignment horizontal="center"/>
    </xf>
    <xf numFmtId="0" fontId="8" fillId="8" borderId="5" xfId="0" applyFont="1" applyFill="1" applyBorder="1" applyAlignment="1">
      <alignment horizontal="center"/>
    </xf>
    <xf numFmtId="0" fontId="8" fillId="8" borderId="2" xfId="0" applyFont="1" applyFill="1" applyBorder="1" applyAlignment="1">
      <alignment horizontal="center"/>
    </xf>
    <xf numFmtId="0" fontId="8" fillId="8" borderId="2" xfId="0" applyFont="1" applyFill="1" applyBorder="1" applyAlignment="1" applyProtection="1">
      <alignment horizontal="center" vertical="top" wrapText="1"/>
      <protection locked="0"/>
    </xf>
    <xf numFmtId="0" fontId="19" fillId="0" borderId="1" xfId="0" applyFont="1" applyBorder="1" applyAlignment="1">
      <alignment horizontal="center" vertical="top" wrapText="1"/>
    </xf>
    <xf numFmtId="0" fontId="8" fillId="11" borderId="2" xfId="0" applyFont="1" applyFill="1" applyBorder="1" applyAlignment="1">
      <alignment horizontal="center" vertical="top" wrapText="1"/>
    </xf>
    <xf numFmtId="0" fontId="19" fillId="8" borderId="1" xfId="0" quotePrefix="1" applyFont="1" applyFill="1" applyBorder="1" applyAlignment="1">
      <alignment horizontal="center" vertical="top" wrapText="1"/>
    </xf>
    <xf numFmtId="0" fontId="11" fillId="0" borderId="5" xfId="0" applyFont="1" applyBorder="1" applyAlignment="1">
      <alignment horizontal="center" vertical="top" wrapText="1"/>
    </xf>
    <xf numFmtId="0" fontId="8" fillId="0" borderId="5" xfId="0" applyFont="1" applyBorder="1" applyAlignment="1">
      <alignment horizontal="center" vertical="top" wrapText="1"/>
    </xf>
    <xf numFmtId="0" fontId="11" fillId="8" borderId="2" xfId="0" applyFont="1" applyFill="1" applyBorder="1" applyAlignment="1" applyProtection="1">
      <alignment horizontal="center" vertical="top" wrapText="1"/>
      <protection locked="0"/>
    </xf>
    <xf numFmtId="0" fontId="11" fillId="8" borderId="2" xfId="3" applyNumberFormat="1" applyFont="1" applyFill="1" applyBorder="1" applyAlignment="1">
      <alignment horizontal="center"/>
    </xf>
    <xf numFmtId="0" fontId="19" fillId="8" borderId="1" xfId="0" applyFont="1" applyFill="1" applyBorder="1" applyAlignment="1">
      <alignment horizontal="center" vertical="top" wrapText="1"/>
    </xf>
    <xf numFmtId="0" fontId="6" fillId="12" borderId="7" xfId="0" applyFont="1" applyFill="1" applyBorder="1" applyAlignment="1">
      <alignment horizontal="center"/>
    </xf>
    <xf numFmtId="0" fontId="10" fillId="12" borderId="1" xfId="0" applyFont="1" applyFill="1" applyBorder="1" applyAlignment="1">
      <alignment horizontal="center"/>
    </xf>
    <xf numFmtId="0" fontId="6" fillId="12" borderId="3" xfId="0" applyFont="1" applyFill="1" applyBorder="1" applyAlignment="1">
      <alignment horizontal="center" vertical="top" wrapText="1"/>
    </xf>
    <xf numFmtId="166" fontId="8" fillId="12" borderId="3" xfId="0" applyNumberFormat="1" applyFont="1" applyFill="1" applyBorder="1" applyAlignment="1">
      <alignment horizontal="center"/>
    </xf>
    <xf numFmtId="0" fontId="11" fillId="12" borderId="6" xfId="0" applyFont="1" applyFill="1" applyBorder="1" applyAlignment="1">
      <alignment horizontal="center" vertical="top" wrapText="1"/>
    </xf>
    <xf numFmtId="0" fontId="8" fillId="12" borderId="6" xfId="0" applyFont="1" applyFill="1" applyBorder="1" applyAlignment="1">
      <alignment horizontal="center" vertical="top" wrapText="1"/>
    </xf>
    <xf numFmtId="0" fontId="11" fillId="12" borderId="1" xfId="0" applyFont="1" applyFill="1" applyBorder="1" applyAlignment="1">
      <alignment horizontal="center"/>
    </xf>
    <xf numFmtId="0" fontId="8" fillId="9" borderId="1" xfId="0" applyFont="1" applyFill="1" applyBorder="1" applyAlignment="1">
      <alignment horizontal="center" vertical="top" wrapText="1"/>
    </xf>
    <xf numFmtId="0" fontId="19" fillId="9" borderId="2" xfId="0" applyFont="1" applyFill="1" applyBorder="1" applyAlignment="1">
      <alignment horizontal="center" vertical="top" wrapText="1"/>
    </xf>
    <xf numFmtId="0" fontId="19" fillId="8" borderId="2" xfId="0" applyFont="1" applyFill="1" applyBorder="1" applyAlignment="1">
      <alignment horizontal="center" vertical="top" wrapText="1"/>
    </xf>
    <xf numFmtId="0" fontId="11" fillId="8" borderId="2" xfId="0" applyFont="1" applyFill="1" applyBorder="1" applyAlignment="1">
      <alignment horizontal="center"/>
    </xf>
    <xf numFmtId="3" fontId="20" fillId="0" borderId="1" xfId="0" applyNumberFormat="1" applyFont="1" applyBorder="1" applyAlignment="1">
      <alignment horizontal="center" vertical="center" wrapText="1"/>
    </xf>
    <xf numFmtId="0" fontId="7" fillId="8" borderId="2" xfId="0" applyFont="1" applyFill="1" applyBorder="1" applyAlignment="1" applyProtection="1">
      <alignment horizontal="center" vertical="center" wrapText="1"/>
      <protection locked="0"/>
    </xf>
    <xf numFmtId="0" fontId="6" fillId="8" borderId="2" xfId="0" applyFont="1" applyFill="1" applyBorder="1" applyAlignment="1">
      <alignment horizontal="center"/>
    </xf>
    <xf numFmtId="0" fontId="8" fillId="8" borderId="2" xfId="3" applyNumberFormat="1" applyFont="1" applyFill="1" applyBorder="1" applyAlignment="1">
      <alignment horizontal="center"/>
    </xf>
    <xf numFmtId="0" fontId="12" fillId="8" borderId="2" xfId="0" applyFont="1" applyFill="1" applyBorder="1" applyAlignment="1">
      <alignment horizontal="center" vertical="top" wrapText="1"/>
    </xf>
    <xf numFmtId="0" fontId="8" fillId="9" borderId="2" xfId="0" applyFont="1" applyFill="1" applyBorder="1" applyAlignment="1">
      <alignment horizontal="center" vertical="top" wrapText="1"/>
    </xf>
    <xf numFmtId="1" fontId="7" fillId="8" borderId="2" xfId="1" applyNumberFormat="1" applyFont="1" applyFill="1" applyBorder="1" applyAlignment="1" applyProtection="1">
      <alignment horizontal="center" vertical="center" wrapText="1"/>
      <protection locked="0"/>
    </xf>
    <xf numFmtId="166" fontId="8" fillId="6" borderId="3" xfId="0" applyNumberFormat="1" applyFont="1" applyFill="1" applyBorder="1" applyAlignment="1">
      <alignment horizontal="center"/>
    </xf>
    <xf numFmtId="0" fontId="19" fillId="6" borderId="2" xfId="0" applyFont="1" applyFill="1" applyBorder="1" applyAlignment="1">
      <alignment horizontal="center" vertical="top" wrapText="1"/>
    </xf>
    <xf numFmtId="0" fontId="19" fillId="6" borderId="4" xfId="0" applyFont="1" applyFill="1" applyBorder="1" applyAlignment="1">
      <alignment horizontal="center" vertical="top" wrapText="1"/>
    </xf>
    <xf numFmtId="0" fontId="7" fillId="8" borderId="5" xfId="0" applyFont="1" applyFill="1" applyBorder="1" applyAlignment="1" applyProtection="1">
      <alignment horizontal="center" vertical="center" wrapText="1"/>
      <protection locked="0"/>
    </xf>
    <xf numFmtId="0" fontId="11" fillId="0" borderId="6" xfId="0" applyFont="1" applyBorder="1" applyAlignment="1">
      <alignment horizontal="center" vertical="center" wrapText="1"/>
    </xf>
    <xf numFmtId="0" fontId="7" fillId="0" borderId="5" xfId="0" applyFont="1" applyBorder="1" applyAlignment="1">
      <alignment horizontal="center" vertical="center" wrapText="1"/>
    </xf>
    <xf numFmtId="0" fontId="11" fillId="8" borderId="2" xfId="3" applyNumberFormat="1" applyFont="1" applyFill="1" applyBorder="1" applyAlignment="1" applyProtection="1">
      <alignment horizontal="center" vertical="top" wrapText="1"/>
      <protection locked="0"/>
    </xf>
    <xf numFmtId="0" fontId="15" fillId="8" borderId="2" xfId="0" applyFont="1" applyFill="1" applyBorder="1" applyAlignment="1">
      <alignment horizontal="center" vertical="top" wrapText="1"/>
    </xf>
    <xf numFmtId="0" fontId="8" fillId="8" borderId="7" xfId="0" applyFont="1" applyFill="1" applyBorder="1" applyAlignment="1">
      <alignment horizontal="center"/>
    </xf>
    <xf numFmtId="1" fontId="7" fillId="0" borderId="1" xfId="0" applyNumberFormat="1" applyFont="1" applyBorder="1" applyAlignment="1" applyProtection="1">
      <alignment horizontal="center" vertical="center"/>
      <protection locked="0"/>
    </xf>
    <xf numFmtId="1" fontId="7" fillId="0" borderId="2" xfId="0" applyNumberFormat="1" applyFont="1" applyBorder="1" applyAlignment="1" applyProtection="1">
      <alignment horizontal="center" vertical="center"/>
      <protection locked="0"/>
    </xf>
    <xf numFmtId="0" fontId="11" fillId="0" borderId="11" xfId="0" applyFont="1" applyBorder="1" applyAlignment="1">
      <alignment horizontal="center" vertical="top" wrapText="1"/>
    </xf>
    <xf numFmtId="0" fontId="8" fillId="0" borderId="12" xfId="0" applyFont="1" applyBorder="1" applyAlignment="1">
      <alignment horizontal="center" vertical="top" wrapText="1"/>
    </xf>
    <xf numFmtId="0" fontId="8" fillId="0" borderId="4" xfId="0" applyFont="1" applyBorder="1" applyAlignment="1">
      <alignment horizontal="center" vertical="top" wrapText="1"/>
    </xf>
    <xf numFmtId="0" fontId="6" fillId="8" borderId="2" xfId="0" applyFont="1" applyFill="1" applyBorder="1" applyAlignment="1" applyProtection="1">
      <alignment horizontal="center" vertical="top" wrapText="1"/>
      <protection locked="0"/>
    </xf>
    <xf numFmtId="0" fontId="8" fillId="8" borderId="8" xfId="0" applyFont="1" applyFill="1" applyBorder="1" applyAlignment="1">
      <alignment horizontal="center"/>
    </xf>
    <xf numFmtId="166" fontId="8" fillId="8" borderId="1" xfId="0" applyNumberFormat="1" applyFont="1" applyFill="1" applyBorder="1" applyAlignment="1">
      <alignment horizontal="center" vertical="top" wrapText="1"/>
    </xf>
    <xf numFmtId="166" fontId="8" fillId="8" borderId="4" xfId="0" applyNumberFormat="1" applyFont="1" applyFill="1" applyBorder="1" applyAlignment="1">
      <alignment horizontal="center"/>
    </xf>
    <xf numFmtId="0" fontId="11" fillId="8" borderId="2" xfId="0" quotePrefix="1" applyFont="1" applyFill="1" applyBorder="1" applyAlignment="1" applyProtection="1">
      <alignment horizontal="center" vertical="top" wrapText="1"/>
      <protection locked="0"/>
    </xf>
    <xf numFmtId="0" fontId="11" fillId="0" borderId="6" xfId="0" applyFont="1" applyBorder="1" applyAlignment="1">
      <alignment horizontal="center" vertical="top" wrapText="1"/>
    </xf>
    <xf numFmtId="0" fontId="8" fillId="0" borderId="6" xfId="0" applyFont="1" applyBorder="1" applyAlignment="1">
      <alignment horizontal="center" vertical="top" wrapText="1"/>
    </xf>
    <xf numFmtId="0" fontId="8" fillId="15" borderId="2" xfId="0" applyFont="1" applyFill="1" applyBorder="1" applyAlignment="1">
      <alignment horizontal="center" vertical="top" wrapText="1"/>
    </xf>
    <xf numFmtId="0" fontId="8" fillId="8" borderId="3" xfId="0" applyFont="1" applyFill="1" applyBorder="1" applyAlignment="1">
      <alignment horizontal="center"/>
    </xf>
    <xf numFmtId="0" fontId="8" fillId="15" borderId="1" xfId="0" applyFont="1" applyFill="1" applyBorder="1" applyAlignment="1">
      <alignment horizontal="center" vertical="top" wrapText="1"/>
    </xf>
    <xf numFmtId="0" fontId="19" fillId="8" borderId="7" xfId="0" applyFont="1" applyFill="1" applyBorder="1" applyAlignment="1">
      <alignment horizontal="center"/>
    </xf>
    <xf numFmtId="0" fontId="19" fillId="8" borderId="3" xfId="0" applyFont="1" applyFill="1" applyBorder="1" applyAlignment="1">
      <alignment horizontal="center" vertical="top" wrapText="1"/>
    </xf>
    <xf numFmtId="166" fontId="19" fillId="8" borderId="3" xfId="0" applyNumberFormat="1" applyFont="1" applyFill="1" applyBorder="1" applyAlignment="1">
      <alignment horizontal="center"/>
    </xf>
    <xf numFmtId="0" fontId="16" fillId="8" borderId="1" xfId="3" applyNumberFormat="1" applyFont="1" applyFill="1" applyBorder="1" applyAlignment="1">
      <alignment horizontal="center"/>
    </xf>
    <xf numFmtId="0" fontId="19" fillId="8" borderId="1" xfId="0" applyFont="1" applyFill="1" applyBorder="1" applyAlignment="1" applyProtection="1">
      <alignment horizontal="center" vertical="top" wrapText="1"/>
      <protection locked="0"/>
    </xf>
    <xf numFmtId="0" fontId="19" fillId="8" borderId="1" xfId="0" applyFont="1" applyFill="1" applyBorder="1" applyAlignment="1">
      <alignment horizontal="center"/>
    </xf>
    <xf numFmtId="0" fontId="11" fillId="8" borderId="3" xfId="3" applyNumberFormat="1" applyFont="1" applyFill="1" applyBorder="1" applyAlignment="1">
      <alignment horizontal="center"/>
    </xf>
    <xf numFmtId="0" fontId="11" fillId="8" borderId="3" xfId="0" applyFont="1" applyFill="1" applyBorder="1" applyAlignment="1" applyProtection="1">
      <alignment horizontal="center" vertical="top" wrapText="1"/>
      <protection locked="0"/>
    </xf>
    <xf numFmtId="0" fontId="8" fillId="9" borderId="8" xfId="0" applyFont="1" applyFill="1" applyBorder="1" applyAlignment="1">
      <alignment horizontal="center"/>
    </xf>
    <xf numFmtId="0" fontId="8" fillId="9" borderId="3" xfId="0" applyFont="1" applyFill="1" applyBorder="1" applyAlignment="1">
      <alignment horizontal="center" vertical="top" wrapText="1"/>
    </xf>
    <xf numFmtId="166" fontId="8" fillId="9" borderId="3" xfId="0" applyNumberFormat="1" applyFont="1" applyFill="1" applyBorder="1" applyAlignment="1">
      <alignment horizontal="center"/>
    </xf>
    <xf numFmtId="0" fontId="11" fillId="9" borderId="2" xfId="3" applyNumberFormat="1" applyFont="1" applyFill="1" applyBorder="1" applyAlignment="1">
      <alignment horizontal="center"/>
    </xf>
    <xf numFmtId="0" fontId="8" fillId="9" borderId="2" xfId="0" applyFont="1" applyFill="1" applyBorder="1" applyAlignment="1" applyProtection="1">
      <alignment horizontal="center" vertical="top" wrapText="1"/>
      <protection locked="0"/>
    </xf>
    <xf numFmtId="0" fontId="8" fillId="9" borderId="1" xfId="0" applyFont="1" applyFill="1" applyBorder="1" applyAlignment="1">
      <alignment horizontal="center"/>
    </xf>
    <xf numFmtId="0" fontId="19" fillId="9" borderId="1" xfId="0" applyFont="1" applyFill="1" applyBorder="1" applyAlignment="1">
      <alignment horizontal="center" vertical="top" wrapText="1"/>
    </xf>
    <xf numFmtId="0" fontId="11" fillId="9" borderId="1" xfId="3" applyNumberFormat="1" applyFont="1" applyFill="1" applyBorder="1" applyAlignment="1">
      <alignment horizontal="center"/>
    </xf>
    <xf numFmtId="0" fontId="8" fillId="9" borderId="1" xfId="0" applyFont="1" applyFill="1" applyBorder="1" applyAlignment="1" applyProtection="1">
      <alignment horizontal="center" vertical="top" wrapText="1"/>
      <protection locked="0"/>
    </xf>
    <xf numFmtId="1" fontId="7" fillId="8" borderId="0" xfId="1" applyNumberFormat="1" applyFont="1" applyFill="1" applyBorder="1" applyAlignment="1" applyProtection="1">
      <alignment horizontal="center" vertical="center"/>
      <protection locked="0"/>
    </xf>
    <xf numFmtId="0" fontId="21" fillId="0" borderId="1" xfId="0" applyFont="1" applyBorder="1" applyAlignment="1">
      <alignment horizontal="center" vertical="top" wrapText="1"/>
    </xf>
    <xf numFmtId="0" fontId="8" fillId="8" borderId="0" xfId="0" applyFont="1" applyFill="1" applyAlignment="1">
      <alignment horizontal="center"/>
    </xf>
    <xf numFmtId="0" fontId="11" fillId="0" borderId="1" xfId="0" applyFont="1" applyBorder="1" applyAlignment="1" applyProtection="1">
      <alignment horizontal="center" vertical="center" wrapText="1"/>
      <protection locked="0"/>
    </xf>
    <xf numFmtId="0" fontId="8" fillId="0" borderId="7" xfId="0" applyFont="1" applyBorder="1" applyAlignment="1">
      <alignment horizontal="center"/>
    </xf>
    <xf numFmtId="0" fontId="6" fillId="0" borderId="1" xfId="1" applyNumberFormat="1" applyFont="1" applyFill="1" applyBorder="1" applyAlignment="1">
      <alignment horizontal="center" vertical="top" wrapText="1"/>
    </xf>
    <xf numFmtId="0" fontId="6" fillId="0" borderId="3" xfId="0" applyFont="1" applyBorder="1" applyAlignment="1">
      <alignment horizontal="center" vertical="top" wrapText="1"/>
    </xf>
    <xf numFmtId="0" fontId="6" fillId="0" borderId="1" xfId="0" applyFont="1" applyBorder="1" applyAlignment="1">
      <alignment horizontal="center" vertical="top" wrapText="1"/>
    </xf>
    <xf numFmtId="0" fontId="11" fillId="0" borderId="1" xfId="0" applyFont="1" applyBorder="1" applyAlignment="1">
      <alignment horizontal="center" vertical="center"/>
    </xf>
    <xf numFmtId="0" fontId="8" fillId="0" borderId="3" xfId="0" applyFont="1" applyBorder="1" applyAlignment="1">
      <alignment horizontal="center" vertical="top" wrapText="1"/>
    </xf>
    <xf numFmtId="0" fontId="8" fillId="0" borderId="1" xfId="0" applyFont="1" applyBorder="1" applyAlignment="1">
      <alignment horizontal="center" vertical="center"/>
    </xf>
    <xf numFmtId="0" fontId="3" fillId="0" borderId="3" xfId="0" applyFont="1" applyBorder="1" applyAlignment="1">
      <alignment horizontal="center" vertical="center"/>
    </xf>
    <xf numFmtId="166" fontId="8" fillId="0" borderId="3" xfId="0" applyNumberFormat="1" applyFont="1" applyBorder="1" applyAlignment="1">
      <alignment horizontal="center"/>
    </xf>
    <xf numFmtId="0" fontId="11" fillId="0" borderId="1" xfId="3" applyNumberFormat="1" applyFont="1" applyFill="1" applyBorder="1" applyAlignment="1">
      <alignment horizontal="center"/>
    </xf>
    <xf numFmtId="0" fontId="8" fillId="6" borderId="2" xfId="0" applyFont="1" applyFill="1" applyBorder="1" applyAlignment="1">
      <alignment horizontal="center" vertical="top" wrapText="1"/>
    </xf>
    <xf numFmtId="0" fontId="8" fillId="6" borderId="4" xfId="0" applyFont="1" applyFill="1" applyBorder="1" applyAlignment="1">
      <alignment horizontal="center" vertical="top" wrapText="1"/>
    </xf>
    <xf numFmtId="0" fontId="8" fillId="12" borderId="8" xfId="0" applyFont="1" applyFill="1" applyBorder="1" applyAlignment="1">
      <alignment horizontal="center"/>
    </xf>
    <xf numFmtId="0" fontId="8" fillId="0" borderId="1" xfId="0" applyFont="1" applyBorder="1" applyAlignment="1" applyProtection="1">
      <alignment horizontal="center" vertical="top" wrapText="1"/>
      <protection locked="0"/>
    </xf>
    <xf numFmtId="0" fontId="11" fillId="8" borderId="1" xfId="3" applyNumberFormat="1" applyFont="1" applyFill="1" applyBorder="1" applyAlignment="1" applyProtection="1">
      <alignment horizontal="center" vertical="top" wrapText="1"/>
      <protection locked="0"/>
    </xf>
    <xf numFmtId="9" fontId="11" fillId="8" borderId="2" xfId="3" applyFont="1" applyFill="1" applyBorder="1" applyAlignment="1">
      <alignment horizontal="center"/>
    </xf>
    <xf numFmtId="0" fontId="7" fillId="8" borderId="8" xfId="0" applyFont="1" applyFill="1" applyBorder="1" applyAlignment="1">
      <alignment horizontal="center" vertical="center"/>
    </xf>
    <xf numFmtId="0" fontId="7" fillId="14" borderId="3"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12" xfId="0" applyFont="1" applyFill="1" applyBorder="1" applyAlignment="1">
      <alignment horizontal="center" vertical="top" wrapText="1"/>
    </xf>
    <xf numFmtId="0" fontId="8" fillId="12" borderId="5" xfId="0" applyFont="1" applyFill="1" applyBorder="1" applyAlignment="1">
      <alignment horizontal="center"/>
    </xf>
    <xf numFmtId="0" fontId="7" fillId="8" borderId="1" xfId="0" applyFont="1" applyFill="1" applyBorder="1" applyAlignment="1">
      <alignment horizontal="center"/>
    </xf>
    <xf numFmtId="0" fontId="7" fillId="8" borderId="3" xfId="0" applyFont="1" applyFill="1" applyBorder="1" applyAlignment="1">
      <alignment horizontal="center" vertical="top" wrapText="1"/>
    </xf>
    <xf numFmtId="0" fontId="7" fillId="8" borderId="1" xfId="0" applyFont="1" applyFill="1" applyBorder="1" applyAlignment="1">
      <alignment horizontal="center" vertical="top" wrapText="1"/>
    </xf>
    <xf numFmtId="0" fontId="7" fillId="6" borderId="1" xfId="0" applyFont="1" applyFill="1" applyBorder="1" applyAlignment="1">
      <alignment horizontal="center" vertical="top" wrapText="1"/>
    </xf>
    <xf numFmtId="14" fontId="7" fillId="6" borderId="3" xfId="0" applyNumberFormat="1" applyFont="1" applyFill="1" applyBorder="1" applyAlignment="1">
      <alignment horizontal="center" vertical="top" wrapText="1"/>
    </xf>
    <xf numFmtId="166" fontId="7" fillId="8" borderId="3" xfId="0" applyNumberFormat="1" applyFont="1" applyFill="1" applyBorder="1" applyAlignment="1">
      <alignment horizontal="center"/>
    </xf>
    <xf numFmtId="0" fontId="7" fillId="8" borderId="1" xfId="3" applyNumberFormat="1" applyFont="1" applyFill="1" applyBorder="1" applyAlignment="1">
      <alignment horizontal="center"/>
    </xf>
    <xf numFmtId="0" fontId="7" fillId="8" borderId="1" xfId="0" applyFont="1" applyFill="1" applyBorder="1" applyAlignment="1" applyProtection="1">
      <alignment horizontal="center" vertical="top" wrapText="1"/>
      <protection locked="0"/>
    </xf>
    <xf numFmtId="0" fontId="21" fillId="0" borderId="2" xfId="0" applyFont="1" applyBorder="1" applyAlignment="1">
      <alignment horizontal="center" vertical="top" wrapText="1"/>
    </xf>
    <xf numFmtId="0" fontId="8" fillId="8" borderId="9" xfId="0" applyFont="1" applyFill="1" applyBorder="1" applyAlignment="1">
      <alignment horizontal="center"/>
    </xf>
    <xf numFmtId="0" fontId="11" fillId="8" borderId="10" xfId="3" applyNumberFormat="1" applyFont="1" applyFill="1" applyBorder="1" applyAlignment="1">
      <alignment horizontal="center"/>
    </xf>
    <xf numFmtId="10" fontId="7" fillId="8" borderId="1" xfId="3" applyNumberFormat="1" applyFont="1" applyFill="1" applyBorder="1" applyAlignment="1">
      <alignment horizontal="center" vertical="center"/>
    </xf>
    <xf numFmtId="0" fontId="8" fillId="8" borderId="1" xfId="0" applyFont="1" applyFill="1" applyBorder="1" applyAlignment="1">
      <alignment horizontal="center" vertical="center" wrapText="1"/>
    </xf>
    <xf numFmtId="0" fontId="8" fillId="12" borderId="7" xfId="0" applyFont="1" applyFill="1" applyBorder="1" applyAlignment="1">
      <alignment horizontal="center"/>
    </xf>
    <xf numFmtId="166" fontId="8" fillId="6" borderId="1" xfId="0" applyNumberFormat="1" applyFont="1" applyFill="1" applyBorder="1" applyAlignment="1">
      <alignment horizontal="center"/>
    </xf>
    <xf numFmtId="1" fontId="4" fillId="8" borderId="1" xfId="1" applyNumberFormat="1" applyFont="1" applyFill="1" applyBorder="1" applyAlignment="1" applyProtection="1">
      <alignment horizontal="center" vertical="center"/>
      <protection locked="0"/>
    </xf>
    <xf numFmtId="0" fontId="8" fillId="8" borderId="0" xfId="0" applyFont="1" applyFill="1" applyAlignment="1">
      <alignment horizontal="center" vertical="top" wrapText="1"/>
    </xf>
    <xf numFmtId="0" fontId="8" fillId="15" borderId="2" xfId="0" applyFont="1" applyFill="1" applyBorder="1" applyAlignment="1">
      <alignment horizontal="center"/>
    </xf>
    <xf numFmtId="0" fontId="7" fillId="8" borderId="7" xfId="0" applyFont="1" applyFill="1" applyBorder="1" applyAlignment="1">
      <alignment horizontal="center" vertical="center"/>
    </xf>
    <xf numFmtId="0" fontId="7" fillId="12" borderId="1" xfId="0" applyFont="1" applyFill="1" applyBorder="1" applyAlignment="1">
      <alignment horizontal="center" vertical="center" wrapText="1"/>
    </xf>
    <xf numFmtId="0" fontId="0" fillId="0" borderId="3" xfId="0" applyBorder="1" applyAlignment="1">
      <alignment horizontal="center"/>
    </xf>
    <xf numFmtId="0" fontId="7" fillId="23" borderId="11" xfId="0" applyFont="1" applyFill="1" applyBorder="1" applyAlignment="1">
      <alignment horizontal="center" vertical="center" wrapText="1"/>
    </xf>
    <xf numFmtId="0" fontId="11" fillId="8" borderId="11" xfId="0" applyFont="1" applyFill="1" applyBorder="1" applyAlignment="1" applyProtection="1">
      <alignment horizontal="center" vertical="center" wrapText="1"/>
      <protection locked="0"/>
    </xf>
    <xf numFmtId="0" fontId="7" fillId="8" borderId="11" xfId="0" applyFont="1" applyFill="1" applyBorder="1" applyAlignment="1" applyProtection="1">
      <alignment horizontal="center" vertical="center" wrapText="1"/>
      <protection locked="0"/>
    </xf>
    <xf numFmtId="0" fontId="7" fillId="8" borderId="6" xfId="0" applyFont="1" applyFill="1" applyBorder="1" applyAlignment="1">
      <alignment horizontal="center" vertical="center"/>
    </xf>
    <xf numFmtId="10" fontId="7" fillId="8" borderId="1" xfId="0" applyNumberFormat="1" applyFont="1" applyFill="1" applyBorder="1" applyAlignment="1">
      <alignment horizontal="center" vertical="center" wrapText="1"/>
    </xf>
    <xf numFmtId="0" fontId="9" fillId="8" borderId="7" xfId="0" applyFont="1" applyFill="1" applyBorder="1" applyAlignment="1">
      <alignment horizontal="center" vertical="center"/>
    </xf>
    <xf numFmtId="0" fontId="9" fillId="14" borderId="3"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0" fontId="9" fillId="8" borderId="8" xfId="0" applyFont="1" applyFill="1" applyBorder="1" applyAlignment="1">
      <alignment horizontal="center" vertical="center"/>
    </xf>
    <xf numFmtId="0" fontId="7" fillId="8" borderId="3" xfId="0" applyFont="1" applyFill="1" applyBorder="1" applyAlignment="1">
      <alignment horizontal="center" vertical="center"/>
    </xf>
    <xf numFmtId="10" fontId="7" fillId="8" borderId="2" xfId="0" applyNumberFormat="1" applyFont="1" applyFill="1" applyBorder="1" applyAlignment="1">
      <alignment horizontal="center" vertical="center" wrapText="1"/>
    </xf>
    <xf numFmtId="0" fontId="7" fillId="14" borderId="2" xfId="0" applyFont="1" applyFill="1" applyBorder="1" applyAlignment="1">
      <alignment horizontal="center" vertical="center" wrapText="1"/>
    </xf>
    <xf numFmtId="0" fontId="7" fillId="12" borderId="1" xfId="0" applyFont="1" applyFill="1" applyBorder="1" applyAlignment="1">
      <alignment horizontal="center" vertical="center"/>
    </xf>
    <xf numFmtId="0" fontId="7" fillId="8" borderId="5" xfId="0" applyFont="1" applyFill="1" applyBorder="1" applyAlignment="1">
      <alignment horizontal="center" vertical="center"/>
    </xf>
    <xf numFmtId="10" fontId="7" fillId="8" borderId="2" xfId="3" applyNumberFormat="1" applyFont="1" applyFill="1" applyBorder="1" applyAlignment="1">
      <alignment horizontal="center" vertical="center"/>
    </xf>
    <xf numFmtId="0" fontId="7" fillId="12" borderId="8" xfId="0" applyFont="1" applyFill="1" applyBorder="1" applyAlignment="1">
      <alignment horizontal="center" vertical="center"/>
    </xf>
    <xf numFmtId="0" fontId="22" fillId="8" borderId="1" xfId="1" applyNumberFormat="1" applyFont="1" applyFill="1" applyBorder="1" applyAlignment="1">
      <alignment horizontal="center" vertical="center"/>
    </xf>
    <xf numFmtId="0" fontId="22" fillId="6" borderId="1" xfId="0" applyFont="1" applyFill="1" applyBorder="1" applyAlignment="1">
      <alignment horizontal="center" vertical="center" wrapText="1"/>
    </xf>
    <xf numFmtId="0" fontId="22" fillId="6" borderId="3" xfId="0" applyFont="1" applyFill="1" applyBorder="1" applyAlignment="1">
      <alignment horizontal="center" vertical="center" wrapText="1"/>
    </xf>
    <xf numFmtId="0" fontId="19" fillId="8" borderId="1" xfId="0" applyFont="1" applyFill="1" applyBorder="1" applyAlignment="1">
      <alignment horizontal="center" vertical="center" wrapText="1"/>
    </xf>
    <xf numFmtId="0" fontId="7" fillId="12" borderId="5" xfId="0" applyFont="1" applyFill="1" applyBorder="1" applyAlignment="1">
      <alignment horizontal="center" vertical="center"/>
    </xf>
    <xf numFmtId="166" fontId="8" fillId="0" borderId="1" xfId="0" applyNumberFormat="1" applyFont="1" applyBorder="1" applyAlignment="1">
      <alignment horizontal="center"/>
    </xf>
    <xf numFmtId="0" fontId="7" fillId="8" borderId="0" xfId="0" applyFont="1" applyFill="1" applyAlignment="1">
      <alignment horizontal="center" vertical="center" wrapText="1"/>
    </xf>
    <xf numFmtId="0" fontId="7" fillId="0" borderId="0" xfId="0" applyFont="1" applyAlignment="1">
      <alignment horizontal="center" vertical="center" wrapText="1"/>
    </xf>
    <xf numFmtId="0" fontId="8" fillId="12" borderId="1" xfId="0" applyFont="1" applyFill="1" applyBorder="1" applyAlignment="1">
      <alignment horizontal="center"/>
    </xf>
    <xf numFmtId="0" fontId="7" fillId="0" borderId="7" xfId="0" applyFont="1" applyBorder="1" applyAlignment="1">
      <alignment horizontal="center" vertical="center"/>
    </xf>
    <xf numFmtId="166" fontId="7" fillId="0" borderId="1" xfId="0" applyNumberFormat="1" applyFont="1" applyBorder="1" applyAlignment="1">
      <alignment horizontal="center" vertical="center"/>
    </xf>
    <xf numFmtId="166" fontId="7" fillId="0" borderId="3" xfId="0" applyNumberFormat="1" applyFont="1" applyBorder="1" applyAlignment="1">
      <alignment horizontal="center" vertical="center"/>
    </xf>
    <xf numFmtId="0" fontId="11" fillId="8" borderId="6" xfId="0" applyFont="1" applyFill="1" applyBorder="1" applyAlignment="1">
      <alignment horizontal="center" vertical="center" wrapText="1"/>
    </xf>
    <xf numFmtId="0" fontId="7" fillId="8" borderId="6" xfId="0" applyFont="1" applyFill="1" applyBorder="1" applyAlignment="1">
      <alignment horizontal="center" vertical="center" wrapText="1"/>
    </xf>
    <xf numFmtId="10" fontId="7" fillId="0" borderId="1" xfId="0" applyNumberFormat="1" applyFont="1" applyBorder="1" applyAlignment="1" applyProtection="1">
      <alignment horizontal="center" vertical="center" wrapText="1"/>
      <protection locked="0"/>
    </xf>
    <xf numFmtId="10" fontId="7" fillId="0" borderId="2" xfId="0" applyNumberFormat="1" applyFont="1" applyBorder="1" applyAlignment="1" applyProtection="1">
      <alignment horizontal="center" vertical="center" wrapText="1"/>
      <protection locked="0"/>
    </xf>
    <xf numFmtId="0" fontId="8" fillId="0" borderId="1" xfId="0" applyFont="1" applyBorder="1" applyAlignment="1">
      <alignment horizontal="center" vertical="center" wrapText="1"/>
    </xf>
    <xf numFmtId="0" fontId="7" fillId="12" borderId="2" xfId="0" applyFont="1" applyFill="1" applyBorder="1" applyAlignment="1">
      <alignment horizontal="center" vertical="center" wrapText="1"/>
    </xf>
    <xf numFmtId="0" fontId="7" fillId="15" borderId="1" xfId="0" applyFont="1" applyFill="1" applyBorder="1" applyAlignment="1">
      <alignment horizontal="center" vertical="center" wrapText="1"/>
    </xf>
    <xf numFmtId="165" fontId="7" fillId="6" borderId="3" xfId="0" applyNumberFormat="1" applyFont="1" applyFill="1" applyBorder="1" applyAlignment="1">
      <alignment horizontal="center" vertical="center"/>
    </xf>
    <xf numFmtId="3" fontId="7" fillId="10" borderId="8" xfId="1"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7" fillId="0" borderId="5" xfId="0" applyFont="1" applyBorder="1" applyAlignment="1">
      <alignment horizontal="center" vertical="center"/>
    </xf>
    <xf numFmtId="10" fontId="7" fillId="8" borderId="3" xfId="3" applyNumberFormat="1" applyFont="1" applyFill="1" applyBorder="1" applyAlignment="1">
      <alignment horizontal="center" vertical="center"/>
    </xf>
    <xf numFmtId="0" fontId="8" fillId="0" borderId="3" xfId="0" applyFont="1" applyBorder="1" applyAlignment="1">
      <alignment horizontal="center" vertical="center" wrapText="1"/>
    </xf>
    <xf numFmtId="10" fontId="7" fillId="8" borderId="2" xfId="3" applyNumberFormat="1" applyFont="1" applyFill="1" applyBorder="1" applyAlignment="1" applyProtection="1">
      <alignment horizontal="center" vertical="center"/>
      <protection locked="0"/>
    </xf>
    <xf numFmtId="0" fontId="7" fillId="0" borderId="6" xfId="0" applyFont="1" applyBorder="1" applyAlignment="1">
      <alignment horizontal="center" vertical="center" wrapText="1"/>
    </xf>
    <xf numFmtId="0" fontId="7" fillId="0" borderId="11" xfId="0" applyFont="1" applyBorder="1" applyAlignment="1">
      <alignment horizontal="center" vertical="center" wrapText="1"/>
    </xf>
    <xf numFmtId="0" fontId="7" fillId="8" borderId="11" xfId="0" applyFont="1" applyFill="1" applyBorder="1" applyAlignment="1">
      <alignment horizontal="center" vertical="center" wrapText="1"/>
    </xf>
    <xf numFmtId="0" fontId="7" fillId="5" borderId="6" xfId="0" applyFont="1" applyFill="1" applyBorder="1" applyAlignment="1">
      <alignment horizontal="center" vertical="center" wrapText="1"/>
    </xf>
    <xf numFmtId="165" fontId="7" fillId="6" borderId="11" xfId="0" applyNumberFormat="1" applyFont="1" applyFill="1" applyBorder="1" applyAlignment="1">
      <alignment horizontal="center" vertical="center"/>
    </xf>
    <xf numFmtId="165" fontId="7" fillId="8" borderId="11" xfId="0" applyNumberFormat="1" applyFont="1" applyFill="1" applyBorder="1" applyAlignment="1">
      <alignment horizontal="center" vertical="center"/>
    </xf>
    <xf numFmtId="166" fontId="8" fillId="8" borderId="11" xfId="0" applyNumberFormat="1" applyFont="1" applyFill="1" applyBorder="1" applyAlignment="1">
      <alignment horizontal="center"/>
    </xf>
    <xf numFmtId="0" fontId="7" fillId="14" borderId="6" xfId="0" applyFont="1" applyFill="1" applyBorder="1" applyAlignment="1" applyProtection="1">
      <alignment horizontal="center" vertical="center" wrapText="1"/>
      <protection locked="0"/>
    </xf>
    <xf numFmtId="0" fontId="11" fillId="0" borderId="11" xfId="0" applyFont="1" applyBorder="1" applyAlignment="1">
      <alignment horizontal="center" vertical="center" wrapText="1"/>
    </xf>
    <xf numFmtId="10" fontId="7" fillId="0" borderId="1" xfId="3" applyNumberFormat="1" applyFont="1" applyFill="1" applyBorder="1" applyAlignment="1">
      <alignment horizontal="center" vertical="center"/>
    </xf>
    <xf numFmtId="10" fontId="7" fillId="0" borderId="3" xfId="3" applyNumberFormat="1" applyFont="1" applyFill="1" applyBorder="1" applyAlignment="1">
      <alignment horizontal="center" vertical="center"/>
    </xf>
    <xf numFmtId="0" fontId="7" fillId="15" borderId="2" xfId="0" applyFont="1" applyFill="1" applyBorder="1" applyAlignment="1">
      <alignment horizontal="center" vertical="center" wrapText="1"/>
    </xf>
    <xf numFmtId="3" fontId="7" fillId="14" borderId="1" xfId="0" applyNumberFormat="1" applyFont="1" applyFill="1" applyBorder="1" applyAlignment="1" applyProtection="1">
      <alignment horizontal="center" vertical="center" wrapText="1"/>
      <protection locked="0"/>
    </xf>
    <xf numFmtId="0" fontId="11" fillId="0" borderId="2" xfId="0" applyFont="1" applyBorder="1" applyAlignment="1">
      <alignment horizontal="center" vertical="center" wrapText="1"/>
    </xf>
    <xf numFmtId="0" fontId="7" fillId="6" borderId="2" xfId="0" applyFont="1" applyFill="1" applyBorder="1" applyAlignment="1">
      <alignment horizontal="center" vertical="center" wrapText="1"/>
    </xf>
    <xf numFmtId="0" fontId="7" fillId="14" borderId="3" xfId="0" applyFont="1" applyFill="1" applyBorder="1" applyAlignment="1" applyProtection="1">
      <alignment horizontal="center" vertical="center" wrapText="1"/>
      <protection locked="0"/>
    </xf>
    <xf numFmtId="0" fontId="7" fillId="8" borderId="4" xfId="0" applyFont="1" applyFill="1" applyBorder="1" applyAlignment="1">
      <alignment horizontal="center" vertical="center"/>
    </xf>
    <xf numFmtId="166" fontId="7" fillId="6" borderId="1" xfId="0" applyNumberFormat="1" applyFont="1" applyFill="1" applyBorder="1" applyAlignment="1">
      <alignment horizontal="center" vertical="center"/>
    </xf>
    <xf numFmtId="166" fontId="7" fillId="6" borderId="3" xfId="0" applyNumberFormat="1" applyFont="1" applyFill="1" applyBorder="1" applyAlignment="1">
      <alignment horizontal="center" vertical="center"/>
    </xf>
    <xf numFmtId="10" fontId="7" fillId="0" borderId="2" xfId="3" applyNumberFormat="1" applyFont="1" applyFill="1" applyBorder="1" applyAlignment="1">
      <alignment horizontal="center" vertical="center"/>
    </xf>
    <xf numFmtId="0" fontId="7" fillId="14" borderId="1" xfId="3" applyNumberFormat="1" applyFont="1" applyFill="1" applyBorder="1" applyAlignment="1" applyProtection="1">
      <alignment horizontal="center" vertical="center" wrapText="1"/>
      <protection locked="0"/>
    </xf>
    <xf numFmtId="10" fontId="7" fillId="8" borderId="1" xfId="0" applyNumberFormat="1" applyFont="1" applyFill="1" applyBorder="1" applyAlignment="1">
      <alignment horizontal="center" vertical="center"/>
    </xf>
    <xf numFmtId="0" fontId="11" fillId="0" borderId="6"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49" fontId="7" fillId="8" borderId="3" xfId="1" applyNumberFormat="1" applyFont="1" applyFill="1" applyBorder="1" applyAlignment="1" applyProtection="1">
      <alignment horizontal="center" vertical="center"/>
      <protection locked="0"/>
    </xf>
    <xf numFmtId="0" fontId="7" fillId="7" borderId="1" xfId="0" applyFont="1" applyFill="1" applyBorder="1" applyAlignment="1">
      <alignment horizontal="center" vertical="center" wrapText="1"/>
    </xf>
    <xf numFmtId="0" fontId="7" fillId="7" borderId="2" xfId="0" applyFont="1" applyFill="1" applyBorder="1" applyAlignment="1">
      <alignment horizontal="center" vertical="center" wrapText="1"/>
    </xf>
    <xf numFmtId="17" fontId="7" fillId="0" borderId="1" xfId="0" applyNumberFormat="1" applyFont="1" applyBorder="1" applyAlignment="1">
      <alignment horizontal="center" vertical="center" wrapText="1"/>
    </xf>
    <xf numFmtId="14" fontId="7" fillId="6" borderId="1" xfId="0" applyNumberFormat="1" applyFont="1" applyFill="1" applyBorder="1" applyAlignment="1">
      <alignment horizontal="center" vertical="center" wrapText="1"/>
    </xf>
    <xf numFmtId="0" fontId="7" fillId="16" borderId="1" xfId="0" applyFont="1" applyFill="1" applyBorder="1" applyAlignment="1">
      <alignment horizontal="center" vertical="center"/>
    </xf>
    <xf numFmtId="0" fontId="7" fillId="17" borderId="1" xfId="1" applyNumberFormat="1" applyFont="1" applyFill="1" applyBorder="1" applyAlignment="1">
      <alignment horizontal="center" vertical="center"/>
    </xf>
    <xf numFmtId="1" fontId="7" fillId="17" borderId="1" xfId="1" applyNumberFormat="1" applyFont="1" applyFill="1" applyBorder="1" applyAlignment="1" applyProtection="1">
      <alignment horizontal="center" vertical="center"/>
      <protection locked="0"/>
    </xf>
    <xf numFmtId="0" fontId="7" fillId="17" borderId="3" xfId="0" applyFont="1" applyFill="1" applyBorder="1" applyAlignment="1">
      <alignment horizontal="center" vertical="center" wrapText="1"/>
    </xf>
    <xf numFmtId="164" fontId="7" fillId="17" borderId="3" xfId="0" applyNumberFormat="1" applyFont="1" applyFill="1" applyBorder="1" applyAlignment="1">
      <alignment horizontal="center" vertical="center"/>
    </xf>
    <xf numFmtId="0" fontId="11" fillId="17" borderId="6" xfId="0" applyFont="1" applyFill="1" applyBorder="1" applyAlignment="1" applyProtection="1">
      <alignment horizontal="center" vertical="center" wrapText="1"/>
      <protection locked="0"/>
    </xf>
    <xf numFmtId="0" fontId="7" fillId="17" borderId="6" xfId="0" applyFont="1" applyFill="1" applyBorder="1" applyAlignment="1" applyProtection="1">
      <alignment horizontal="center" vertical="center" wrapText="1"/>
      <protection locked="0"/>
    </xf>
    <xf numFmtId="10" fontId="7" fillId="17" borderId="1" xfId="3" applyNumberFormat="1" applyFont="1" applyFill="1" applyBorder="1" applyAlignment="1">
      <alignment horizontal="center" vertical="center"/>
    </xf>
    <xf numFmtId="0" fontId="8" fillId="17" borderId="1" xfId="0" applyFont="1" applyFill="1" applyBorder="1" applyAlignment="1">
      <alignment horizontal="center" vertical="center" wrapText="1"/>
    </xf>
    <xf numFmtId="167" fontId="7" fillId="8" borderId="1" xfId="0" applyNumberFormat="1" applyFont="1" applyFill="1" applyBorder="1" applyAlignment="1">
      <alignment horizontal="center" vertical="center" wrapText="1"/>
    </xf>
    <xf numFmtId="0" fontId="7" fillId="7" borderId="1" xfId="0" applyFont="1" applyFill="1" applyBorder="1" applyAlignment="1">
      <alignment horizontal="center" vertical="top" wrapText="1"/>
    </xf>
    <xf numFmtId="0" fontId="7" fillId="6" borderId="3" xfId="0" applyFont="1" applyFill="1" applyBorder="1" applyAlignment="1">
      <alignment horizontal="center" vertical="center"/>
    </xf>
    <xf numFmtId="165" fontId="7" fillId="11" borderId="1" xfId="0" applyNumberFormat="1" applyFont="1" applyFill="1" applyBorder="1" applyAlignment="1">
      <alignment horizontal="center" vertical="center"/>
    </xf>
    <xf numFmtId="165" fontId="7" fillId="11" borderId="3" xfId="0" applyNumberFormat="1" applyFont="1" applyFill="1" applyBorder="1" applyAlignment="1">
      <alignment horizontal="center" vertical="center"/>
    </xf>
    <xf numFmtId="0" fontId="7" fillId="7" borderId="3"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0" borderId="4" xfId="0" applyFont="1" applyBorder="1" applyAlignment="1">
      <alignment horizontal="center" vertical="center" wrapText="1"/>
    </xf>
    <xf numFmtId="0" fontId="7" fillId="18" borderId="1" xfId="0" applyFont="1" applyFill="1" applyBorder="1" applyAlignment="1">
      <alignment horizontal="center" vertical="center" wrapText="1"/>
    </xf>
    <xf numFmtId="0" fontId="7" fillId="19" borderId="1" xfId="0" applyFont="1" applyFill="1" applyBorder="1" applyAlignment="1">
      <alignment horizontal="center" vertical="center" wrapText="1"/>
    </xf>
    <xf numFmtId="0" fontId="22" fillId="0" borderId="1" xfId="0" applyFont="1" applyBorder="1" applyAlignment="1">
      <alignment horizontal="center" vertical="center" wrapText="1"/>
    </xf>
    <xf numFmtId="49" fontId="7" fillId="6" borderId="1" xfId="1" applyNumberFormat="1" applyFont="1" applyFill="1" applyBorder="1" applyAlignment="1" applyProtection="1">
      <alignment horizontal="center" vertical="center"/>
      <protection locked="0"/>
    </xf>
    <xf numFmtId="165" fontId="7" fillId="20" borderId="1" xfId="0" applyNumberFormat="1" applyFont="1" applyFill="1" applyBorder="1" applyAlignment="1">
      <alignment horizontal="center" vertical="center"/>
    </xf>
    <xf numFmtId="1" fontId="7" fillId="0" borderId="1" xfId="1" applyNumberFormat="1" applyFont="1" applyFill="1" applyBorder="1" applyAlignment="1">
      <alignment horizontal="center" vertical="center"/>
    </xf>
    <xf numFmtId="0" fontId="7" fillId="19" borderId="3" xfId="0" applyFont="1" applyFill="1" applyBorder="1" applyAlignment="1">
      <alignment horizontal="center" vertical="center" wrapText="1"/>
    </xf>
    <xf numFmtId="0" fontId="9" fillId="0" borderId="3" xfId="0" applyFont="1" applyBorder="1" applyAlignment="1">
      <alignment horizontal="center" vertical="center" wrapText="1"/>
    </xf>
    <xf numFmtId="0" fontId="7"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20"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0" borderId="1" xfId="0" applyFont="1" applyBorder="1" applyAlignment="1">
      <alignment horizontal="center" wrapText="1"/>
    </xf>
    <xf numFmtId="44" fontId="7" fillId="7" borderId="1" xfId="2" applyFont="1" applyFill="1" applyBorder="1" applyAlignment="1">
      <alignment horizontal="center" vertical="center" wrapText="1"/>
    </xf>
    <xf numFmtId="1" fontId="7" fillId="0" borderId="2" xfId="1" applyNumberFormat="1" applyFont="1" applyFill="1" applyBorder="1" applyAlignment="1" applyProtection="1">
      <alignment horizontal="center" vertical="center"/>
      <protection locked="0"/>
    </xf>
    <xf numFmtId="49" fontId="7" fillId="0" borderId="2" xfId="1" applyNumberFormat="1" applyFont="1" applyFill="1" applyBorder="1" applyAlignment="1" applyProtection="1">
      <alignment horizontal="center" vertical="center"/>
      <protection locked="0"/>
    </xf>
    <xf numFmtId="165" fontId="7" fillId="11" borderId="2" xfId="0" applyNumberFormat="1" applyFont="1" applyFill="1" applyBorder="1" applyAlignment="1">
      <alignment horizontal="center" vertical="center"/>
    </xf>
    <xf numFmtId="14" fontId="7" fillId="5" borderId="1" xfId="0" applyNumberFormat="1" applyFont="1" applyFill="1" applyBorder="1" applyAlignment="1">
      <alignment horizontal="center" vertical="center"/>
    </xf>
    <xf numFmtId="1" fontId="7" fillId="7" borderId="1" xfId="1" applyNumberFormat="1" applyFont="1" applyFill="1" applyBorder="1" applyAlignment="1" applyProtection="1">
      <alignment horizontal="center" vertical="center"/>
      <protection locked="0"/>
    </xf>
    <xf numFmtId="0" fontId="7" fillId="10" borderId="1" xfId="0" applyFont="1" applyFill="1" applyBorder="1" applyAlignment="1">
      <alignment horizontal="center" vertical="center" wrapText="1"/>
    </xf>
    <xf numFmtId="49" fontId="7" fillId="0" borderId="3" xfId="1" applyNumberFormat="1" applyFont="1" applyFill="1" applyBorder="1" applyAlignment="1" applyProtection="1">
      <alignment horizontal="center" vertical="center"/>
      <protection locked="0"/>
    </xf>
    <xf numFmtId="49" fontId="7" fillId="6" borderId="3" xfId="1" applyNumberFormat="1" applyFont="1" applyFill="1" applyBorder="1" applyAlignment="1" applyProtection="1">
      <alignment horizontal="center" vertical="center"/>
      <protection locked="0"/>
    </xf>
    <xf numFmtId="0" fontId="7" fillId="6" borderId="4" xfId="0" applyFont="1" applyFill="1" applyBorder="1" applyAlignment="1">
      <alignment horizontal="center" vertical="center" wrapText="1"/>
    </xf>
    <xf numFmtId="0" fontId="11" fillId="8" borderId="6" xfId="0" applyFont="1" applyFill="1" applyBorder="1" applyAlignment="1">
      <alignment horizontal="center" vertical="center"/>
    </xf>
    <xf numFmtId="0" fontId="7" fillId="7" borderId="2" xfId="0" applyFont="1" applyFill="1" applyBorder="1" applyAlignment="1">
      <alignment horizontal="center" vertical="center"/>
    </xf>
    <xf numFmtId="0" fontId="7" fillId="8" borderId="12" xfId="0" applyFont="1" applyFill="1" applyBorder="1" applyAlignment="1">
      <alignment horizontal="center" vertical="center" wrapText="1"/>
    </xf>
    <xf numFmtId="0" fontId="7" fillId="0" borderId="1" xfId="0" applyFont="1" applyBorder="1" applyAlignment="1">
      <alignment horizontal="center" vertical="top" wrapText="1"/>
    </xf>
    <xf numFmtId="49" fontId="11" fillId="8" borderId="6" xfId="1" applyNumberFormat="1" applyFont="1" applyFill="1" applyBorder="1" applyAlignment="1" applyProtection="1">
      <alignment horizontal="center" vertical="center"/>
      <protection locked="0"/>
    </xf>
    <xf numFmtId="49" fontId="7" fillId="8" borderId="6" xfId="1" applyNumberFormat="1" applyFont="1" applyFill="1" applyBorder="1" applyAlignment="1" applyProtection="1">
      <alignment horizontal="center" vertical="center"/>
      <protection locked="0"/>
    </xf>
    <xf numFmtId="0" fontId="11" fillId="0" borderId="5" xfId="0" applyFont="1" applyBorder="1" applyAlignment="1">
      <alignment horizontal="center" vertical="center" wrapText="1"/>
    </xf>
    <xf numFmtId="0" fontId="7" fillId="0" borderId="6" xfId="0" applyFont="1" applyBorder="1" applyAlignment="1" applyProtection="1">
      <alignment horizontal="center" vertical="center" wrapText="1"/>
      <protection locked="0"/>
    </xf>
    <xf numFmtId="0" fontId="7" fillId="7" borderId="4" xfId="0" applyFont="1" applyFill="1" applyBorder="1" applyAlignment="1">
      <alignment horizontal="center" vertical="center" wrapText="1"/>
    </xf>
    <xf numFmtId="0" fontId="9" fillId="0" borderId="3" xfId="0" applyFont="1" applyBorder="1" applyAlignment="1">
      <alignment horizontal="center" vertical="top" wrapText="1"/>
    </xf>
    <xf numFmtId="0" fontId="11" fillId="8" borderId="1" xfId="0" applyFont="1" applyFill="1" applyBorder="1" applyAlignment="1">
      <alignment horizontal="center" vertical="center"/>
    </xf>
    <xf numFmtId="0" fontId="7" fillId="21" borderId="1" xfId="0" applyFont="1" applyFill="1" applyBorder="1" applyAlignment="1">
      <alignment horizontal="center" vertical="center"/>
    </xf>
    <xf numFmtId="1" fontId="7" fillId="21" borderId="1" xfId="1" applyNumberFormat="1" applyFont="1" applyFill="1" applyBorder="1" applyAlignment="1" applyProtection="1">
      <alignment horizontal="center" vertical="center"/>
      <protection locked="0"/>
    </xf>
    <xf numFmtId="0" fontId="7" fillId="24" borderId="1" xfId="0" applyFont="1" applyFill="1" applyBorder="1" applyAlignment="1">
      <alignment horizontal="center" vertical="center" wrapText="1"/>
    </xf>
    <xf numFmtId="0" fontId="7" fillId="24" borderId="3" xfId="0" applyFont="1" applyFill="1" applyBorder="1" applyAlignment="1">
      <alignment horizontal="center" vertical="center" wrapText="1"/>
    </xf>
    <xf numFmtId="14" fontId="7" fillId="22" borderId="2" xfId="0" applyNumberFormat="1" applyFont="1" applyFill="1" applyBorder="1" applyAlignment="1">
      <alignment horizontal="center" vertical="center"/>
    </xf>
    <xf numFmtId="14" fontId="7" fillId="23" borderId="2" xfId="0" applyNumberFormat="1" applyFont="1" applyFill="1" applyBorder="1" applyAlignment="1">
      <alignment horizontal="center" vertical="center"/>
    </xf>
    <xf numFmtId="0" fontId="7" fillId="24" borderId="2" xfId="0" applyFont="1" applyFill="1" applyBorder="1" applyAlignment="1">
      <alignment horizontal="center" vertical="center"/>
    </xf>
    <xf numFmtId="0" fontId="7" fillId="24" borderId="1" xfId="0" applyFont="1" applyFill="1" applyBorder="1" applyAlignment="1">
      <alignment horizontal="center" vertical="center"/>
    </xf>
    <xf numFmtId="0" fontId="7" fillId="20" borderId="2" xfId="0" applyFont="1" applyFill="1" applyBorder="1" applyAlignment="1">
      <alignment horizontal="center" vertical="center"/>
    </xf>
    <xf numFmtId="49" fontId="7" fillId="7" borderId="1" xfId="1" applyNumberFormat="1" applyFont="1" applyFill="1" applyBorder="1" applyAlignment="1" applyProtection="1">
      <alignment horizontal="center" vertical="center" wrapText="1"/>
      <protection locked="0"/>
    </xf>
    <xf numFmtId="0" fontId="7" fillId="0" borderId="3" xfId="0" applyFont="1" applyBorder="1" applyAlignment="1">
      <alignment horizontal="center" vertical="top" wrapText="1"/>
    </xf>
    <xf numFmtId="169" fontId="7" fillId="7" borderId="1" xfId="0" applyNumberFormat="1" applyFont="1" applyFill="1" applyBorder="1" applyAlignment="1">
      <alignment horizontal="center" vertical="center" wrapText="1"/>
    </xf>
    <xf numFmtId="0" fontId="7" fillId="26" borderId="1" xfId="0" applyFont="1" applyFill="1" applyBorder="1" applyAlignment="1">
      <alignment horizontal="center" vertical="center" wrapText="1"/>
    </xf>
    <xf numFmtId="14" fontId="7" fillId="6" borderId="3" xfId="0" applyNumberFormat="1" applyFont="1" applyFill="1" applyBorder="1" applyAlignment="1">
      <alignment horizontal="center" vertical="center"/>
    </xf>
    <xf numFmtId="0" fontId="7" fillId="7" borderId="2" xfId="0" applyFont="1" applyFill="1" applyBorder="1" applyAlignment="1" applyProtection="1">
      <alignment horizontal="center" vertical="top" wrapText="1"/>
      <protection locked="0"/>
    </xf>
    <xf numFmtId="0" fontId="7" fillId="27" borderId="1" xfId="0" applyFont="1" applyFill="1" applyBorder="1" applyAlignment="1">
      <alignment horizontal="center" vertical="center"/>
    </xf>
    <xf numFmtId="0" fontId="7" fillId="6" borderId="3" xfId="0" applyFont="1" applyFill="1" applyBorder="1" applyAlignment="1">
      <alignment horizontal="center" vertical="top" wrapText="1"/>
    </xf>
    <xf numFmtId="0" fontId="11" fillId="0" borderId="1" xfId="3" applyNumberFormat="1" applyFont="1" applyFill="1" applyBorder="1" applyAlignment="1">
      <alignment horizontal="center" vertical="center"/>
    </xf>
    <xf numFmtId="0" fontId="4" fillId="0" borderId="2" xfId="0" applyFont="1" applyBorder="1" applyAlignment="1" applyProtection="1">
      <alignment horizontal="center" vertical="top" wrapText="1"/>
      <protection locked="0"/>
    </xf>
    <xf numFmtId="1" fontId="7" fillId="28" borderId="1" xfId="1" applyNumberFormat="1" applyFont="1" applyFill="1" applyBorder="1" applyAlignment="1" applyProtection="1">
      <alignment horizontal="center" vertical="center"/>
      <protection locked="0"/>
    </xf>
    <xf numFmtId="49" fontId="7" fillId="28" borderId="1" xfId="1" applyNumberFormat="1" applyFont="1" applyFill="1" applyBorder="1" applyAlignment="1" applyProtection="1">
      <alignment horizontal="center" vertical="center"/>
      <protection locked="0"/>
    </xf>
    <xf numFmtId="15" fontId="7" fillId="0" borderId="3" xfId="0" applyNumberFormat="1" applyFont="1" applyBorder="1" applyAlignment="1">
      <alignment horizontal="center" vertical="top" wrapText="1"/>
    </xf>
    <xf numFmtId="0" fontId="7" fillId="0" borderId="13" xfId="0" applyFont="1" applyBorder="1" applyAlignment="1">
      <alignment horizontal="center" vertical="justify" wrapText="1"/>
    </xf>
    <xf numFmtId="0" fontId="7" fillId="29" borderId="2" xfId="0" applyFont="1" applyFill="1" applyBorder="1" applyAlignment="1">
      <alignment horizontal="center" vertical="center" wrapText="1"/>
    </xf>
    <xf numFmtId="0" fontId="7" fillId="7" borderId="3" xfId="0" applyFont="1" applyFill="1" applyBorder="1" applyAlignment="1">
      <alignment horizontal="center" vertical="top" wrapText="1"/>
    </xf>
    <xf numFmtId="0" fontId="8" fillId="7" borderId="1" xfId="0" applyFont="1" applyFill="1" applyBorder="1" applyAlignment="1">
      <alignment horizontal="center" vertical="center" wrapText="1"/>
    </xf>
    <xf numFmtId="0" fontId="7" fillId="0" borderId="4" xfId="0" applyFont="1" applyBorder="1" applyAlignment="1">
      <alignment horizontal="center" vertical="center"/>
    </xf>
    <xf numFmtId="0" fontId="7" fillId="0" borderId="1" xfId="0" applyFont="1" applyBorder="1" applyAlignment="1">
      <alignment horizontal="center" vertical="center" wrapText="1" readingOrder="1"/>
    </xf>
    <xf numFmtId="14" fontId="11" fillId="0" borderId="1" xfId="0" applyNumberFormat="1" applyFont="1" applyBorder="1" applyAlignment="1">
      <alignment horizontal="center" vertical="center"/>
    </xf>
    <xf numFmtId="0" fontId="7" fillId="31" borderId="1" xfId="0" applyFont="1" applyFill="1" applyBorder="1" applyAlignment="1">
      <alignment horizontal="center" vertical="center" wrapText="1"/>
    </xf>
    <xf numFmtId="0" fontId="7" fillId="31" borderId="3" xfId="0" applyFont="1" applyFill="1" applyBorder="1" applyAlignment="1">
      <alignment horizontal="center" vertical="center" wrapText="1"/>
    </xf>
    <xf numFmtId="0" fontId="11" fillId="28" borderId="3" xfId="0" applyFont="1" applyFill="1" applyBorder="1" applyAlignment="1">
      <alignment horizontal="center" vertical="center" wrapText="1"/>
    </xf>
    <xf numFmtId="0" fontId="7" fillId="28" borderId="3" xfId="0" applyFont="1" applyFill="1" applyBorder="1" applyAlignment="1">
      <alignment horizontal="center" vertical="top" wrapText="1"/>
    </xf>
    <xf numFmtId="0" fontId="23" fillId="0" borderId="1" xfId="0" applyFont="1" applyBorder="1" applyAlignment="1">
      <alignment horizontal="center" vertical="center"/>
    </xf>
    <xf numFmtId="14" fontId="7" fillId="31" borderId="3" xfId="0" applyNumberFormat="1" applyFont="1" applyFill="1" applyBorder="1" applyAlignment="1">
      <alignment horizontal="center" vertical="center" wrapText="1"/>
    </xf>
    <xf numFmtId="0" fontId="11" fillId="8" borderId="2" xfId="0" applyFont="1" applyFill="1" applyBorder="1" applyAlignment="1" applyProtection="1">
      <alignment horizontal="center" vertical="center" wrapText="1"/>
      <protection locked="0"/>
    </xf>
    <xf numFmtId="14" fontId="7" fillId="23" borderId="1" xfId="0" applyNumberFormat="1" applyFont="1" applyFill="1" applyBorder="1" applyAlignment="1">
      <alignment horizontal="center" vertical="center"/>
    </xf>
    <xf numFmtId="0" fontId="7" fillId="24" borderId="1" xfId="0" applyFont="1" applyFill="1" applyBorder="1" applyAlignment="1">
      <alignment horizontal="center"/>
    </xf>
    <xf numFmtId="15" fontId="7" fillId="7" borderId="3" xfId="0" applyNumberFormat="1" applyFont="1" applyFill="1" applyBorder="1" applyAlignment="1">
      <alignment horizontal="center" vertical="top" wrapText="1"/>
    </xf>
    <xf numFmtId="0" fontId="24" fillId="0" borderId="1"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3" xfId="0" applyFont="1" applyBorder="1" applyAlignment="1">
      <alignment horizontal="center" vertical="top" wrapText="1"/>
    </xf>
    <xf numFmtId="0" fontId="7" fillId="0" borderId="3" xfId="0" applyFont="1" applyBorder="1" applyAlignment="1">
      <alignment horizontal="center" vertical="center" wrapText="1" readingOrder="1"/>
    </xf>
    <xf numFmtId="0" fontId="7" fillId="7" borderId="3" xfId="0" applyFont="1" applyFill="1" applyBorder="1" applyAlignment="1">
      <alignment horizontal="center" vertical="center"/>
    </xf>
    <xf numFmtId="0" fontId="7" fillId="18" borderId="1" xfId="0" applyFont="1" applyFill="1" applyBorder="1" applyAlignment="1">
      <alignment horizontal="center" vertical="center"/>
    </xf>
    <xf numFmtId="1" fontId="7" fillId="18" borderId="1" xfId="1" applyNumberFormat="1" applyFont="1" applyFill="1" applyBorder="1" applyAlignment="1" applyProtection="1">
      <alignment horizontal="center" vertical="center"/>
      <protection locked="0"/>
    </xf>
    <xf numFmtId="0" fontId="7" fillId="18" borderId="3" xfId="0" applyFont="1" applyFill="1" applyBorder="1" applyAlignment="1">
      <alignment horizontal="center" vertical="top" wrapText="1"/>
    </xf>
    <xf numFmtId="0" fontId="11" fillId="18" borderId="3" xfId="0" applyFont="1" applyFill="1" applyBorder="1" applyAlignment="1">
      <alignment horizontal="center" vertical="center" wrapText="1"/>
    </xf>
    <xf numFmtId="14" fontId="7" fillId="24" borderId="1" xfId="0" applyNumberFormat="1" applyFont="1" applyFill="1" applyBorder="1" applyAlignment="1">
      <alignment horizontal="center" vertical="center" wrapText="1"/>
    </xf>
    <xf numFmtId="15" fontId="7" fillId="28" borderId="3" xfId="0" applyNumberFormat="1" applyFont="1" applyFill="1" applyBorder="1" applyAlignment="1">
      <alignment horizontal="center" vertical="top" wrapText="1"/>
    </xf>
    <xf numFmtId="0" fontId="7" fillId="29"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7" borderId="1" xfId="0" applyFont="1" applyFill="1" applyBorder="1" applyAlignment="1">
      <alignment horizontal="center" vertical="center" wrapText="1" readingOrder="1"/>
    </xf>
    <xf numFmtId="14" fontId="7" fillId="0" borderId="3" xfId="0" applyNumberFormat="1" applyFont="1" applyBorder="1" applyAlignment="1">
      <alignment horizontal="center" vertical="top" wrapText="1"/>
    </xf>
    <xf numFmtId="14" fontId="7" fillId="28" borderId="3" xfId="0" applyNumberFormat="1" applyFont="1" applyFill="1" applyBorder="1" applyAlignment="1">
      <alignment horizontal="center" vertical="top" wrapText="1"/>
    </xf>
    <xf numFmtId="0" fontId="7" fillId="3" borderId="3" xfId="0" applyFont="1" applyFill="1" applyBorder="1" applyAlignment="1">
      <alignment horizontal="center" vertical="center" wrapText="1"/>
    </xf>
    <xf numFmtId="0" fontId="7" fillId="33" borderId="3" xfId="0" applyFont="1" applyFill="1" applyBorder="1" applyAlignment="1">
      <alignment horizontal="center" vertical="center" wrapText="1"/>
    </xf>
    <xf numFmtId="0" fontId="7" fillId="34" borderId="3" xfId="0" applyFont="1" applyFill="1" applyBorder="1" applyAlignment="1">
      <alignment horizontal="center" vertical="center" wrapText="1"/>
    </xf>
    <xf numFmtId="0" fontId="7" fillId="0" borderId="11" xfId="0" applyFont="1" applyBorder="1" applyAlignment="1">
      <alignment horizontal="center" vertical="top" wrapText="1"/>
    </xf>
    <xf numFmtId="0" fontId="7" fillId="28" borderId="11" xfId="0" applyFont="1" applyFill="1" applyBorder="1" applyAlignment="1">
      <alignment horizontal="center" vertical="top" wrapText="1"/>
    </xf>
    <xf numFmtId="0" fontId="7" fillId="28" borderId="6" xfId="1" applyNumberFormat="1" applyFont="1" applyFill="1" applyBorder="1" applyAlignment="1" applyProtection="1">
      <alignment horizontal="center" vertical="center" wrapText="1"/>
      <protection locked="0"/>
    </xf>
    <xf numFmtId="0" fontId="20" fillId="0" borderId="5" xfId="0" applyFont="1" applyBorder="1" applyAlignment="1">
      <alignment horizontal="center" wrapText="1"/>
    </xf>
    <xf numFmtId="0" fontId="7" fillId="28" borderId="0" xfId="0" applyFont="1" applyFill="1" applyAlignment="1">
      <alignment horizontal="center" vertical="center" wrapText="1"/>
    </xf>
    <xf numFmtId="0" fontId="20" fillId="0" borderId="1" xfId="0" applyFont="1" applyBorder="1" applyAlignment="1">
      <alignment horizontal="center"/>
    </xf>
    <xf numFmtId="0" fontId="20" fillId="0" borderId="11" xfId="0" applyFont="1" applyBorder="1" applyAlignment="1">
      <alignment horizontal="center" wrapText="1"/>
    </xf>
    <xf numFmtId="0" fontId="20" fillId="0" borderId="1" xfId="0" applyFont="1" applyBorder="1" applyAlignment="1">
      <alignment horizontal="center" wrapText="1"/>
    </xf>
    <xf numFmtId="0" fontId="7" fillId="0" borderId="0" xfId="0" applyFont="1" applyAlignment="1">
      <alignment horizontal="center" vertical="top" wrapText="1"/>
    </xf>
    <xf numFmtId="14" fontId="7" fillId="7" borderId="3" xfId="0" applyNumberFormat="1" applyFont="1" applyFill="1" applyBorder="1" applyAlignment="1">
      <alignment horizontal="center" vertical="top" wrapText="1"/>
    </xf>
    <xf numFmtId="49" fontId="7" fillId="38" borderId="1" xfId="1" applyNumberFormat="1" applyFont="1" applyFill="1" applyBorder="1" applyAlignment="1" applyProtection="1">
      <alignment horizontal="center" vertical="center"/>
      <protection locked="0"/>
    </xf>
    <xf numFmtId="0" fontId="7" fillId="38" borderId="3" xfId="0" applyFont="1" applyFill="1" applyBorder="1" applyAlignment="1">
      <alignment horizontal="center" vertical="center" wrapText="1"/>
    </xf>
    <xf numFmtId="0" fontId="7" fillId="38" borderId="11" xfId="0" applyFont="1" applyFill="1" applyBorder="1" applyAlignment="1">
      <alignment horizontal="center" vertical="center" wrapText="1"/>
    </xf>
    <xf numFmtId="0" fontId="11" fillId="38" borderId="3" xfId="0" applyFont="1" applyFill="1" applyBorder="1" applyAlignment="1">
      <alignment horizontal="center" vertical="center" wrapText="1"/>
    </xf>
    <xf numFmtId="0" fontId="7" fillId="38" borderId="2" xfId="0" applyFont="1" applyFill="1" applyBorder="1" applyAlignment="1">
      <alignment horizontal="center" vertical="center"/>
    </xf>
    <xf numFmtId="0" fontId="7" fillId="38" borderId="3" xfId="1" applyNumberFormat="1" applyFont="1" applyFill="1" applyBorder="1" applyAlignment="1" applyProtection="1">
      <alignment horizontal="center" vertical="center" wrapText="1"/>
      <protection locked="0"/>
    </xf>
    <xf numFmtId="3" fontId="20" fillId="38" borderId="3" xfId="0" applyNumberFormat="1" applyFont="1" applyFill="1" applyBorder="1" applyAlignment="1">
      <alignment horizontal="center" vertical="center"/>
    </xf>
    <xf numFmtId="0" fontId="9" fillId="38" borderId="3" xfId="0" applyFont="1" applyFill="1" applyBorder="1" applyAlignment="1">
      <alignment horizontal="center" vertical="center" wrapText="1"/>
    </xf>
    <xf numFmtId="0" fontId="7" fillId="38" borderId="6" xfId="0" applyFont="1" applyFill="1" applyBorder="1" applyAlignment="1">
      <alignment horizontal="center" vertical="center" wrapText="1"/>
    </xf>
    <xf numFmtId="14" fontId="7" fillId="38" borderId="1" xfId="0" applyNumberFormat="1" applyFont="1" applyFill="1" applyBorder="1" applyAlignment="1">
      <alignment horizontal="center" vertical="top" wrapText="1"/>
    </xf>
    <xf numFmtId="1" fontId="7" fillId="39" borderId="1" xfId="1" applyNumberFormat="1" applyFont="1" applyFill="1" applyBorder="1" applyAlignment="1" applyProtection="1">
      <alignment horizontal="center" vertical="center"/>
      <protection locked="0"/>
    </xf>
    <xf numFmtId="0" fontId="7" fillId="39" borderId="3" xfId="0" applyFont="1" applyFill="1" applyBorder="1" applyAlignment="1">
      <alignment horizontal="center" vertical="center" wrapText="1"/>
    </xf>
    <xf numFmtId="0" fontId="7" fillId="39" borderId="3" xfId="1" applyNumberFormat="1" applyFont="1" applyFill="1" applyBorder="1" applyAlignment="1">
      <alignment horizontal="center" vertical="center" wrapText="1"/>
    </xf>
    <xf numFmtId="0" fontId="7" fillId="39" borderId="6" xfId="0" applyFont="1" applyFill="1" applyBorder="1" applyAlignment="1">
      <alignment horizontal="center" vertical="top" wrapText="1"/>
    </xf>
    <xf numFmtId="0" fontId="20" fillId="39" borderId="1" xfId="0" applyFont="1" applyFill="1" applyBorder="1" applyAlignment="1">
      <alignment horizontal="center" wrapText="1"/>
    </xf>
    <xf numFmtId="14" fontId="7" fillId="39" borderId="1" xfId="0" applyNumberFormat="1" applyFont="1" applyFill="1" applyBorder="1" applyAlignment="1">
      <alignment horizontal="center" vertical="center" wrapText="1"/>
    </xf>
    <xf numFmtId="0" fontId="7" fillId="40" borderId="1" xfId="0" applyFont="1" applyFill="1" applyBorder="1" applyAlignment="1">
      <alignment horizontal="center" vertical="center"/>
    </xf>
    <xf numFmtId="1" fontId="7" fillId="40" borderId="1" xfId="1" applyNumberFormat="1" applyFont="1" applyFill="1" applyBorder="1" applyAlignment="1" applyProtection="1">
      <alignment horizontal="center" vertical="center"/>
      <protection locked="0"/>
    </xf>
    <xf numFmtId="49" fontId="7" fillId="40" borderId="1" xfId="1" applyNumberFormat="1" applyFont="1" applyFill="1" applyBorder="1" applyAlignment="1" applyProtection="1">
      <alignment horizontal="center" vertical="center"/>
      <protection locked="0"/>
    </xf>
    <xf numFmtId="0" fontId="7" fillId="40" borderId="3" xfId="0" applyFont="1" applyFill="1" applyBorder="1" applyAlignment="1">
      <alignment horizontal="center" vertical="center" wrapText="1"/>
    </xf>
    <xf numFmtId="0" fontId="7" fillId="40" borderId="11" xfId="0" applyFont="1" applyFill="1" applyBorder="1" applyAlignment="1">
      <alignment horizontal="center" vertical="center" wrapText="1"/>
    </xf>
    <xf numFmtId="0" fontId="20" fillId="0" borderId="0" xfId="0" applyFont="1" applyAlignment="1">
      <alignment horizontal="center"/>
    </xf>
    <xf numFmtId="3" fontId="20" fillId="0" borderId="3" xfId="0" applyNumberFormat="1" applyFont="1" applyBorder="1" applyAlignment="1">
      <alignment horizontal="center" vertical="center"/>
    </xf>
    <xf numFmtId="0" fontId="20" fillId="0" borderId="0" xfId="0" applyFont="1" applyAlignment="1">
      <alignment horizontal="center" wrapText="1"/>
    </xf>
    <xf numFmtId="0" fontId="7" fillId="41" borderId="1" xfId="0" applyFont="1" applyFill="1" applyBorder="1" applyAlignment="1">
      <alignment horizontal="center" vertical="center"/>
    </xf>
    <xf numFmtId="49" fontId="7" fillId="8" borderId="0" xfId="1" applyNumberFormat="1" applyFont="1" applyFill="1" applyBorder="1" applyAlignment="1" applyProtection="1">
      <alignment horizontal="center" vertical="center"/>
      <protection locked="0"/>
    </xf>
    <xf numFmtId="0" fontId="7" fillId="31" borderId="2" xfId="0" applyFont="1" applyFill="1" applyBorder="1" applyAlignment="1">
      <alignment horizontal="center" vertical="center" wrapText="1"/>
    </xf>
    <xf numFmtId="0" fontId="11" fillId="0" borderId="5" xfId="0" applyFont="1" applyBorder="1" applyAlignment="1">
      <alignment horizontal="center" vertical="center"/>
    </xf>
    <xf numFmtId="0" fontId="7" fillId="28" borderId="11" xfId="0" applyFont="1" applyFill="1" applyBorder="1" applyAlignment="1">
      <alignment horizontal="center" vertical="center" wrapText="1"/>
    </xf>
    <xf numFmtId="14" fontId="7" fillId="31" borderId="1" xfId="0" applyNumberFormat="1" applyFont="1" applyFill="1" applyBorder="1" applyAlignment="1">
      <alignment horizontal="center" vertical="center" wrapText="1"/>
    </xf>
    <xf numFmtId="0" fontId="7" fillId="28" borderId="6" xfId="0" applyFont="1" applyFill="1" applyBorder="1" applyAlignment="1">
      <alignment horizontal="center" vertical="top" wrapText="1"/>
    </xf>
    <xf numFmtId="15" fontId="7" fillId="0" borderId="1" xfId="0" applyNumberFormat="1" applyFont="1" applyBorder="1" applyAlignment="1">
      <alignment horizontal="center" vertical="top" wrapText="1"/>
    </xf>
    <xf numFmtId="0" fontId="7" fillId="30" borderId="2"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25" fillId="0" borderId="2" xfId="0" applyFont="1" applyBorder="1" applyAlignment="1">
      <alignment horizontal="center" vertical="top"/>
    </xf>
    <xf numFmtId="0" fontId="7" fillId="0" borderId="5" xfId="0" applyFont="1" applyBorder="1" applyAlignment="1">
      <alignment horizontal="center" vertical="top" wrapText="1"/>
    </xf>
    <xf numFmtId="14" fontId="7" fillId="0" borderId="2" xfId="0" applyNumberFormat="1" applyFont="1" applyBorder="1" applyAlignment="1">
      <alignment horizontal="center" vertical="top" wrapText="1"/>
    </xf>
    <xf numFmtId="49" fontId="7" fillId="0" borderId="15" xfId="1" applyNumberFormat="1" applyFont="1" applyFill="1" applyBorder="1" applyAlignment="1" applyProtection="1">
      <alignment horizontal="center" vertical="center"/>
      <protection locked="0"/>
    </xf>
    <xf numFmtId="0" fontId="20" fillId="28" borderId="1" xfId="0" applyFont="1" applyFill="1" applyBorder="1" applyAlignment="1">
      <alignment horizontal="center"/>
    </xf>
    <xf numFmtId="0" fontId="20" fillId="28" borderId="6" xfId="0" applyFont="1" applyFill="1" applyBorder="1" applyAlignment="1">
      <alignment horizontal="center" wrapText="1"/>
    </xf>
    <xf numFmtId="0" fontId="20" fillId="28" borderId="1" xfId="0" applyFont="1" applyFill="1" applyBorder="1" applyAlignment="1">
      <alignment horizontal="center" wrapText="1"/>
    </xf>
    <xf numFmtId="0" fontId="26" fillId="37" borderId="1" xfId="0" applyFont="1" applyFill="1" applyBorder="1" applyAlignment="1">
      <alignment horizontal="center" vertical="center" wrapText="1"/>
    </xf>
    <xf numFmtId="0" fontId="26" fillId="0" borderId="6" xfId="0" applyFont="1" applyBorder="1" applyAlignment="1">
      <alignment horizontal="center" wrapText="1"/>
    </xf>
    <xf numFmtId="0" fontId="26" fillId="0" borderId="1" xfId="0" applyFont="1" applyBorder="1" applyAlignment="1">
      <alignment horizontal="center" wrapText="1"/>
    </xf>
    <xf numFmtId="0" fontId="34" fillId="37" borderId="3" xfId="0" applyFont="1" applyFill="1" applyBorder="1" applyAlignment="1">
      <alignment horizontal="center" vertical="center" wrapText="1"/>
    </xf>
    <xf numFmtId="14" fontId="7" fillId="28" borderId="1" xfId="0" applyNumberFormat="1" applyFont="1" applyFill="1" applyBorder="1" applyAlignment="1">
      <alignment horizontal="center" vertical="top" wrapText="1"/>
    </xf>
    <xf numFmtId="0" fontId="7" fillId="44" borderId="1" xfId="0" applyFont="1" applyFill="1" applyBorder="1" applyAlignment="1">
      <alignment horizontal="center" vertical="center"/>
    </xf>
    <xf numFmtId="1" fontId="7" fillId="0" borderId="16" xfId="1" applyNumberFormat="1" applyFont="1" applyFill="1" applyBorder="1" applyAlignment="1" applyProtection="1">
      <alignment horizontal="center" vertical="center"/>
      <protection locked="0"/>
    </xf>
    <xf numFmtId="0" fontId="11" fillId="28" borderId="1" xfId="0" applyFont="1" applyFill="1" applyBorder="1" applyAlignment="1">
      <alignment horizontal="center" vertical="center" wrapText="1"/>
    </xf>
    <xf numFmtId="0" fontId="7" fillId="28" borderId="3" xfId="1" applyNumberFormat="1" applyFont="1" applyFill="1" applyBorder="1" applyAlignment="1" applyProtection="1">
      <alignment horizontal="center" vertical="center" wrapText="1"/>
      <protection locked="0"/>
    </xf>
    <xf numFmtId="0" fontId="7" fillId="28" borderId="0" xfId="0" applyFont="1" applyFill="1" applyAlignment="1">
      <alignment horizontal="center" vertical="top" wrapText="1"/>
    </xf>
    <xf numFmtId="15" fontId="7" fillId="0" borderId="0" xfId="0" applyNumberFormat="1" applyFont="1" applyAlignment="1">
      <alignment horizontal="center" vertical="top" wrapText="1"/>
    </xf>
    <xf numFmtId="0" fontId="20" fillId="28" borderId="6" xfId="0" applyFont="1" applyFill="1" applyBorder="1" applyAlignment="1">
      <alignment horizontal="center" vertical="center" wrapText="1"/>
    </xf>
    <xf numFmtId="0" fontId="20" fillId="37" borderId="6" xfId="0" applyFont="1" applyFill="1" applyBorder="1" applyAlignment="1">
      <alignment horizontal="center" vertical="center" wrapText="1"/>
    </xf>
    <xf numFmtId="0" fontId="20" fillId="0" borderId="3" xfId="0" applyFont="1" applyBorder="1" applyAlignment="1">
      <alignment horizontal="center" wrapText="1"/>
    </xf>
    <xf numFmtId="1" fontId="7" fillId="28" borderId="0" xfId="1" applyNumberFormat="1" applyFont="1" applyFill="1" applyBorder="1" applyAlignment="1" applyProtection="1">
      <alignment horizontal="center" vertical="center"/>
      <protection locked="0"/>
    </xf>
    <xf numFmtId="15" fontId="7" fillId="28" borderId="1" xfId="0" applyNumberFormat="1" applyFont="1" applyFill="1" applyBorder="1" applyAlignment="1">
      <alignment horizontal="center" vertical="top" wrapText="1"/>
    </xf>
    <xf numFmtId="0" fontId="20" fillId="0" borderId="6" xfId="0" applyFont="1" applyBorder="1" applyAlignment="1">
      <alignment horizontal="center" wrapText="1"/>
    </xf>
    <xf numFmtId="0" fontId="20" fillId="0" borderId="0" xfId="0" applyFont="1" applyAlignment="1">
      <alignment horizontal="center" vertical="center"/>
    </xf>
    <xf numFmtId="0" fontId="20" fillId="0" borderId="0" xfId="0" applyFont="1" applyAlignment="1">
      <alignment horizontal="center" vertical="center" wrapText="1"/>
    </xf>
    <xf numFmtId="1" fontId="7" fillId="28" borderId="3" xfId="1" applyNumberFormat="1" applyFont="1" applyFill="1" applyBorder="1" applyAlignment="1" applyProtection="1">
      <alignment horizontal="center" vertical="center"/>
      <protection locked="0"/>
    </xf>
    <xf numFmtId="1" fontId="7" fillId="0" borderId="3" xfId="1" applyNumberFormat="1" applyFont="1" applyFill="1" applyBorder="1" applyAlignment="1" applyProtection="1">
      <alignment horizontal="center" vertical="center"/>
      <protection locked="0"/>
    </xf>
    <xf numFmtId="0" fontId="23" fillId="22" borderId="3" xfId="0" applyFont="1" applyFill="1" applyBorder="1" applyAlignment="1">
      <alignment horizontal="center" vertical="top" wrapText="1"/>
    </xf>
    <xf numFmtId="0" fontId="7" fillId="0" borderId="17" xfId="0" applyFont="1" applyBorder="1" applyAlignment="1">
      <alignment horizontal="center" vertical="top" wrapText="1"/>
    </xf>
    <xf numFmtId="0" fontId="7" fillId="7" borderId="3" xfId="0" applyFont="1" applyFill="1" applyBorder="1" applyAlignment="1">
      <alignment horizontal="center" vertical="center" wrapText="1" readingOrder="1"/>
    </xf>
    <xf numFmtId="14" fontId="7" fillId="28" borderId="0" xfId="1" applyNumberFormat="1" applyFont="1" applyFill="1" applyBorder="1" applyAlignment="1">
      <alignment horizontal="center" vertical="center"/>
    </xf>
    <xf numFmtId="0" fontId="20" fillId="37" borderId="11" xfId="0" applyFont="1" applyFill="1" applyBorder="1" applyAlignment="1">
      <alignment horizontal="center" vertical="center" wrapText="1"/>
    </xf>
    <xf numFmtId="15" fontId="7" fillId="7" borderId="1" xfId="0" applyNumberFormat="1" applyFont="1" applyFill="1" applyBorder="1" applyAlignment="1">
      <alignment horizontal="center" vertical="top" wrapText="1"/>
    </xf>
    <xf numFmtId="14" fontId="20" fillId="37" borderId="3" xfId="0" applyNumberFormat="1" applyFont="1" applyFill="1" applyBorder="1" applyAlignment="1">
      <alignment horizontal="center" vertical="center" wrapText="1"/>
    </xf>
    <xf numFmtId="0" fontId="23" fillId="31" borderId="2" xfId="0" applyFont="1" applyFill="1" applyBorder="1" applyAlignment="1">
      <alignment horizontal="center" vertical="center"/>
    </xf>
    <xf numFmtId="0" fontId="23" fillId="31" borderId="1" xfId="0" applyFont="1" applyFill="1" applyBorder="1" applyAlignment="1">
      <alignment horizontal="center" vertical="center"/>
    </xf>
    <xf numFmtId="0" fontId="23" fillId="20" borderId="1" xfId="0" applyFont="1" applyFill="1" applyBorder="1" applyAlignment="1">
      <alignment horizontal="center" vertical="center"/>
    </xf>
    <xf numFmtId="0" fontId="23" fillId="0" borderId="2" xfId="0" applyFont="1" applyBorder="1" applyAlignment="1">
      <alignment horizontal="center" vertical="center"/>
    </xf>
    <xf numFmtId="0" fontId="7" fillId="0" borderId="6" xfId="0" applyFont="1" applyBorder="1" applyAlignment="1">
      <alignment horizontal="center" vertical="top" wrapText="1"/>
    </xf>
    <xf numFmtId="1" fontId="7" fillId="8" borderId="16" xfId="1" applyNumberFormat="1" applyFont="1" applyFill="1" applyBorder="1" applyAlignment="1" applyProtection="1">
      <alignment horizontal="center" vertical="center"/>
      <protection locked="0"/>
    </xf>
    <xf numFmtId="0" fontId="7" fillId="28" borderId="3" xfId="0" applyFont="1" applyFill="1" applyBorder="1" applyAlignment="1">
      <alignment horizontal="center" vertical="center" wrapText="1" readingOrder="1"/>
    </xf>
    <xf numFmtId="16" fontId="7" fillId="6" borderId="3" xfId="0" applyNumberFormat="1" applyFont="1" applyFill="1" applyBorder="1" applyAlignment="1">
      <alignment horizontal="center" vertical="center" wrapText="1"/>
    </xf>
    <xf numFmtId="0" fontId="35" fillId="0" borderId="1" xfId="0" applyFont="1" applyBorder="1" applyAlignment="1">
      <alignment horizontal="center"/>
    </xf>
    <xf numFmtId="0" fontId="35" fillId="18" borderId="1" xfId="0" applyFont="1" applyFill="1" applyBorder="1" applyAlignment="1">
      <alignment horizontal="center"/>
    </xf>
    <xf numFmtId="0" fontId="1" fillId="3" borderId="0" xfId="0" applyFont="1" applyFill="1" applyAlignment="1">
      <alignment horizontal="center" wrapText="1"/>
    </xf>
    <xf numFmtId="0" fontId="1" fillId="36" borderId="0" xfId="0" applyFont="1" applyFill="1" applyAlignment="1">
      <alignment horizontal="center" wrapText="1"/>
    </xf>
    <xf numFmtId="0" fontId="33" fillId="36" borderId="0" xfId="0" applyFont="1" applyFill="1" applyAlignment="1">
      <alignment horizontal="center" wrapText="1"/>
    </xf>
  </cellXfs>
  <cellStyles count="5">
    <cellStyle name="Millares" xfId="1" builtinId="3"/>
    <cellStyle name="Millares_Vigentes" xfId="4" xr:uid="{61BCCF74-348B-4C8A-B5B8-A1009509FD4F}"/>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4BED2-138B-479E-A874-2701E7D2E0FB}">
  <dimension ref="A1:AL1695"/>
  <sheetViews>
    <sheetView tabSelected="1" zoomScale="80" zoomScaleNormal="80" workbookViewId="0">
      <selection activeCell="D10" sqref="D10"/>
    </sheetView>
  </sheetViews>
  <sheetFormatPr baseColWidth="10" defaultRowHeight="14.4" x14ac:dyDescent="0.3"/>
  <cols>
    <col min="1" max="1" width="32.21875" customWidth="1"/>
    <col min="2" max="2" width="14.77734375" bestFit="1" customWidth="1"/>
    <col min="5" max="5" width="30.6640625" style="465" bestFit="1" customWidth="1"/>
    <col min="15" max="15" width="62.77734375" customWidth="1"/>
    <col min="28" max="28" width="31.88671875" style="468" customWidth="1"/>
  </cols>
  <sheetData>
    <row r="1" spans="1:38" ht="43.5" customHeight="1" x14ac:dyDescent="0.3">
      <c r="A1" s="472" t="s">
        <v>248</v>
      </c>
      <c r="B1" s="472" t="s">
        <v>0</v>
      </c>
      <c r="C1" s="920" t="s">
        <v>249</v>
      </c>
      <c r="D1" s="472" t="s">
        <v>1</v>
      </c>
      <c r="E1" s="463" t="s">
        <v>250</v>
      </c>
      <c r="F1" s="472" t="s">
        <v>2</v>
      </c>
      <c r="G1" s="920" t="s">
        <v>3</v>
      </c>
      <c r="H1" s="920" t="s">
        <v>4</v>
      </c>
      <c r="I1" s="472" t="s">
        <v>5</v>
      </c>
      <c r="J1" s="472" t="s">
        <v>6</v>
      </c>
      <c r="K1" s="921" t="s">
        <v>7</v>
      </c>
      <c r="L1" s="920" t="s">
        <v>8</v>
      </c>
      <c r="M1" s="472" t="s">
        <v>9</v>
      </c>
      <c r="N1" s="472" t="s">
        <v>251</v>
      </c>
      <c r="O1" s="472" t="s">
        <v>252</v>
      </c>
      <c r="P1" s="921" t="s">
        <v>10</v>
      </c>
      <c r="Q1" s="920" t="s">
        <v>11</v>
      </c>
      <c r="R1" s="920" t="s">
        <v>253</v>
      </c>
      <c r="S1" s="920" t="s">
        <v>12</v>
      </c>
      <c r="T1" s="920" t="s">
        <v>254</v>
      </c>
      <c r="U1" s="920" t="s">
        <v>13</v>
      </c>
      <c r="V1" s="920" t="s">
        <v>14</v>
      </c>
      <c r="W1" s="472" t="s">
        <v>255</v>
      </c>
      <c r="X1" s="920" t="s">
        <v>15</v>
      </c>
      <c r="Y1" s="920" t="s">
        <v>256</v>
      </c>
      <c r="Z1" s="920" t="s">
        <v>16</v>
      </c>
      <c r="AA1" s="920" t="s">
        <v>17</v>
      </c>
      <c r="AB1" s="922" t="s">
        <v>18</v>
      </c>
      <c r="AC1" s="920" t="s">
        <v>6175</v>
      </c>
      <c r="AD1" s="920" t="s">
        <v>257</v>
      </c>
      <c r="AE1" s="920" t="s">
        <v>258</v>
      </c>
      <c r="AF1" s="920" t="s">
        <v>19</v>
      </c>
      <c r="AG1" s="920" t="s">
        <v>259</v>
      </c>
      <c r="AH1" s="920" t="s">
        <v>20</v>
      </c>
      <c r="AI1" s="920" t="s">
        <v>21</v>
      </c>
      <c r="AJ1" s="920" t="s">
        <v>260</v>
      </c>
      <c r="AK1" s="920" t="s">
        <v>261</v>
      </c>
      <c r="AL1" s="472" t="s">
        <v>262</v>
      </c>
    </row>
    <row r="2" spans="1:38" ht="15" customHeight="1" x14ac:dyDescent="0.3">
      <c r="A2" s="1" t="s">
        <v>22</v>
      </c>
      <c r="B2" s="2" t="s">
        <v>263</v>
      </c>
      <c r="C2" s="2">
        <v>3</v>
      </c>
      <c r="D2" s="11" t="s">
        <v>143</v>
      </c>
      <c r="E2" s="429">
        <v>34759</v>
      </c>
      <c r="F2" s="2">
        <v>1995</v>
      </c>
      <c r="G2" s="2">
        <v>11192</v>
      </c>
      <c r="H2" s="142"/>
      <c r="I2" s="22" t="s">
        <v>264</v>
      </c>
      <c r="J2" s="2" t="s">
        <v>265</v>
      </c>
      <c r="K2" s="3" t="s">
        <v>266</v>
      </c>
      <c r="L2" s="4"/>
      <c r="M2" s="4"/>
      <c r="N2" s="5"/>
      <c r="O2" s="2"/>
      <c r="P2" s="2" t="s">
        <v>267</v>
      </c>
      <c r="Q2" s="2"/>
      <c r="R2" s="2"/>
      <c r="S2" s="2"/>
      <c r="T2" s="2"/>
      <c r="U2" s="2"/>
      <c r="V2" s="3"/>
      <c r="W2" s="243"/>
      <c r="X2" s="6"/>
      <c r="Y2" s="7">
        <f t="shared" ref="Y2:Y65" si="0">W2*AE2</f>
        <v>0</v>
      </c>
      <c r="Z2" s="2"/>
      <c r="AA2" s="469"/>
      <c r="AB2" s="466" t="s">
        <v>268</v>
      </c>
      <c r="AC2" s="8"/>
      <c r="AD2" s="2">
        <v>0</v>
      </c>
      <c r="AE2" s="2"/>
      <c r="AF2" s="9">
        <f>AD2+AE2</f>
        <v>0</v>
      </c>
      <c r="AG2" s="2"/>
      <c r="AH2" s="2"/>
      <c r="AI2" s="2" t="s">
        <v>269</v>
      </c>
      <c r="AJ2" s="2"/>
      <c r="AK2" s="10"/>
      <c r="AL2" s="10"/>
    </row>
    <row r="3" spans="1:38" ht="15" customHeight="1" x14ac:dyDescent="0.3">
      <c r="A3" s="473" t="s">
        <v>22</v>
      </c>
      <c r="B3" s="2" t="s">
        <v>105</v>
      </c>
      <c r="C3" s="6">
        <v>15</v>
      </c>
      <c r="D3" s="11" t="s">
        <v>5936</v>
      </c>
      <c r="E3" s="430">
        <v>35480</v>
      </c>
      <c r="F3" s="12">
        <v>1997</v>
      </c>
      <c r="G3" s="13">
        <v>8886</v>
      </c>
      <c r="H3" s="142"/>
      <c r="I3" s="22" t="s">
        <v>264</v>
      </c>
      <c r="J3" s="32" t="s">
        <v>26</v>
      </c>
      <c r="K3" s="474" t="s">
        <v>270</v>
      </c>
      <c r="L3" s="474"/>
      <c r="M3" s="474"/>
      <c r="N3" s="474"/>
      <c r="O3" s="475"/>
      <c r="P3" s="476" t="s">
        <v>271</v>
      </c>
      <c r="Q3" s="476"/>
      <c r="R3" s="476"/>
      <c r="S3" s="476"/>
      <c r="T3" s="476"/>
      <c r="U3" s="476"/>
      <c r="V3" s="477"/>
      <c r="W3" s="243">
        <v>10331756</v>
      </c>
      <c r="X3" s="478"/>
      <c r="Y3" s="7">
        <f t="shared" si="0"/>
        <v>0</v>
      </c>
      <c r="Z3" s="478"/>
      <c r="AA3" s="469"/>
      <c r="AB3" s="479" t="s">
        <v>5937</v>
      </c>
      <c r="AC3" s="480"/>
      <c r="AD3" s="476">
        <v>0</v>
      </c>
      <c r="AE3" s="476"/>
      <c r="AF3" s="9">
        <f t="shared" ref="AF3:AF66" si="1">AD3+AE3</f>
        <v>0</v>
      </c>
      <c r="AG3" s="476"/>
      <c r="AH3" s="475"/>
      <c r="AI3" s="476"/>
      <c r="AJ3" s="10"/>
      <c r="AK3" s="481"/>
      <c r="AL3" s="481"/>
    </row>
    <row r="4" spans="1:38" ht="15" customHeight="1" x14ac:dyDescent="0.3">
      <c r="A4" s="473" t="s">
        <v>22</v>
      </c>
      <c r="B4" s="2" t="s">
        <v>105</v>
      </c>
      <c r="C4" s="6">
        <v>15</v>
      </c>
      <c r="D4" s="11" t="s">
        <v>5936</v>
      </c>
      <c r="E4" s="431">
        <v>35080</v>
      </c>
      <c r="F4" s="12">
        <v>1996</v>
      </c>
      <c r="G4" s="13">
        <v>8440</v>
      </c>
      <c r="H4" s="142"/>
      <c r="I4" s="22" t="s">
        <v>264</v>
      </c>
      <c r="J4" s="32" t="s">
        <v>26</v>
      </c>
      <c r="K4" s="474" t="s">
        <v>272</v>
      </c>
      <c r="L4" s="474"/>
      <c r="M4" s="474"/>
      <c r="N4" s="474"/>
      <c r="O4" s="475"/>
      <c r="P4" s="476" t="s">
        <v>271</v>
      </c>
      <c r="Q4" s="476"/>
      <c r="R4" s="476"/>
      <c r="S4" s="476"/>
      <c r="T4" s="476"/>
      <c r="U4" s="476"/>
      <c r="V4" s="477"/>
      <c r="W4" s="243">
        <v>41004148</v>
      </c>
      <c r="X4" s="478"/>
      <c r="Y4" s="7">
        <f t="shared" si="0"/>
        <v>0</v>
      </c>
      <c r="Z4" s="478"/>
      <c r="AA4" s="469"/>
      <c r="AB4" s="479" t="s">
        <v>5937</v>
      </c>
      <c r="AC4" s="480"/>
      <c r="AD4" s="476">
        <v>0</v>
      </c>
      <c r="AE4" s="476"/>
      <c r="AF4" s="9">
        <f t="shared" si="1"/>
        <v>0</v>
      </c>
      <c r="AG4" s="476"/>
      <c r="AH4" s="476" t="s">
        <v>273</v>
      </c>
      <c r="AI4" s="476"/>
      <c r="AJ4" s="10"/>
      <c r="AK4" s="481"/>
      <c r="AL4" s="481"/>
    </row>
    <row r="5" spans="1:38" ht="15" customHeight="1" x14ac:dyDescent="0.3">
      <c r="A5" s="473" t="s">
        <v>22</v>
      </c>
      <c r="B5" s="2" t="s">
        <v>105</v>
      </c>
      <c r="C5" s="6">
        <v>9</v>
      </c>
      <c r="D5" s="11" t="s">
        <v>5936</v>
      </c>
      <c r="E5" s="431">
        <v>34911</v>
      </c>
      <c r="F5" s="12">
        <v>1995</v>
      </c>
      <c r="G5" s="13">
        <v>22902</v>
      </c>
      <c r="H5" s="142"/>
      <c r="I5" s="22" t="s">
        <v>264</v>
      </c>
      <c r="J5" s="32" t="s">
        <v>26</v>
      </c>
      <c r="K5" s="474" t="s">
        <v>274</v>
      </c>
      <c r="L5" s="474"/>
      <c r="M5" s="474"/>
      <c r="N5" s="474"/>
      <c r="O5" s="482"/>
      <c r="P5" s="476" t="s">
        <v>275</v>
      </c>
      <c r="Q5" s="476"/>
      <c r="R5" s="476"/>
      <c r="S5" s="476"/>
      <c r="T5" s="476"/>
      <c r="U5" s="476"/>
      <c r="V5" s="477"/>
      <c r="W5" s="243">
        <v>32803324</v>
      </c>
      <c r="X5" s="478"/>
      <c r="Y5" s="7">
        <f t="shared" si="0"/>
        <v>0</v>
      </c>
      <c r="Z5" s="478"/>
      <c r="AA5" s="469"/>
      <c r="AB5" s="479" t="s">
        <v>5937</v>
      </c>
      <c r="AC5" s="480"/>
      <c r="AD5" s="476">
        <v>0</v>
      </c>
      <c r="AE5" s="476"/>
      <c r="AF5" s="9">
        <f t="shared" si="1"/>
        <v>0</v>
      </c>
      <c r="AG5" s="476"/>
      <c r="AH5" s="476" t="s">
        <v>273</v>
      </c>
      <c r="AI5" s="476"/>
      <c r="AJ5" s="10"/>
      <c r="AK5" s="481"/>
      <c r="AL5" s="481"/>
    </row>
    <row r="6" spans="1:38" ht="15" customHeight="1" x14ac:dyDescent="0.3">
      <c r="A6" s="473" t="s">
        <v>22</v>
      </c>
      <c r="B6" s="2" t="s">
        <v>105</v>
      </c>
      <c r="C6" s="6">
        <v>4</v>
      </c>
      <c r="D6" s="11" t="s">
        <v>5936</v>
      </c>
      <c r="E6" s="431">
        <v>34284</v>
      </c>
      <c r="F6" s="12">
        <v>1993</v>
      </c>
      <c r="G6" s="13">
        <v>33835</v>
      </c>
      <c r="H6" s="142"/>
      <c r="I6" s="22" t="s">
        <v>264</v>
      </c>
      <c r="J6" s="32" t="s">
        <v>191</v>
      </c>
      <c r="K6" s="474" t="s">
        <v>276</v>
      </c>
      <c r="L6" s="474"/>
      <c r="M6" s="474"/>
      <c r="N6" s="474"/>
      <c r="O6" s="475"/>
      <c r="P6" s="483" t="s">
        <v>277</v>
      </c>
      <c r="Q6" s="15" t="s">
        <v>35</v>
      </c>
      <c r="R6" s="15"/>
      <c r="S6" s="16"/>
      <c r="T6" s="16"/>
      <c r="U6" s="484"/>
      <c r="V6" s="485"/>
      <c r="W6" s="243"/>
      <c r="X6" s="478"/>
      <c r="Y6" s="7">
        <f t="shared" si="0"/>
        <v>0</v>
      </c>
      <c r="Z6" s="478"/>
      <c r="AA6" s="469"/>
      <c r="AB6" s="479" t="s">
        <v>5937</v>
      </c>
      <c r="AC6" s="480"/>
      <c r="AD6" s="483">
        <v>0</v>
      </c>
      <c r="AE6" s="483"/>
      <c r="AF6" s="9">
        <f t="shared" si="1"/>
        <v>0</v>
      </c>
      <c r="AG6" s="483"/>
      <c r="AH6" s="486"/>
      <c r="AI6" s="475"/>
      <c r="AJ6" s="10"/>
      <c r="AK6" s="481"/>
      <c r="AL6" s="481"/>
    </row>
    <row r="7" spans="1:38" ht="15" customHeight="1" x14ac:dyDescent="0.3">
      <c r="A7" s="473" t="s">
        <v>22</v>
      </c>
      <c r="B7" s="2" t="s">
        <v>23</v>
      </c>
      <c r="C7" s="6">
        <v>1</v>
      </c>
      <c r="D7" s="11" t="s">
        <v>24</v>
      </c>
      <c r="E7" s="431">
        <v>36481</v>
      </c>
      <c r="F7" s="12">
        <v>1999</v>
      </c>
      <c r="G7" s="13">
        <v>19990812</v>
      </c>
      <c r="H7" s="142"/>
      <c r="I7" s="22" t="s">
        <v>264</v>
      </c>
      <c r="J7" s="32" t="s">
        <v>81</v>
      </c>
      <c r="K7" s="474" t="s">
        <v>278</v>
      </c>
      <c r="L7" s="474"/>
      <c r="M7" s="474"/>
      <c r="N7" s="474"/>
      <c r="O7" s="475" t="s">
        <v>279</v>
      </c>
      <c r="P7" s="476" t="s">
        <v>277</v>
      </c>
      <c r="Q7" s="476"/>
      <c r="R7" s="476"/>
      <c r="S7" s="476"/>
      <c r="T7" s="476"/>
      <c r="U7" s="476"/>
      <c r="V7" s="477"/>
      <c r="W7" s="243">
        <v>2000000</v>
      </c>
      <c r="X7" s="478"/>
      <c r="Y7" s="7">
        <f t="shared" si="0"/>
        <v>0</v>
      </c>
      <c r="Z7" s="478"/>
      <c r="AA7" s="469"/>
      <c r="AB7" s="487"/>
      <c r="AC7" s="488"/>
      <c r="AD7" s="59">
        <v>0</v>
      </c>
      <c r="AE7" s="59"/>
      <c r="AF7" s="9">
        <f t="shared" si="1"/>
        <v>0</v>
      </c>
      <c r="AG7" s="59"/>
      <c r="AH7" s="489"/>
      <c r="AI7" s="490"/>
      <c r="AJ7" s="475"/>
      <c r="AK7" s="491"/>
      <c r="AL7" s="10"/>
    </row>
    <row r="8" spans="1:38" ht="15" customHeight="1" x14ac:dyDescent="0.3">
      <c r="A8" s="473" t="s">
        <v>22</v>
      </c>
      <c r="B8" s="2" t="s">
        <v>105</v>
      </c>
      <c r="C8" s="6">
        <v>16</v>
      </c>
      <c r="D8" s="11" t="s">
        <v>5936</v>
      </c>
      <c r="E8" s="430">
        <v>34108</v>
      </c>
      <c r="F8" s="12">
        <v>1993</v>
      </c>
      <c r="G8" s="13">
        <v>11670</v>
      </c>
      <c r="H8" s="142"/>
      <c r="I8" s="22" t="s">
        <v>264</v>
      </c>
      <c r="J8" s="32" t="s">
        <v>26</v>
      </c>
      <c r="K8" s="474" t="s">
        <v>280</v>
      </c>
      <c r="L8" s="474"/>
      <c r="M8" s="474"/>
      <c r="N8" s="474"/>
      <c r="O8" s="475" t="s">
        <v>281</v>
      </c>
      <c r="P8" s="483" t="s">
        <v>277</v>
      </c>
      <c r="Q8" s="15" t="s">
        <v>282</v>
      </c>
      <c r="R8" s="17">
        <v>35482</v>
      </c>
      <c r="S8" s="16" t="s">
        <v>44</v>
      </c>
      <c r="T8" s="16"/>
      <c r="U8" s="484"/>
      <c r="V8" s="485"/>
      <c r="W8" s="243">
        <v>29597747</v>
      </c>
      <c r="X8" s="478"/>
      <c r="Y8" s="7">
        <f t="shared" si="0"/>
        <v>0</v>
      </c>
      <c r="Z8" s="478"/>
      <c r="AA8" s="469"/>
      <c r="AB8" s="479" t="s">
        <v>5937</v>
      </c>
      <c r="AC8" s="480"/>
      <c r="AD8" s="483">
        <v>0</v>
      </c>
      <c r="AE8" s="483"/>
      <c r="AF8" s="9">
        <f t="shared" si="1"/>
        <v>0</v>
      </c>
      <c r="AG8" s="483"/>
      <c r="AH8" s="486"/>
      <c r="AI8" s="475"/>
      <c r="AJ8" s="491"/>
      <c r="AK8" s="10"/>
      <c r="AL8" s="481"/>
    </row>
    <row r="9" spans="1:38" ht="15" customHeight="1" x14ac:dyDescent="0.3">
      <c r="A9" s="473" t="s">
        <v>22</v>
      </c>
      <c r="B9" s="2" t="s">
        <v>105</v>
      </c>
      <c r="C9" s="6">
        <v>17</v>
      </c>
      <c r="D9" s="11" t="s">
        <v>5936</v>
      </c>
      <c r="E9" s="431">
        <v>34253</v>
      </c>
      <c r="F9" s="12">
        <v>1993</v>
      </c>
      <c r="G9" s="13">
        <v>425</v>
      </c>
      <c r="H9" s="142"/>
      <c r="I9" s="22" t="s">
        <v>264</v>
      </c>
      <c r="J9" s="32" t="s">
        <v>191</v>
      </c>
      <c r="K9" s="474" t="s">
        <v>276</v>
      </c>
      <c r="L9" s="474"/>
      <c r="M9" s="474"/>
      <c r="N9" s="474"/>
      <c r="O9" s="475"/>
      <c r="P9" s="483" t="s">
        <v>277</v>
      </c>
      <c r="Q9" s="15" t="s">
        <v>282</v>
      </c>
      <c r="R9" s="15"/>
      <c r="S9" s="16" t="s">
        <v>35</v>
      </c>
      <c r="T9" s="16"/>
      <c r="U9" s="484"/>
      <c r="V9" s="485"/>
      <c r="W9" s="243">
        <v>18439945</v>
      </c>
      <c r="X9" s="478"/>
      <c r="Y9" s="7">
        <f t="shared" si="0"/>
        <v>0</v>
      </c>
      <c r="Z9" s="478"/>
      <c r="AA9" s="469"/>
      <c r="AB9" s="479" t="s">
        <v>5937</v>
      </c>
      <c r="AC9" s="480"/>
      <c r="AD9" s="483">
        <v>0</v>
      </c>
      <c r="AE9" s="483"/>
      <c r="AF9" s="9">
        <f t="shared" si="1"/>
        <v>0</v>
      </c>
      <c r="AG9" s="483"/>
      <c r="AH9" s="475"/>
      <c r="AI9" s="475"/>
      <c r="AJ9" s="10"/>
      <c r="AK9" s="10"/>
      <c r="AL9" s="481"/>
    </row>
    <row r="10" spans="1:38" ht="15" customHeight="1" x14ac:dyDescent="0.3">
      <c r="A10" s="473" t="s">
        <v>22</v>
      </c>
      <c r="B10" s="2" t="s">
        <v>105</v>
      </c>
      <c r="C10" s="6">
        <v>10</v>
      </c>
      <c r="D10" s="11" t="s">
        <v>5936</v>
      </c>
      <c r="E10" s="431">
        <v>36389</v>
      </c>
      <c r="F10" s="12">
        <v>1999</v>
      </c>
      <c r="G10" s="13" t="s">
        <v>283</v>
      </c>
      <c r="H10" s="142"/>
      <c r="I10" s="22" t="s">
        <v>264</v>
      </c>
      <c r="J10" s="32" t="s">
        <v>191</v>
      </c>
      <c r="K10" s="474" t="s">
        <v>284</v>
      </c>
      <c r="L10" s="474"/>
      <c r="M10" s="474"/>
      <c r="N10" s="474"/>
      <c r="O10" s="475"/>
      <c r="P10" s="476" t="s">
        <v>277</v>
      </c>
      <c r="Q10" s="476"/>
      <c r="R10" s="476"/>
      <c r="S10" s="476"/>
      <c r="T10" s="476"/>
      <c r="U10" s="476"/>
      <c r="V10" s="477"/>
      <c r="W10" s="243">
        <v>16225253</v>
      </c>
      <c r="X10" s="478"/>
      <c r="Y10" s="7">
        <f t="shared" si="0"/>
        <v>0</v>
      </c>
      <c r="Z10" s="478"/>
      <c r="AA10" s="469"/>
      <c r="AB10" s="479" t="s">
        <v>5937</v>
      </c>
      <c r="AC10" s="480"/>
      <c r="AD10" s="483">
        <v>0</v>
      </c>
      <c r="AE10" s="483"/>
      <c r="AF10" s="9">
        <f t="shared" si="1"/>
        <v>0</v>
      </c>
      <c r="AG10" s="483"/>
      <c r="AH10" s="486"/>
      <c r="AI10" s="475"/>
      <c r="AJ10" s="10"/>
      <c r="AK10" s="481"/>
      <c r="AL10" s="481"/>
    </row>
    <row r="11" spans="1:38" ht="15" customHeight="1" x14ac:dyDescent="0.3">
      <c r="A11" s="473" t="s">
        <v>22</v>
      </c>
      <c r="B11" s="2" t="s">
        <v>105</v>
      </c>
      <c r="C11" s="6">
        <v>20</v>
      </c>
      <c r="D11" s="11" t="s">
        <v>5936</v>
      </c>
      <c r="E11" s="431">
        <v>36423</v>
      </c>
      <c r="F11" s="12">
        <v>1999</v>
      </c>
      <c r="G11" s="13"/>
      <c r="H11" s="142"/>
      <c r="I11" s="14" t="s">
        <v>285</v>
      </c>
      <c r="J11" s="32" t="s">
        <v>26</v>
      </c>
      <c r="K11" s="474" t="s">
        <v>286</v>
      </c>
      <c r="L11" s="474"/>
      <c r="M11" s="474"/>
      <c r="N11" s="474"/>
      <c r="O11" s="475"/>
      <c r="P11" s="492" t="s">
        <v>287</v>
      </c>
      <c r="Q11" s="476"/>
      <c r="R11" s="476"/>
      <c r="S11" s="476"/>
      <c r="T11" s="476"/>
      <c r="U11" s="476"/>
      <c r="V11" s="477"/>
      <c r="W11" s="243">
        <v>20000000</v>
      </c>
      <c r="X11" s="478"/>
      <c r="Y11" s="7">
        <f t="shared" si="0"/>
        <v>0</v>
      </c>
      <c r="Z11" s="478"/>
      <c r="AA11" s="469"/>
      <c r="AB11" s="479" t="s">
        <v>5937</v>
      </c>
      <c r="AC11" s="480"/>
      <c r="AD11" s="493">
        <v>0</v>
      </c>
      <c r="AE11" s="493"/>
      <c r="AF11" s="9">
        <f t="shared" si="1"/>
        <v>0</v>
      </c>
      <c r="AG11" s="493"/>
      <c r="AH11" s="475" t="s">
        <v>288</v>
      </c>
      <c r="AI11" s="476"/>
      <c r="AJ11" s="10"/>
      <c r="AK11" s="481"/>
      <c r="AL11" s="481"/>
    </row>
    <row r="12" spans="1:38" ht="15" customHeight="1" x14ac:dyDescent="0.3">
      <c r="A12" s="473" t="s">
        <v>22</v>
      </c>
      <c r="B12" s="2" t="s">
        <v>105</v>
      </c>
      <c r="C12" s="6">
        <v>10</v>
      </c>
      <c r="D12" s="11" t="s">
        <v>5936</v>
      </c>
      <c r="E12" s="431">
        <v>35275</v>
      </c>
      <c r="F12" s="12">
        <v>1996</v>
      </c>
      <c r="G12" s="18">
        <v>20620</v>
      </c>
      <c r="H12" s="142"/>
      <c r="I12" s="22" t="s">
        <v>264</v>
      </c>
      <c r="J12" s="32" t="s">
        <v>26</v>
      </c>
      <c r="K12" s="474" t="s">
        <v>289</v>
      </c>
      <c r="L12" s="474"/>
      <c r="M12" s="474"/>
      <c r="N12" s="474"/>
      <c r="O12" s="475"/>
      <c r="P12" s="476" t="s">
        <v>290</v>
      </c>
      <c r="Q12" s="476"/>
      <c r="R12" s="476"/>
      <c r="S12" s="476"/>
      <c r="T12" s="476"/>
      <c r="U12" s="476"/>
      <c r="V12" s="477"/>
      <c r="W12" s="243">
        <v>6040168</v>
      </c>
      <c r="X12" s="478"/>
      <c r="Y12" s="7">
        <f t="shared" si="0"/>
        <v>0</v>
      </c>
      <c r="Z12" s="478"/>
      <c r="AA12" s="469"/>
      <c r="AB12" s="479" t="s">
        <v>5937</v>
      </c>
      <c r="AC12" s="480"/>
      <c r="AD12" s="483">
        <v>0</v>
      </c>
      <c r="AE12" s="483"/>
      <c r="AF12" s="9">
        <f t="shared" si="1"/>
        <v>0</v>
      </c>
      <c r="AG12" s="483"/>
      <c r="AH12" s="475"/>
      <c r="AI12" s="476"/>
      <c r="AJ12" s="10"/>
      <c r="AK12" s="481"/>
      <c r="AL12" s="481"/>
    </row>
    <row r="13" spans="1:38" ht="15" customHeight="1" x14ac:dyDescent="0.3">
      <c r="A13" s="473" t="s">
        <v>22</v>
      </c>
      <c r="B13" s="2" t="s">
        <v>105</v>
      </c>
      <c r="C13" s="6">
        <v>15</v>
      </c>
      <c r="D13" s="11" t="s">
        <v>5936</v>
      </c>
      <c r="E13" s="430">
        <v>36839</v>
      </c>
      <c r="F13" s="12">
        <v>2000</v>
      </c>
      <c r="G13" s="19" t="s">
        <v>291</v>
      </c>
      <c r="H13" s="142"/>
      <c r="I13" s="22" t="s">
        <v>264</v>
      </c>
      <c r="J13" s="32" t="s">
        <v>26</v>
      </c>
      <c r="K13" s="474" t="s">
        <v>292</v>
      </c>
      <c r="L13" s="474"/>
      <c r="M13" s="474"/>
      <c r="N13" s="474"/>
      <c r="O13" s="475" t="s">
        <v>293</v>
      </c>
      <c r="P13" s="492" t="s">
        <v>294</v>
      </c>
      <c r="Q13" s="476"/>
      <c r="R13" s="476"/>
      <c r="S13" s="476"/>
      <c r="T13" s="476"/>
      <c r="U13" s="476"/>
      <c r="V13" s="477"/>
      <c r="W13" s="243">
        <f>1437500+12000000</f>
        <v>13437500</v>
      </c>
      <c r="X13" s="478"/>
      <c r="Y13" s="7">
        <f t="shared" si="0"/>
        <v>0</v>
      </c>
      <c r="Z13" s="478"/>
      <c r="AA13" s="469"/>
      <c r="AB13" s="487"/>
      <c r="AC13" s="488"/>
      <c r="AD13" s="59">
        <v>0</v>
      </c>
      <c r="AE13" s="59"/>
      <c r="AF13" s="9">
        <f t="shared" si="1"/>
        <v>0</v>
      </c>
      <c r="AG13" s="59"/>
      <c r="AH13" s="489"/>
      <c r="AI13" s="490"/>
      <c r="AJ13" s="475"/>
      <c r="AK13" s="491"/>
      <c r="AL13" s="10"/>
    </row>
    <row r="14" spans="1:38" ht="15" customHeight="1" x14ac:dyDescent="0.3">
      <c r="A14" s="473" t="s">
        <v>22</v>
      </c>
      <c r="B14" s="2" t="s">
        <v>105</v>
      </c>
      <c r="C14" s="6">
        <v>2</v>
      </c>
      <c r="D14" s="11" t="s">
        <v>5936</v>
      </c>
      <c r="E14" s="431">
        <v>32323</v>
      </c>
      <c r="F14" s="12">
        <v>1988</v>
      </c>
      <c r="G14" s="13">
        <v>42208</v>
      </c>
      <c r="H14" s="142"/>
      <c r="I14" s="22" t="s">
        <v>264</v>
      </c>
      <c r="J14" s="32" t="s">
        <v>26</v>
      </c>
      <c r="K14" s="474" t="s">
        <v>295</v>
      </c>
      <c r="L14" s="474"/>
      <c r="M14" s="474"/>
      <c r="N14" s="474"/>
      <c r="O14" s="475" t="s">
        <v>296</v>
      </c>
      <c r="P14" s="476" t="s">
        <v>297</v>
      </c>
      <c r="Q14" s="15" t="s">
        <v>35</v>
      </c>
      <c r="R14" s="15"/>
      <c r="S14" s="16" t="s">
        <v>35</v>
      </c>
      <c r="T14" s="16"/>
      <c r="U14" s="484" t="s">
        <v>298</v>
      </c>
      <c r="V14" s="485"/>
      <c r="W14" s="243">
        <v>3000000</v>
      </c>
      <c r="X14" s="478"/>
      <c r="Y14" s="7">
        <f t="shared" si="0"/>
        <v>0</v>
      </c>
      <c r="Z14" s="478"/>
      <c r="AA14" s="469"/>
      <c r="AB14" s="479" t="s">
        <v>5937</v>
      </c>
      <c r="AC14" s="480"/>
      <c r="AD14" s="476">
        <v>0</v>
      </c>
      <c r="AE14" s="476"/>
      <c r="AF14" s="9">
        <f t="shared" si="1"/>
        <v>0</v>
      </c>
      <c r="AG14" s="476"/>
      <c r="AH14" s="475"/>
      <c r="AI14" s="476"/>
      <c r="AJ14" s="10"/>
      <c r="AK14" s="481"/>
      <c r="AL14" s="481"/>
    </row>
    <row r="15" spans="1:38" ht="15" customHeight="1" x14ac:dyDescent="0.3">
      <c r="A15" s="494" t="s">
        <v>22</v>
      </c>
      <c r="B15" s="2" t="s">
        <v>105</v>
      </c>
      <c r="C15" s="2">
        <v>4</v>
      </c>
      <c r="D15" s="11" t="s">
        <v>5936</v>
      </c>
      <c r="E15" s="432"/>
      <c r="F15" s="12"/>
      <c r="G15" s="21" t="s">
        <v>299</v>
      </c>
      <c r="H15" s="142"/>
      <c r="I15" s="22" t="s">
        <v>285</v>
      </c>
      <c r="J15" s="495"/>
      <c r="K15" s="474" t="s">
        <v>286</v>
      </c>
      <c r="L15" s="474"/>
      <c r="M15" s="474"/>
      <c r="N15" s="474"/>
      <c r="O15" s="475"/>
      <c r="P15" s="496" t="s">
        <v>300</v>
      </c>
      <c r="Q15" s="15" t="s">
        <v>282</v>
      </c>
      <c r="R15" s="15"/>
      <c r="S15" s="16" t="s">
        <v>35</v>
      </c>
      <c r="T15" s="16"/>
      <c r="U15" s="484" t="s">
        <v>301</v>
      </c>
      <c r="V15" s="485"/>
      <c r="W15" s="243"/>
      <c r="X15" s="478"/>
      <c r="Y15" s="7">
        <f t="shared" si="0"/>
        <v>0</v>
      </c>
      <c r="Z15" s="478"/>
      <c r="AA15" s="469"/>
      <c r="AB15" s="479" t="s">
        <v>5937</v>
      </c>
      <c r="AC15" s="480"/>
      <c r="AD15" s="476">
        <v>0</v>
      </c>
      <c r="AE15" s="476"/>
      <c r="AF15" s="9">
        <f t="shared" si="1"/>
        <v>0</v>
      </c>
      <c r="AG15" s="476"/>
      <c r="AH15" s="475"/>
      <c r="AI15" s="496"/>
      <c r="AJ15" s="10"/>
      <c r="AK15" s="481"/>
      <c r="AL15" s="481"/>
    </row>
    <row r="16" spans="1:38" ht="15" customHeight="1" x14ac:dyDescent="0.3">
      <c r="A16" s="494" t="s">
        <v>22</v>
      </c>
      <c r="B16" s="2" t="s">
        <v>105</v>
      </c>
      <c r="C16" s="2">
        <v>13</v>
      </c>
      <c r="D16" s="11" t="s">
        <v>5936</v>
      </c>
      <c r="E16" s="433">
        <v>34560</v>
      </c>
      <c r="F16" s="12">
        <v>1994</v>
      </c>
      <c r="G16" s="23">
        <v>13050</v>
      </c>
      <c r="H16" s="142"/>
      <c r="I16" s="22" t="s">
        <v>264</v>
      </c>
      <c r="J16" s="32" t="s">
        <v>26</v>
      </c>
      <c r="K16" s="474" t="s">
        <v>302</v>
      </c>
      <c r="L16" s="474"/>
      <c r="M16" s="474"/>
      <c r="N16" s="474"/>
      <c r="O16" s="475"/>
      <c r="P16" s="496" t="s">
        <v>303</v>
      </c>
      <c r="Q16" s="15" t="s">
        <v>35</v>
      </c>
      <c r="R16" s="15"/>
      <c r="S16" s="16" t="s">
        <v>35</v>
      </c>
      <c r="T16" s="16"/>
      <c r="U16" s="484" t="s">
        <v>304</v>
      </c>
      <c r="V16" s="485"/>
      <c r="W16" s="243">
        <v>17908725</v>
      </c>
      <c r="X16" s="478"/>
      <c r="Y16" s="7">
        <f t="shared" si="0"/>
        <v>0</v>
      </c>
      <c r="Z16" s="478"/>
      <c r="AA16" s="469"/>
      <c r="AB16" s="479" t="s">
        <v>5937</v>
      </c>
      <c r="AC16" s="480"/>
      <c r="AD16" s="476">
        <v>0</v>
      </c>
      <c r="AE16" s="476"/>
      <c r="AF16" s="9">
        <f t="shared" si="1"/>
        <v>0</v>
      </c>
      <c r="AG16" s="476"/>
      <c r="AH16" s="475" t="s">
        <v>305</v>
      </c>
      <c r="AI16" s="496"/>
      <c r="AJ16" s="10"/>
      <c r="AK16" s="481"/>
      <c r="AL16" s="481"/>
    </row>
    <row r="17" spans="1:38" ht="15" customHeight="1" x14ac:dyDescent="0.3">
      <c r="A17" s="473" t="s">
        <v>22</v>
      </c>
      <c r="B17" s="2" t="s">
        <v>306</v>
      </c>
      <c r="C17" s="6" t="s">
        <v>307</v>
      </c>
      <c r="D17" s="11" t="s">
        <v>24</v>
      </c>
      <c r="E17" s="430"/>
      <c r="F17" s="12"/>
      <c r="G17" s="24"/>
      <c r="H17" s="142"/>
      <c r="I17" s="22" t="s">
        <v>264</v>
      </c>
      <c r="J17" s="32"/>
      <c r="K17" s="474" t="s">
        <v>308</v>
      </c>
      <c r="L17" s="474"/>
      <c r="M17" s="474"/>
      <c r="N17" s="474"/>
      <c r="O17" s="475"/>
      <c r="P17" s="476" t="s">
        <v>303</v>
      </c>
      <c r="Q17" s="15" t="s">
        <v>35</v>
      </c>
      <c r="R17" s="15"/>
      <c r="S17" s="16" t="s">
        <v>313</v>
      </c>
      <c r="T17" s="16"/>
      <c r="U17" s="484" t="s">
        <v>309</v>
      </c>
      <c r="V17" s="485"/>
      <c r="W17" s="243">
        <v>1019130</v>
      </c>
      <c r="X17" s="478"/>
      <c r="Y17" s="7">
        <f t="shared" si="0"/>
        <v>0</v>
      </c>
      <c r="Z17" s="478"/>
      <c r="AA17" s="469"/>
      <c r="AB17" s="479" t="s">
        <v>5938</v>
      </c>
      <c r="AC17" s="480"/>
      <c r="AD17" s="476">
        <v>0</v>
      </c>
      <c r="AE17" s="476"/>
      <c r="AF17" s="9">
        <f t="shared" si="1"/>
        <v>0</v>
      </c>
      <c r="AG17" s="476"/>
      <c r="AH17" s="475"/>
      <c r="AI17" s="476"/>
      <c r="AJ17" s="10"/>
      <c r="AK17" s="481"/>
      <c r="AL17" s="481"/>
    </row>
    <row r="18" spans="1:38" ht="15" customHeight="1" x14ac:dyDescent="0.3">
      <c r="A18" s="473" t="s">
        <v>22</v>
      </c>
      <c r="B18" s="2" t="s">
        <v>310</v>
      </c>
      <c r="C18" s="6">
        <v>2</v>
      </c>
      <c r="D18" s="11" t="s">
        <v>190</v>
      </c>
      <c r="E18" s="430"/>
      <c r="F18" s="12"/>
      <c r="G18" s="13">
        <v>35040</v>
      </c>
      <c r="H18" s="142"/>
      <c r="I18" s="22" t="s">
        <v>264</v>
      </c>
      <c r="J18" s="32"/>
      <c r="K18" s="474" t="s">
        <v>311</v>
      </c>
      <c r="L18" s="474"/>
      <c r="M18" s="474"/>
      <c r="N18" s="474"/>
      <c r="O18" s="482"/>
      <c r="P18" s="476" t="s">
        <v>303</v>
      </c>
      <c r="Q18" s="15" t="s">
        <v>35</v>
      </c>
      <c r="R18" s="15"/>
      <c r="S18" s="16" t="s">
        <v>35</v>
      </c>
      <c r="T18" s="16"/>
      <c r="U18" s="484"/>
      <c r="V18" s="485"/>
      <c r="W18" s="243">
        <v>2000000</v>
      </c>
      <c r="X18" s="478"/>
      <c r="Y18" s="7">
        <f t="shared" si="0"/>
        <v>0</v>
      </c>
      <c r="Z18" s="478"/>
      <c r="AA18" s="469"/>
      <c r="AB18" s="479" t="s">
        <v>5939</v>
      </c>
      <c r="AC18" s="480"/>
      <c r="AD18" s="476">
        <v>0</v>
      </c>
      <c r="AE18" s="476"/>
      <c r="AF18" s="9">
        <f t="shared" si="1"/>
        <v>0</v>
      </c>
      <c r="AG18" s="476"/>
      <c r="AH18" s="475"/>
      <c r="AI18" s="476"/>
      <c r="AJ18" s="10"/>
      <c r="AK18" s="481"/>
      <c r="AL18" s="481"/>
    </row>
    <row r="19" spans="1:38" ht="15" customHeight="1" x14ac:dyDescent="0.3">
      <c r="A19" s="473" t="s">
        <v>22</v>
      </c>
      <c r="B19" s="2" t="s">
        <v>5940</v>
      </c>
      <c r="C19" s="6">
        <v>1</v>
      </c>
      <c r="D19" s="11" t="s">
        <v>190</v>
      </c>
      <c r="E19" s="431">
        <v>35731</v>
      </c>
      <c r="F19" s="12">
        <v>1997</v>
      </c>
      <c r="G19" s="24"/>
      <c r="H19" s="142"/>
      <c r="I19" s="22" t="s">
        <v>264</v>
      </c>
      <c r="J19" s="32"/>
      <c r="K19" s="474" t="s">
        <v>312</v>
      </c>
      <c r="L19" s="474"/>
      <c r="M19" s="474"/>
      <c r="N19" s="474"/>
      <c r="O19" s="482"/>
      <c r="P19" s="476" t="s">
        <v>303</v>
      </c>
      <c r="Q19" s="15" t="s">
        <v>35</v>
      </c>
      <c r="R19" s="15"/>
      <c r="S19" s="16" t="s">
        <v>313</v>
      </c>
      <c r="T19" s="16"/>
      <c r="U19" s="484"/>
      <c r="V19" s="485"/>
      <c r="W19" s="243">
        <v>31030593</v>
      </c>
      <c r="X19" s="478"/>
      <c r="Y19" s="7">
        <f t="shared" si="0"/>
        <v>0</v>
      </c>
      <c r="Z19" s="478"/>
      <c r="AA19" s="469"/>
      <c r="AB19" s="479" t="s">
        <v>5941</v>
      </c>
      <c r="AC19" s="480"/>
      <c r="AD19" s="476">
        <v>0</v>
      </c>
      <c r="AE19" s="476"/>
      <c r="AF19" s="9">
        <f t="shared" si="1"/>
        <v>0</v>
      </c>
      <c r="AG19" s="476"/>
      <c r="AH19" s="475"/>
      <c r="AI19" s="476"/>
      <c r="AJ19" s="10"/>
      <c r="AK19" s="481"/>
      <c r="AL19" s="481"/>
    </row>
    <row r="20" spans="1:38" ht="15" customHeight="1" x14ac:dyDescent="0.3">
      <c r="A20" s="473" t="s">
        <v>22</v>
      </c>
      <c r="B20" s="2" t="s">
        <v>105</v>
      </c>
      <c r="C20" s="6">
        <v>11</v>
      </c>
      <c r="D20" s="11" t="s">
        <v>225</v>
      </c>
      <c r="E20" s="431">
        <v>34999</v>
      </c>
      <c r="F20" s="12">
        <v>1995</v>
      </c>
      <c r="G20" s="13">
        <v>3164</v>
      </c>
      <c r="H20" s="142"/>
      <c r="I20" s="22" t="s">
        <v>264</v>
      </c>
      <c r="J20" s="32" t="s">
        <v>191</v>
      </c>
      <c r="K20" s="474" t="s">
        <v>314</v>
      </c>
      <c r="L20" s="474"/>
      <c r="M20" s="474"/>
      <c r="N20" s="474"/>
      <c r="O20" s="475"/>
      <c r="P20" s="476" t="s">
        <v>303</v>
      </c>
      <c r="Q20" s="15" t="s">
        <v>35</v>
      </c>
      <c r="R20" s="15"/>
      <c r="S20" s="16" t="s">
        <v>35</v>
      </c>
      <c r="T20" s="16"/>
      <c r="U20" s="484"/>
      <c r="V20" s="485"/>
      <c r="W20" s="243">
        <v>983713</v>
      </c>
      <c r="X20" s="478"/>
      <c r="Y20" s="7">
        <f t="shared" si="0"/>
        <v>0</v>
      </c>
      <c r="Z20" s="478"/>
      <c r="AA20" s="469"/>
      <c r="AB20" s="479" t="s">
        <v>5937</v>
      </c>
      <c r="AC20" s="480"/>
      <c r="AD20" s="476">
        <v>0</v>
      </c>
      <c r="AE20" s="476"/>
      <c r="AF20" s="9">
        <f t="shared" si="1"/>
        <v>0</v>
      </c>
      <c r="AG20" s="476"/>
      <c r="AH20" s="475"/>
      <c r="AI20" s="476"/>
      <c r="AJ20" s="10"/>
      <c r="AK20" s="481"/>
      <c r="AL20" s="481"/>
    </row>
    <row r="21" spans="1:38" ht="15" customHeight="1" x14ac:dyDescent="0.3">
      <c r="A21" s="473" t="s">
        <v>22</v>
      </c>
      <c r="B21" s="2" t="s">
        <v>23</v>
      </c>
      <c r="C21" s="6">
        <v>9</v>
      </c>
      <c r="D21" s="11" t="s">
        <v>24</v>
      </c>
      <c r="E21" s="431">
        <v>35490</v>
      </c>
      <c r="F21" s="12">
        <v>1997</v>
      </c>
      <c r="G21" s="19"/>
      <c r="H21" s="142"/>
      <c r="I21" s="14" t="s">
        <v>285</v>
      </c>
      <c r="J21" s="32" t="s">
        <v>315</v>
      </c>
      <c r="K21" s="474" t="s">
        <v>316</v>
      </c>
      <c r="L21" s="474"/>
      <c r="M21" s="474"/>
      <c r="N21" s="474"/>
      <c r="O21" s="497"/>
      <c r="P21" s="476" t="s">
        <v>317</v>
      </c>
      <c r="Q21" s="15" t="s">
        <v>282</v>
      </c>
      <c r="R21" s="15"/>
      <c r="S21" s="16" t="s">
        <v>35</v>
      </c>
      <c r="T21" s="16"/>
      <c r="U21" s="484"/>
      <c r="V21" s="485"/>
      <c r="W21" s="243">
        <v>9000000</v>
      </c>
      <c r="X21" s="478"/>
      <c r="Y21" s="7">
        <f t="shared" si="0"/>
        <v>0</v>
      </c>
      <c r="Z21" s="478"/>
      <c r="AA21" s="469"/>
      <c r="AB21" s="479" t="s">
        <v>49</v>
      </c>
      <c r="AC21" s="480"/>
      <c r="AD21" s="476">
        <v>0</v>
      </c>
      <c r="AE21" s="476"/>
      <c r="AF21" s="9">
        <f t="shared" si="1"/>
        <v>0</v>
      </c>
      <c r="AG21" s="476"/>
      <c r="AH21" s="475"/>
      <c r="AI21" s="476"/>
      <c r="AJ21" s="10"/>
      <c r="AK21" s="481"/>
      <c r="AL21" s="481"/>
    </row>
    <row r="22" spans="1:38" ht="15" customHeight="1" x14ac:dyDescent="0.3">
      <c r="A22" s="473" t="s">
        <v>22</v>
      </c>
      <c r="B22" s="2" t="s">
        <v>23</v>
      </c>
      <c r="C22" s="6">
        <v>5</v>
      </c>
      <c r="D22" s="11" t="s">
        <v>24</v>
      </c>
      <c r="E22" s="431">
        <v>35521</v>
      </c>
      <c r="F22" s="12">
        <v>1997</v>
      </c>
      <c r="G22" s="19"/>
      <c r="H22" s="142"/>
      <c r="I22" s="14" t="s">
        <v>285</v>
      </c>
      <c r="J22" s="32" t="s">
        <v>315</v>
      </c>
      <c r="K22" s="474" t="s">
        <v>316</v>
      </c>
      <c r="L22" s="474"/>
      <c r="M22" s="474"/>
      <c r="N22" s="474"/>
      <c r="O22" s="497"/>
      <c r="P22" s="476" t="s">
        <v>317</v>
      </c>
      <c r="Q22" s="15" t="s">
        <v>282</v>
      </c>
      <c r="R22" s="15"/>
      <c r="S22" s="16" t="s">
        <v>35</v>
      </c>
      <c r="T22" s="16"/>
      <c r="U22" s="484"/>
      <c r="V22" s="485"/>
      <c r="W22" s="243">
        <v>9000000</v>
      </c>
      <c r="X22" s="478"/>
      <c r="Y22" s="7">
        <f t="shared" si="0"/>
        <v>0</v>
      </c>
      <c r="Z22" s="478"/>
      <c r="AA22" s="469"/>
      <c r="AB22" s="479" t="s">
        <v>49</v>
      </c>
      <c r="AC22" s="480"/>
      <c r="AD22" s="476">
        <v>0</v>
      </c>
      <c r="AE22" s="476"/>
      <c r="AF22" s="9">
        <f t="shared" si="1"/>
        <v>0</v>
      </c>
      <c r="AG22" s="476"/>
      <c r="AH22" s="475"/>
      <c r="AI22" s="476"/>
      <c r="AJ22" s="10"/>
      <c r="AK22" s="481"/>
      <c r="AL22" s="481"/>
    </row>
    <row r="23" spans="1:38" ht="15" customHeight="1" x14ac:dyDescent="0.3">
      <c r="A23" s="473" t="s">
        <v>22</v>
      </c>
      <c r="B23" s="2" t="s">
        <v>23</v>
      </c>
      <c r="C23" s="6">
        <v>5</v>
      </c>
      <c r="D23" s="11" t="s">
        <v>24</v>
      </c>
      <c r="E23" s="431">
        <v>35612</v>
      </c>
      <c r="F23" s="12">
        <v>1997</v>
      </c>
      <c r="G23" s="19"/>
      <c r="H23" s="142"/>
      <c r="I23" s="14" t="s">
        <v>285</v>
      </c>
      <c r="J23" s="32" t="s">
        <v>191</v>
      </c>
      <c r="K23" s="474" t="s">
        <v>73</v>
      </c>
      <c r="L23" s="474"/>
      <c r="M23" s="474"/>
      <c r="N23" s="474"/>
      <c r="O23" s="475"/>
      <c r="P23" s="476" t="s">
        <v>317</v>
      </c>
      <c r="Q23" s="15" t="s">
        <v>35</v>
      </c>
      <c r="R23" s="15"/>
      <c r="S23" s="16" t="s">
        <v>35</v>
      </c>
      <c r="T23" s="16"/>
      <c r="U23" s="484"/>
      <c r="V23" s="485"/>
      <c r="W23" s="243">
        <v>2800000</v>
      </c>
      <c r="X23" s="478"/>
      <c r="Y23" s="7">
        <f t="shared" si="0"/>
        <v>0</v>
      </c>
      <c r="Z23" s="478"/>
      <c r="AA23" s="469"/>
      <c r="AB23" s="479" t="s">
        <v>318</v>
      </c>
      <c r="AC23" s="480"/>
      <c r="AD23" s="498">
        <v>0</v>
      </c>
      <c r="AE23" s="498"/>
      <c r="AF23" s="9">
        <f t="shared" si="1"/>
        <v>0</v>
      </c>
      <c r="AG23" s="498"/>
      <c r="AH23" s="475"/>
      <c r="AI23" s="476"/>
      <c r="AJ23" s="10"/>
      <c r="AK23" s="481"/>
      <c r="AL23" s="481"/>
    </row>
    <row r="24" spans="1:38" ht="15" customHeight="1" x14ac:dyDescent="0.3">
      <c r="A24" s="499" t="s">
        <v>22</v>
      </c>
      <c r="B24" s="2" t="s">
        <v>105</v>
      </c>
      <c r="C24" s="25">
        <v>4</v>
      </c>
      <c r="D24" s="11" t="s">
        <v>5936</v>
      </c>
      <c r="E24" s="431">
        <v>35314</v>
      </c>
      <c r="F24" s="12">
        <v>1996</v>
      </c>
      <c r="G24" s="13">
        <v>35336</v>
      </c>
      <c r="H24" s="142"/>
      <c r="I24" s="22" t="s">
        <v>264</v>
      </c>
      <c r="J24" s="32" t="s">
        <v>191</v>
      </c>
      <c r="K24" s="474" t="s">
        <v>319</v>
      </c>
      <c r="L24" s="474"/>
      <c r="M24" s="474"/>
      <c r="N24" s="474"/>
      <c r="O24" s="475"/>
      <c r="P24" s="476" t="s">
        <v>317</v>
      </c>
      <c r="Q24" s="15" t="s">
        <v>35</v>
      </c>
      <c r="R24" s="15"/>
      <c r="S24" s="16" t="s">
        <v>35</v>
      </c>
      <c r="T24" s="16"/>
      <c r="U24" s="484"/>
      <c r="V24" s="485"/>
      <c r="W24" s="243">
        <v>98700</v>
      </c>
      <c r="X24" s="478"/>
      <c r="Y24" s="7">
        <f t="shared" si="0"/>
        <v>0</v>
      </c>
      <c r="Z24" s="478"/>
      <c r="AA24" s="469"/>
      <c r="AB24" s="479" t="s">
        <v>5937</v>
      </c>
      <c r="AC24" s="480"/>
      <c r="AD24" s="476">
        <v>0</v>
      </c>
      <c r="AE24" s="476"/>
      <c r="AF24" s="9">
        <f t="shared" si="1"/>
        <v>0</v>
      </c>
      <c r="AG24" s="476"/>
      <c r="AH24" s="475"/>
      <c r="AI24" s="476"/>
      <c r="AJ24" s="10"/>
      <c r="AK24" s="481"/>
      <c r="AL24" s="481"/>
    </row>
    <row r="25" spans="1:38" ht="15" customHeight="1" x14ac:dyDescent="0.3">
      <c r="A25" s="473" t="s">
        <v>22</v>
      </c>
      <c r="B25" s="2" t="s">
        <v>5942</v>
      </c>
      <c r="C25" s="6" t="s">
        <v>321</v>
      </c>
      <c r="D25" s="11" t="s">
        <v>143</v>
      </c>
      <c r="E25" s="430">
        <v>35480</v>
      </c>
      <c r="F25" s="12">
        <v>1997</v>
      </c>
      <c r="G25" s="13">
        <v>35480</v>
      </c>
      <c r="H25" s="142"/>
      <c r="I25" s="22" t="s">
        <v>264</v>
      </c>
      <c r="J25" s="32" t="s">
        <v>26</v>
      </c>
      <c r="K25" s="474" t="s">
        <v>322</v>
      </c>
      <c r="L25" s="474"/>
      <c r="M25" s="474"/>
      <c r="N25" s="474"/>
      <c r="O25" s="482"/>
      <c r="P25" s="476" t="s">
        <v>317</v>
      </c>
      <c r="Q25" s="15" t="s">
        <v>35</v>
      </c>
      <c r="R25" s="15"/>
      <c r="S25" s="16" t="s">
        <v>35</v>
      </c>
      <c r="T25" s="16"/>
      <c r="U25" s="484"/>
      <c r="V25" s="485"/>
      <c r="W25" s="243">
        <v>13000000</v>
      </c>
      <c r="X25" s="478"/>
      <c r="Y25" s="7">
        <f t="shared" si="0"/>
        <v>0</v>
      </c>
      <c r="Z25" s="478"/>
      <c r="AA25" s="469"/>
      <c r="AB25" s="479" t="s">
        <v>5943</v>
      </c>
      <c r="AC25" s="480"/>
      <c r="AD25" s="476">
        <v>0</v>
      </c>
      <c r="AE25" s="476"/>
      <c r="AF25" s="9">
        <f t="shared" si="1"/>
        <v>0</v>
      </c>
      <c r="AG25" s="476"/>
      <c r="AH25" s="475"/>
      <c r="AI25" s="476"/>
      <c r="AJ25" s="10"/>
      <c r="AK25" s="481"/>
      <c r="AL25" s="481"/>
    </row>
    <row r="26" spans="1:38" ht="15" customHeight="1" x14ac:dyDescent="0.3">
      <c r="A26" s="473" t="s">
        <v>22</v>
      </c>
      <c r="B26" s="2" t="s">
        <v>5944</v>
      </c>
      <c r="C26" s="6">
        <v>8</v>
      </c>
      <c r="D26" s="11" t="s">
        <v>143</v>
      </c>
      <c r="E26" s="431">
        <v>35692</v>
      </c>
      <c r="F26" s="12">
        <v>1997</v>
      </c>
      <c r="G26" s="13">
        <v>35723</v>
      </c>
      <c r="H26" s="142"/>
      <c r="I26" s="22" t="s">
        <v>264</v>
      </c>
      <c r="J26" s="32"/>
      <c r="K26" s="474" t="s">
        <v>323</v>
      </c>
      <c r="L26" s="474"/>
      <c r="M26" s="474"/>
      <c r="N26" s="474"/>
      <c r="O26" s="482"/>
      <c r="P26" s="476" t="s">
        <v>317</v>
      </c>
      <c r="Q26" s="15" t="s">
        <v>35</v>
      </c>
      <c r="R26" s="15"/>
      <c r="S26" s="16" t="s">
        <v>35</v>
      </c>
      <c r="T26" s="16"/>
      <c r="U26" s="484"/>
      <c r="V26" s="485"/>
      <c r="W26" s="243">
        <v>12190824</v>
      </c>
      <c r="X26" s="478"/>
      <c r="Y26" s="7">
        <f t="shared" si="0"/>
        <v>0</v>
      </c>
      <c r="Z26" s="478"/>
      <c r="AA26" s="469"/>
      <c r="AB26" s="479" t="s">
        <v>5945</v>
      </c>
      <c r="AC26" s="480"/>
      <c r="AD26" s="476">
        <v>0</v>
      </c>
      <c r="AE26" s="476"/>
      <c r="AF26" s="9">
        <f t="shared" si="1"/>
        <v>0</v>
      </c>
      <c r="AG26" s="476"/>
      <c r="AH26" s="475"/>
      <c r="AI26" s="476"/>
      <c r="AJ26" s="10"/>
      <c r="AK26" s="481"/>
      <c r="AL26" s="481"/>
    </row>
    <row r="27" spans="1:38" ht="15" customHeight="1" x14ac:dyDescent="0.3">
      <c r="A27" s="473" t="s">
        <v>22</v>
      </c>
      <c r="B27" s="2" t="s">
        <v>227</v>
      </c>
      <c r="C27" s="6">
        <v>3</v>
      </c>
      <c r="D27" s="11" t="s">
        <v>225</v>
      </c>
      <c r="E27" s="431">
        <v>35207</v>
      </c>
      <c r="F27" s="12">
        <v>1996</v>
      </c>
      <c r="G27" s="24"/>
      <c r="H27" s="142"/>
      <c r="I27" s="22" t="s">
        <v>264</v>
      </c>
      <c r="J27" s="32"/>
      <c r="K27" s="474" t="s">
        <v>311</v>
      </c>
      <c r="L27" s="474"/>
      <c r="M27" s="474"/>
      <c r="N27" s="474"/>
      <c r="O27" s="482"/>
      <c r="P27" s="476" t="s">
        <v>317</v>
      </c>
      <c r="Q27" s="15" t="s">
        <v>35</v>
      </c>
      <c r="R27" s="15"/>
      <c r="S27" s="16" t="s">
        <v>35</v>
      </c>
      <c r="T27" s="16"/>
      <c r="U27" s="484"/>
      <c r="V27" s="485"/>
      <c r="W27" s="243">
        <v>2000000</v>
      </c>
      <c r="X27" s="478"/>
      <c r="Y27" s="7">
        <f t="shared" si="0"/>
        <v>0</v>
      </c>
      <c r="Z27" s="478"/>
      <c r="AA27" s="469"/>
      <c r="AB27" s="500" t="s">
        <v>5953</v>
      </c>
      <c r="AC27" s="501"/>
      <c r="AD27" s="476">
        <v>0</v>
      </c>
      <c r="AE27" s="476"/>
      <c r="AF27" s="9">
        <f t="shared" si="1"/>
        <v>0</v>
      </c>
      <c r="AG27" s="476"/>
      <c r="AH27" s="475"/>
      <c r="AI27" s="476"/>
      <c r="AJ27" s="10"/>
      <c r="AK27" s="481"/>
      <c r="AL27" s="481"/>
    </row>
    <row r="28" spans="1:38" ht="15" customHeight="1" x14ac:dyDescent="0.3">
      <c r="A28" s="473" t="s">
        <v>22</v>
      </c>
      <c r="B28" s="2" t="s">
        <v>324</v>
      </c>
      <c r="C28" s="6">
        <v>2</v>
      </c>
      <c r="D28" s="11" t="s">
        <v>225</v>
      </c>
      <c r="E28" s="430">
        <v>35621</v>
      </c>
      <c r="F28" s="12">
        <v>1997</v>
      </c>
      <c r="G28" s="13">
        <v>35614</v>
      </c>
      <c r="H28" s="142"/>
      <c r="I28" s="22" t="s">
        <v>264</v>
      </c>
      <c r="J28" s="32"/>
      <c r="K28" s="474" t="s">
        <v>325</v>
      </c>
      <c r="L28" s="474"/>
      <c r="M28" s="474"/>
      <c r="N28" s="474"/>
      <c r="O28" s="475"/>
      <c r="P28" s="476" t="s">
        <v>317</v>
      </c>
      <c r="Q28" s="15" t="s">
        <v>35</v>
      </c>
      <c r="R28" s="15"/>
      <c r="S28" s="16" t="s">
        <v>35</v>
      </c>
      <c r="T28" s="16"/>
      <c r="U28" s="484"/>
      <c r="V28" s="485"/>
      <c r="W28" s="243">
        <v>2083294</v>
      </c>
      <c r="X28" s="478"/>
      <c r="Y28" s="7">
        <f t="shared" si="0"/>
        <v>0</v>
      </c>
      <c r="Z28" s="478"/>
      <c r="AA28" s="469"/>
      <c r="AB28" s="500" t="s">
        <v>5953</v>
      </c>
      <c r="AC28" s="501"/>
      <c r="AD28" s="476">
        <v>0</v>
      </c>
      <c r="AE28" s="476"/>
      <c r="AF28" s="9">
        <f t="shared" si="1"/>
        <v>0</v>
      </c>
      <c r="AG28" s="476"/>
      <c r="AH28" s="475"/>
      <c r="AI28" s="476"/>
      <c r="AJ28" s="10"/>
      <c r="AK28" s="481"/>
      <c r="AL28" s="481"/>
    </row>
    <row r="29" spans="1:38" ht="15" customHeight="1" x14ac:dyDescent="0.3">
      <c r="A29" s="473" t="s">
        <v>22</v>
      </c>
      <c r="B29" s="2" t="s">
        <v>324</v>
      </c>
      <c r="C29" s="6">
        <v>1</v>
      </c>
      <c r="D29" s="11" t="s">
        <v>225</v>
      </c>
      <c r="E29" s="430">
        <v>35621</v>
      </c>
      <c r="F29" s="12">
        <v>1997</v>
      </c>
      <c r="G29" s="13">
        <v>35614</v>
      </c>
      <c r="H29" s="142"/>
      <c r="I29" s="22" t="s">
        <v>264</v>
      </c>
      <c r="J29" s="32" t="s">
        <v>26</v>
      </c>
      <c r="K29" s="474" t="s">
        <v>326</v>
      </c>
      <c r="L29" s="474"/>
      <c r="M29" s="474"/>
      <c r="N29" s="474"/>
      <c r="O29" s="475" t="s">
        <v>327</v>
      </c>
      <c r="P29" s="476" t="s">
        <v>317</v>
      </c>
      <c r="Q29" s="15" t="s">
        <v>35</v>
      </c>
      <c r="R29" s="15"/>
      <c r="S29" s="16" t="s">
        <v>35</v>
      </c>
      <c r="T29" s="16"/>
      <c r="U29" s="484" t="s">
        <v>328</v>
      </c>
      <c r="V29" s="485"/>
      <c r="W29" s="243">
        <v>8059000</v>
      </c>
      <c r="X29" s="478"/>
      <c r="Y29" s="7">
        <f t="shared" si="0"/>
        <v>0</v>
      </c>
      <c r="Z29" s="478"/>
      <c r="AA29" s="469"/>
      <c r="AB29" s="500" t="s">
        <v>5953</v>
      </c>
      <c r="AC29" s="501"/>
      <c r="AD29" s="476">
        <v>0</v>
      </c>
      <c r="AE29" s="476"/>
      <c r="AF29" s="9">
        <f t="shared" si="1"/>
        <v>0</v>
      </c>
      <c r="AG29" s="476"/>
      <c r="AH29" s="475"/>
      <c r="AI29" s="476"/>
      <c r="AJ29" s="10"/>
      <c r="AK29" s="481"/>
      <c r="AL29" s="481"/>
    </row>
    <row r="30" spans="1:38" ht="15" customHeight="1" x14ac:dyDescent="0.3">
      <c r="A30" s="473" t="s">
        <v>22</v>
      </c>
      <c r="B30" s="2" t="s">
        <v>23</v>
      </c>
      <c r="C30" s="6">
        <v>8</v>
      </c>
      <c r="D30" s="11" t="s">
        <v>24</v>
      </c>
      <c r="E30" s="431">
        <v>35065</v>
      </c>
      <c r="F30" s="12">
        <v>1996</v>
      </c>
      <c r="G30" s="19"/>
      <c r="H30" s="142"/>
      <c r="I30" s="14" t="s">
        <v>285</v>
      </c>
      <c r="J30" s="32" t="s">
        <v>26</v>
      </c>
      <c r="K30" s="474" t="s">
        <v>329</v>
      </c>
      <c r="L30" s="474"/>
      <c r="M30" s="474"/>
      <c r="N30" s="474"/>
      <c r="O30" s="475"/>
      <c r="P30" s="476" t="s">
        <v>330</v>
      </c>
      <c r="Q30" s="15" t="s">
        <v>35</v>
      </c>
      <c r="R30" s="15"/>
      <c r="S30" s="16" t="s">
        <v>35</v>
      </c>
      <c r="T30" s="16"/>
      <c r="U30" s="484"/>
      <c r="V30" s="485"/>
      <c r="W30" s="243">
        <v>13941667</v>
      </c>
      <c r="X30" s="478"/>
      <c r="Y30" s="7">
        <f t="shared" si="0"/>
        <v>0</v>
      </c>
      <c r="Z30" s="478"/>
      <c r="AA30" s="469"/>
      <c r="AB30" s="479" t="s">
        <v>318</v>
      </c>
      <c r="AC30" s="480"/>
      <c r="AD30" s="498">
        <v>0</v>
      </c>
      <c r="AE30" s="498"/>
      <c r="AF30" s="9">
        <f t="shared" si="1"/>
        <v>0</v>
      </c>
      <c r="AG30" s="498"/>
      <c r="AH30" s="486"/>
      <c r="AI30" s="475" t="s">
        <v>331</v>
      </c>
      <c r="AJ30" s="10"/>
      <c r="AK30" s="481"/>
      <c r="AL30" s="481"/>
    </row>
    <row r="31" spans="1:38" ht="15" customHeight="1" x14ac:dyDescent="0.3">
      <c r="A31" s="473" t="s">
        <v>22</v>
      </c>
      <c r="B31" s="2" t="s">
        <v>23</v>
      </c>
      <c r="C31" s="6">
        <v>2</v>
      </c>
      <c r="D31" s="11" t="s">
        <v>24</v>
      </c>
      <c r="E31" s="430">
        <v>35261</v>
      </c>
      <c r="F31" s="12">
        <v>1996</v>
      </c>
      <c r="G31" s="13">
        <v>35213</v>
      </c>
      <c r="H31" s="142"/>
      <c r="I31" s="22" t="s">
        <v>264</v>
      </c>
      <c r="J31" s="32" t="s">
        <v>26</v>
      </c>
      <c r="K31" s="474" t="s">
        <v>332</v>
      </c>
      <c r="L31" s="474"/>
      <c r="M31" s="474"/>
      <c r="N31" s="474"/>
      <c r="O31" s="475" t="s">
        <v>333</v>
      </c>
      <c r="P31" s="476" t="s">
        <v>330</v>
      </c>
      <c r="Q31" s="15" t="s">
        <v>35</v>
      </c>
      <c r="R31" s="15"/>
      <c r="S31" s="16" t="s">
        <v>35</v>
      </c>
      <c r="T31" s="16"/>
      <c r="U31" s="484" t="s">
        <v>334</v>
      </c>
      <c r="V31" s="485"/>
      <c r="W31" s="243">
        <v>40970568</v>
      </c>
      <c r="X31" s="478"/>
      <c r="Y31" s="7">
        <f t="shared" si="0"/>
        <v>0</v>
      </c>
      <c r="Z31" s="478"/>
      <c r="AA31" s="469"/>
      <c r="AB31" s="487"/>
      <c r="AC31" s="488"/>
      <c r="AD31" s="59">
        <v>0</v>
      </c>
      <c r="AE31" s="59"/>
      <c r="AF31" s="9">
        <f t="shared" si="1"/>
        <v>0</v>
      </c>
      <c r="AG31" s="59"/>
      <c r="AH31" s="489"/>
      <c r="AI31" s="490"/>
      <c r="AJ31" s="475"/>
      <c r="AK31" s="491"/>
      <c r="AL31" s="10"/>
    </row>
    <row r="32" spans="1:38" ht="15" customHeight="1" x14ac:dyDescent="0.3">
      <c r="A32" s="473" t="s">
        <v>22</v>
      </c>
      <c r="B32" s="2" t="s">
        <v>105</v>
      </c>
      <c r="C32" s="6">
        <v>19</v>
      </c>
      <c r="D32" s="11" t="s">
        <v>5936</v>
      </c>
      <c r="E32" s="430">
        <v>35656</v>
      </c>
      <c r="F32" s="12">
        <v>1997</v>
      </c>
      <c r="G32" s="26" t="s">
        <v>335</v>
      </c>
      <c r="H32" s="142"/>
      <c r="I32" s="14" t="s">
        <v>285</v>
      </c>
      <c r="J32" s="32" t="s">
        <v>26</v>
      </c>
      <c r="K32" s="474" t="s">
        <v>286</v>
      </c>
      <c r="L32" s="474"/>
      <c r="M32" s="474"/>
      <c r="N32" s="474"/>
      <c r="O32" s="475"/>
      <c r="P32" s="476" t="s">
        <v>330</v>
      </c>
      <c r="Q32" s="15" t="s">
        <v>35</v>
      </c>
      <c r="R32" s="15"/>
      <c r="S32" s="16" t="s">
        <v>35</v>
      </c>
      <c r="T32" s="16"/>
      <c r="U32" s="484"/>
      <c r="V32" s="485"/>
      <c r="W32" s="243">
        <v>12060144</v>
      </c>
      <c r="X32" s="478"/>
      <c r="Y32" s="7">
        <f t="shared" si="0"/>
        <v>0</v>
      </c>
      <c r="Z32" s="478"/>
      <c r="AA32" s="469"/>
      <c r="AB32" s="479" t="s">
        <v>5946</v>
      </c>
      <c r="AC32" s="480"/>
      <c r="AD32" s="476">
        <v>0</v>
      </c>
      <c r="AE32" s="476"/>
      <c r="AF32" s="9">
        <f t="shared" si="1"/>
        <v>0</v>
      </c>
      <c r="AG32" s="476"/>
      <c r="AH32" s="475"/>
      <c r="AI32" s="476"/>
      <c r="AJ32" s="10"/>
      <c r="AK32" s="481"/>
      <c r="AL32" s="481"/>
    </row>
    <row r="33" spans="1:38" ht="15" customHeight="1" x14ac:dyDescent="0.3">
      <c r="A33" s="473" t="s">
        <v>22</v>
      </c>
      <c r="B33" s="2" t="s">
        <v>105</v>
      </c>
      <c r="C33" s="6">
        <v>13</v>
      </c>
      <c r="D33" s="11" t="s">
        <v>5936</v>
      </c>
      <c r="E33" s="431">
        <v>34716</v>
      </c>
      <c r="F33" s="12">
        <v>1995</v>
      </c>
      <c r="G33" s="13">
        <v>13295</v>
      </c>
      <c r="H33" s="142"/>
      <c r="I33" s="22" t="s">
        <v>264</v>
      </c>
      <c r="J33" s="32" t="s">
        <v>26</v>
      </c>
      <c r="K33" s="474" t="s">
        <v>336</v>
      </c>
      <c r="L33" s="474"/>
      <c r="M33" s="474"/>
      <c r="N33" s="474"/>
      <c r="O33" s="475" t="s">
        <v>337</v>
      </c>
      <c r="P33" s="476" t="s">
        <v>330</v>
      </c>
      <c r="Q33" s="15" t="s">
        <v>35</v>
      </c>
      <c r="R33" s="15"/>
      <c r="S33" s="16" t="s">
        <v>35</v>
      </c>
      <c r="T33" s="16"/>
      <c r="U33" s="484" t="s">
        <v>338</v>
      </c>
      <c r="V33" s="485"/>
      <c r="W33" s="243">
        <v>184158545</v>
      </c>
      <c r="X33" s="478"/>
      <c r="Y33" s="7">
        <f t="shared" si="0"/>
        <v>0</v>
      </c>
      <c r="Z33" s="478"/>
      <c r="AA33" s="469"/>
      <c r="AB33" s="479" t="s">
        <v>5937</v>
      </c>
      <c r="AC33" s="480"/>
      <c r="AD33" s="483">
        <v>0</v>
      </c>
      <c r="AE33" s="483"/>
      <c r="AF33" s="9">
        <f t="shared" si="1"/>
        <v>0</v>
      </c>
      <c r="AG33" s="483"/>
      <c r="AH33" s="486"/>
      <c r="AI33" s="475"/>
      <c r="AJ33" s="10"/>
      <c r="AK33" s="481"/>
      <c r="AL33" s="481"/>
    </row>
    <row r="34" spans="1:38" ht="15" customHeight="1" x14ac:dyDescent="0.3">
      <c r="A34" s="473" t="s">
        <v>22</v>
      </c>
      <c r="B34" s="2" t="s">
        <v>23</v>
      </c>
      <c r="C34" s="6">
        <v>10</v>
      </c>
      <c r="D34" s="11" t="s">
        <v>143</v>
      </c>
      <c r="E34" s="431">
        <v>35065</v>
      </c>
      <c r="F34" s="12">
        <v>1996</v>
      </c>
      <c r="G34" s="19"/>
      <c r="H34" s="142"/>
      <c r="I34" s="14" t="s">
        <v>285</v>
      </c>
      <c r="J34" s="502" t="s">
        <v>81</v>
      </c>
      <c r="K34" s="474" t="s">
        <v>329</v>
      </c>
      <c r="L34" s="474"/>
      <c r="M34" s="474"/>
      <c r="N34" s="474"/>
      <c r="O34" s="475" t="s">
        <v>339</v>
      </c>
      <c r="P34" s="476" t="s">
        <v>330</v>
      </c>
      <c r="Q34" s="15" t="s">
        <v>35</v>
      </c>
      <c r="R34" s="15"/>
      <c r="S34" s="16" t="s">
        <v>35</v>
      </c>
      <c r="T34" s="16"/>
      <c r="U34" s="484"/>
      <c r="V34" s="485"/>
      <c r="W34" s="243">
        <v>3508330</v>
      </c>
      <c r="X34" s="478"/>
      <c r="Y34" s="7">
        <f t="shared" si="0"/>
        <v>0</v>
      </c>
      <c r="Z34" s="478"/>
      <c r="AA34" s="469"/>
      <c r="AB34" s="479" t="s">
        <v>318</v>
      </c>
      <c r="AC34" s="480"/>
      <c r="AD34" s="498">
        <v>0</v>
      </c>
      <c r="AE34" s="498"/>
      <c r="AF34" s="9">
        <f t="shared" si="1"/>
        <v>0</v>
      </c>
      <c r="AG34" s="498"/>
      <c r="AH34" s="475"/>
      <c r="AI34" s="476"/>
      <c r="AJ34" s="10"/>
      <c r="AK34" s="481"/>
      <c r="AL34" s="481"/>
    </row>
    <row r="35" spans="1:38" ht="15" customHeight="1" x14ac:dyDescent="0.3">
      <c r="A35" s="473" t="s">
        <v>22</v>
      </c>
      <c r="B35" s="2" t="s">
        <v>320</v>
      </c>
      <c r="C35" s="6" t="s">
        <v>340</v>
      </c>
      <c r="D35" s="11" t="s">
        <v>143</v>
      </c>
      <c r="E35" s="430">
        <v>35988</v>
      </c>
      <c r="F35" s="12">
        <v>1998</v>
      </c>
      <c r="G35" s="24"/>
      <c r="H35" s="142"/>
      <c r="I35" s="22" t="s">
        <v>264</v>
      </c>
      <c r="J35" s="32" t="s">
        <v>26</v>
      </c>
      <c r="K35" s="474" t="s">
        <v>341</v>
      </c>
      <c r="L35" s="474"/>
      <c r="M35" s="474"/>
      <c r="N35" s="474"/>
      <c r="O35" s="475"/>
      <c r="P35" s="476" t="s">
        <v>330</v>
      </c>
      <c r="Q35" s="15" t="s">
        <v>35</v>
      </c>
      <c r="R35" s="15"/>
      <c r="S35" s="16" t="s">
        <v>35</v>
      </c>
      <c r="T35" s="16"/>
      <c r="U35" s="484"/>
      <c r="V35" s="485"/>
      <c r="W35" s="243">
        <v>36595183</v>
      </c>
      <c r="X35" s="478"/>
      <c r="Y35" s="7">
        <f t="shared" si="0"/>
        <v>0</v>
      </c>
      <c r="Z35" s="478"/>
      <c r="AA35" s="469"/>
      <c r="AB35" s="503" t="s">
        <v>6055</v>
      </c>
      <c r="AC35" s="222"/>
      <c r="AD35" s="476">
        <v>0</v>
      </c>
      <c r="AE35" s="476"/>
      <c r="AF35" s="9">
        <f t="shared" si="1"/>
        <v>0</v>
      </c>
      <c r="AG35" s="476"/>
      <c r="AH35" s="475" t="s">
        <v>342</v>
      </c>
      <c r="AI35" s="476"/>
      <c r="AJ35" s="10"/>
      <c r="AK35" s="481"/>
      <c r="AL35" s="481"/>
    </row>
    <row r="36" spans="1:38" ht="15" customHeight="1" x14ac:dyDescent="0.3">
      <c r="A36" s="473" t="s">
        <v>22</v>
      </c>
      <c r="B36" s="2" t="s">
        <v>227</v>
      </c>
      <c r="C36" s="6">
        <v>6</v>
      </c>
      <c r="D36" s="11" t="s">
        <v>225</v>
      </c>
      <c r="E36" s="431">
        <v>35102</v>
      </c>
      <c r="F36" s="12">
        <v>1996</v>
      </c>
      <c r="G36" s="19"/>
      <c r="H36" s="142"/>
      <c r="I36" s="14" t="s">
        <v>285</v>
      </c>
      <c r="J36" s="32" t="s">
        <v>26</v>
      </c>
      <c r="K36" s="474" t="s">
        <v>343</v>
      </c>
      <c r="L36" s="474"/>
      <c r="M36" s="474"/>
      <c r="N36" s="474"/>
      <c r="O36" s="497" t="s">
        <v>344</v>
      </c>
      <c r="P36" s="476" t="s">
        <v>330</v>
      </c>
      <c r="Q36" s="15" t="s">
        <v>35</v>
      </c>
      <c r="R36" s="15"/>
      <c r="S36" s="16" t="s">
        <v>35</v>
      </c>
      <c r="T36" s="16"/>
      <c r="U36" s="484"/>
      <c r="V36" s="485"/>
      <c r="W36" s="243">
        <v>14445556</v>
      </c>
      <c r="X36" s="478"/>
      <c r="Y36" s="7">
        <f t="shared" si="0"/>
        <v>0</v>
      </c>
      <c r="Z36" s="478"/>
      <c r="AA36" s="469"/>
      <c r="AB36" s="504" t="s">
        <v>6115</v>
      </c>
      <c r="AC36" s="138"/>
      <c r="AD36" s="476">
        <v>0</v>
      </c>
      <c r="AE36" s="476"/>
      <c r="AF36" s="9">
        <f t="shared" si="1"/>
        <v>0</v>
      </c>
      <c r="AG36" s="476"/>
      <c r="AH36" s="486"/>
      <c r="AI36" s="475"/>
      <c r="AJ36" s="10"/>
      <c r="AK36" s="481"/>
      <c r="AL36" s="481"/>
    </row>
    <row r="37" spans="1:38" ht="15" customHeight="1" x14ac:dyDescent="0.3">
      <c r="A37" s="473" t="s">
        <v>22</v>
      </c>
      <c r="B37" s="2" t="s">
        <v>345</v>
      </c>
      <c r="C37" s="6" t="s">
        <v>346</v>
      </c>
      <c r="D37" s="11" t="s">
        <v>225</v>
      </c>
      <c r="E37" s="430">
        <v>36290</v>
      </c>
      <c r="F37" s="12">
        <v>1999</v>
      </c>
      <c r="G37" s="19">
        <v>69</v>
      </c>
      <c r="H37" s="142"/>
      <c r="I37" s="22" t="s">
        <v>264</v>
      </c>
      <c r="J37" s="32" t="s">
        <v>26</v>
      </c>
      <c r="K37" s="474" t="s">
        <v>347</v>
      </c>
      <c r="L37" s="474"/>
      <c r="M37" s="474"/>
      <c r="N37" s="474"/>
      <c r="O37" s="475" t="s">
        <v>348</v>
      </c>
      <c r="P37" s="492" t="s">
        <v>349</v>
      </c>
      <c r="Q37" s="15" t="s">
        <v>35</v>
      </c>
      <c r="R37" s="15"/>
      <c r="S37" s="16" t="s">
        <v>35</v>
      </c>
      <c r="T37" s="16"/>
      <c r="U37" s="484"/>
      <c r="V37" s="485"/>
      <c r="W37" s="243">
        <v>1853099.67</v>
      </c>
      <c r="X37" s="478"/>
      <c r="Y37" s="7">
        <f t="shared" si="0"/>
        <v>0</v>
      </c>
      <c r="Z37" s="478"/>
      <c r="AA37" s="469"/>
      <c r="AB37" s="487"/>
      <c r="AC37" s="488"/>
      <c r="AD37" s="59">
        <v>0</v>
      </c>
      <c r="AE37" s="59"/>
      <c r="AF37" s="9">
        <f t="shared" si="1"/>
        <v>0</v>
      </c>
      <c r="AG37" s="59"/>
      <c r="AH37" s="489"/>
      <c r="AI37" s="490" t="s">
        <v>350</v>
      </c>
      <c r="AJ37" s="475"/>
      <c r="AK37" s="491"/>
      <c r="AL37" s="10"/>
    </row>
    <row r="38" spans="1:38" ht="15" customHeight="1" x14ac:dyDescent="0.3">
      <c r="A38" s="473" t="s">
        <v>22</v>
      </c>
      <c r="B38" s="2" t="s">
        <v>23</v>
      </c>
      <c r="C38" s="6">
        <v>1</v>
      </c>
      <c r="D38" s="11" t="s">
        <v>24</v>
      </c>
      <c r="E38" s="431">
        <v>35065</v>
      </c>
      <c r="F38" s="12">
        <v>1996</v>
      </c>
      <c r="G38" s="19"/>
      <c r="H38" s="142"/>
      <c r="I38" s="14" t="s">
        <v>285</v>
      </c>
      <c r="J38" s="32"/>
      <c r="K38" s="474" t="s">
        <v>329</v>
      </c>
      <c r="L38" s="474"/>
      <c r="M38" s="474"/>
      <c r="N38" s="474"/>
      <c r="O38" s="475"/>
      <c r="P38" s="476" t="s">
        <v>44</v>
      </c>
      <c r="Q38" s="15" t="s">
        <v>282</v>
      </c>
      <c r="R38" s="15"/>
      <c r="S38" s="16" t="s">
        <v>44</v>
      </c>
      <c r="T38" s="16"/>
      <c r="U38" s="484"/>
      <c r="V38" s="485"/>
      <c r="W38" s="243"/>
      <c r="X38" s="478"/>
      <c r="Y38" s="7">
        <f t="shared" si="0"/>
        <v>0</v>
      </c>
      <c r="Z38" s="478"/>
      <c r="AA38" s="469"/>
      <c r="AB38" s="479" t="s">
        <v>318</v>
      </c>
      <c r="AC38" s="480"/>
      <c r="AD38" s="498">
        <v>0</v>
      </c>
      <c r="AE38" s="498"/>
      <c r="AF38" s="9">
        <f t="shared" si="1"/>
        <v>0</v>
      </c>
      <c r="AG38" s="498"/>
      <c r="AH38" s="475"/>
      <c r="AI38" s="476"/>
      <c r="AJ38" s="10"/>
      <c r="AK38" s="481"/>
      <c r="AL38" s="481"/>
    </row>
    <row r="39" spans="1:38" ht="15" customHeight="1" x14ac:dyDescent="0.3">
      <c r="A39" s="473" t="s">
        <v>22</v>
      </c>
      <c r="B39" s="2" t="s">
        <v>105</v>
      </c>
      <c r="C39" s="6">
        <v>15</v>
      </c>
      <c r="D39" s="11" t="s">
        <v>5936</v>
      </c>
      <c r="E39" s="430">
        <v>35833</v>
      </c>
      <c r="F39" s="12">
        <v>1998</v>
      </c>
      <c r="G39" s="13">
        <v>9000</v>
      </c>
      <c r="H39" s="505" t="s">
        <v>4</v>
      </c>
      <c r="I39" s="22" t="s">
        <v>264</v>
      </c>
      <c r="J39" s="32"/>
      <c r="K39" s="474" t="s">
        <v>351</v>
      </c>
      <c r="L39" s="474"/>
      <c r="M39" s="474"/>
      <c r="N39" s="474"/>
      <c r="O39" s="475"/>
      <c r="P39" s="476" t="s">
        <v>44</v>
      </c>
      <c r="Q39" s="15" t="s">
        <v>282</v>
      </c>
      <c r="R39" s="15"/>
      <c r="S39" s="16"/>
      <c r="T39" s="16"/>
      <c r="U39" s="484"/>
      <c r="V39" s="485"/>
      <c r="W39" s="243"/>
      <c r="X39" s="478"/>
      <c r="Y39" s="7">
        <f t="shared" si="0"/>
        <v>0</v>
      </c>
      <c r="Z39" s="478"/>
      <c r="AA39" s="469"/>
      <c r="AB39" s="479" t="s">
        <v>5937</v>
      </c>
      <c r="AC39" s="480"/>
      <c r="AD39" s="476">
        <v>0</v>
      </c>
      <c r="AE39" s="476"/>
      <c r="AF39" s="9">
        <f t="shared" si="1"/>
        <v>0</v>
      </c>
      <c r="AG39" s="476"/>
      <c r="AH39" s="475"/>
      <c r="AI39" s="476"/>
      <c r="AJ39" s="10"/>
      <c r="AK39" s="481"/>
      <c r="AL39" s="481"/>
    </row>
    <row r="40" spans="1:38" ht="15" customHeight="1" x14ac:dyDescent="0.3">
      <c r="A40" s="473" t="s">
        <v>22</v>
      </c>
      <c r="B40" s="2" t="s">
        <v>105</v>
      </c>
      <c r="C40" s="6">
        <v>15</v>
      </c>
      <c r="D40" s="11" t="s">
        <v>5936</v>
      </c>
      <c r="E40" s="430">
        <v>35754</v>
      </c>
      <c r="F40" s="12">
        <v>1997</v>
      </c>
      <c r="G40" s="24">
        <v>9435</v>
      </c>
      <c r="H40" s="506"/>
      <c r="I40" s="22" t="s">
        <v>264</v>
      </c>
      <c r="J40" s="32"/>
      <c r="K40" s="474" t="s">
        <v>351</v>
      </c>
      <c r="L40" s="474"/>
      <c r="M40" s="474"/>
      <c r="N40" s="474"/>
      <c r="O40" s="475"/>
      <c r="P40" s="476" t="s">
        <v>44</v>
      </c>
      <c r="Q40" s="15" t="s">
        <v>282</v>
      </c>
      <c r="R40" s="15"/>
      <c r="S40" s="16" t="s">
        <v>5947</v>
      </c>
      <c r="T40" s="16"/>
      <c r="U40" s="484"/>
      <c r="V40" s="485"/>
      <c r="W40" s="243"/>
      <c r="X40" s="478"/>
      <c r="Y40" s="7">
        <f t="shared" si="0"/>
        <v>0</v>
      </c>
      <c r="Z40" s="478"/>
      <c r="AA40" s="469"/>
      <c r="AB40" s="479" t="s">
        <v>5937</v>
      </c>
      <c r="AC40" s="480"/>
      <c r="AD40" s="476">
        <v>0</v>
      </c>
      <c r="AE40" s="476"/>
      <c r="AF40" s="9">
        <f t="shared" si="1"/>
        <v>0</v>
      </c>
      <c r="AG40" s="476"/>
      <c r="AH40" s="475"/>
      <c r="AI40" s="476"/>
      <c r="AJ40" s="10"/>
      <c r="AK40" s="481"/>
      <c r="AL40" s="481"/>
    </row>
    <row r="41" spans="1:38" ht="15" customHeight="1" x14ac:dyDescent="0.3">
      <c r="A41" s="473" t="s">
        <v>22</v>
      </c>
      <c r="B41" s="2" t="s">
        <v>105</v>
      </c>
      <c r="C41" s="6">
        <v>11</v>
      </c>
      <c r="D41" s="11" t="s">
        <v>5936</v>
      </c>
      <c r="E41" s="430">
        <v>34030</v>
      </c>
      <c r="F41" s="12">
        <v>1993</v>
      </c>
      <c r="G41" s="24">
        <v>980155</v>
      </c>
      <c r="H41" s="506"/>
      <c r="I41" s="22" t="s">
        <v>264</v>
      </c>
      <c r="J41" s="32"/>
      <c r="K41" s="474" t="s">
        <v>351</v>
      </c>
      <c r="L41" s="474"/>
      <c r="M41" s="474"/>
      <c r="N41" s="474"/>
      <c r="O41" s="475"/>
      <c r="P41" s="476" t="s">
        <v>44</v>
      </c>
      <c r="Q41" s="15" t="s">
        <v>282</v>
      </c>
      <c r="R41" s="15"/>
      <c r="S41" s="16"/>
      <c r="T41" s="16"/>
      <c r="U41" s="484"/>
      <c r="V41" s="485"/>
      <c r="W41" s="243"/>
      <c r="X41" s="478"/>
      <c r="Y41" s="7">
        <f t="shared" si="0"/>
        <v>0</v>
      </c>
      <c r="Z41" s="478"/>
      <c r="AA41" s="469"/>
      <c r="AB41" s="479" t="s">
        <v>5937</v>
      </c>
      <c r="AC41" s="480"/>
      <c r="AD41" s="476">
        <v>0</v>
      </c>
      <c r="AE41" s="476"/>
      <c r="AF41" s="9">
        <f t="shared" si="1"/>
        <v>0</v>
      </c>
      <c r="AG41" s="476"/>
      <c r="AH41" s="475"/>
      <c r="AI41" s="476"/>
      <c r="AJ41" s="10"/>
      <c r="AK41" s="481"/>
      <c r="AL41" s="481"/>
    </row>
    <row r="42" spans="1:38" ht="15" customHeight="1" x14ac:dyDescent="0.3">
      <c r="A42" s="473" t="s">
        <v>22</v>
      </c>
      <c r="B42" s="2" t="s">
        <v>105</v>
      </c>
      <c r="C42" s="6">
        <v>10</v>
      </c>
      <c r="D42" s="11" t="s">
        <v>5936</v>
      </c>
      <c r="E42" s="430">
        <v>35338</v>
      </c>
      <c r="F42" s="12">
        <v>1996</v>
      </c>
      <c r="G42" s="13" t="s">
        <v>352</v>
      </c>
      <c r="H42" s="507"/>
      <c r="I42" s="22" t="s">
        <v>264</v>
      </c>
      <c r="J42" s="32"/>
      <c r="K42" s="474" t="s">
        <v>351</v>
      </c>
      <c r="L42" s="474"/>
      <c r="M42" s="474"/>
      <c r="N42" s="474"/>
      <c r="O42" s="475"/>
      <c r="P42" s="476" t="s">
        <v>44</v>
      </c>
      <c r="Q42" s="15" t="s">
        <v>282</v>
      </c>
      <c r="R42" s="15"/>
      <c r="S42" s="16"/>
      <c r="T42" s="16"/>
      <c r="U42" s="484"/>
      <c r="V42" s="485"/>
      <c r="W42" s="243"/>
      <c r="X42" s="478"/>
      <c r="Y42" s="7">
        <f t="shared" si="0"/>
        <v>0</v>
      </c>
      <c r="Z42" s="478"/>
      <c r="AA42" s="469"/>
      <c r="AB42" s="479" t="s">
        <v>5937</v>
      </c>
      <c r="AC42" s="480"/>
      <c r="AD42" s="476">
        <v>0</v>
      </c>
      <c r="AE42" s="476"/>
      <c r="AF42" s="9">
        <f t="shared" si="1"/>
        <v>0</v>
      </c>
      <c r="AG42" s="476"/>
      <c r="AH42" s="475"/>
      <c r="AI42" s="476"/>
      <c r="AJ42" s="10"/>
      <c r="AK42" s="481"/>
      <c r="AL42" s="481"/>
    </row>
    <row r="43" spans="1:38" ht="15" customHeight="1" x14ac:dyDescent="0.3">
      <c r="A43" s="473" t="s">
        <v>22</v>
      </c>
      <c r="B43" s="2" t="s">
        <v>105</v>
      </c>
      <c r="C43" s="6">
        <v>2</v>
      </c>
      <c r="D43" s="11" t="s">
        <v>5936</v>
      </c>
      <c r="E43" s="430">
        <v>35391</v>
      </c>
      <c r="F43" s="12">
        <v>1996</v>
      </c>
      <c r="G43" s="13">
        <v>52239</v>
      </c>
      <c r="H43" s="506"/>
      <c r="I43" s="22" t="s">
        <v>264</v>
      </c>
      <c r="J43" s="32"/>
      <c r="K43" s="474" t="s">
        <v>353</v>
      </c>
      <c r="L43" s="474"/>
      <c r="M43" s="474"/>
      <c r="N43" s="474"/>
      <c r="O43" s="475"/>
      <c r="P43" s="476" t="s">
        <v>44</v>
      </c>
      <c r="Q43" s="15" t="s">
        <v>282</v>
      </c>
      <c r="R43" s="15"/>
      <c r="S43" s="16"/>
      <c r="T43" s="16"/>
      <c r="U43" s="484"/>
      <c r="V43" s="485"/>
      <c r="W43" s="243"/>
      <c r="X43" s="478"/>
      <c r="Y43" s="7">
        <f t="shared" si="0"/>
        <v>0</v>
      </c>
      <c r="Z43" s="478"/>
      <c r="AA43" s="469"/>
      <c r="AB43" s="479" t="s">
        <v>5937</v>
      </c>
      <c r="AC43" s="480"/>
      <c r="AD43" s="476">
        <v>0</v>
      </c>
      <c r="AE43" s="476"/>
      <c r="AF43" s="9">
        <f t="shared" si="1"/>
        <v>0</v>
      </c>
      <c r="AG43" s="476"/>
      <c r="AH43" s="475"/>
      <c r="AI43" s="476"/>
      <c r="AJ43" s="10"/>
      <c r="AK43" s="481"/>
      <c r="AL43" s="481"/>
    </row>
    <row r="44" spans="1:38" ht="15" customHeight="1" x14ac:dyDescent="0.3">
      <c r="A44" s="473" t="s">
        <v>22</v>
      </c>
      <c r="B44" s="2" t="s">
        <v>105</v>
      </c>
      <c r="C44" s="6">
        <v>1</v>
      </c>
      <c r="D44" s="11" t="s">
        <v>5936</v>
      </c>
      <c r="E44" s="430">
        <v>35836</v>
      </c>
      <c r="F44" s="12">
        <v>1998</v>
      </c>
      <c r="G44" s="24">
        <v>58294</v>
      </c>
      <c r="H44" s="142"/>
      <c r="I44" s="22" t="s">
        <v>264</v>
      </c>
      <c r="J44" s="32"/>
      <c r="K44" s="474" t="s">
        <v>351</v>
      </c>
      <c r="L44" s="474"/>
      <c r="M44" s="474"/>
      <c r="N44" s="474"/>
      <c r="O44" s="475"/>
      <c r="P44" s="476" t="s">
        <v>44</v>
      </c>
      <c r="Q44" s="15" t="s">
        <v>282</v>
      </c>
      <c r="R44" s="15"/>
      <c r="S44" s="16"/>
      <c r="T44" s="16"/>
      <c r="U44" s="484"/>
      <c r="V44" s="485"/>
      <c r="W44" s="243"/>
      <c r="X44" s="478"/>
      <c r="Y44" s="7">
        <f t="shared" si="0"/>
        <v>0</v>
      </c>
      <c r="Z44" s="478"/>
      <c r="AA44" s="469"/>
      <c r="AB44" s="479" t="s">
        <v>5937</v>
      </c>
      <c r="AC44" s="480"/>
      <c r="AD44" s="476">
        <v>0</v>
      </c>
      <c r="AE44" s="476"/>
      <c r="AF44" s="9">
        <f t="shared" si="1"/>
        <v>0</v>
      </c>
      <c r="AG44" s="476"/>
      <c r="AH44" s="475"/>
      <c r="AI44" s="476"/>
      <c r="AJ44" s="10"/>
      <c r="AK44" s="481"/>
      <c r="AL44" s="481"/>
    </row>
    <row r="45" spans="1:38" ht="15" customHeight="1" x14ac:dyDescent="0.3">
      <c r="A45" s="473" t="s">
        <v>22</v>
      </c>
      <c r="B45" s="29" t="s">
        <v>148</v>
      </c>
      <c r="C45" s="6">
        <v>1</v>
      </c>
      <c r="D45" s="11" t="s">
        <v>5936</v>
      </c>
      <c r="E45" s="430">
        <v>34206</v>
      </c>
      <c r="F45" s="12">
        <v>1993</v>
      </c>
      <c r="G45" s="19"/>
      <c r="H45" s="142"/>
      <c r="I45" s="14" t="s">
        <v>285</v>
      </c>
      <c r="J45" s="32" t="s">
        <v>26</v>
      </c>
      <c r="K45" s="474" t="s">
        <v>354</v>
      </c>
      <c r="L45" s="474"/>
      <c r="M45" s="474"/>
      <c r="N45" s="474"/>
      <c r="O45" s="475"/>
      <c r="P45" s="476" t="s">
        <v>44</v>
      </c>
      <c r="Q45" s="15" t="s">
        <v>282</v>
      </c>
      <c r="R45" s="15"/>
      <c r="S45" s="16" t="s">
        <v>44</v>
      </c>
      <c r="T45" s="16"/>
      <c r="U45" s="484"/>
      <c r="V45" s="485"/>
      <c r="W45" s="243"/>
      <c r="X45" s="478"/>
      <c r="Y45" s="7">
        <f t="shared" si="0"/>
        <v>0</v>
      </c>
      <c r="Z45" s="478"/>
      <c r="AA45" s="469"/>
      <c r="AB45" s="479" t="s">
        <v>355</v>
      </c>
      <c r="AC45" s="480"/>
      <c r="AD45" s="476">
        <v>0</v>
      </c>
      <c r="AE45" s="476"/>
      <c r="AF45" s="9">
        <f t="shared" si="1"/>
        <v>0</v>
      </c>
      <c r="AG45" s="476"/>
      <c r="AH45" s="475"/>
      <c r="AI45" s="476"/>
      <c r="AJ45" s="10"/>
      <c r="AK45" s="481"/>
      <c r="AL45" s="481"/>
    </row>
    <row r="46" spans="1:38" ht="15" customHeight="1" x14ac:dyDescent="0.3">
      <c r="A46" s="473" t="s">
        <v>22</v>
      </c>
      <c r="B46" s="2" t="s">
        <v>5942</v>
      </c>
      <c r="C46" s="6" t="s">
        <v>356</v>
      </c>
      <c r="D46" s="11" t="s">
        <v>143</v>
      </c>
      <c r="E46" s="430"/>
      <c r="F46" s="27"/>
      <c r="G46" s="24"/>
      <c r="H46" s="507"/>
      <c r="I46" s="22" t="s">
        <v>264</v>
      </c>
      <c r="J46" s="32"/>
      <c r="K46" s="474" t="s">
        <v>347</v>
      </c>
      <c r="L46" s="474"/>
      <c r="M46" s="474"/>
      <c r="N46" s="474"/>
      <c r="O46" s="475"/>
      <c r="P46" s="476" t="s">
        <v>44</v>
      </c>
      <c r="Q46" s="15" t="s">
        <v>282</v>
      </c>
      <c r="R46" s="15"/>
      <c r="S46" s="16"/>
      <c r="T46" s="16"/>
      <c r="U46" s="484"/>
      <c r="V46" s="485"/>
      <c r="W46" s="243"/>
      <c r="X46" s="478"/>
      <c r="Y46" s="7">
        <f t="shared" si="0"/>
        <v>0</v>
      </c>
      <c r="Z46" s="478"/>
      <c r="AA46" s="469"/>
      <c r="AB46" s="509"/>
      <c r="AC46" s="510"/>
      <c r="AD46" s="511">
        <v>0</v>
      </c>
      <c r="AE46" s="511"/>
      <c r="AF46" s="9">
        <f t="shared" si="1"/>
        <v>0</v>
      </c>
      <c r="AG46" s="511"/>
      <c r="AH46" s="475"/>
      <c r="AI46" s="476"/>
      <c r="AJ46" s="10"/>
      <c r="AK46" s="481"/>
      <c r="AL46" s="481"/>
    </row>
    <row r="47" spans="1:38" ht="15" customHeight="1" x14ac:dyDescent="0.3">
      <c r="A47" s="473" t="s">
        <v>22</v>
      </c>
      <c r="B47" s="29" t="s">
        <v>5948</v>
      </c>
      <c r="C47" s="6" t="s">
        <v>357</v>
      </c>
      <c r="D47" s="11" t="s">
        <v>225</v>
      </c>
      <c r="E47" s="430"/>
      <c r="F47" s="27"/>
      <c r="G47" s="24"/>
      <c r="H47" s="142"/>
      <c r="I47" s="22" t="s">
        <v>264</v>
      </c>
      <c r="J47" s="32"/>
      <c r="K47" s="474" t="s">
        <v>358</v>
      </c>
      <c r="L47" s="474"/>
      <c r="M47" s="474"/>
      <c r="N47" s="474"/>
      <c r="O47" s="482"/>
      <c r="P47" s="476" t="s">
        <v>44</v>
      </c>
      <c r="Q47" s="15" t="s">
        <v>282</v>
      </c>
      <c r="R47" s="15"/>
      <c r="S47" s="16"/>
      <c r="T47" s="16"/>
      <c r="U47" s="484"/>
      <c r="V47" s="485"/>
      <c r="W47" s="243"/>
      <c r="X47" s="478"/>
      <c r="Y47" s="7">
        <f t="shared" si="0"/>
        <v>0</v>
      </c>
      <c r="Z47" s="478"/>
      <c r="AA47" s="469"/>
      <c r="AB47" s="479" t="s">
        <v>5949</v>
      </c>
      <c r="AC47" s="480"/>
      <c r="AD47" s="476">
        <v>0</v>
      </c>
      <c r="AE47" s="476"/>
      <c r="AF47" s="9">
        <f t="shared" si="1"/>
        <v>0</v>
      </c>
      <c r="AG47" s="476"/>
      <c r="AH47" s="475"/>
      <c r="AI47" s="476"/>
      <c r="AJ47" s="10"/>
      <c r="AK47" s="481"/>
      <c r="AL47" s="481"/>
    </row>
    <row r="48" spans="1:38" ht="15" customHeight="1" x14ac:dyDescent="0.3">
      <c r="A48" s="473" t="s">
        <v>22</v>
      </c>
      <c r="B48" s="2"/>
      <c r="C48" s="6">
        <v>4</v>
      </c>
      <c r="D48" s="11" t="s">
        <v>190</v>
      </c>
      <c r="E48" s="431">
        <v>34451</v>
      </c>
      <c r="F48" s="12">
        <v>1994</v>
      </c>
      <c r="G48" s="13">
        <v>34204</v>
      </c>
      <c r="H48" s="142"/>
      <c r="I48" s="22" t="s">
        <v>264</v>
      </c>
      <c r="J48" s="32"/>
      <c r="K48" s="474" t="s">
        <v>314</v>
      </c>
      <c r="L48" s="474"/>
      <c r="M48" s="474"/>
      <c r="N48" s="474"/>
      <c r="O48" s="475"/>
      <c r="P48" s="476" t="s">
        <v>359</v>
      </c>
      <c r="Q48" s="15" t="s">
        <v>35</v>
      </c>
      <c r="R48" s="15"/>
      <c r="S48" s="16" t="s">
        <v>44</v>
      </c>
      <c r="T48" s="16"/>
      <c r="U48" s="484" t="s">
        <v>301</v>
      </c>
      <c r="V48" s="485"/>
      <c r="W48" s="243"/>
      <c r="X48" s="478"/>
      <c r="Y48" s="7">
        <f t="shared" si="0"/>
        <v>0</v>
      </c>
      <c r="Z48" s="478"/>
      <c r="AA48" s="469"/>
      <c r="AB48" s="479" t="s">
        <v>5937</v>
      </c>
      <c r="AC48" s="480"/>
      <c r="AD48" s="476">
        <v>0</v>
      </c>
      <c r="AE48" s="476"/>
      <c r="AF48" s="9">
        <f t="shared" si="1"/>
        <v>0</v>
      </c>
      <c r="AG48" s="476"/>
      <c r="AH48" s="475"/>
      <c r="AI48" s="476"/>
      <c r="AJ48" s="10"/>
      <c r="AK48" s="481"/>
      <c r="AL48" s="481"/>
    </row>
    <row r="49" spans="1:38" ht="15" customHeight="1" x14ac:dyDescent="0.3">
      <c r="A49" s="473" t="s">
        <v>22</v>
      </c>
      <c r="B49" s="2" t="s">
        <v>142</v>
      </c>
      <c r="C49" s="6">
        <v>1</v>
      </c>
      <c r="D49" s="11" t="s">
        <v>143</v>
      </c>
      <c r="E49" s="430"/>
      <c r="F49" s="12"/>
      <c r="G49" s="24" t="s">
        <v>360</v>
      </c>
      <c r="H49" s="142"/>
      <c r="I49" s="22" t="s">
        <v>264</v>
      </c>
      <c r="J49" s="32"/>
      <c r="K49" s="474" t="s">
        <v>361</v>
      </c>
      <c r="L49" s="474"/>
      <c r="M49" s="474"/>
      <c r="N49" s="474"/>
      <c r="O49" s="475"/>
      <c r="P49" s="476" t="s">
        <v>359</v>
      </c>
      <c r="Q49" s="15" t="s">
        <v>362</v>
      </c>
      <c r="R49" s="15"/>
      <c r="S49" s="16" t="s">
        <v>363</v>
      </c>
      <c r="T49" s="16"/>
      <c r="U49" s="484"/>
      <c r="V49" s="485"/>
      <c r="W49" s="243"/>
      <c r="X49" s="478"/>
      <c r="Y49" s="7">
        <f t="shared" si="0"/>
        <v>0</v>
      </c>
      <c r="Z49" s="478"/>
      <c r="AA49" s="469"/>
      <c r="AB49" s="500" t="s">
        <v>5962</v>
      </c>
      <c r="AC49" s="501"/>
      <c r="AD49" s="476">
        <v>0</v>
      </c>
      <c r="AE49" s="476"/>
      <c r="AF49" s="9">
        <f t="shared" si="1"/>
        <v>0</v>
      </c>
      <c r="AG49" s="476"/>
      <c r="AH49" s="475"/>
      <c r="AI49" s="476"/>
      <c r="AJ49" s="10"/>
      <c r="AK49" s="481"/>
      <c r="AL49" s="481"/>
    </row>
    <row r="50" spans="1:38" ht="15" customHeight="1" x14ac:dyDescent="0.3">
      <c r="A50" s="473" t="s">
        <v>22</v>
      </c>
      <c r="B50" s="2" t="s">
        <v>23</v>
      </c>
      <c r="C50" s="6">
        <v>1</v>
      </c>
      <c r="D50" s="11" t="s">
        <v>24</v>
      </c>
      <c r="E50" s="430">
        <v>34198</v>
      </c>
      <c r="F50" s="12">
        <v>1993</v>
      </c>
      <c r="G50" s="19"/>
      <c r="H50" s="142"/>
      <c r="I50" s="14" t="s">
        <v>285</v>
      </c>
      <c r="J50" s="32"/>
      <c r="K50" s="474" t="s">
        <v>302</v>
      </c>
      <c r="L50" s="474"/>
      <c r="M50" s="474"/>
      <c r="N50" s="474"/>
      <c r="O50" s="475"/>
      <c r="P50" s="476" t="s">
        <v>364</v>
      </c>
      <c r="Q50" s="15" t="s">
        <v>282</v>
      </c>
      <c r="R50" s="15"/>
      <c r="S50" s="16" t="s">
        <v>44</v>
      </c>
      <c r="T50" s="16"/>
      <c r="U50" s="484"/>
      <c r="V50" s="485"/>
      <c r="W50" s="243"/>
      <c r="X50" s="478"/>
      <c r="Y50" s="7">
        <f t="shared" si="0"/>
        <v>0</v>
      </c>
      <c r="Z50" s="478"/>
      <c r="AA50" s="469"/>
      <c r="AB50" s="479" t="s">
        <v>318</v>
      </c>
      <c r="AC50" s="480"/>
      <c r="AD50" s="476">
        <v>0</v>
      </c>
      <c r="AE50" s="476"/>
      <c r="AF50" s="9">
        <f t="shared" si="1"/>
        <v>0</v>
      </c>
      <c r="AG50" s="476"/>
      <c r="AH50" s="475"/>
      <c r="AI50" s="476"/>
      <c r="AJ50" s="10"/>
      <c r="AK50" s="481"/>
      <c r="AL50" s="481"/>
    </row>
    <row r="51" spans="1:38" ht="15" customHeight="1" x14ac:dyDescent="0.3">
      <c r="A51" s="473" t="s">
        <v>22</v>
      </c>
      <c r="B51" s="2" t="s">
        <v>23</v>
      </c>
      <c r="C51" s="6">
        <v>10</v>
      </c>
      <c r="D51" s="11" t="s">
        <v>24</v>
      </c>
      <c r="E51" s="431">
        <v>35186</v>
      </c>
      <c r="F51" s="12">
        <v>1996</v>
      </c>
      <c r="G51" s="19"/>
      <c r="H51" s="142"/>
      <c r="I51" s="14" t="s">
        <v>285</v>
      </c>
      <c r="J51" s="32"/>
      <c r="K51" s="474" t="s">
        <v>329</v>
      </c>
      <c r="L51" s="474"/>
      <c r="M51" s="474"/>
      <c r="N51" s="474"/>
      <c r="O51" s="475"/>
      <c r="P51" s="476" t="s">
        <v>365</v>
      </c>
      <c r="Q51" s="15" t="s">
        <v>282</v>
      </c>
      <c r="R51" s="15"/>
      <c r="S51" s="16" t="s">
        <v>44</v>
      </c>
      <c r="T51" s="16"/>
      <c r="U51" s="484"/>
      <c r="V51" s="485"/>
      <c r="W51" s="243"/>
      <c r="X51" s="478"/>
      <c r="Y51" s="7">
        <f t="shared" si="0"/>
        <v>0</v>
      </c>
      <c r="Z51" s="478"/>
      <c r="AA51" s="469"/>
      <c r="AB51" s="479" t="s">
        <v>318</v>
      </c>
      <c r="AC51" s="480"/>
      <c r="AD51" s="498">
        <v>0</v>
      </c>
      <c r="AE51" s="498"/>
      <c r="AF51" s="9">
        <f t="shared" si="1"/>
        <v>0</v>
      </c>
      <c r="AG51" s="498"/>
      <c r="AH51" s="475"/>
      <c r="AI51" s="476"/>
      <c r="AJ51" s="10"/>
      <c r="AK51" s="481"/>
      <c r="AL51" s="481"/>
    </row>
    <row r="52" spans="1:38" ht="15" customHeight="1" x14ac:dyDescent="0.3">
      <c r="A52" s="473" t="s">
        <v>22</v>
      </c>
      <c r="B52" s="2" t="s">
        <v>23</v>
      </c>
      <c r="C52" s="6">
        <v>7</v>
      </c>
      <c r="D52" s="11" t="s">
        <v>24</v>
      </c>
      <c r="E52" s="430">
        <v>35731</v>
      </c>
      <c r="F52" s="12">
        <v>1997</v>
      </c>
      <c r="G52" s="24"/>
      <c r="H52" s="506"/>
      <c r="I52" s="22" t="s">
        <v>264</v>
      </c>
      <c r="J52" s="32"/>
      <c r="K52" s="474" t="s">
        <v>366</v>
      </c>
      <c r="L52" s="474"/>
      <c r="M52" s="474"/>
      <c r="N52" s="474"/>
      <c r="O52" s="482"/>
      <c r="P52" s="476" t="s">
        <v>365</v>
      </c>
      <c r="Q52" s="15" t="s">
        <v>35</v>
      </c>
      <c r="R52" s="15"/>
      <c r="S52" s="16" t="s">
        <v>44</v>
      </c>
      <c r="T52" s="16"/>
      <c r="U52" s="484"/>
      <c r="V52" s="485"/>
      <c r="W52" s="243"/>
      <c r="X52" s="478"/>
      <c r="Y52" s="7">
        <f t="shared" si="0"/>
        <v>0</v>
      </c>
      <c r="Z52" s="478"/>
      <c r="AA52" s="469"/>
      <c r="AB52" s="513" t="s">
        <v>5976</v>
      </c>
      <c r="AC52" s="147"/>
      <c r="AD52" s="476">
        <v>0</v>
      </c>
      <c r="AE52" s="476"/>
      <c r="AF52" s="9">
        <f t="shared" si="1"/>
        <v>0</v>
      </c>
      <c r="AG52" s="476"/>
      <c r="AH52" s="475"/>
      <c r="AI52" s="476"/>
      <c r="AJ52" s="10"/>
      <c r="AK52" s="481"/>
      <c r="AL52" s="481"/>
    </row>
    <row r="53" spans="1:38" ht="15" customHeight="1" x14ac:dyDescent="0.3">
      <c r="A53" s="473" t="s">
        <v>22</v>
      </c>
      <c r="B53" s="2" t="s">
        <v>23</v>
      </c>
      <c r="C53" s="6">
        <v>5</v>
      </c>
      <c r="D53" s="11" t="s">
        <v>24</v>
      </c>
      <c r="E53" s="431">
        <v>35462</v>
      </c>
      <c r="F53" s="12">
        <v>1997</v>
      </c>
      <c r="G53" s="19"/>
      <c r="H53" s="506"/>
      <c r="I53" s="14" t="s">
        <v>285</v>
      </c>
      <c r="J53" s="32"/>
      <c r="K53" s="474" t="s">
        <v>329</v>
      </c>
      <c r="L53" s="474"/>
      <c r="M53" s="474"/>
      <c r="N53" s="474"/>
      <c r="O53" s="475"/>
      <c r="P53" s="476" t="s">
        <v>365</v>
      </c>
      <c r="Q53" s="15" t="s">
        <v>282</v>
      </c>
      <c r="R53" s="15"/>
      <c r="S53" s="16" t="s">
        <v>44</v>
      </c>
      <c r="T53" s="16"/>
      <c r="U53" s="484"/>
      <c r="V53" s="485"/>
      <c r="W53" s="243"/>
      <c r="X53" s="478"/>
      <c r="Y53" s="7">
        <f t="shared" si="0"/>
        <v>0</v>
      </c>
      <c r="Z53" s="478"/>
      <c r="AA53" s="469"/>
      <c r="AB53" s="479" t="s">
        <v>318</v>
      </c>
      <c r="AC53" s="480"/>
      <c r="AD53" s="498">
        <v>0</v>
      </c>
      <c r="AE53" s="498"/>
      <c r="AF53" s="9">
        <f t="shared" si="1"/>
        <v>0</v>
      </c>
      <c r="AG53" s="498"/>
      <c r="AH53" s="475"/>
      <c r="AI53" s="476" t="s">
        <v>367</v>
      </c>
      <c r="AJ53" s="10"/>
      <c r="AK53" s="481"/>
      <c r="AL53" s="481"/>
    </row>
    <row r="54" spans="1:38" ht="15" customHeight="1" x14ac:dyDescent="0.3">
      <c r="A54" s="473" t="s">
        <v>22</v>
      </c>
      <c r="B54" s="2" t="s">
        <v>23</v>
      </c>
      <c r="C54" s="6">
        <v>1</v>
      </c>
      <c r="D54" s="11" t="s">
        <v>24</v>
      </c>
      <c r="E54" s="431">
        <v>35156</v>
      </c>
      <c r="F54" s="12">
        <v>1996</v>
      </c>
      <c r="G54" s="19"/>
      <c r="H54" s="506"/>
      <c r="I54" s="14" t="s">
        <v>285</v>
      </c>
      <c r="J54" s="32"/>
      <c r="K54" s="474" t="s">
        <v>329</v>
      </c>
      <c r="L54" s="474"/>
      <c r="M54" s="474"/>
      <c r="N54" s="474"/>
      <c r="O54" s="475"/>
      <c r="P54" s="476" t="s">
        <v>365</v>
      </c>
      <c r="Q54" s="15" t="s">
        <v>282</v>
      </c>
      <c r="R54" s="15"/>
      <c r="S54" s="16" t="s">
        <v>44</v>
      </c>
      <c r="T54" s="16"/>
      <c r="U54" s="484"/>
      <c r="V54" s="485"/>
      <c r="W54" s="243"/>
      <c r="X54" s="478"/>
      <c r="Y54" s="7">
        <f t="shared" si="0"/>
        <v>0</v>
      </c>
      <c r="Z54" s="478"/>
      <c r="AA54" s="469"/>
      <c r="AB54" s="479" t="s">
        <v>318</v>
      </c>
      <c r="AC54" s="480"/>
      <c r="AD54" s="498">
        <v>0</v>
      </c>
      <c r="AE54" s="498"/>
      <c r="AF54" s="9">
        <f t="shared" si="1"/>
        <v>0</v>
      </c>
      <c r="AG54" s="498"/>
      <c r="AH54" s="475"/>
      <c r="AI54" s="476"/>
      <c r="AJ54" s="10"/>
      <c r="AK54" s="481"/>
      <c r="AL54" s="481"/>
    </row>
    <row r="55" spans="1:38" ht="15" customHeight="1" x14ac:dyDescent="0.3">
      <c r="A55" s="473" t="s">
        <v>22</v>
      </c>
      <c r="B55" s="2" t="s">
        <v>23</v>
      </c>
      <c r="C55" s="6">
        <v>1</v>
      </c>
      <c r="D55" s="11" t="s">
        <v>24</v>
      </c>
      <c r="E55" s="431">
        <v>35004</v>
      </c>
      <c r="F55" s="12">
        <v>1995</v>
      </c>
      <c r="G55" s="19"/>
      <c r="H55" s="506"/>
      <c r="I55" s="14" t="s">
        <v>285</v>
      </c>
      <c r="J55" s="32"/>
      <c r="K55" s="474" t="s">
        <v>329</v>
      </c>
      <c r="L55" s="474"/>
      <c r="M55" s="474"/>
      <c r="N55" s="474"/>
      <c r="O55" s="475"/>
      <c r="P55" s="476" t="s">
        <v>365</v>
      </c>
      <c r="Q55" s="15" t="s">
        <v>35</v>
      </c>
      <c r="R55" s="15"/>
      <c r="S55" s="16" t="s">
        <v>44</v>
      </c>
      <c r="T55" s="16"/>
      <c r="U55" s="484"/>
      <c r="V55" s="485"/>
      <c r="W55" s="243"/>
      <c r="X55" s="478"/>
      <c r="Y55" s="7">
        <f t="shared" si="0"/>
        <v>0</v>
      </c>
      <c r="Z55" s="478"/>
      <c r="AA55" s="469"/>
      <c r="AB55" s="479" t="s">
        <v>318</v>
      </c>
      <c r="AC55" s="480"/>
      <c r="AD55" s="498">
        <v>0</v>
      </c>
      <c r="AE55" s="498"/>
      <c r="AF55" s="9">
        <f t="shared" si="1"/>
        <v>0</v>
      </c>
      <c r="AG55" s="498"/>
      <c r="AH55" s="475"/>
      <c r="AI55" s="476"/>
      <c r="AJ55" s="10"/>
      <c r="AK55" s="481"/>
      <c r="AL55" s="59"/>
    </row>
    <row r="56" spans="1:38" ht="15" customHeight="1" x14ac:dyDescent="0.3">
      <c r="A56" s="473" t="s">
        <v>22</v>
      </c>
      <c r="B56" s="2" t="s">
        <v>105</v>
      </c>
      <c r="C56" s="6">
        <v>20</v>
      </c>
      <c r="D56" s="11" t="s">
        <v>5936</v>
      </c>
      <c r="E56" s="430"/>
      <c r="F56" s="27"/>
      <c r="G56" s="24">
        <v>1094</v>
      </c>
      <c r="H56" s="142"/>
      <c r="I56" s="22" t="s">
        <v>264</v>
      </c>
      <c r="J56" s="32"/>
      <c r="K56" s="474" t="s">
        <v>368</v>
      </c>
      <c r="L56" s="474"/>
      <c r="M56" s="474"/>
      <c r="N56" s="474"/>
      <c r="O56" s="475"/>
      <c r="P56" s="476" t="s">
        <v>365</v>
      </c>
      <c r="Q56" s="15" t="s">
        <v>282</v>
      </c>
      <c r="R56" s="15"/>
      <c r="S56" s="16" t="s">
        <v>44</v>
      </c>
      <c r="T56" s="16"/>
      <c r="U56" s="484" t="s">
        <v>369</v>
      </c>
      <c r="V56" s="485"/>
      <c r="W56" s="243"/>
      <c r="X56" s="478"/>
      <c r="Y56" s="7">
        <f t="shared" si="0"/>
        <v>0</v>
      </c>
      <c r="Z56" s="478"/>
      <c r="AA56" s="469"/>
      <c r="AB56" s="479" t="s">
        <v>5937</v>
      </c>
      <c r="AC56" s="480"/>
      <c r="AD56" s="476">
        <v>0</v>
      </c>
      <c r="AE56" s="476"/>
      <c r="AF56" s="9">
        <f t="shared" si="1"/>
        <v>0</v>
      </c>
      <c r="AG56" s="476"/>
      <c r="AH56" s="475"/>
      <c r="AI56" s="476"/>
      <c r="AJ56" s="10"/>
      <c r="AK56" s="481"/>
      <c r="AL56" s="481"/>
    </row>
    <row r="57" spans="1:38" ht="15" customHeight="1" x14ac:dyDescent="0.3">
      <c r="A57" s="473" t="s">
        <v>22</v>
      </c>
      <c r="B57" s="2" t="s">
        <v>105</v>
      </c>
      <c r="C57" s="6">
        <v>17</v>
      </c>
      <c r="D57" s="11" t="s">
        <v>5936</v>
      </c>
      <c r="E57" s="431">
        <v>35185</v>
      </c>
      <c r="F57" s="12">
        <v>1996</v>
      </c>
      <c r="G57" s="13">
        <v>497</v>
      </c>
      <c r="H57" s="506"/>
      <c r="I57" s="22" t="s">
        <v>264</v>
      </c>
      <c r="J57" s="32"/>
      <c r="K57" s="474" t="s">
        <v>351</v>
      </c>
      <c r="L57" s="474"/>
      <c r="M57" s="474"/>
      <c r="N57" s="474"/>
      <c r="O57" s="475"/>
      <c r="P57" s="476" t="s">
        <v>365</v>
      </c>
      <c r="Q57" s="15" t="s">
        <v>282</v>
      </c>
      <c r="R57" s="15"/>
      <c r="S57" s="16" t="s">
        <v>44</v>
      </c>
      <c r="T57" s="16"/>
      <c r="U57" s="484" t="s">
        <v>370</v>
      </c>
      <c r="V57" s="485"/>
      <c r="W57" s="243"/>
      <c r="X57" s="478"/>
      <c r="Y57" s="7">
        <f t="shared" si="0"/>
        <v>0</v>
      </c>
      <c r="Z57" s="478"/>
      <c r="AA57" s="469"/>
      <c r="AB57" s="479" t="s">
        <v>5937</v>
      </c>
      <c r="AC57" s="480"/>
      <c r="AD57" s="476">
        <v>0</v>
      </c>
      <c r="AE57" s="476"/>
      <c r="AF57" s="9">
        <f t="shared" si="1"/>
        <v>0</v>
      </c>
      <c r="AG57" s="476"/>
      <c r="AH57" s="475"/>
      <c r="AI57" s="476"/>
      <c r="AJ57" s="10"/>
      <c r="AK57" s="481"/>
      <c r="AL57" s="481"/>
    </row>
    <row r="58" spans="1:38" ht="15" customHeight="1" x14ac:dyDescent="0.3">
      <c r="A58" s="473" t="s">
        <v>22</v>
      </c>
      <c r="B58" s="2" t="s">
        <v>105</v>
      </c>
      <c r="C58" s="6">
        <v>15</v>
      </c>
      <c r="D58" s="11" t="s">
        <v>5936</v>
      </c>
      <c r="E58" s="430"/>
      <c r="F58" s="27"/>
      <c r="G58" s="13">
        <v>8704</v>
      </c>
      <c r="H58" s="506"/>
      <c r="I58" s="22" t="s">
        <v>264</v>
      </c>
      <c r="J58" s="32"/>
      <c r="K58" s="474" t="s">
        <v>351</v>
      </c>
      <c r="L58" s="474"/>
      <c r="M58" s="474"/>
      <c r="N58" s="474"/>
      <c r="O58" s="475"/>
      <c r="P58" s="476" t="s">
        <v>365</v>
      </c>
      <c r="Q58" s="15" t="s">
        <v>282</v>
      </c>
      <c r="R58" s="15"/>
      <c r="S58" s="16" t="s">
        <v>44</v>
      </c>
      <c r="T58" s="16"/>
      <c r="U58" s="484"/>
      <c r="V58" s="485"/>
      <c r="W58" s="243"/>
      <c r="X58" s="478"/>
      <c r="Y58" s="7">
        <f t="shared" si="0"/>
        <v>0</v>
      </c>
      <c r="Z58" s="478"/>
      <c r="AA58" s="469"/>
      <c r="AB58" s="479" t="s">
        <v>5937</v>
      </c>
      <c r="AC58" s="480"/>
      <c r="AD58" s="476">
        <v>0</v>
      </c>
      <c r="AE58" s="476"/>
      <c r="AF58" s="9">
        <f t="shared" si="1"/>
        <v>0</v>
      </c>
      <c r="AG58" s="476"/>
      <c r="AH58" s="475"/>
      <c r="AI58" s="476"/>
      <c r="AJ58" s="10"/>
      <c r="AK58" s="481"/>
      <c r="AL58" s="481"/>
    </row>
    <row r="59" spans="1:38" ht="15" customHeight="1" x14ac:dyDescent="0.3">
      <c r="A59" s="473" t="s">
        <v>22</v>
      </c>
      <c r="B59" s="2" t="s">
        <v>105</v>
      </c>
      <c r="C59" s="6">
        <v>15</v>
      </c>
      <c r="D59" s="11" t="s">
        <v>5936</v>
      </c>
      <c r="E59" s="430">
        <v>35479</v>
      </c>
      <c r="F59" s="12">
        <v>1997</v>
      </c>
      <c r="G59" s="18">
        <v>9156</v>
      </c>
      <c r="H59" s="506"/>
      <c r="I59" s="22" t="s">
        <v>264</v>
      </c>
      <c r="J59" s="32"/>
      <c r="K59" s="474" t="s">
        <v>351</v>
      </c>
      <c r="L59" s="474"/>
      <c r="M59" s="474"/>
      <c r="N59" s="474"/>
      <c r="O59" s="475"/>
      <c r="P59" s="476" t="s">
        <v>365</v>
      </c>
      <c r="Q59" s="15" t="s">
        <v>282</v>
      </c>
      <c r="R59" s="15"/>
      <c r="S59" s="16" t="s">
        <v>44</v>
      </c>
      <c r="T59" s="16"/>
      <c r="U59" s="484"/>
      <c r="V59" s="485"/>
      <c r="W59" s="243"/>
      <c r="X59" s="478"/>
      <c r="Y59" s="7">
        <f t="shared" si="0"/>
        <v>0</v>
      </c>
      <c r="Z59" s="478"/>
      <c r="AA59" s="469"/>
      <c r="AB59" s="479" t="s">
        <v>5937</v>
      </c>
      <c r="AC59" s="480"/>
      <c r="AD59" s="476">
        <v>0</v>
      </c>
      <c r="AE59" s="476"/>
      <c r="AF59" s="9">
        <f t="shared" si="1"/>
        <v>0</v>
      </c>
      <c r="AG59" s="476"/>
      <c r="AH59" s="475"/>
      <c r="AI59" s="476"/>
      <c r="AJ59" s="10"/>
      <c r="AK59" s="481"/>
      <c r="AL59" s="481"/>
    </row>
    <row r="60" spans="1:38" ht="15" customHeight="1" x14ac:dyDescent="0.3">
      <c r="A60" s="473" t="s">
        <v>22</v>
      </c>
      <c r="B60" s="2" t="s">
        <v>105</v>
      </c>
      <c r="C60" s="6">
        <v>15</v>
      </c>
      <c r="D60" s="11" t="s">
        <v>5936</v>
      </c>
      <c r="E60" s="430">
        <v>35707</v>
      </c>
      <c r="F60" s="12">
        <v>1997</v>
      </c>
      <c r="G60" s="18">
        <v>8978</v>
      </c>
      <c r="H60" s="506"/>
      <c r="I60" s="22" t="s">
        <v>264</v>
      </c>
      <c r="J60" s="32"/>
      <c r="K60" s="474" t="s">
        <v>371</v>
      </c>
      <c r="L60" s="474"/>
      <c r="M60" s="474"/>
      <c r="N60" s="474"/>
      <c r="O60" s="475"/>
      <c r="P60" s="476" t="s">
        <v>365</v>
      </c>
      <c r="Q60" s="15" t="s">
        <v>282</v>
      </c>
      <c r="R60" s="15"/>
      <c r="S60" s="16" t="s">
        <v>44</v>
      </c>
      <c r="T60" s="16"/>
      <c r="U60" s="484"/>
      <c r="V60" s="485"/>
      <c r="W60" s="243"/>
      <c r="X60" s="478"/>
      <c r="Y60" s="7">
        <f t="shared" si="0"/>
        <v>0</v>
      </c>
      <c r="Z60" s="478"/>
      <c r="AA60" s="469"/>
      <c r="AB60" s="479" t="s">
        <v>5937</v>
      </c>
      <c r="AC60" s="480"/>
      <c r="AD60" s="476">
        <v>0</v>
      </c>
      <c r="AE60" s="476"/>
      <c r="AF60" s="9">
        <f t="shared" si="1"/>
        <v>0</v>
      </c>
      <c r="AG60" s="476"/>
      <c r="AH60" s="475"/>
      <c r="AI60" s="476"/>
      <c r="AJ60" s="10"/>
      <c r="AK60" s="481"/>
      <c r="AL60" s="481"/>
    </row>
    <row r="61" spans="1:38" ht="15" customHeight="1" x14ac:dyDescent="0.3">
      <c r="A61" s="473" t="s">
        <v>22</v>
      </c>
      <c r="B61" s="2" t="s">
        <v>105</v>
      </c>
      <c r="C61" s="6">
        <v>14</v>
      </c>
      <c r="D61" s="11" t="s">
        <v>5936</v>
      </c>
      <c r="E61" s="430"/>
      <c r="F61" s="28"/>
      <c r="G61" s="26" t="s">
        <v>372</v>
      </c>
      <c r="H61" s="506"/>
      <c r="I61" s="14" t="s">
        <v>285</v>
      </c>
      <c r="J61" s="32"/>
      <c r="K61" s="474" t="s">
        <v>373</v>
      </c>
      <c r="L61" s="474"/>
      <c r="M61" s="474"/>
      <c r="N61" s="474"/>
      <c r="O61" s="482"/>
      <c r="P61" s="476" t="s">
        <v>365</v>
      </c>
      <c r="Q61" s="15" t="s">
        <v>282</v>
      </c>
      <c r="R61" s="15"/>
      <c r="S61" s="16" t="s">
        <v>44</v>
      </c>
      <c r="T61" s="16"/>
      <c r="U61" s="484" t="s">
        <v>369</v>
      </c>
      <c r="V61" s="485"/>
      <c r="W61" s="243"/>
      <c r="X61" s="478"/>
      <c r="Y61" s="7">
        <f t="shared" si="0"/>
        <v>0</v>
      </c>
      <c r="Z61" s="478"/>
      <c r="AA61" s="469"/>
      <c r="AB61" s="479" t="s">
        <v>5937</v>
      </c>
      <c r="AC61" s="480"/>
      <c r="AD61" s="476">
        <v>0</v>
      </c>
      <c r="AE61" s="476"/>
      <c r="AF61" s="9">
        <f t="shared" si="1"/>
        <v>0</v>
      </c>
      <c r="AG61" s="476"/>
      <c r="AH61" s="475"/>
      <c r="AI61" s="476"/>
      <c r="AJ61" s="10"/>
      <c r="AK61" s="481"/>
      <c r="AL61" s="481"/>
    </row>
    <row r="62" spans="1:38" ht="15" customHeight="1" x14ac:dyDescent="0.3">
      <c r="A62" s="473" t="s">
        <v>22</v>
      </c>
      <c r="B62" s="2" t="s">
        <v>105</v>
      </c>
      <c r="C62" s="6">
        <v>13</v>
      </c>
      <c r="D62" s="11" t="s">
        <v>5936</v>
      </c>
      <c r="E62" s="431">
        <v>32238</v>
      </c>
      <c r="F62" s="12">
        <v>1988</v>
      </c>
      <c r="G62" s="13">
        <v>7659</v>
      </c>
      <c r="H62" s="506"/>
      <c r="I62" s="22" t="s">
        <v>264</v>
      </c>
      <c r="J62" s="32" t="s">
        <v>26</v>
      </c>
      <c r="K62" s="474" t="s">
        <v>374</v>
      </c>
      <c r="L62" s="474"/>
      <c r="M62" s="474"/>
      <c r="N62" s="474"/>
      <c r="O62" s="475"/>
      <c r="P62" s="476" t="s">
        <v>365</v>
      </c>
      <c r="Q62" s="15" t="s">
        <v>282</v>
      </c>
      <c r="R62" s="15"/>
      <c r="S62" s="16" t="s">
        <v>44</v>
      </c>
      <c r="T62" s="16"/>
      <c r="U62" s="484" t="s">
        <v>375</v>
      </c>
      <c r="V62" s="485"/>
      <c r="W62" s="243"/>
      <c r="X62" s="478"/>
      <c r="Y62" s="7">
        <f t="shared" si="0"/>
        <v>0</v>
      </c>
      <c r="Z62" s="478"/>
      <c r="AA62" s="469"/>
      <c r="AB62" s="479" t="s">
        <v>5937</v>
      </c>
      <c r="AC62" s="480"/>
      <c r="AD62" s="476">
        <v>0</v>
      </c>
      <c r="AE62" s="476"/>
      <c r="AF62" s="9">
        <f t="shared" si="1"/>
        <v>0</v>
      </c>
      <c r="AG62" s="476"/>
      <c r="AH62" s="475"/>
      <c r="AI62" s="476"/>
      <c r="AJ62" s="10"/>
      <c r="AK62" s="481"/>
      <c r="AL62" s="481"/>
    </row>
    <row r="63" spans="1:38" ht="15" customHeight="1" x14ac:dyDescent="0.3">
      <c r="A63" s="473" t="s">
        <v>22</v>
      </c>
      <c r="B63" s="2" t="s">
        <v>105</v>
      </c>
      <c r="C63" s="6">
        <v>13</v>
      </c>
      <c r="D63" s="11" t="s">
        <v>5936</v>
      </c>
      <c r="E63" s="431">
        <v>34971</v>
      </c>
      <c r="F63" s="12">
        <v>1995</v>
      </c>
      <c r="G63" s="13">
        <v>14082</v>
      </c>
      <c r="H63" s="506"/>
      <c r="I63" s="22" t="s">
        <v>264</v>
      </c>
      <c r="J63" s="32" t="s">
        <v>191</v>
      </c>
      <c r="K63" s="474" t="s">
        <v>314</v>
      </c>
      <c r="L63" s="474"/>
      <c r="M63" s="474"/>
      <c r="N63" s="474"/>
      <c r="O63" s="475"/>
      <c r="P63" s="476" t="s">
        <v>365</v>
      </c>
      <c r="Q63" s="15" t="s">
        <v>282</v>
      </c>
      <c r="R63" s="15"/>
      <c r="S63" s="16" t="s">
        <v>44</v>
      </c>
      <c r="T63" s="16"/>
      <c r="U63" s="484" t="s">
        <v>376</v>
      </c>
      <c r="V63" s="485"/>
      <c r="W63" s="243"/>
      <c r="X63" s="478"/>
      <c r="Y63" s="7">
        <f t="shared" si="0"/>
        <v>0</v>
      </c>
      <c r="Z63" s="478"/>
      <c r="AA63" s="469"/>
      <c r="AB63" s="479" t="s">
        <v>5937</v>
      </c>
      <c r="AC63" s="480"/>
      <c r="AD63" s="476">
        <v>0</v>
      </c>
      <c r="AE63" s="476"/>
      <c r="AF63" s="9">
        <f t="shared" si="1"/>
        <v>0</v>
      </c>
      <c r="AG63" s="476"/>
      <c r="AH63" s="475"/>
      <c r="AI63" s="476"/>
      <c r="AJ63" s="10"/>
      <c r="AK63" s="481"/>
      <c r="AL63" s="481"/>
    </row>
    <row r="64" spans="1:38" ht="15" customHeight="1" x14ac:dyDescent="0.3">
      <c r="A64" s="473" t="s">
        <v>22</v>
      </c>
      <c r="B64" s="2" t="s">
        <v>105</v>
      </c>
      <c r="C64" s="6">
        <v>13</v>
      </c>
      <c r="D64" s="11" t="s">
        <v>5936</v>
      </c>
      <c r="E64" s="431">
        <v>35242</v>
      </c>
      <c r="F64" s="12">
        <v>1996</v>
      </c>
      <c r="G64" s="13" t="s">
        <v>377</v>
      </c>
      <c r="H64" s="506"/>
      <c r="I64" s="22" t="s">
        <v>264</v>
      </c>
      <c r="J64" s="32"/>
      <c r="K64" s="474" t="s">
        <v>351</v>
      </c>
      <c r="L64" s="474"/>
      <c r="M64" s="474"/>
      <c r="N64" s="474"/>
      <c r="O64" s="475"/>
      <c r="P64" s="476" t="s">
        <v>365</v>
      </c>
      <c r="Q64" s="15" t="s">
        <v>282</v>
      </c>
      <c r="R64" s="15"/>
      <c r="S64" s="16" t="s">
        <v>44</v>
      </c>
      <c r="T64" s="16"/>
      <c r="U64" s="484"/>
      <c r="V64" s="485"/>
      <c r="W64" s="243"/>
      <c r="X64" s="478"/>
      <c r="Y64" s="7">
        <f t="shared" si="0"/>
        <v>0</v>
      </c>
      <c r="Z64" s="478"/>
      <c r="AA64" s="469"/>
      <c r="AB64" s="479" t="s">
        <v>5937</v>
      </c>
      <c r="AC64" s="480"/>
      <c r="AD64" s="476">
        <v>0</v>
      </c>
      <c r="AE64" s="476"/>
      <c r="AF64" s="9">
        <f t="shared" si="1"/>
        <v>0</v>
      </c>
      <c r="AG64" s="476"/>
      <c r="AH64" s="475"/>
      <c r="AI64" s="476"/>
      <c r="AJ64" s="10"/>
      <c r="AK64" s="481"/>
      <c r="AL64" s="481"/>
    </row>
    <row r="65" spans="1:38" ht="15" customHeight="1" x14ac:dyDescent="0.3">
      <c r="A65" s="473" t="s">
        <v>22</v>
      </c>
      <c r="B65" s="2" t="s">
        <v>105</v>
      </c>
      <c r="C65" s="6">
        <v>12</v>
      </c>
      <c r="D65" s="11" t="s">
        <v>5936</v>
      </c>
      <c r="E65" s="431">
        <v>35236</v>
      </c>
      <c r="F65" s="12">
        <v>1996</v>
      </c>
      <c r="G65" s="13" t="s">
        <v>378</v>
      </c>
      <c r="H65" s="506"/>
      <c r="I65" s="22" t="s">
        <v>264</v>
      </c>
      <c r="J65" s="32"/>
      <c r="K65" s="474" t="s">
        <v>379</v>
      </c>
      <c r="L65" s="474"/>
      <c r="M65" s="474"/>
      <c r="N65" s="474"/>
      <c r="O65" s="475"/>
      <c r="P65" s="476" t="s">
        <v>365</v>
      </c>
      <c r="Q65" s="15" t="s">
        <v>282</v>
      </c>
      <c r="R65" s="15"/>
      <c r="S65" s="16" t="s">
        <v>44</v>
      </c>
      <c r="T65" s="16"/>
      <c r="U65" s="484"/>
      <c r="V65" s="485"/>
      <c r="W65" s="243"/>
      <c r="X65" s="478"/>
      <c r="Y65" s="7">
        <f t="shared" si="0"/>
        <v>0</v>
      </c>
      <c r="Z65" s="478"/>
      <c r="AA65" s="469"/>
      <c r="AB65" s="479" t="s">
        <v>5937</v>
      </c>
      <c r="AC65" s="480"/>
      <c r="AD65" s="476">
        <v>0</v>
      </c>
      <c r="AE65" s="476"/>
      <c r="AF65" s="9">
        <f t="shared" si="1"/>
        <v>0</v>
      </c>
      <c r="AG65" s="476"/>
      <c r="AH65" s="475"/>
      <c r="AI65" s="476"/>
      <c r="AJ65" s="10"/>
      <c r="AK65" s="481"/>
      <c r="AL65" s="481"/>
    </row>
    <row r="66" spans="1:38" ht="15" customHeight="1" x14ac:dyDescent="0.3">
      <c r="A66" s="473" t="s">
        <v>22</v>
      </c>
      <c r="B66" s="2" t="s">
        <v>105</v>
      </c>
      <c r="C66" s="6">
        <v>9</v>
      </c>
      <c r="D66" s="11" t="s">
        <v>5936</v>
      </c>
      <c r="E66" s="431">
        <v>35142</v>
      </c>
      <c r="F66" s="12">
        <v>1996</v>
      </c>
      <c r="G66" s="13">
        <v>23727</v>
      </c>
      <c r="H66" s="506"/>
      <c r="I66" s="22" t="s">
        <v>264</v>
      </c>
      <c r="J66" s="32"/>
      <c r="K66" s="474" t="s">
        <v>380</v>
      </c>
      <c r="L66" s="474"/>
      <c r="M66" s="474"/>
      <c r="N66" s="474"/>
      <c r="O66" s="475"/>
      <c r="P66" s="476" t="s">
        <v>365</v>
      </c>
      <c r="Q66" s="15" t="s">
        <v>282</v>
      </c>
      <c r="R66" s="15"/>
      <c r="S66" s="16" t="s">
        <v>44</v>
      </c>
      <c r="T66" s="16"/>
      <c r="U66" s="484"/>
      <c r="V66" s="485"/>
      <c r="W66" s="243"/>
      <c r="X66" s="478"/>
      <c r="Y66" s="7">
        <f t="shared" ref="Y66:Y129" si="2">W66*AE66</f>
        <v>0</v>
      </c>
      <c r="Z66" s="478"/>
      <c r="AA66" s="469"/>
      <c r="AB66" s="479" t="s">
        <v>5937</v>
      </c>
      <c r="AC66" s="480"/>
      <c r="AD66" s="476">
        <v>0</v>
      </c>
      <c r="AE66" s="476"/>
      <c r="AF66" s="9">
        <f t="shared" si="1"/>
        <v>0</v>
      </c>
      <c r="AG66" s="476"/>
      <c r="AH66" s="475"/>
      <c r="AI66" s="476"/>
      <c r="AJ66" s="10"/>
      <c r="AK66" s="481"/>
      <c r="AL66" s="481"/>
    </row>
    <row r="67" spans="1:38" ht="15" customHeight="1" x14ac:dyDescent="0.3">
      <c r="A67" s="473" t="s">
        <v>22</v>
      </c>
      <c r="B67" s="2" t="s">
        <v>105</v>
      </c>
      <c r="C67" s="6">
        <v>8</v>
      </c>
      <c r="D67" s="11" t="s">
        <v>5936</v>
      </c>
      <c r="E67" s="430">
        <v>35251</v>
      </c>
      <c r="F67" s="12">
        <v>1996</v>
      </c>
      <c r="G67" s="13">
        <v>23289</v>
      </c>
      <c r="H67" s="506"/>
      <c r="I67" s="22" t="s">
        <v>264</v>
      </c>
      <c r="J67" s="32"/>
      <c r="K67" s="474" t="s">
        <v>381</v>
      </c>
      <c r="L67" s="474"/>
      <c r="M67" s="474"/>
      <c r="N67" s="474"/>
      <c r="O67" s="475"/>
      <c r="P67" s="476" t="s">
        <v>365</v>
      </c>
      <c r="Q67" s="15" t="s">
        <v>282</v>
      </c>
      <c r="R67" s="15"/>
      <c r="S67" s="16" t="s">
        <v>44</v>
      </c>
      <c r="T67" s="16"/>
      <c r="U67" s="484" t="s">
        <v>370</v>
      </c>
      <c r="V67" s="485"/>
      <c r="W67" s="243"/>
      <c r="X67" s="478"/>
      <c r="Y67" s="7">
        <f t="shared" si="2"/>
        <v>0</v>
      </c>
      <c r="Z67" s="478"/>
      <c r="AA67" s="469"/>
      <c r="AB67" s="479" t="s">
        <v>5937</v>
      </c>
      <c r="AC67" s="480"/>
      <c r="AD67" s="476">
        <v>0</v>
      </c>
      <c r="AE67" s="476"/>
      <c r="AF67" s="9">
        <f t="shared" ref="AF67:AF130" si="3">AD67+AE67</f>
        <v>0</v>
      </c>
      <c r="AG67" s="476"/>
      <c r="AH67" s="475"/>
      <c r="AI67" s="476"/>
      <c r="AJ67" s="10"/>
      <c r="AK67" s="481"/>
      <c r="AL67" s="481"/>
    </row>
    <row r="68" spans="1:38" ht="15" customHeight="1" x14ac:dyDescent="0.3">
      <c r="A68" s="473" t="s">
        <v>22</v>
      </c>
      <c r="B68" s="2" t="s">
        <v>105</v>
      </c>
      <c r="C68" s="6">
        <v>4</v>
      </c>
      <c r="D68" s="11" t="s">
        <v>5936</v>
      </c>
      <c r="E68" s="431">
        <v>34513</v>
      </c>
      <c r="F68" s="12">
        <v>1994</v>
      </c>
      <c r="G68" s="13" t="s">
        <v>382</v>
      </c>
      <c r="H68" s="506"/>
      <c r="I68" s="22" t="s">
        <v>264</v>
      </c>
      <c r="J68" s="32"/>
      <c r="K68" s="474" t="s">
        <v>383</v>
      </c>
      <c r="L68" s="474"/>
      <c r="M68" s="474"/>
      <c r="N68" s="474"/>
      <c r="O68" s="475"/>
      <c r="P68" s="476" t="s">
        <v>365</v>
      </c>
      <c r="Q68" s="15" t="s">
        <v>282</v>
      </c>
      <c r="R68" s="15"/>
      <c r="S68" s="16" t="s">
        <v>44</v>
      </c>
      <c r="T68" s="16"/>
      <c r="U68" s="484" t="s">
        <v>384</v>
      </c>
      <c r="V68" s="485"/>
      <c r="W68" s="243"/>
      <c r="X68" s="478"/>
      <c r="Y68" s="7">
        <f t="shared" si="2"/>
        <v>0</v>
      </c>
      <c r="Z68" s="478"/>
      <c r="AA68" s="469"/>
      <c r="AB68" s="479" t="s">
        <v>5937</v>
      </c>
      <c r="AC68" s="480"/>
      <c r="AD68" s="476">
        <v>0</v>
      </c>
      <c r="AE68" s="476"/>
      <c r="AF68" s="9">
        <f t="shared" si="3"/>
        <v>0</v>
      </c>
      <c r="AG68" s="476"/>
      <c r="AH68" s="475"/>
      <c r="AI68" s="476"/>
      <c r="AJ68" s="10"/>
      <c r="AK68" s="481"/>
      <c r="AL68" s="481"/>
    </row>
    <row r="69" spans="1:38" ht="15" customHeight="1" x14ac:dyDescent="0.3">
      <c r="A69" s="473" t="s">
        <v>22</v>
      </c>
      <c r="B69" s="2" t="s">
        <v>105</v>
      </c>
      <c r="C69" s="6">
        <v>2</v>
      </c>
      <c r="D69" s="11" t="s">
        <v>5936</v>
      </c>
      <c r="E69" s="431">
        <v>34947</v>
      </c>
      <c r="F69" s="12">
        <v>1995</v>
      </c>
      <c r="G69" s="13" t="s">
        <v>385</v>
      </c>
      <c r="H69" s="514"/>
      <c r="I69" s="22" t="s">
        <v>264</v>
      </c>
      <c r="J69" s="32"/>
      <c r="K69" s="474" t="s">
        <v>314</v>
      </c>
      <c r="L69" s="474"/>
      <c r="M69" s="474"/>
      <c r="N69" s="474"/>
      <c r="O69" s="475"/>
      <c r="P69" s="476" t="s">
        <v>365</v>
      </c>
      <c r="Q69" s="15" t="s">
        <v>282</v>
      </c>
      <c r="R69" s="15"/>
      <c r="S69" s="16" t="s">
        <v>44</v>
      </c>
      <c r="T69" s="16"/>
      <c r="U69" s="484"/>
      <c r="V69" s="485"/>
      <c r="W69" s="243"/>
      <c r="X69" s="478"/>
      <c r="Y69" s="7">
        <f t="shared" si="2"/>
        <v>0</v>
      </c>
      <c r="Z69" s="478"/>
      <c r="AA69" s="469"/>
      <c r="AB69" s="479" t="s">
        <v>5937</v>
      </c>
      <c r="AC69" s="480"/>
      <c r="AD69" s="476">
        <v>0</v>
      </c>
      <c r="AE69" s="476"/>
      <c r="AF69" s="9">
        <f t="shared" si="3"/>
        <v>0</v>
      </c>
      <c r="AG69" s="476"/>
      <c r="AH69" s="475"/>
      <c r="AI69" s="476"/>
      <c r="AJ69" s="10"/>
      <c r="AK69" s="481"/>
      <c r="AL69" s="481"/>
    </row>
    <row r="70" spans="1:38" ht="15" customHeight="1" x14ac:dyDescent="0.3">
      <c r="A70" s="494" t="s">
        <v>22</v>
      </c>
      <c r="B70" s="2" t="s">
        <v>5950</v>
      </c>
      <c r="C70" s="2" t="s">
        <v>386</v>
      </c>
      <c r="D70" s="11" t="s">
        <v>143</v>
      </c>
      <c r="E70" s="433">
        <v>34704</v>
      </c>
      <c r="F70" s="12">
        <v>1995</v>
      </c>
      <c r="G70" s="31"/>
      <c r="H70" s="514"/>
      <c r="I70" s="22" t="s">
        <v>285</v>
      </c>
      <c r="J70" s="495"/>
      <c r="K70" s="474" t="s">
        <v>286</v>
      </c>
      <c r="L70" s="515"/>
      <c r="M70" s="515"/>
      <c r="N70" s="515"/>
      <c r="O70" s="516"/>
      <c r="P70" s="476" t="s">
        <v>365</v>
      </c>
      <c r="Q70" s="15" t="s">
        <v>282</v>
      </c>
      <c r="R70" s="15"/>
      <c r="S70" s="16" t="s">
        <v>44</v>
      </c>
      <c r="T70" s="16"/>
      <c r="U70" s="484"/>
      <c r="V70" s="485"/>
      <c r="W70" s="243"/>
      <c r="X70" s="478"/>
      <c r="Y70" s="7">
        <f t="shared" si="2"/>
        <v>0</v>
      </c>
      <c r="Z70" s="478"/>
      <c r="AA70" s="469"/>
      <c r="AB70" s="503" t="s">
        <v>6055</v>
      </c>
      <c r="AC70" s="222"/>
      <c r="AD70" s="476">
        <v>0</v>
      </c>
      <c r="AE70" s="476"/>
      <c r="AF70" s="9">
        <f t="shared" si="3"/>
        <v>0</v>
      </c>
      <c r="AG70" s="476"/>
      <c r="AH70" s="475"/>
      <c r="AI70" s="496"/>
      <c r="AJ70" s="10"/>
      <c r="AK70" s="481"/>
      <c r="AL70" s="481"/>
    </row>
    <row r="71" spans="1:38" ht="15" customHeight="1" x14ac:dyDescent="0.3">
      <c r="A71" s="473" t="s">
        <v>22</v>
      </c>
      <c r="B71" s="2" t="s">
        <v>142</v>
      </c>
      <c r="C71" s="6">
        <v>2</v>
      </c>
      <c r="D71" s="11" t="s">
        <v>143</v>
      </c>
      <c r="E71" s="430">
        <v>35499</v>
      </c>
      <c r="F71" s="12">
        <v>1997</v>
      </c>
      <c r="G71" s="13">
        <v>35499</v>
      </c>
      <c r="H71" s="506"/>
      <c r="I71" s="22" t="s">
        <v>264</v>
      </c>
      <c r="J71" s="32"/>
      <c r="K71" s="474" t="s">
        <v>383</v>
      </c>
      <c r="L71" s="474"/>
      <c r="M71" s="474"/>
      <c r="N71" s="474"/>
      <c r="O71" s="475"/>
      <c r="P71" s="476" t="s">
        <v>365</v>
      </c>
      <c r="Q71" s="15" t="s">
        <v>282</v>
      </c>
      <c r="R71" s="15"/>
      <c r="S71" s="16" t="s">
        <v>44</v>
      </c>
      <c r="T71" s="16"/>
      <c r="U71" s="484"/>
      <c r="V71" s="485"/>
      <c r="W71" s="243"/>
      <c r="X71" s="478"/>
      <c r="Y71" s="7">
        <f t="shared" si="2"/>
        <v>0</v>
      </c>
      <c r="Z71" s="478"/>
      <c r="AA71" s="469"/>
      <c r="AB71" s="500" t="s">
        <v>5962</v>
      </c>
      <c r="AC71" s="501"/>
      <c r="AD71" s="476">
        <v>0</v>
      </c>
      <c r="AE71" s="476"/>
      <c r="AF71" s="9">
        <f t="shared" si="3"/>
        <v>0</v>
      </c>
      <c r="AG71" s="476"/>
      <c r="AH71" s="475"/>
      <c r="AI71" s="476"/>
      <c r="AJ71" s="10"/>
      <c r="AK71" s="481"/>
      <c r="AL71" s="481"/>
    </row>
    <row r="72" spans="1:38" ht="15" customHeight="1" x14ac:dyDescent="0.3">
      <c r="A72" s="473" t="s">
        <v>22</v>
      </c>
      <c r="B72" s="2" t="s">
        <v>148</v>
      </c>
      <c r="C72" s="6">
        <v>1</v>
      </c>
      <c r="D72" s="11" t="s">
        <v>143</v>
      </c>
      <c r="E72" s="430">
        <v>35297</v>
      </c>
      <c r="F72" s="12">
        <v>1996</v>
      </c>
      <c r="G72" s="19"/>
      <c r="H72" s="517"/>
      <c r="I72" s="14" t="s">
        <v>285</v>
      </c>
      <c r="J72" s="32"/>
      <c r="K72" s="474" t="s">
        <v>368</v>
      </c>
      <c r="L72" s="474"/>
      <c r="M72" s="474"/>
      <c r="N72" s="474"/>
      <c r="O72" s="475"/>
      <c r="P72" s="476" t="s">
        <v>365</v>
      </c>
      <c r="Q72" s="15" t="s">
        <v>282</v>
      </c>
      <c r="R72" s="15"/>
      <c r="S72" s="16" t="s">
        <v>44</v>
      </c>
      <c r="T72" s="16"/>
      <c r="U72" s="484"/>
      <c r="V72" s="485"/>
      <c r="W72" s="243"/>
      <c r="X72" s="478"/>
      <c r="Y72" s="7">
        <f t="shared" si="2"/>
        <v>0</v>
      </c>
      <c r="Z72" s="478"/>
      <c r="AA72" s="469"/>
      <c r="AB72" s="518" t="s">
        <v>5972</v>
      </c>
      <c r="AC72" s="519"/>
      <c r="AD72" s="476">
        <v>0</v>
      </c>
      <c r="AE72" s="476"/>
      <c r="AF72" s="9">
        <f t="shared" si="3"/>
        <v>0</v>
      </c>
      <c r="AG72" s="476"/>
      <c r="AH72" s="475"/>
      <c r="AI72" s="476"/>
      <c r="AJ72" s="10"/>
      <c r="AK72" s="481"/>
      <c r="AL72" s="481"/>
    </row>
    <row r="73" spans="1:38" ht="15" customHeight="1" x14ac:dyDescent="0.3">
      <c r="A73" s="473" t="s">
        <v>22</v>
      </c>
      <c r="B73" s="2" t="s">
        <v>227</v>
      </c>
      <c r="C73" s="6">
        <v>8</v>
      </c>
      <c r="D73" s="11" t="s">
        <v>225</v>
      </c>
      <c r="E73" s="431">
        <v>34668</v>
      </c>
      <c r="F73" s="12">
        <v>1994</v>
      </c>
      <c r="G73" s="24"/>
      <c r="H73" s="506"/>
      <c r="I73" s="22" t="s">
        <v>264</v>
      </c>
      <c r="J73" s="32"/>
      <c r="K73" s="474" t="s">
        <v>387</v>
      </c>
      <c r="L73" s="474"/>
      <c r="M73" s="474"/>
      <c r="N73" s="474"/>
      <c r="O73" s="482"/>
      <c r="P73" s="476" t="s">
        <v>365</v>
      </c>
      <c r="Q73" s="15" t="s">
        <v>282</v>
      </c>
      <c r="R73" s="15"/>
      <c r="S73" s="16" t="s">
        <v>44</v>
      </c>
      <c r="T73" s="16"/>
      <c r="U73" s="484" t="s">
        <v>388</v>
      </c>
      <c r="V73" s="485"/>
      <c r="W73" s="243"/>
      <c r="X73" s="478"/>
      <c r="Y73" s="7">
        <f t="shared" si="2"/>
        <v>0</v>
      </c>
      <c r="Z73" s="478"/>
      <c r="AA73" s="469"/>
      <c r="AB73" s="500" t="s">
        <v>5953</v>
      </c>
      <c r="AC73" s="501"/>
      <c r="AD73" s="476">
        <v>0</v>
      </c>
      <c r="AE73" s="476"/>
      <c r="AF73" s="9">
        <f t="shared" si="3"/>
        <v>0</v>
      </c>
      <c r="AG73" s="476"/>
      <c r="AH73" s="475"/>
      <c r="AI73" s="476"/>
      <c r="AJ73" s="10"/>
      <c r="AK73" s="481"/>
      <c r="AL73" s="481"/>
    </row>
    <row r="74" spans="1:38" ht="15" customHeight="1" x14ac:dyDescent="0.3">
      <c r="A74" s="473" t="s">
        <v>22</v>
      </c>
      <c r="B74" s="2" t="s">
        <v>227</v>
      </c>
      <c r="C74" s="6">
        <v>7</v>
      </c>
      <c r="D74" s="11" t="s">
        <v>225</v>
      </c>
      <c r="E74" s="431">
        <v>35576</v>
      </c>
      <c r="F74" s="12">
        <v>1997</v>
      </c>
      <c r="G74" s="24"/>
      <c r="H74" s="506"/>
      <c r="I74" s="22" t="s">
        <v>264</v>
      </c>
      <c r="J74" s="32"/>
      <c r="K74" s="474" t="s">
        <v>380</v>
      </c>
      <c r="L74" s="474"/>
      <c r="M74" s="474"/>
      <c r="N74" s="474"/>
      <c r="O74" s="475"/>
      <c r="P74" s="476" t="s">
        <v>365</v>
      </c>
      <c r="Q74" s="15" t="s">
        <v>282</v>
      </c>
      <c r="R74" s="15"/>
      <c r="S74" s="16" t="s">
        <v>44</v>
      </c>
      <c r="T74" s="16"/>
      <c r="U74" s="484"/>
      <c r="V74" s="485"/>
      <c r="W74" s="243"/>
      <c r="X74" s="478"/>
      <c r="Y74" s="7">
        <f t="shared" si="2"/>
        <v>0</v>
      </c>
      <c r="Z74" s="478"/>
      <c r="AA74" s="469"/>
      <c r="AB74" s="500" t="s">
        <v>5953</v>
      </c>
      <c r="AC74" s="501"/>
      <c r="AD74" s="476">
        <v>0</v>
      </c>
      <c r="AE74" s="476"/>
      <c r="AF74" s="9">
        <f t="shared" si="3"/>
        <v>0</v>
      </c>
      <c r="AG74" s="476"/>
      <c r="AH74" s="475"/>
      <c r="AI74" s="476"/>
      <c r="AJ74" s="10"/>
      <c r="AK74" s="481"/>
      <c r="AL74" s="481"/>
    </row>
    <row r="75" spans="1:38" ht="15" customHeight="1" x14ac:dyDescent="0.3">
      <c r="A75" s="473" t="s">
        <v>22</v>
      </c>
      <c r="B75" s="2" t="s">
        <v>227</v>
      </c>
      <c r="C75" s="6">
        <v>6</v>
      </c>
      <c r="D75" s="11" t="s">
        <v>225</v>
      </c>
      <c r="E75" s="431">
        <v>35217</v>
      </c>
      <c r="F75" s="12">
        <v>1996</v>
      </c>
      <c r="G75" s="24"/>
      <c r="H75" s="506"/>
      <c r="I75" s="22" t="s">
        <v>264</v>
      </c>
      <c r="J75" s="32"/>
      <c r="K75" s="474" t="s">
        <v>389</v>
      </c>
      <c r="L75" s="474"/>
      <c r="M75" s="474"/>
      <c r="N75" s="474"/>
      <c r="O75" s="482"/>
      <c r="P75" s="476" t="s">
        <v>365</v>
      </c>
      <c r="Q75" s="15" t="s">
        <v>282</v>
      </c>
      <c r="R75" s="15"/>
      <c r="S75" s="16" t="s">
        <v>44</v>
      </c>
      <c r="T75" s="16"/>
      <c r="U75" s="484" t="s">
        <v>369</v>
      </c>
      <c r="V75" s="485"/>
      <c r="W75" s="243"/>
      <c r="X75" s="478"/>
      <c r="Y75" s="7">
        <f t="shared" si="2"/>
        <v>0</v>
      </c>
      <c r="Z75" s="478"/>
      <c r="AA75" s="469"/>
      <c r="AB75" s="504" t="s">
        <v>6115</v>
      </c>
      <c r="AC75" s="138"/>
      <c r="AD75" s="476">
        <v>0</v>
      </c>
      <c r="AE75" s="476"/>
      <c r="AF75" s="9">
        <f t="shared" si="3"/>
        <v>0</v>
      </c>
      <c r="AG75" s="476"/>
      <c r="AH75" s="475"/>
      <c r="AI75" s="476"/>
      <c r="AJ75" s="10"/>
      <c r="AK75" s="481"/>
      <c r="AL75" s="481"/>
    </row>
    <row r="76" spans="1:38" ht="15" customHeight="1" x14ac:dyDescent="0.3">
      <c r="A76" s="473" t="s">
        <v>22</v>
      </c>
      <c r="B76" s="2" t="s">
        <v>227</v>
      </c>
      <c r="C76" s="6">
        <v>4</v>
      </c>
      <c r="D76" s="11" t="s">
        <v>225</v>
      </c>
      <c r="E76" s="431">
        <v>35473</v>
      </c>
      <c r="F76" s="12">
        <v>1997</v>
      </c>
      <c r="G76" s="24"/>
      <c r="H76" s="506"/>
      <c r="I76" s="22" t="s">
        <v>264</v>
      </c>
      <c r="J76" s="32"/>
      <c r="K76" s="474" t="s">
        <v>390</v>
      </c>
      <c r="L76" s="474"/>
      <c r="M76" s="474"/>
      <c r="N76" s="474"/>
      <c r="O76" s="475"/>
      <c r="P76" s="476" t="s">
        <v>365</v>
      </c>
      <c r="Q76" s="15" t="s">
        <v>282</v>
      </c>
      <c r="R76" s="15"/>
      <c r="S76" s="16" t="s">
        <v>44</v>
      </c>
      <c r="T76" s="16"/>
      <c r="U76" s="484"/>
      <c r="V76" s="485"/>
      <c r="W76" s="243"/>
      <c r="X76" s="478"/>
      <c r="Y76" s="7">
        <f t="shared" si="2"/>
        <v>0</v>
      </c>
      <c r="Z76" s="478"/>
      <c r="AA76" s="469"/>
      <c r="AB76" s="500" t="s">
        <v>5953</v>
      </c>
      <c r="AC76" s="501"/>
      <c r="AD76" s="476">
        <v>0</v>
      </c>
      <c r="AE76" s="476"/>
      <c r="AF76" s="9">
        <f t="shared" si="3"/>
        <v>0</v>
      </c>
      <c r="AG76" s="476"/>
      <c r="AH76" s="475"/>
      <c r="AI76" s="476"/>
      <c r="AJ76" s="10"/>
      <c r="AK76" s="481"/>
      <c r="AL76" s="481"/>
    </row>
    <row r="77" spans="1:38" ht="15" customHeight="1" x14ac:dyDescent="0.3">
      <c r="A77" s="473" t="s">
        <v>22</v>
      </c>
      <c r="B77" s="2" t="s">
        <v>324</v>
      </c>
      <c r="C77" s="6">
        <v>3</v>
      </c>
      <c r="D77" s="11" t="s">
        <v>225</v>
      </c>
      <c r="E77" s="430"/>
      <c r="F77" s="12"/>
      <c r="G77" s="19"/>
      <c r="H77" s="506"/>
      <c r="I77" s="14" t="s">
        <v>285</v>
      </c>
      <c r="J77" s="32"/>
      <c r="K77" s="474" t="s">
        <v>286</v>
      </c>
      <c r="L77" s="474"/>
      <c r="M77" s="474"/>
      <c r="N77" s="474"/>
      <c r="O77" s="475"/>
      <c r="P77" s="476" t="s">
        <v>365</v>
      </c>
      <c r="Q77" s="15" t="s">
        <v>35</v>
      </c>
      <c r="R77" s="15"/>
      <c r="S77" s="16" t="s">
        <v>44</v>
      </c>
      <c r="T77" s="16"/>
      <c r="U77" s="484"/>
      <c r="V77" s="485"/>
      <c r="W77" s="243"/>
      <c r="X77" s="478"/>
      <c r="Y77" s="7">
        <f t="shared" si="2"/>
        <v>0</v>
      </c>
      <c r="Z77" s="478"/>
      <c r="AA77" s="469"/>
      <c r="AB77" s="504" t="s">
        <v>6115</v>
      </c>
      <c r="AC77" s="138"/>
      <c r="AD77" s="476">
        <v>0</v>
      </c>
      <c r="AE77" s="476"/>
      <c r="AF77" s="9">
        <f t="shared" si="3"/>
        <v>0</v>
      </c>
      <c r="AG77" s="476"/>
      <c r="AH77" s="475"/>
      <c r="AI77" s="476"/>
      <c r="AJ77" s="10"/>
      <c r="AK77" s="481"/>
      <c r="AL77" s="481"/>
    </row>
    <row r="78" spans="1:38" ht="15" customHeight="1" x14ac:dyDescent="0.3">
      <c r="A78" s="473" t="s">
        <v>22</v>
      </c>
      <c r="B78" s="2" t="s">
        <v>105</v>
      </c>
      <c r="C78" s="6">
        <v>17</v>
      </c>
      <c r="D78" s="11" t="s">
        <v>5936</v>
      </c>
      <c r="E78" s="122">
        <v>35656</v>
      </c>
      <c r="F78" s="12">
        <v>1997</v>
      </c>
      <c r="G78" s="32" t="s">
        <v>26</v>
      </c>
      <c r="H78" s="506"/>
      <c r="I78" s="520" t="s">
        <v>5951</v>
      </c>
      <c r="J78" s="77" t="s">
        <v>391</v>
      </c>
      <c r="K78" s="474" t="s">
        <v>392</v>
      </c>
      <c r="L78" s="474"/>
      <c r="M78" s="474"/>
      <c r="N78" s="474"/>
      <c r="O78" s="475"/>
      <c r="P78" s="476" t="s">
        <v>393</v>
      </c>
      <c r="Q78" s="15" t="s">
        <v>35</v>
      </c>
      <c r="R78" s="15"/>
      <c r="S78" s="16" t="s">
        <v>44</v>
      </c>
      <c r="T78" s="16"/>
      <c r="U78" s="484" t="s">
        <v>394</v>
      </c>
      <c r="V78" s="485"/>
      <c r="W78" s="243"/>
      <c r="X78" s="478"/>
      <c r="Y78" s="7">
        <f t="shared" si="2"/>
        <v>0</v>
      </c>
      <c r="Z78" s="478"/>
      <c r="AA78" s="469"/>
      <c r="AB78" s="479" t="s">
        <v>5937</v>
      </c>
      <c r="AC78" s="480"/>
      <c r="AD78" s="476">
        <v>0</v>
      </c>
      <c r="AE78" s="476"/>
      <c r="AF78" s="9">
        <f t="shared" si="3"/>
        <v>0</v>
      </c>
      <c r="AG78" s="476"/>
      <c r="AH78" s="475"/>
      <c r="AI78" s="476"/>
      <c r="AJ78" s="10"/>
      <c r="AK78" s="481"/>
      <c r="AL78" s="481"/>
    </row>
    <row r="79" spans="1:38" ht="15" customHeight="1" x14ac:dyDescent="0.3">
      <c r="A79" s="473" t="s">
        <v>22</v>
      </c>
      <c r="B79" s="2" t="s">
        <v>23</v>
      </c>
      <c r="C79" s="6">
        <v>11</v>
      </c>
      <c r="D79" s="11" t="s">
        <v>24</v>
      </c>
      <c r="E79" s="431">
        <v>36021</v>
      </c>
      <c r="F79" s="12">
        <v>1998</v>
      </c>
      <c r="G79" s="19"/>
      <c r="H79" s="506"/>
      <c r="I79" s="22" t="s">
        <v>264</v>
      </c>
      <c r="J79" s="32"/>
      <c r="K79" s="474" t="s">
        <v>395</v>
      </c>
      <c r="L79" s="474"/>
      <c r="M79" s="474"/>
      <c r="N79" s="474"/>
      <c r="O79" s="475"/>
      <c r="P79" s="476" t="s">
        <v>393</v>
      </c>
      <c r="Q79" s="15" t="s">
        <v>282</v>
      </c>
      <c r="R79" s="15"/>
      <c r="S79" s="16" t="s">
        <v>44</v>
      </c>
      <c r="T79" s="16"/>
      <c r="U79" s="484"/>
      <c r="V79" s="485"/>
      <c r="W79" s="243"/>
      <c r="X79" s="478"/>
      <c r="Y79" s="7">
        <f t="shared" si="2"/>
        <v>0</v>
      </c>
      <c r="Z79" s="478"/>
      <c r="AA79" s="469"/>
      <c r="AB79" s="479" t="s">
        <v>49</v>
      </c>
      <c r="AC79" s="480"/>
      <c r="AD79" s="476">
        <v>0</v>
      </c>
      <c r="AE79" s="476"/>
      <c r="AF79" s="9">
        <f t="shared" si="3"/>
        <v>0</v>
      </c>
      <c r="AG79" s="476"/>
      <c r="AH79" s="475"/>
      <c r="AI79" s="476"/>
      <c r="AJ79" s="10"/>
      <c r="AK79" s="481"/>
      <c r="AL79" s="481"/>
    </row>
    <row r="80" spans="1:38" ht="15" customHeight="1" x14ac:dyDescent="0.3">
      <c r="A80" s="473" t="s">
        <v>22</v>
      </c>
      <c r="B80" s="2" t="s">
        <v>23</v>
      </c>
      <c r="C80" s="6">
        <v>10</v>
      </c>
      <c r="D80" s="11" t="s">
        <v>24</v>
      </c>
      <c r="E80" s="431">
        <v>36008</v>
      </c>
      <c r="F80" s="12">
        <v>1998</v>
      </c>
      <c r="G80" s="19"/>
      <c r="H80" s="506"/>
      <c r="I80" s="14" t="s">
        <v>285</v>
      </c>
      <c r="J80" s="32" t="s">
        <v>396</v>
      </c>
      <c r="K80" s="474" t="s">
        <v>397</v>
      </c>
      <c r="L80" s="474"/>
      <c r="M80" s="474"/>
      <c r="N80" s="474"/>
      <c r="O80" s="475"/>
      <c r="P80" s="476" t="s">
        <v>393</v>
      </c>
      <c r="Q80" s="15" t="s">
        <v>282</v>
      </c>
      <c r="R80" s="15"/>
      <c r="S80" s="16" t="s">
        <v>44</v>
      </c>
      <c r="T80" s="16"/>
      <c r="U80" s="484"/>
      <c r="V80" s="485"/>
      <c r="W80" s="243"/>
      <c r="X80" s="478"/>
      <c r="Y80" s="7">
        <f t="shared" si="2"/>
        <v>0</v>
      </c>
      <c r="Z80" s="478"/>
      <c r="AA80" s="469"/>
      <c r="AB80" s="479" t="s">
        <v>49</v>
      </c>
      <c r="AC80" s="480"/>
      <c r="AD80" s="476">
        <v>0</v>
      </c>
      <c r="AE80" s="476"/>
      <c r="AF80" s="9">
        <f t="shared" si="3"/>
        <v>0</v>
      </c>
      <c r="AG80" s="476"/>
      <c r="AH80" s="475"/>
      <c r="AI80" s="476" t="s">
        <v>398</v>
      </c>
      <c r="AJ80" s="10"/>
      <c r="AK80" s="481"/>
      <c r="AL80" s="481"/>
    </row>
    <row r="81" spans="1:38" ht="15" customHeight="1" x14ac:dyDescent="0.3">
      <c r="A81" s="473" t="s">
        <v>22</v>
      </c>
      <c r="B81" s="2" t="s">
        <v>23</v>
      </c>
      <c r="C81" s="6">
        <v>9</v>
      </c>
      <c r="D81" s="11" t="s">
        <v>24</v>
      </c>
      <c r="E81" s="430">
        <v>35702</v>
      </c>
      <c r="F81" s="12">
        <v>1997</v>
      </c>
      <c r="G81" s="13">
        <v>35702</v>
      </c>
      <c r="H81" s="514"/>
      <c r="I81" s="22" t="s">
        <v>264</v>
      </c>
      <c r="J81" s="32" t="s">
        <v>26</v>
      </c>
      <c r="K81" s="474" t="s">
        <v>347</v>
      </c>
      <c r="L81" s="474"/>
      <c r="M81" s="474"/>
      <c r="N81" s="474"/>
      <c r="O81" s="475"/>
      <c r="P81" s="476" t="s">
        <v>393</v>
      </c>
      <c r="Q81" s="15" t="s">
        <v>282</v>
      </c>
      <c r="R81" s="15"/>
      <c r="S81" s="16" t="s">
        <v>44</v>
      </c>
      <c r="T81" s="16"/>
      <c r="U81" s="484"/>
      <c r="V81" s="485"/>
      <c r="W81" s="243"/>
      <c r="X81" s="478"/>
      <c r="Y81" s="7">
        <f t="shared" si="2"/>
        <v>0</v>
      </c>
      <c r="Z81" s="478"/>
      <c r="AA81" s="469"/>
      <c r="AB81" s="513" t="s">
        <v>5976</v>
      </c>
      <c r="AC81" s="147"/>
      <c r="AD81" s="476">
        <v>0</v>
      </c>
      <c r="AE81" s="476"/>
      <c r="AF81" s="9">
        <f t="shared" si="3"/>
        <v>0</v>
      </c>
      <c r="AG81" s="476"/>
      <c r="AH81" s="475"/>
      <c r="AI81" s="476"/>
      <c r="AJ81" s="10"/>
      <c r="AK81" s="481"/>
      <c r="AL81" s="481"/>
    </row>
    <row r="82" spans="1:38" ht="15" customHeight="1" x14ac:dyDescent="0.3">
      <c r="A82" s="473" t="s">
        <v>22</v>
      </c>
      <c r="B82" s="2" t="s">
        <v>23</v>
      </c>
      <c r="C82" s="6">
        <v>5</v>
      </c>
      <c r="D82" s="11" t="s">
        <v>24</v>
      </c>
      <c r="E82" s="430"/>
      <c r="F82" s="33"/>
      <c r="G82" s="19"/>
      <c r="H82" s="514"/>
      <c r="I82" s="14" t="s">
        <v>285</v>
      </c>
      <c r="J82" s="32"/>
      <c r="K82" s="474" t="s">
        <v>399</v>
      </c>
      <c r="L82" s="474"/>
      <c r="M82" s="474"/>
      <c r="N82" s="474"/>
      <c r="O82" s="475"/>
      <c r="P82" s="476" t="s">
        <v>393</v>
      </c>
      <c r="Q82" s="15" t="s">
        <v>282</v>
      </c>
      <c r="R82" s="15"/>
      <c r="S82" s="16" t="s">
        <v>44</v>
      </c>
      <c r="T82" s="16"/>
      <c r="U82" s="484"/>
      <c r="V82" s="485"/>
      <c r="W82" s="243"/>
      <c r="X82" s="478"/>
      <c r="Y82" s="7">
        <f t="shared" si="2"/>
        <v>0</v>
      </c>
      <c r="Z82" s="478"/>
      <c r="AA82" s="469"/>
      <c r="AB82" s="479" t="s">
        <v>49</v>
      </c>
      <c r="AC82" s="480"/>
      <c r="AD82" s="476">
        <v>0</v>
      </c>
      <c r="AE82" s="476"/>
      <c r="AF82" s="9">
        <f t="shared" si="3"/>
        <v>0</v>
      </c>
      <c r="AG82" s="476"/>
      <c r="AH82" s="475"/>
      <c r="AI82" s="476"/>
      <c r="AJ82" s="10"/>
      <c r="AK82" s="481"/>
      <c r="AL82" s="481"/>
    </row>
    <row r="83" spans="1:38" ht="15" customHeight="1" x14ac:dyDescent="0.3">
      <c r="A83" s="473" t="s">
        <v>22</v>
      </c>
      <c r="B83" s="2" t="s">
        <v>23</v>
      </c>
      <c r="C83" s="6">
        <v>4</v>
      </c>
      <c r="D83" s="11" t="s">
        <v>24</v>
      </c>
      <c r="E83" s="431">
        <v>35309</v>
      </c>
      <c r="F83" s="12">
        <v>1996</v>
      </c>
      <c r="G83" s="19"/>
      <c r="H83" s="514"/>
      <c r="I83" s="14" t="s">
        <v>285</v>
      </c>
      <c r="J83" s="32" t="s">
        <v>81</v>
      </c>
      <c r="K83" s="474" t="s">
        <v>329</v>
      </c>
      <c r="L83" s="474"/>
      <c r="M83" s="474"/>
      <c r="N83" s="474"/>
      <c r="O83" s="475"/>
      <c r="P83" s="476" t="s">
        <v>393</v>
      </c>
      <c r="Q83" s="15" t="s">
        <v>35</v>
      </c>
      <c r="R83" s="15"/>
      <c r="S83" s="16" t="s">
        <v>44</v>
      </c>
      <c r="T83" s="16"/>
      <c r="U83" s="484"/>
      <c r="V83" s="485"/>
      <c r="W83" s="243"/>
      <c r="X83" s="478"/>
      <c r="Y83" s="7">
        <f t="shared" si="2"/>
        <v>0</v>
      </c>
      <c r="Z83" s="478"/>
      <c r="AA83" s="469"/>
      <c r="AB83" s="479" t="s">
        <v>318</v>
      </c>
      <c r="AC83" s="480"/>
      <c r="AD83" s="498">
        <v>0</v>
      </c>
      <c r="AE83" s="498"/>
      <c r="AF83" s="9">
        <f t="shared" si="3"/>
        <v>0</v>
      </c>
      <c r="AG83" s="498"/>
      <c r="AH83" s="475"/>
      <c r="AI83" s="476"/>
      <c r="AJ83" s="10"/>
      <c r="AK83" s="481"/>
      <c r="AL83" s="481"/>
    </row>
    <row r="84" spans="1:38" ht="15" customHeight="1" x14ac:dyDescent="0.3">
      <c r="A84" s="473" t="s">
        <v>22</v>
      </c>
      <c r="B84" s="2" t="s">
        <v>23</v>
      </c>
      <c r="C84" s="6">
        <v>3</v>
      </c>
      <c r="D84" s="11" t="s">
        <v>24</v>
      </c>
      <c r="E84" s="431">
        <v>34425</v>
      </c>
      <c r="F84" s="12">
        <v>1994</v>
      </c>
      <c r="G84" s="19"/>
      <c r="H84" s="514"/>
      <c r="I84" s="14" t="s">
        <v>285</v>
      </c>
      <c r="J84" s="32" t="s">
        <v>81</v>
      </c>
      <c r="K84" s="474" t="s">
        <v>329</v>
      </c>
      <c r="L84" s="474"/>
      <c r="M84" s="474"/>
      <c r="N84" s="474"/>
      <c r="O84" s="475"/>
      <c r="P84" s="476" t="s">
        <v>393</v>
      </c>
      <c r="Q84" s="15" t="s">
        <v>35</v>
      </c>
      <c r="R84" s="15"/>
      <c r="S84" s="16" t="s">
        <v>44</v>
      </c>
      <c r="T84" s="16"/>
      <c r="U84" s="484"/>
      <c r="V84" s="485"/>
      <c r="W84" s="243"/>
      <c r="X84" s="478"/>
      <c r="Y84" s="7">
        <f t="shared" si="2"/>
        <v>0</v>
      </c>
      <c r="Z84" s="478"/>
      <c r="AA84" s="469"/>
      <c r="AB84" s="479" t="s">
        <v>318</v>
      </c>
      <c r="AC84" s="480"/>
      <c r="AD84" s="498">
        <v>0</v>
      </c>
      <c r="AE84" s="498"/>
      <c r="AF84" s="9">
        <f t="shared" si="3"/>
        <v>0</v>
      </c>
      <c r="AG84" s="498"/>
      <c r="AH84" s="475"/>
      <c r="AI84" s="476"/>
      <c r="AJ84" s="10"/>
      <c r="AK84" s="481"/>
      <c r="AL84" s="481"/>
    </row>
    <row r="85" spans="1:38" ht="15" customHeight="1" x14ac:dyDescent="0.3">
      <c r="A85" s="473" t="s">
        <v>22</v>
      </c>
      <c r="B85" s="2" t="s">
        <v>23</v>
      </c>
      <c r="C85" s="6">
        <v>2</v>
      </c>
      <c r="D85" s="11" t="s">
        <v>24</v>
      </c>
      <c r="E85" s="431">
        <v>35186</v>
      </c>
      <c r="F85" s="12">
        <v>1996</v>
      </c>
      <c r="G85" s="19"/>
      <c r="H85" s="514"/>
      <c r="I85" s="14" t="s">
        <v>285</v>
      </c>
      <c r="J85" s="32" t="s">
        <v>81</v>
      </c>
      <c r="K85" s="474" t="s">
        <v>329</v>
      </c>
      <c r="L85" s="474"/>
      <c r="M85" s="474"/>
      <c r="N85" s="474"/>
      <c r="O85" s="475"/>
      <c r="P85" s="476" t="s">
        <v>393</v>
      </c>
      <c r="Q85" s="15" t="s">
        <v>35</v>
      </c>
      <c r="R85" s="15"/>
      <c r="S85" s="16" t="s">
        <v>44</v>
      </c>
      <c r="T85" s="16"/>
      <c r="U85" s="484"/>
      <c r="V85" s="485"/>
      <c r="W85" s="243"/>
      <c r="X85" s="478"/>
      <c r="Y85" s="7">
        <f t="shared" si="2"/>
        <v>0</v>
      </c>
      <c r="Z85" s="478"/>
      <c r="AA85" s="469"/>
      <c r="AB85" s="479" t="s">
        <v>318</v>
      </c>
      <c r="AC85" s="480"/>
      <c r="AD85" s="498">
        <v>0</v>
      </c>
      <c r="AE85" s="498"/>
      <c r="AF85" s="9">
        <f t="shared" si="3"/>
        <v>0</v>
      </c>
      <c r="AG85" s="498"/>
      <c r="AH85" s="475"/>
      <c r="AI85" s="476"/>
      <c r="AJ85" s="10"/>
      <c r="AK85" s="481"/>
      <c r="AL85" s="481"/>
    </row>
    <row r="86" spans="1:38" ht="15" customHeight="1" x14ac:dyDescent="0.3">
      <c r="A86" s="473" t="s">
        <v>22</v>
      </c>
      <c r="B86" s="2" t="s">
        <v>105</v>
      </c>
      <c r="C86" s="6">
        <v>9</v>
      </c>
      <c r="D86" s="11" t="s">
        <v>5936</v>
      </c>
      <c r="E86" s="430">
        <v>35354</v>
      </c>
      <c r="F86" s="12">
        <v>1996</v>
      </c>
      <c r="G86" s="13">
        <v>25012</v>
      </c>
      <c r="H86" s="514"/>
      <c r="I86" s="22" t="s">
        <v>264</v>
      </c>
      <c r="J86" s="32" t="s">
        <v>26</v>
      </c>
      <c r="K86" s="474" t="s">
        <v>351</v>
      </c>
      <c r="L86" s="474"/>
      <c r="M86" s="474"/>
      <c r="N86" s="474"/>
      <c r="O86" s="475"/>
      <c r="P86" s="476" t="s">
        <v>393</v>
      </c>
      <c r="Q86" s="15" t="s">
        <v>282</v>
      </c>
      <c r="R86" s="15"/>
      <c r="S86" s="16" t="s">
        <v>44</v>
      </c>
      <c r="T86" s="16"/>
      <c r="U86" s="484"/>
      <c r="V86" s="485"/>
      <c r="W86" s="243"/>
      <c r="X86" s="478"/>
      <c r="Y86" s="7">
        <f t="shared" si="2"/>
        <v>0</v>
      </c>
      <c r="Z86" s="478"/>
      <c r="AA86" s="469"/>
      <c r="AB86" s="479" t="s">
        <v>5937</v>
      </c>
      <c r="AC86" s="480"/>
      <c r="AD86" s="476">
        <v>0</v>
      </c>
      <c r="AE86" s="476"/>
      <c r="AF86" s="9">
        <f t="shared" si="3"/>
        <v>0</v>
      </c>
      <c r="AG86" s="476"/>
      <c r="AH86" s="475"/>
      <c r="AI86" s="476"/>
      <c r="AJ86" s="10"/>
      <c r="AK86" s="481"/>
      <c r="AL86" s="481"/>
    </row>
    <row r="87" spans="1:38" ht="15" customHeight="1" x14ac:dyDescent="0.3">
      <c r="A87" s="473" t="s">
        <v>22</v>
      </c>
      <c r="B87" s="2" t="s">
        <v>105</v>
      </c>
      <c r="C87" s="6">
        <v>12</v>
      </c>
      <c r="D87" s="11" t="s">
        <v>5936</v>
      </c>
      <c r="E87" s="431">
        <v>34908</v>
      </c>
      <c r="F87" s="12">
        <v>1995</v>
      </c>
      <c r="G87" s="13">
        <v>19853</v>
      </c>
      <c r="H87" s="514"/>
      <c r="I87" s="22" t="s">
        <v>264</v>
      </c>
      <c r="J87" s="32" t="s">
        <v>191</v>
      </c>
      <c r="K87" s="474" t="s">
        <v>400</v>
      </c>
      <c r="L87" s="474"/>
      <c r="M87" s="474"/>
      <c r="N87" s="474"/>
      <c r="O87" s="475"/>
      <c r="P87" s="476" t="s">
        <v>393</v>
      </c>
      <c r="Q87" s="15" t="s">
        <v>282</v>
      </c>
      <c r="R87" s="15"/>
      <c r="S87" s="16" t="s">
        <v>44</v>
      </c>
      <c r="T87" s="16"/>
      <c r="U87" s="484"/>
      <c r="V87" s="485"/>
      <c r="W87" s="243"/>
      <c r="X87" s="478"/>
      <c r="Y87" s="7">
        <f t="shared" si="2"/>
        <v>0</v>
      </c>
      <c r="Z87" s="478"/>
      <c r="AA87" s="469"/>
      <c r="AB87" s="479" t="s">
        <v>5937</v>
      </c>
      <c r="AC87" s="480"/>
      <c r="AD87" s="476">
        <v>0</v>
      </c>
      <c r="AE87" s="476"/>
      <c r="AF87" s="9">
        <f t="shared" si="3"/>
        <v>0</v>
      </c>
      <c r="AG87" s="476"/>
      <c r="AH87" s="475"/>
      <c r="AI87" s="476"/>
      <c r="AJ87" s="10"/>
      <c r="AK87" s="481"/>
      <c r="AL87" s="481"/>
    </row>
    <row r="88" spans="1:38" ht="15" customHeight="1" x14ac:dyDescent="0.3">
      <c r="A88" s="473" t="s">
        <v>22</v>
      </c>
      <c r="B88" s="2" t="s">
        <v>105</v>
      </c>
      <c r="C88" s="6">
        <v>12</v>
      </c>
      <c r="D88" s="11" t="s">
        <v>5936</v>
      </c>
      <c r="E88" s="431">
        <v>38888</v>
      </c>
      <c r="F88" s="12">
        <v>2006</v>
      </c>
      <c r="G88" s="13">
        <v>21326</v>
      </c>
      <c r="H88" s="514"/>
      <c r="I88" s="22" t="s">
        <v>264</v>
      </c>
      <c r="J88" s="32" t="s">
        <v>26</v>
      </c>
      <c r="K88" s="474" t="s">
        <v>401</v>
      </c>
      <c r="L88" s="474"/>
      <c r="M88" s="474"/>
      <c r="N88" s="474"/>
      <c r="O88" s="475"/>
      <c r="P88" s="476" t="s">
        <v>393</v>
      </c>
      <c r="Q88" s="15" t="s">
        <v>282</v>
      </c>
      <c r="R88" s="15"/>
      <c r="S88" s="16" t="s">
        <v>44</v>
      </c>
      <c r="T88" s="16"/>
      <c r="U88" s="484"/>
      <c r="V88" s="485"/>
      <c r="W88" s="243"/>
      <c r="X88" s="478"/>
      <c r="Y88" s="7">
        <f t="shared" si="2"/>
        <v>0</v>
      </c>
      <c r="Z88" s="478"/>
      <c r="AA88" s="469"/>
      <c r="AB88" s="479" t="s">
        <v>5937</v>
      </c>
      <c r="AC88" s="480"/>
      <c r="AD88" s="476">
        <v>0</v>
      </c>
      <c r="AE88" s="476"/>
      <c r="AF88" s="9">
        <f t="shared" si="3"/>
        <v>0</v>
      </c>
      <c r="AG88" s="476"/>
      <c r="AH88" s="475"/>
      <c r="AI88" s="476"/>
      <c r="AJ88" s="10"/>
      <c r="AK88" s="481"/>
      <c r="AL88" s="481"/>
    </row>
    <row r="89" spans="1:38" ht="15" customHeight="1" x14ac:dyDescent="0.3">
      <c r="A89" s="473" t="s">
        <v>22</v>
      </c>
      <c r="B89" s="2" t="s">
        <v>105</v>
      </c>
      <c r="C89" s="6">
        <v>18</v>
      </c>
      <c r="D89" s="11" t="s">
        <v>5936</v>
      </c>
      <c r="E89" s="430">
        <v>35725</v>
      </c>
      <c r="F89" s="12">
        <v>1997</v>
      </c>
      <c r="G89" s="24">
        <v>844</v>
      </c>
      <c r="H89" s="514"/>
      <c r="I89" s="22" t="s">
        <v>264</v>
      </c>
      <c r="J89" s="32" t="s">
        <v>26</v>
      </c>
      <c r="K89" s="474" t="s">
        <v>371</v>
      </c>
      <c r="L89" s="474"/>
      <c r="M89" s="474"/>
      <c r="N89" s="474"/>
      <c r="O89" s="475"/>
      <c r="P89" s="476" t="s">
        <v>393</v>
      </c>
      <c r="Q89" s="15" t="s">
        <v>282</v>
      </c>
      <c r="R89" s="15"/>
      <c r="S89" s="16" t="s">
        <v>44</v>
      </c>
      <c r="T89" s="16"/>
      <c r="U89" s="484"/>
      <c r="V89" s="485"/>
      <c r="W89" s="243"/>
      <c r="X89" s="478"/>
      <c r="Y89" s="7">
        <f t="shared" si="2"/>
        <v>0</v>
      </c>
      <c r="Z89" s="478"/>
      <c r="AA89" s="469"/>
      <c r="AB89" s="479" t="s">
        <v>5937</v>
      </c>
      <c r="AC89" s="480"/>
      <c r="AD89" s="476">
        <v>0</v>
      </c>
      <c r="AE89" s="476"/>
      <c r="AF89" s="9">
        <f t="shared" si="3"/>
        <v>0</v>
      </c>
      <c r="AG89" s="476"/>
      <c r="AH89" s="475"/>
      <c r="AI89" s="476"/>
      <c r="AJ89" s="10"/>
      <c r="AK89" s="481"/>
      <c r="AL89" s="481"/>
    </row>
    <row r="90" spans="1:38" ht="15" customHeight="1" x14ac:dyDescent="0.3">
      <c r="A90" s="473" t="s">
        <v>22</v>
      </c>
      <c r="B90" s="2" t="s">
        <v>105</v>
      </c>
      <c r="C90" s="6">
        <v>4</v>
      </c>
      <c r="D90" s="11" t="s">
        <v>5936</v>
      </c>
      <c r="E90" s="430">
        <v>35390</v>
      </c>
      <c r="F90" s="12">
        <v>1996</v>
      </c>
      <c r="G90" s="13">
        <v>36543</v>
      </c>
      <c r="H90" s="514"/>
      <c r="I90" s="22" t="s">
        <v>264</v>
      </c>
      <c r="J90" s="32" t="s">
        <v>26</v>
      </c>
      <c r="K90" s="474" t="s">
        <v>402</v>
      </c>
      <c r="L90" s="474"/>
      <c r="M90" s="474"/>
      <c r="N90" s="474"/>
      <c r="O90" s="475" t="s">
        <v>403</v>
      </c>
      <c r="P90" s="476" t="s">
        <v>393</v>
      </c>
      <c r="Q90" s="15" t="s">
        <v>282</v>
      </c>
      <c r="R90" s="15"/>
      <c r="S90" s="16" t="s">
        <v>44</v>
      </c>
      <c r="T90" s="16"/>
      <c r="U90" s="484"/>
      <c r="V90" s="485"/>
      <c r="W90" s="243"/>
      <c r="X90" s="478"/>
      <c r="Y90" s="7">
        <f t="shared" si="2"/>
        <v>0</v>
      </c>
      <c r="Z90" s="478"/>
      <c r="AA90" s="469"/>
      <c r="AB90" s="479" t="s">
        <v>5937</v>
      </c>
      <c r="AC90" s="480"/>
      <c r="AD90" s="476">
        <v>0</v>
      </c>
      <c r="AE90" s="476"/>
      <c r="AF90" s="9">
        <f t="shared" si="3"/>
        <v>0</v>
      </c>
      <c r="AG90" s="476"/>
      <c r="AH90" s="475"/>
      <c r="AI90" s="476"/>
      <c r="AJ90" s="10"/>
      <c r="AK90" s="481"/>
      <c r="AL90" s="481"/>
    </row>
    <row r="91" spans="1:38" ht="15" customHeight="1" x14ac:dyDescent="0.3">
      <c r="A91" s="473" t="s">
        <v>22</v>
      </c>
      <c r="B91" s="2" t="s">
        <v>105</v>
      </c>
      <c r="C91" s="6">
        <v>5</v>
      </c>
      <c r="D91" s="11" t="s">
        <v>5936</v>
      </c>
      <c r="E91" s="431">
        <v>35002</v>
      </c>
      <c r="F91" s="12">
        <v>1995</v>
      </c>
      <c r="G91" s="13">
        <v>69487</v>
      </c>
      <c r="H91" s="514"/>
      <c r="I91" s="22" t="s">
        <v>264</v>
      </c>
      <c r="J91" s="32" t="s">
        <v>191</v>
      </c>
      <c r="K91" s="474" t="s">
        <v>314</v>
      </c>
      <c r="L91" s="474"/>
      <c r="M91" s="474"/>
      <c r="N91" s="474"/>
      <c r="O91" s="475"/>
      <c r="P91" s="476" t="s">
        <v>393</v>
      </c>
      <c r="Q91" s="15" t="s">
        <v>35</v>
      </c>
      <c r="R91" s="15"/>
      <c r="S91" s="16" t="s">
        <v>44</v>
      </c>
      <c r="T91" s="16"/>
      <c r="U91" s="484"/>
      <c r="V91" s="485"/>
      <c r="W91" s="243"/>
      <c r="X91" s="478"/>
      <c r="Y91" s="7">
        <f t="shared" si="2"/>
        <v>0</v>
      </c>
      <c r="Z91" s="478"/>
      <c r="AA91" s="469"/>
      <c r="AB91" s="479" t="s">
        <v>5937</v>
      </c>
      <c r="AC91" s="480"/>
      <c r="AD91" s="476">
        <v>0</v>
      </c>
      <c r="AE91" s="476"/>
      <c r="AF91" s="9">
        <f t="shared" si="3"/>
        <v>0</v>
      </c>
      <c r="AG91" s="476"/>
      <c r="AH91" s="475"/>
      <c r="AI91" s="476"/>
      <c r="AJ91" s="10"/>
      <c r="AK91" s="481"/>
      <c r="AL91" s="481"/>
    </row>
    <row r="92" spans="1:38" ht="15" customHeight="1" x14ac:dyDescent="0.3">
      <c r="A92" s="473" t="s">
        <v>22</v>
      </c>
      <c r="B92" s="2" t="s">
        <v>105</v>
      </c>
      <c r="C92" s="6">
        <v>20</v>
      </c>
      <c r="D92" s="11" t="s">
        <v>5936</v>
      </c>
      <c r="E92" s="430">
        <v>35836</v>
      </c>
      <c r="F92" s="12">
        <v>1998</v>
      </c>
      <c r="G92" s="24">
        <v>1489</v>
      </c>
      <c r="H92" s="514"/>
      <c r="I92" s="22" t="s">
        <v>264</v>
      </c>
      <c r="J92" s="32"/>
      <c r="K92" s="474" t="s">
        <v>351</v>
      </c>
      <c r="L92" s="474"/>
      <c r="M92" s="474"/>
      <c r="N92" s="474"/>
      <c r="O92" s="475"/>
      <c r="P92" s="476" t="s">
        <v>393</v>
      </c>
      <c r="Q92" s="15" t="s">
        <v>282</v>
      </c>
      <c r="R92" s="15"/>
      <c r="S92" s="16" t="s">
        <v>44</v>
      </c>
      <c r="T92" s="16"/>
      <c r="U92" s="484"/>
      <c r="V92" s="485"/>
      <c r="W92" s="243"/>
      <c r="X92" s="478"/>
      <c r="Y92" s="7">
        <f t="shared" si="2"/>
        <v>0</v>
      </c>
      <c r="Z92" s="478"/>
      <c r="AA92" s="469"/>
      <c r="AB92" s="479" t="s">
        <v>5937</v>
      </c>
      <c r="AC92" s="480"/>
      <c r="AD92" s="476">
        <v>0</v>
      </c>
      <c r="AE92" s="476"/>
      <c r="AF92" s="9">
        <f t="shared" si="3"/>
        <v>0</v>
      </c>
      <c r="AG92" s="476"/>
      <c r="AH92" s="475"/>
      <c r="AI92" s="476"/>
      <c r="AJ92" s="10"/>
      <c r="AK92" s="481"/>
      <c r="AL92" s="481"/>
    </row>
    <row r="93" spans="1:38" ht="15" customHeight="1" x14ac:dyDescent="0.3">
      <c r="A93" s="473" t="s">
        <v>22</v>
      </c>
      <c r="B93" s="2" t="s">
        <v>105</v>
      </c>
      <c r="C93" s="6">
        <v>20</v>
      </c>
      <c r="D93" s="11" t="s">
        <v>5936</v>
      </c>
      <c r="E93" s="430">
        <v>35836</v>
      </c>
      <c r="F93" s="12">
        <v>1998</v>
      </c>
      <c r="G93" s="24">
        <v>1495</v>
      </c>
      <c r="H93" s="514"/>
      <c r="I93" s="22" t="s">
        <v>264</v>
      </c>
      <c r="J93" s="32" t="s">
        <v>26</v>
      </c>
      <c r="K93" s="474" t="s">
        <v>351</v>
      </c>
      <c r="L93" s="474"/>
      <c r="M93" s="474"/>
      <c r="N93" s="474"/>
      <c r="O93" s="475"/>
      <c r="P93" s="476" t="s">
        <v>393</v>
      </c>
      <c r="Q93" s="15" t="s">
        <v>282</v>
      </c>
      <c r="R93" s="15"/>
      <c r="S93" s="16" t="s">
        <v>44</v>
      </c>
      <c r="T93" s="16"/>
      <c r="U93" s="484"/>
      <c r="V93" s="485"/>
      <c r="W93" s="243"/>
      <c r="X93" s="478"/>
      <c r="Y93" s="7">
        <f t="shared" si="2"/>
        <v>0</v>
      </c>
      <c r="Z93" s="478"/>
      <c r="AA93" s="469"/>
      <c r="AB93" s="479" t="s">
        <v>5937</v>
      </c>
      <c r="AC93" s="480"/>
      <c r="AD93" s="476">
        <v>0</v>
      </c>
      <c r="AE93" s="476"/>
      <c r="AF93" s="9">
        <f t="shared" si="3"/>
        <v>0</v>
      </c>
      <c r="AG93" s="476"/>
      <c r="AH93" s="475"/>
      <c r="AI93" s="476"/>
      <c r="AJ93" s="10"/>
      <c r="AK93" s="481"/>
      <c r="AL93" s="481"/>
    </row>
    <row r="94" spans="1:38" ht="15" customHeight="1" x14ac:dyDescent="0.3">
      <c r="A94" s="473" t="s">
        <v>22</v>
      </c>
      <c r="B94" s="2" t="s">
        <v>105</v>
      </c>
      <c r="C94" s="6">
        <v>19</v>
      </c>
      <c r="D94" s="11" t="s">
        <v>5936</v>
      </c>
      <c r="E94" s="430">
        <v>35748</v>
      </c>
      <c r="F94" s="12">
        <v>1997</v>
      </c>
      <c r="G94" s="24">
        <v>916</v>
      </c>
      <c r="H94" s="514"/>
      <c r="I94" s="22" t="s">
        <v>264</v>
      </c>
      <c r="J94" s="32"/>
      <c r="K94" s="474" t="s">
        <v>351</v>
      </c>
      <c r="L94" s="474"/>
      <c r="M94" s="474"/>
      <c r="N94" s="474"/>
      <c r="O94" s="475"/>
      <c r="P94" s="476" t="s">
        <v>393</v>
      </c>
      <c r="Q94" s="15" t="s">
        <v>282</v>
      </c>
      <c r="R94" s="15"/>
      <c r="S94" s="16" t="s">
        <v>44</v>
      </c>
      <c r="T94" s="16"/>
      <c r="U94" s="484"/>
      <c r="V94" s="485"/>
      <c r="W94" s="243"/>
      <c r="X94" s="478"/>
      <c r="Y94" s="7">
        <f t="shared" si="2"/>
        <v>0</v>
      </c>
      <c r="Z94" s="478"/>
      <c r="AA94" s="469"/>
      <c r="AB94" s="479" t="s">
        <v>5937</v>
      </c>
      <c r="AC94" s="480"/>
      <c r="AD94" s="476">
        <v>0</v>
      </c>
      <c r="AE94" s="476"/>
      <c r="AF94" s="9">
        <f t="shared" si="3"/>
        <v>0</v>
      </c>
      <c r="AG94" s="476"/>
      <c r="AH94" s="475"/>
      <c r="AI94" s="476"/>
      <c r="AJ94" s="10"/>
      <c r="AK94" s="481"/>
      <c r="AL94" s="481"/>
    </row>
    <row r="95" spans="1:38" ht="15" customHeight="1" x14ac:dyDescent="0.3">
      <c r="A95" s="494" t="s">
        <v>22</v>
      </c>
      <c r="B95" s="2" t="s">
        <v>105</v>
      </c>
      <c r="C95" s="2">
        <v>18</v>
      </c>
      <c r="D95" s="11" t="s">
        <v>5936</v>
      </c>
      <c r="E95" s="432">
        <v>35776</v>
      </c>
      <c r="F95" s="12">
        <v>1997</v>
      </c>
      <c r="G95" s="36">
        <v>953</v>
      </c>
      <c r="H95" s="514"/>
      <c r="I95" s="22" t="s">
        <v>264</v>
      </c>
      <c r="J95" s="495"/>
      <c r="K95" s="474" t="s">
        <v>371</v>
      </c>
      <c r="L95" s="474"/>
      <c r="M95" s="474"/>
      <c r="N95" s="474"/>
      <c r="O95" s="475"/>
      <c r="P95" s="496" t="s">
        <v>393</v>
      </c>
      <c r="Q95" s="15" t="s">
        <v>282</v>
      </c>
      <c r="R95" s="15"/>
      <c r="S95" s="16" t="s">
        <v>44</v>
      </c>
      <c r="T95" s="16"/>
      <c r="U95" s="484"/>
      <c r="V95" s="485"/>
      <c r="W95" s="243"/>
      <c r="X95" s="521"/>
      <c r="Y95" s="7">
        <f t="shared" si="2"/>
        <v>0</v>
      </c>
      <c r="Z95" s="522"/>
      <c r="AA95" s="469"/>
      <c r="AB95" s="479" t="s">
        <v>5937</v>
      </c>
      <c r="AC95" s="501"/>
      <c r="AD95" s="496">
        <v>0</v>
      </c>
      <c r="AE95" s="496"/>
      <c r="AF95" s="9">
        <f t="shared" si="3"/>
        <v>0</v>
      </c>
      <c r="AG95" s="496"/>
      <c r="AH95" s="475"/>
      <c r="AI95" s="496"/>
      <c r="AJ95" s="10"/>
      <c r="AK95" s="481"/>
      <c r="AL95" s="481"/>
    </row>
    <row r="96" spans="1:38" ht="15" customHeight="1" x14ac:dyDescent="0.3">
      <c r="A96" s="494" t="s">
        <v>22</v>
      </c>
      <c r="B96" s="2" t="s">
        <v>105</v>
      </c>
      <c r="C96" s="2">
        <v>18</v>
      </c>
      <c r="D96" s="11" t="s">
        <v>5936</v>
      </c>
      <c r="E96" s="432">
        <v>35776</v>
      </c>
      <c r="F96" s="12">
        <v>1997</v>
      </c>
      <c r="G96" s="36">
        <v>943</v>
      </c>
      <c r="H96" s="514"/>
      <c r="I96" s="22" t="s">
        <v>264</v>
      </c>
      <c r="J96" s="32" t="s">
        <v>26</v>
      </c>
      <c r="K96" s="474" t="s">
        <v>371</v>
      </c>
      <c r="L96" s="474"/>
      <c r="M96" s="474"/>
      <c r="N96" s="474"/>
      <c r="O96" s="475"/>
      <c r="P96" s="496" t="s">
        <v>393</v>
      </c>
      <c r="Q96" s="15" t="s">
        <v>282</v>
      </c>
      <c r="R96" s="15"/>
      <c r="S96" s="16" t="s">
        <v>44</v>
      </c>
      <c r="T96" s="16"/>
      <c r="U96" s="484"/>
      <c r="V96" s="485"/>
      <c r="W96" s="243"/>
      <c r="X96" s="521"/>
      <c r="Y96" s="7">
        <f t="shared" si="2"/>
        <v>0</v>
      </c>
      <c r="Z96" s="522"/>
      <c r="AA96" s="469"/>
      <c r="AB96" s="479" t="s">
        <v>5937</v>
      </c>
      <c r="AC96" s="501"/>
      <c r="AD96" s="496">
        <v>0</v>
      </c>
      <c r="AE96" s="496"/>
      <c r="AF96" s="9">
        <f t="shared" si="3"/>
        <v>0</v>
      </c>
      <c r="AG96" s="496"/>
      <c r="AH96" s="475"/>
      <c r="AI96" s="496"/>
      <c r="AJ96" s="10"/>
      <c r="AK96" s="481"/>
      <c r="AL96" s="481"/>
    </row>
    <row r="97" spans="1:38" ht="15" customHeight="1" x14ac:dyDescent="0.3">
      <c r="A97" s="473" t="s">
        <v>22</v>
      </c>
      <c r="B97" s="2" t="s">
        <v>105</v>
      </c>
      <c r="C97" s="6">
        <v>18</v>
      </c>
      <c r="D97" s="11" t="s">
        <v>5936</v>
      </c>
      <c r="E97" s="432">
        <v>35776</v>
      </c>
      <c r="F97" s="12">
        <v>1997</v>
      </c>
      <c r="G97" s="24">
        <v>942</v>
      </c>
      <c r="H97" s="514"/>
      <c r="I97" s="22" t="s">
        <v>264</v>
      </c>
      <c r="J97" s="32" t="s">
        <v>26</v>
      </c>
      <c r="K97" s="474" t="s">
        <v>351</v>
      </c>
      <c r="L97" s="474"/>
      <c r="M97" s="474"/>
      <c r="N97" s="474"/>
      <c r="O97" s="475"/>
      <c r="P97" s="476" t="s">
        <v>393</v>
      </c>
      <c r="Q97" s="15" t="s">
        <v>282</v>
      </c>
      <c r="R97" s="15"/>
      <c r="S97" s="16" t="s">
        <v>44</v>
      </c>
      <c r="T97" s="16"/>
      <c r="U97" s="484"/>
      <c r="V97" s="485"/>
      <c r="W97" s="243"/>
      <c r="X97" s="478"/>
      <c r="Y97" s="7">
        <f t="shared" si="2"/>
        <v>0</v>
      </c>
      <c r="Z97" s="478"/>
      <c r="AA97" s="469"/>
      <c r="AB97" s="479" t="s">
        <v>5937</v>
      </c>
      <c r="AC97" s="480"/>
      <c r="AD97" s="476">
        <v>0</v>
      </c>
      <c r="AE97" s="476"/>
      <c r="AF97" s="9">
        <f t="shared" si="3"/>
        <v>0</v>
      </c>
      <c r="AG97" s="476"/>
      <c r="AH97" s="475"/>
      <c r="AI97" s="476"/>
      <c r="AJ97" s="10"/>
      <c r="AK97" s="481"/>
      <c r="AL97" s="481"/>
    </row>
    <row r="98" spans="1:38" ht="15" customHeight="1" x14ac:dyDescent="0.3">
      <c r="A98" s="473" t="s">
        <v>22</v>
      </c>
      <c r="B98" s="2" t="s">
        <v>105</v>
      </c>
      <c r="C98" s="6">
        <v>17</v>
      </c>
      <c r="D98" s="11" t="s">
        <v>5936</v>
      </c>
      <c r="E98" s="430"/>
      <c r="F98" s="37"/>
      <c r="G98" s="24">
        <v>663</v>
      </c>
      <c r="H98" s="514"/>
      <c r="I98" s="22" t="s">
        <v>264</v>
      </c>
      <c r="J98" s="32"/>
      <c r="K98" s="474" t="s">
        <v>404</v>
      </c>
      <c r="L98" s="474"/>
      <c r="M98" s="474"/>
      <c r="N98" s="474"/>
      <c r="O98" s="475"/>
      <c r="P98" s="476" t="s">
        <v>393</v>
      </c>
      <c r="Q98" s="15" t="s">
        <v>405</v>
      </c>
      <c r="R98" s="15"/>
      <c r="S98" s="16" t="s">
        <v>406</v>
      </c>
      <c r="T98" s="16"/>
      <c r="U98" s="484" t="s">
        <v>44</v>
      </c>
      <c r="V98" s="485"/>
      <c r="W98" s="243"/>
      <c r="X98" s="478"/>
      <c r="Y98" s="7">
        <f t="shared" si="2"/>
        <v>0</v>
      </c>
      <c r="Z98" s="478"/>
      <c r="AA98" s="469"/>
      <c r="AB98" s="479" t="s">
        <v>5937</v>
      </c>
      <c r="AC98" s="480"/>
      <c r="AD98" s="476">
        <v>0</v>
      </c>
      <c r="AE98" s="476"/>
      <c r="AF98" s="9">
        <f t="shared" si="3"/>
        <v>0</v>
      </c>
      <c r="AG98" s="476"/>
      <c r="AH98" s="475"/>
      <c r="AI98" s="476"/>
      <c r="AJ98" s="10"/>
      <c r="AK98" s="481"/>
      <c r="AL98" s="481"/>
    </row>
    <row r="99" spans="1:38" ht="15" customHeight="1" x14ac:dyDescent="0.3">
      <c r="A99" s="473" t="s">
        <v>22</v>
      </c>
      <c r="B99" s="2" t="s">
        <v>105</v>
      </c>
      <c r="C99" s="6">
        <v>17</v>
      </c>
      <c r="D99" s="11" t="s">
        <v>5936</v>
      </c>
      <c r="E99" s="430">
        <v>35823</v>
      </c>
      <c r="F99" s="12">
        <v>1998</v>
      </c>
      <c r="G99" s="24">
        <v>1106</v>
      </c>
      <c r="H99" s="514"/>
      <c r="I99" s="22" t="s">
        <v>264</v>
      </c>
      <c r="J99" s="32" t="s">
        <v>26</v>
      </c>
      <c r="K99" s="474" t="s">
        <v>351</v>
      </c>
      <c r="L99" s="474"/>
      <c r="M99" s="474"/>
      <c r="N99" s="474"/>
      <c r="O99" s="475"/>
      <c r="P99" s="476" t="s">
        <v>393</v>
      </c>
      <c r="Q99" s="15" t="s">
        <v>282</v>
      </c>
      <c r="R99" s="15"/>
      <c r="S99" s="16" t="s">
        <v>44</v>
      </c>
      <c r="T99" s="16"/>
      <c r="U99" s="484"/>
      <c r="V99" s="485"/>
      <c r="W99" s="243"/>
      <c r="X99" s="478"/>
      <c r="Y99" s="7">
        <f t="shared" si="2"/>
        <v>0</v>
      </c>
      <c r="Z99" s="478"/>
      <c r="AA99" s="469"/>
      <c r="AB99" s="479" t="s">
        <v>5937</v>
      </c>
      <c r="AC99" s="480"/>
      <c r="AD99" s="476">
        <v>0</v>
      </c>
      <c r="AE99" s="476"/>
      <c r="AF99" s="9">
        <f t="shared" si="3"/>
        <v>0</v>
      </c>
      <c r="AG99" s="476"/>
      <c r="AH99" s="475"/>
      <c r="AI99" s="476"/>
      <c r="AJ99" s="10"/>
      <c r="AK99" s="481"/>
      <c r="AL99" s="481"/>
    </row>
    <row r="100" spans="1:38" ht="15" customHeight="1" x14ac:dyDescent="0.3">
      <c r="A100" s="473" t="s">
        <v>22</v>
      </c>
      <c r="B100" s="2" t="s">
        <v>105</v>
      </c>
      <c r="C100" s="6">
        <v>17</v>
      </c>
      <c r="D100" s="11" t="s">
        <v>5936</v>
      </c>
      <c r="E100" s="430"/>
      <c r="F100" s="34"/>
      <c r="G100" s="13">
        <v>496</v>
      </c>
      <c r="H100" s="514"/>
      <c r="I100" s="22" t="s">
        <v>264</v>
      </c>
      <c r="J100" s="32" t="s">
        <v>191</v>
      </c>
      <c r="K100" s="474" t="s">
        <v>314</v>
      </c>
      <c r="L100" s="474"/>
      <c r="M100" s="474"/>
      <c r="N100" s="474"/>
      <c r="O100" s="475" t="s">
        <v>407</v>
      </c>
      <c r="P100" s="476" t="s">
        <v>393</v>
      </c>
      <c r="Q100" s="15" t="s">
        <v>282</v>
      </c>
      <c r="R100" s="15"/>
      <c r="S100" s="16" t="s">
        <v>44</v>
      </c>
      <c r="T100" s="16"/>
      <c r="U100" s="484"/>
      <c r="V100" s="485"/>
      <c r="W100" s="243"/>
      <c r="X100" s="478"/>
      <c r="Y100" s="7">
        <f t="shared" si="2"/>
        <v>0</v>
      </c>
      <c r="Z100" s="478"/>
      <c r="AA100" s="469"/>
      <c r="AB100" s="479" t="s">
        <v>5937</v>
      </c>
      <c r="AC100" s="480"/>
      <c r="AD100" s="476">
        <v>0</v>
      </c>
      <c r="AE100" s="476"/>
      <c r="AF100" s="9">
        <f t="shared" si="3"/>
        <v>0</v>
      </c>
      <c r="AG100" s="476"/>
      <c r="AH100" s="475"/>
      <c r="AI100" s="476"/>
      <c r="AJ100" s="10"/>
      <c r="AK100" s="481"/>
      <c r="AL100" s="481"/>
    </row>
    <row r="101" spans="1:38" ht="15" customHeight="1" x14ac:dyDescent="0.3">
      <c r="A101" s="473" t="s">
        <v>22</v>
      </c>
      <c r="B101" s="29" t="s">
        <v>105</v>
      </c>
      <c r="C101" s="6">
        <v>17</v>
      </c>
      <c r="D101" s="11" t="s">
        <v>5936</v>
      </c>
      <c r="E101" s="430">
        <v>35768</v>
      </c>
      <c r="F101" s="12">
        <v>1997</v>
      </c>
      <c r="G101" s="24">
        <v>1044</v>
      </c>
      <c r="H101" s="506"/>
      <c r="I101" s="22" t="s">
        <v>264</v>
      </c>
      <c r="J101" s="32"/>
      <c r="K101" s="474" t="s">
        <v>371</v>
      </c>
      <c r="L101" s="474"/>
      <c r="M101" s="474"/>
      <c r="N101" s="474"/>
      <c r="O101" s="475"/>
      <c r="P101" s="476" t="s">
        <v>393</v>
      </c>
      <c r="Q101" s="15" t="s">
        <v>282</v>
      </c>
      <c r="R101" s="15"/>
      <c r="S101" s="16" t="s">
        <v>44</v>
      </c>
      <c r="T101" s="16"/>
      <c r="U101" s="484"/>
      <c r="V101" s="485"/>
      <c r="W101" s="243"/>
      <c r="X101" s="478"/>
      <c r="Y101" s="7">
        <f t="shared" si="2"/>
        <v>0</v>
      </c>
      <c r="Z101" s="478"/>
      <c r="AA101" s="469"/>
      <c r="AB101" s="479" t="s">
        <v>5937</v>
      </c>
      <c r="AC101" s="480"/>
      <c r="AD101" s="476">
        <v>0</v>
      </c>
      <c r="AE101" s="476"/>
      <c r="AF101" s="9">
        <f t="shared" si="3"/>
        <v>0</v>
      </c>
      <c r="AG101" s="476"/>
      <c r="AH101" s="475"/>
      <c r="AI101" s="476"/>
      <c r="AJ101" s="10"/>
      <c r="AK101" s="481"/>
      <c r="AL101" s="481"/>
    </row>
    <row r="102" spans="1:38" ht="15" customHeight="1" x14ac:dyDescent="0.3">
      <c r="A102" s="473" t="s">
        <v>22</v>
      </c>
      <c r="B102" s="2" t="s">
        <v>105</v>
      </c>
      <c r="C102" s="6">
        <v>15</v>
      </c>
      <c r="D102" s="11" t="s">
        <v>5936</v>
      </c>
      <c r="E102" s="430">
        <v>35794</v>
      </c>
      <c r="F102" s="12">
        <v>1997</v>
      </c>
      <c r="G102" s="24">
        <v>9437</v>
      </c>
      <c r="H102" s="514"/>
      <c r="I102" s="22" t="s">
        <v>264</v>
      </c>
      <c r="J102" s="32"/>
      <c r="K102" s="474" t="s">
        <v>351</v>
      </c>
      <c r="L102" s="474"/>
      <c r="M102" s="474"/>
      <c r="N102" s="474"/>
      <c r="O102" s="475"/>
      <c r="P102" s="476" t="s">
        <v>393</v>
      </c>
      <c r="Q102" s="15" t="s">
        <v>282</v>
      </c>
      <c r="R102" s="15"/>
      <c r="S102" s="16" t="s">
        <v>44</v>
      </c>
      <c r="T102" s="16"/>
      <c r="U102" s="484"/>
      <c r="V102" s="485"/>
      <c r="W102" s="243"/>
      <c r="X102" s="478"/>
      <c r="Y102" s="7">
        <f t="shared" si="2"/>
        <v>0</v>
      </c>
      <c r="Z102" s="478"/>
      <c r="AA102" s="469"/>
      <c r="AB102" s="479" t="s">
        <v>5937</v>
      </c>
      <c r="AC102" s="480"/>
      <c r="AD102" s="476">
        <v>0</v>
      </c>
      <c r="AE102" s="476"/>
      <c r="AF102" s="9">
        <f t="shared" si="3"/>
        <v>0</v>
      </c>
      <c r="AG102" s="476"/>
      <c r="AH102" s="475"/>
      <c r="AI102" s="476"/>
      <c r="AJ102" s="10"/>
      <c r="AK102" s="481"/>
      <c r="AL102" s="481"/>
    </row>
    <row r="103" spans="1:38" ht="15" customHeight="1" x14ac:dyDescent="0.3">
      <c r="A103" s="494" t="s">
        <v>22</v>
      </c>
      <c r="B103" s="2" t="s">
        <v>105</v>
      </c>
      <c r="C103" s="2">
        <v>15</v>
      </c>
      <c r="D103" s="11" t="s">
        <v>5936</v>
      </c>
      <c r="E103" s="432">
        <v>35366</v>
      </c>
      <c r="F103" s="12">
        <v>1996</v>
      </c>
      <c r="G103" s="38">
        <v>9036</v>
      </c>
      <c r="H103" s="514"/>
      <c r="I103" s="22" t="s">
        <v>264</v>
      </c>
      <c r="J103" s="32" t="s">
        <v>26</v>
      </c>
      <c r="K103" s="474" t="s">
        <v>383</v>
      </c>
      <c r="L103" s="515"/>
      <c r="M103" s="515"/>
      <c r="N103" s="515"/>
      <c r="O103" s="516" t="s">
        <v>408</v>
      </c>
      <c r="P103" s="496" t="s">
        <v>393</v>
      </c>
      <c r="Q103" s="15" t="s">
        <v>282</v>
      </c>
      <c r="R103" s="15"/>
      <c r="S103" s="16" t="s">
        <v>44</v>
      </c>
      <c r="T103" s="16"/>
      <c r="U103" s="484"/>
      <c r="V103" s="485"/>
      <c r="W103" s="243"/>
      <c r="X103" s="521"/>
      <c r="Y103" s="7">
        <f t="shared" si="2"/>
        <v>0</v>
      </c>
      <c r="Z103" s="522"/>
      <c r="AA103" s="469"/>
      <c r="AB103" s="479" t="s">
        <v>5937</v>
      </c>
      <c r="AC103" s="501"/>
      <c r="AD103" s="496">
        <v>0</v>
      </c>
      <c r="AE103" s="496"/>
      <c r="AF103" s="9">
        <f t="shared" si="3"/>
        <v>0</v>
      </c>
      <c r="AG103" s="496"/>
      <c r="AH103" s="475"/>
      <c r="AI103" s="496"/>
      <c r="AJ103" s="10"/>
      <c r="AK103" s="481"/>
      <c r="AL103" s="481"/>
    </row>
    <row r="104" spans="1:38" ht="15" customHeight="1" x14ac:dyDescent="0.3">
      <c r="A104" s="494" t="s">
        <v>22</v>
      </c>
      <c r="B104" s="29" t="s">
        <v>105</v>
      </c>
      <c r="C104" s="2">
        <v>15</v>
      </c>
      <c r="D104" s="11" t="s">
        <v>5936</v>
      </c>
      <c r="E104" s="432">
        <v>35290</v>
      </c>
      <c r="F104" s="12">
        <v>1996</v>
      </c>
      <c r="G104" s="23">
        <v>8705</v>
      </c>
      <c r="H104" s="514"/>
      <c r="I104" s="22" t="s">
        <v>264</v>
      </c>
      <c r="J104" s="32" t="s">
        <v>26</v>
      </c>
      <c r="K104" s="477" t="s">
        <v>351</v>
      </c>
      <c r="L104" s="524"/>
      <c r="M104" s="524"/>
      <c r="N104" s="524"/>
      <c r="O104" s="516"/>
      <c r="P104" s="496" t="s">
        <v>393</v>
      </c>
      <c r="Q104" s="15" t="s">
        <v>282</v>
      </c>
      <c r="R104" s="15"/>
      <c r="S104" s="16" t="s">
        <v>44</v>
      </c>
      <c r="T104" s="16"/>
      <c r="U104" s="484"/>
      <c r="V104" s="485"/>
      <c r="W104" s="243"/>
      <c r="X104" s="521"/>
      <c r="Y104" s="7">
        <f t="shared" si="2"/>
        <v>0</v>
      </c>
      <c r="Z104" s="522"/>
      <c r="AA104" s="469"/>
      <c r="AB104" s="479" t="s">
        <v>5937</v>
      </c>
      <c r="AC104" s="501"/>
      <c r="AD104" s="496">
        <v>0</v>
      </c>
      <c r="AE104" s="496"/>
      <c r="AF104" s="9">
        <f t="shared" si="3"/>
        <v>0</v>
      </c>
      <c r="AG104" s="496"/>
      <c r="AH104" s="475"/>
      <c r="AI104" s="496"/>
      <c r="AJ104" s="10"/>
      <c r="AK104" s="481"/>
      <c r="AL104" s="481"/>
    </row>
    <row r="105" spans="1:38" ht="15" customHeight="1" x14ac:dyDescent="0.3">
      <c r="A105" s="494" t="s">
        <v>22</v>
      </c>
      <c r="B105" s="29" t="s">
        <v>105</v>
      </c>
      <c r="C105" s="2">
        <v>15</v>
      </c>
      <c r="D105" s="11" t="s">
        <v>5936</v>
      </c>
      <c r="E105" s="434"/>
      <c r="F105" s="12"/>
      <c r="G105" s="23">
        <v>8880</v>
      </c>
      <c r="H105" s="157"/>
      <c r="I105" s="22" t="s">
        <v>264</v>
      </c>
      <c r="J105" s="495"/>
      <c r="K105" s="474" t="s">
        <v>351</v>
      </c>
      <c r="L105" s="515"/>
      <c r="M105" s="515"/>
      <c r="N105" s="515"/>
      <c r="O105" s="516"/>
      <c r="P105" s="496" t="s">
        <v>393</v>
      </c>
      <c r="Q105" s="15" t="s">
        <v>282</v>
      </c>
      <c r="R105" s="15"/>
      <c r="S105" s="16" t="s">
        <v>44</v>
      </c>
      <c r="T105" s="16"/>
      <c r="U105" s="484"/>
      <c r="V105" s="485"/>
      <c r="W105" s="243"/>
      <c r="X105" s="521"/>
      <c r="Y105" s="7">
        <f t="shared" si="2"/>
        <v>0</v>
      </c>
      <c r="Z105" s="522"/>
      <c r="AA105" s="469"/>
      <c r="AB105" s="479" t="s">
        <v>5937</v>
      </c>
      <c r="AC105" s="501"/>
      <c r="AD105" s="496">
        <v>0</v>
      </c>
      <c r="AE105" s="496"/>
      <c r="AF105" s="9">
        <f t="shared" si="3"/>
        <v>0</v>
      </c>
      <c r="AG105" s="496"/>
      <c r="AH105" s="475"/>
      <c r="AI105" s="496"/>
      <c r="AJ105" s="10"/>
      <c r="AK105" s="481"/>
      <c r="AL105" s="481"/>
    </row>
    <row r="106" spans="1:38" ht="15" customHeight="1" x14ac:dyDescent="0.3">
      <c r="A106" s="494" t="s">
        <v>22</v>
      </c>
      <c r="B106" s="29" t="s">
        <v>105</v>
      </c>
      <c r="C106" s="2">
        <v>15</v>
      </c>
      <c r="D106" s="11" t="s">
        <v>5936</v>
      </c>
      <c r="E106" s="432">
        <v>35838</v>
      </c>
      <c r="F106" s="12">
        <v>1998</v>
      </c>
      <c r="G106" s="36">
        <v>9363</v>
      </c>
      <c r="H106" s="514"/>
      <c r="I106" s="22" t="s">
        <v>264</v>
      </c>
      <c r="J106" s="32" t="s">
        <v>26</v>
      </c>
      <c r="K106" s="474" t="s">
        <v>371</v>
      </c>
      <c r="L106" s="515"/>
      <c r="M106" s="515"/>
      <c r="N106" s="515"/>
      <c r="O106" s="516"/>
      <c r="P106" s="496" t="s">
        <v>393</v>
      </c>
      <c r="Q106" s="15" t="s">
        <v>282</v>
      </c>
      <c r="R106" s="15"/>
      <c r="S106" s="16" t="s">
        <v>44</v>
      </c>
      <c r="T106" s="16"/>
      <c r="U106" s="484"/>
      <c r="V106" s="485"/>
      <c r="W106" s="243"/>
      <c r="X106" s="521"/>
      <c r="Y106" s="7">
        <f t="shared" si="2"/>
        <v>0</v>
      </c>
      <c r="Z106" s="522"/>
      <c r="AA106" s="469"/>
      <c r="AB106" s="479" t="s">
        <v>5937</v>
      </c>
      <c r="AC106" s="501"/>
      <c r="AD106" s="496">
        <v>0</v>
      </c>
      <c r="AE106" s="496"/>
      <c r="AF106" s="9">
        <f t="shared" si="3"/>
        <v>0</v>
      </c>
      <c r="AG106" s="496"/>
      <c r="AH106" s="475"/>
      <c r="AI106" s="496"/>
      <c r="AJ106" s="10"/>
      <c r="AK106" s="481"/>
      <c r="AL106" s="481"/>
    </row>
    <row r="107" spans="1:38" ht="15" customHeight="1" x14ac:dyDescent="0.3">
      <c r="A107" s="494" t="s">
        <v>22</v>
      </c>
      <c r="B107" s="29" t="s">
        <v>105</v>
      </c>
      <c r="C107" s="2">
        <v>15</v>
      </c>
      <c r="D107" s="11" t="s">
        <v>5936</v>
      </c>
      <c r="E107" s="432"/>
      <c r="F107" s="27"/>
      <c r="G107" s="23">
        <v>8690</v>
      </c>
      <c r="H107" s="157"/>
      <c r="I107" s="22" t="s">
        <v>264</v>
      </c>
      <c r="J107" s="495"/>
      <c r="K107" s="474" t="s">
        <v>351</v>
      </c>
      <c r="L107" s="515"/>
      <c r="M107" s="515"/>
      <c r="N107" s="515"/>
      <c r="O107" s="516"/>
      <c r="P107" s="496" t="s">
        <v>393</v>
      </c>
      <c r="Q107" s="15" t="s">
        <v>282</v>
      </c>
      <c r="R107" s="15"/>
      <c r="S107" s="16" t="s">
        <v>44</v>
      </c>
      <c r="T107" s="16"/>
      <c r="U107" s="484"/>
      <c r="V107" s="485"/>
      <c r="W107" s="243"/>
      <c r="X107" s="521"/>
      <c r="Y107" s="7">
        <f t="shared" si="2"/>
        <v>0</v>
      </c>
      <c r="Z107" s="522"/>
      <c r="AA107" s="469"/>
      <c r="AB107" s="479" t="s">
        <v>5937</v>
      </c>
      <c r="AC107" s="501"/>
      <c r="AD107" s="496">
        <v>0</v>
      </c>
      <c r="AE107" s="496"/>
      <c r="AF107" s="9">
        <f t="shared" si="3"/>
        <v>0</v>
      </c>
      <c r="AG107" s="496"/>
      <c r="AH107" s="475"/>
      <c r="AI107" s="496"/>
      <c r="AJ107" s="10"/>
      <c r="AK107" s="481"/>
      <c r="AL107" s="481"/>
    </row>
    <row r="108" spans="1:38" ht="15" customHeight="1" thickBot="1" x14ac:dyDescent="0.35">
      <c r="A108" s="525" t="s">
        <v>22</v>
      </c>
      <c r="B108" s="2" t="s">
        <v>105</v>
      </c>
      <c r="C108" s="39">
        <v>13</v>
      </c>
      <c r="D108" s="11" t="s">
        <v>5936</v>
      </c>
      <c r="E108" s="435">
        <v>35353</v>
      </c>
      <c r="F108" s="12">
        <v>1996</v>
      </c>
      <c r="G108" s="40">
        <v>15102</v>
      </c>
      <c r="H108" s="157"/>
      <c r="I108" s="22" t="s">
        <v>264</v>
      </c>
      <c r="J108" s="526"/>
      <c r="K108" s="474" t="s">
        <v>371</v>
      </c>
      <c r="L108" s="474"/>
      <c r="M108" s="474"/>
      <c r="N108" s="474"/>
      <c r="O108" s="475"/>
      <c r="P108" s="496" t="s">
        <v>393</v>
      </c>
      <c r="Q108" s="15" t="s">
        <v>282</v>
      </c>
      <c r="R108" s="15"/>
      <c r="S108" s="16" t="s">
        <v>44</v>
      </c>
      <c r="T108" s="16"/>
      <c r="U108" s="484"/>
      <c r="V108" s="485"/>
      <c r="W108" s="243"/>
      <c r="X108" s="521"/>
      <c r="Y108" s="7">
        <f t="shared" si="2"/>
        <v>0</v>
      </c>
      <c r="Z108" s="522"/>
      <c r="AA108" s="469"/>
      <c r="AB108" s="479" t="s">
        <v>5937</v>
      </c>
      <c r="AC108" s="501"/>
      <c r="AD108" s="496">
        <v>0</v>
      </c>
      <c r="AE108" s="496"/>
      <c r="AF108" s="9">
        <f t="shared" si="3"/>
        <v>0</v>
      </c>
      <c r="AG108" s="496"/>
      <c r="AH108" s="475"/>
      <c r="AI108" s="527"/>
      <c r="AJ108" s="10"/>
      <c r="AK108" s="481"/>
      <c r="AL108" s="481"/>
    </row>
    <row r="109" spans="1:38" ht="15" customHeight="1" x14ac:dyDescent="0.3">
      <c r="A109" s="494" t="s">
        <v>22</v>
      </c>
      <c r="B109" s="2" t="s">
        <v>105</v>
      </c>
      <c r="C109" s="2">
        <v>13</v>
      </c>
      <c r="D109" s="11" t="s">
        <v>5936</v>
      </c>
      <c r="E109" s="432">
        <v>35821</v>
      </c>
      <c r="F109" s="12">
        <v>1998</v>
      </c>
      <c r="G109" s="36">
        <v>15852</v>
      </c>
      <c r="H109" s="514"/>
      <c r="I109" s="22" t="s">
        <v>264</v>
      </c>
      <c r="J109" s="32" t="s">
        <v>26</v>
      </c>
      <c r="K109" s="474" t="s">
        <v>351</v>
      </c>
      <c r="L109" s="474"/>
      <c r="M109" s="474"/>
      <c r="N109" s="474"/>
      <c r="O109" s="475"/>
      <c r="P109" s="496" t="s">
        <v>393</v>
      </c>
      <c r="Q109" s="15" t="s">
        <v>282</v>
      </c>
      <c r="R109" s="15"/>
      <c r="S109" s="16" t="s">
        <v>44</v>
      </c>
      <c r="T109" s="16"/>
      <c r="U109" s="484"/>
      <c r="V109" s="485"/>
      <c r="W109" s="243"/>
      <c r="X109" s="521"/>
      <c r="Y109" s="7">
        <f t="shared" si="2"/>
        <v>0</v>
      </c>
      <c r="Z109" s="522"/>
      <c r="AA109" s="469"/>
      <c r="AB109" s="479" t="s">
        <v>5937</v>
      </c>
      <c r="AC109" s="501"/>
      <c r="AD109" s="496">
        <v>0</v>
      </c>
      <c r="AE109" s="496"/>
      <c r="AF109" s="9">
        <f t="shared" si="3"/>
        <v>0</v>
      </c>
      <c r="AG109" s="496"/>
      <c r="AH109" s="475"/>
      <c r="AI109" s="496"/>
      <c r="AJ109" s="10"/>
      <c r="AK109" s="481"/>
      <c r="AL109" s="481"/>
    </row>
    <row r="110" spans="1:38" ht="15" customHeight="1" x14ac:dyDescent="0.3">
      <c r="A110" s="494" t="s">
        <v>22</v>
      </c>
      <c r="B110" s="2" t="s">
        <v>105</v>
      </c>
      <c r="C110" s="2">
        <v>13</v>
      </c>
      <c r="D110" s="11" t="s">
        <v>5936</v>
      </c>
      <c r="E110" s="432">
        <v>35821</v>
      </c>
      <c r="F110" s="12">
        <v>1998</v>
      </c>
      <c r="G110" s="36">
        <v>15885</v>
      </c>
      <c r="H110" s="514"/>
      <c r="I110" s="22" t="s">
        <v>264</v>
      </c>
      <c r="J110" s="32" t="s">
        <v>26</v>
      </c>
      <c r="K110" s="474" t="s">
        <v>351</v>
      </c>
      <c r="L110" s="474"/>
      <c r="M110" s="474"/>
      <c r="N110" s="474"/>
      <c r="O110" s="475"/>
      <c r="P110" s="496" t="s">
        <v>393</v>
      </c>
      <c r="Q110" s="15" t="s">
        <v>282</v>
      </c>
      <c r="R110" s="15"/>
      <c r="S110" s="16" t="s">
        <v>44</v>
      </c>
      <c r="T110" s="16"/>
      <c r="U110" s="484"/>
      <c r="V110" s="485"/>
      <c r="W110" s="243"/>
      <c r="X110" s="521"/>
      <c r="Y110" s="7">
        <f t="shared" si="2"/>
        <v>0</v>
      </c>
      <c r="Z110" s="522"/>
      <c r="AA110" s="469"/>
      <c r="AB110" s="479" t="s">
        <v>5937</v>
      </c>
      <c r="AC110" s="501"/>
      <c r="AD110" s="496">
        <v>0</v>
      </c>
      <c r="AE110" s="496"/>
      <c r="AF110" s="9">
        <f t="shared" si="3"/>
        <v>0</v>
      </c>
      <c r="AG110" s="496"/>
      <c r="AH110" s="475"/>
      <c r="AI110" s="496"/>
      <c r="AJ110" s="10"/>
      <c r="AK110" s="481"/>
      <c r="AL110" s="481"/>
    </row>
    <row r="111" spans="1:38" ht="15" customHeight="1" x14ac:dyDescent="0.3">
      <c r="A111" s="473" t="s">
        <v>22</v>
      </c>
      <c r="B111" s="2" t="s">
        <v>105</v>
      </c>
      <c r="C111" s="6">
        <v>13</v>
      </c>
      <c r="D111" s="11" t="s">
        <v>5936</v>
      </c>
      <c r="E111" s="432">
        <v>35821</v>
      </c>
      <c r="F111" s="12">
        <v>1998</v>
      </c>
      <c r="G111" s="24">
        <v>15881</v>
      </c>
      <c r="H111" s="514"/>
      <c r="I111" s="22" t="s">
        <v>264</v>
      </c>
      <c r="J111" s="32" t="s">
        <v>26</v>
      </c>
      <c r="K111" s="474" t="s">
        <v>351</v>
      </c>
      <c r="L111" s="474"/>
      <c r="M111" s="474"/>
      <c r="N111" s="474"/>
      <c r="O111" s="475"/>
      <c r="P111" s="496" t="s">
        <v>393</v>
      </c>
      <c r="Q111" s="15" t="s">
        <v>282</v>
      </c>
      <c r="R111" s="15"/>
      <c r="S111" s="16" t="s">
        <v>44</v>
      </c>
      <c r="T111" s="16"/>
      <c r="U111" s="484"/>
      <c r="V111" s="485"/>
      <c r="W111" s="243"/>
      <c r="X111" s="478"/>
      <c r="Y111" s="7">
        <f t="shared" si="2"/>
        <v>0</v>
      </c>
      <c r="Z111" s="478"/>
      <c r="AA111" s="469"/>
      <c r="AB111" s="479" t="s">
        <v>5937</v>
      </c>
      <c r="AC111" s="480"/>
      <c r="AD111" s="476">
        <v>0</v>
      </c>
      <c r="AE111" s="476"/>
      <c r="AF111" s="9">
        <f t="shared" si="3"/>
        <v>0</v>
      </c>
      <c r="AG111" s="476"/>
      <c r="AH111" s="475"/>
      <c r="AI111" s="476"/>
      <c r="AJ111" s="10"/>
      <c r="AK111" s="481"/>
      <c r="AL111" s="481"/>
    </row>
    <row r="112" spans="1:38" ht="15" customHeight="1" x14ac:dyDescent="0.3">
      <c r="A112" s="473" t="s">
        <v>22</v>
      </c>
      <c r="B112" s="2" t="s">
        <v>105</v>
      </c>
      <c r="C112" s="6">
        <v>13</v>
      </c>
      <c r="D112" s="11" t="s">
        <v>5936</v>
      </c>
      <c r="E112" s="432">
        <v>35821</v>
      </c>
      <c r="F112" s="12">
        <v>1998</v>
      </c>
      <c r="G112" s="24">
        <v>15880</v>
      </c>
      <c r="H112" s="157"/>
      <c r="I112" s="22" t="s">
        <v>264</v>
      </c>
      <c r="J112" s="32" t="s">
        <v>26</v>
      </c>
      <c r="K112" s="474" t="s">
        <v>351</v>
      </c>
      <c r="L112" s="474"/>
      <c r="M112" s="474"/>
      <c r="N112" s="474"/>
      <c r="O112" s="475"/>
      <c r="P112" s="496" t="s">
        <v>393</v>
      </c>
      <c r="Q112" s="15" t="s">
        <v>282</v>
      </c>
      <c r="R112" s="15"/>
      <c r="S112" s="16" t="s">
        <v>44</v>
      </c>
      <c r="T112" s="16"/>
      <c r="U112" s="484"/>
      <c r="V112" s="485"/>
      <c r="W112" s="243"/>
      <c r="X112" s="478"/>
      <c r="Y112" s="7">
        <f t="shared" si="2"/>
        <v>0</v>
      </c>
      <c r="Z112" s="478"/>
      <c r="AA112" s="469"/>
      <c r="AB112" s="479" t="s">
        <v>5937</v>
      </c>
      <c r="AC112" s="480"/>
      <c r="AD112" s="476">
        <v>0</v>
      </c>
      <c r="AE112" s="476"/>
      <c r="AF112" s="9">
        <f t="shared" si="3"/>
        <v>0</v>
      </c>
      <c r="AG112" s="476"/>
      <c r="AH112" s="475"/>
      <c r="AI112" s="476"/>
      <c r="AJ112" s="10"/>
      <c r="AK112" s="481"/>
      <c r="AL112" s="481"/>
    </row>
    <row r="113" spans="1:38" ht="15" customHeight="1" x14ac:dyDescent="0.3">
      <c r="A113" s="473" t="s">
        <v>22</v>
      </c>
      <c r="B113" s="2" t="s">
        <v>105</v>
      </c>
      <c r="C113" s="6">
        <v>13</v>
      </c>
      <c r="D113" s="11" t="s">
        <v>5936</v>
      </c>
      <c r="E113" s="431">
        <v>35328</v>
      </c>
      <c r="F113" s="12">
        <v>1996</v>
      </c>
      <c r="G113" s="13">
        <v>15021</v>
      </c>
      <c r="H113" s="514"/>
      <c r="I113" s="22" t="s">
        <v>264</v>
      </c>
      <c r="J113" s="32"/>
      <c r="K113" s="474" t="s">
        <v>409</v>
      </c>
      <c r="L113" s="474"/>
      <c r="M113" s="474"/>
      <c r="N113" s="474"/>
      <c r="O113" s="475"/>
      <c r="P113" s="496" t="s">
        <v>393</v>
      </c>
      <c r="Q113" s="15" t="s">
        <v>282</v>
      </c>
      <c r="R113" s="15"/>
      <c r="S113" s="16" t="s">
        <v>44</v>
      </c>
      <c r="T113" s="16"/>
      <c r="U113" s="484"/>
      <c r="V113" s="485"/>
      <c r="W113" s="243"/>
      <c r="X113" s="478"/>
      <c r="Y113" s="7">
        <f t="shared" si="2"/>
        <v>0</v>
      </c>
      <c r="Z113" s="478"/>
      <c r="AA113" s="469"/>
      <c r="AB113" s="479" t="s">
        <v>5937</v>
      </c>
      <c r="AC113" s="480"/>
      <c r="AD113" s="476">
        <v>0</v>
      </c>
      <c r="AE113" s="476"/>
      <c r="AF113" s="9">
        <f t="shared" si="3"/>
        <v>0</v>
      </c>
      <c r="AG113" s="476"/>
      <c r="AH113" s="475"/>
      <c r="AI113" s="476"/>
      <c r="AJ113" s="10"/>
      <c r="AK113" s="481"/>
      <c r="AL113" s="481"/>
    </row>
    <row r="114" spans="1:38" ht="15" customHeight="1" x14ac:dyDescent="0.3">
      <c r="A114" s="473" t="s">
        <v>22</v>
      </c>
      <c r="B114" s="2" t="s">
        <v>105</v>
      </c>
      <c r="C114" s="6">
        <v>12</v>
      </c>
      <c r="D114" s="11" t="s">
        <v>5936</v>
      </c>
      <c r="E114" s="431">
        <v>35236</v>
      </c>
      <c r="F114" s="12">
        <v>1996</v>
      </c>
      <c r="G114" s="13">
        <v>21299</v>
      </c>
      <c r="H114" s="157"/>
      <c r="I114" s="22" t="s">
        <v>264</v>
      </c>
      <c r="J114" s="32"/>
      <c r="K114" s="474" t="s">
        <v>401</v>
      </c>
      <c r="L114" s="474"/>
      <c r="M114" s="474"/>
      <c r="N114" s="474"/>
      <c r="O114" s="475"/>
      <c r="P114" s="476" t="s">
        <v>393</v>
      </c>
      <c r="Q114" s="15" t="s">
        <v>282</v>
      </c>
      <c r="R114" s="15"/>
      <c r="S114" s="16" t="s">
        <v>44</v>
      </c>
      <c r="T114" s="16"/>
      <c r="U114" s="484"/>
      <c r="V114" s="485"/>
      <c r="W114" s="243"/>
      <c r="X114" s="478"/>
      <c r="Y114" s="7">
        <f t="shared" si="2"/>
        <v>0</v>
      </c>
      <c r="Z114" s="478"/>
      <c r="AA114" s="469"/>
      <c r="AB114" s="479" t="s">
        <v>5937</v>
      </c>
      <c r="AC114" s="480"/>
      <c r="AD114" s="476">
        <v>0</v>
      </c>
      <c r="AE114" s="476"/>
      <c r="AF114" s="9">
        <f t="shared" si="3"/>
        <v>0</v>
      </c>
      <c r="AG114" s="476"/>
      <c r="AH114" s="475"/>
      <c r="AI114" s="476"/>
      <c r="AJ114" s="10"/>
      <c r="AK114" s="481"/>
      <c r="AL114" s="481"/>
    </row>
    <row r="115" spans="1:38" ht="15" customHeight="1" x14ac:dyDescent="0.3">
      <c r="A115" s="473" t="s">
        <v>22</v>
      </c>
      <c r="B115" s="2" t="s">
        <v>105</v>
      </c>
      <c r="C115" s="6">
        <v>12</v>
      </c>
      <c r="D115" s="11" t="s">
        <v>5936</v>
      </c>
      <c r="E115" s="430">
        <v>35331</v>
      </c>
      <c r="F115" s="12">
        <v>1996</v>
      </c>
      <c r="G115" s="13">
        <v>21707</v>
      </c>
      <c r="H115" s="514"/>
      <c r="I115" s="22" t="s">
        <v>264</v>
      </c>
      <c r="J115" s="32" t="s">
        <v>26</v>
      </c>
      <c r="K115" s="474" t="s">
        <v>351</v>
      </c>
      <c r="L115" s="474"/>
      <c r="M115" s="474"/>
      <c r="N115" s="474"/>
      <c r="O115" s="475"/>
      <c r="P115" s="476" t="s">
        <v>393</v>
      </c>
      <c r="Q115" s="15" t="s">
        <v>282</v>
      </c>
      <c r="R115" s="15"/>
      <c r="S115" s="16" t="s">
        <v>44</v>
      </c>
      <c r="T115" s="16"/>
      <c r="U115" s="484"/>
      <c r="V115" s="485"/>
      <c r="W115" s="243"/>
      <c r="X115" s="478"/>
      <c r="Y115" s="7">
        <f t="shared" si="2"/>
        <v>0</v>
      </c>
      <c r="Z115" s="478"/>
      <c r="AA115" s="469"/>
      <c r="AB115" s="479" t="s">
        <v>5937</v>
      </c>
      <c r="AC115" s="480"/>
      <c r="AD115" s="476">
        <v>0</v>
      </c>
      <c r="AE115" s="476"/>
      <c r="AF115" s="9">
        <f t="shared" si="3"/>
        <v>0</v>
      </c>
      <c r="AG115" s="476"/>
      <c r="AH115" s="475"/>
      <c r="AI115" s="476"/>
      <c r="AJ115" s="10"/>
      <c r="AK115" s="481"/>
      <c r="AL115" s="481"/>
    </row>
    <row r="116" spans="1:38" ht="15" customHeight="1" x14ac:dyDescent="0.3">
      <c r="A116" s="473" t="s">
        <v>22</v>
      </c>
      <c r="B116" s="2" t="s">
        <v>105</v>
      </c>
      <c r="C116" s="6">
        <v>12</v>
      </c>
      <c r="D116" s="11" t="s">
        <v>5936</v>
      </c>
      <c r="E116" s="436"/>
      <c r="F116" s="34"/>
      <c r="G116" s="24">
        <v>22915</v>
      </c>
      <c r="H116" s="514"/>
      <c r="I116" s="22" t="s">
        <v>264</v>
      </c>
      <c r="J116" s="32"/>
      <c r="K116" s="474" t="s">
        <v>351</v>
      </c>
      <c r="L116" s="474"/>
      <c r="M116" s="474"/>
      <c r="N116" s="474"/>
      <c r="O116" s="475"/>
      <c r="P116" s="476" t="s">
        <v>393</v>
      </c>
      <c r="Q116" s="15" t="s">
        <v>282</v>
      </c>
      <c r="R116" s="15"/>
      <c r="S116" s="16" t="s">
        <v>44</v>
      </c>
      <c r="T116" s="16"/>
      <c r="U116" s="484"/>
      <c r="V116" s="485"/>
      <c r="W116" s="243"/>
      <c r="X116" s="478"/>
      <c r="Y116" s="7">
        <f t="shared" si="2"/>
        <v>0</v>
      </c>
      <c r="Z116" s="478"/>
      <c r="AA116" s="469"/>
      <c r="AB116" s="479" t="s">
        <v>5937</v>
      </c>
      <c r="AC116" s="480"/>
      <c r="AD116" s="476">
        <v>0</v>
      </c>
      <c r="AE116" s="476"/>
      <c r="AF116" s="9">
        <f t="shared" si="3"/>
        <v>0</v>
      </c>
      <c r="AG116" s="476"/>
      <c r="AH116" s="475"/>
      <c r="AI116" s="476"/>
      <c r="AJ116" s="10"/>
      <c r="AK116" s="481"/>
      <c r="AL116" s="481"/>
    </row>
    <row r="117" spans="1:38" ht="15" customHeight="1" x14ac:dyDescent="0.3">
      <c r="A117" s="473" t="s">
        <v>22</v>
      </c>
      <c r="B117" s="2" t="s">
        <v>105</v>
      </c>
      <c r="C117" s="6">
        <v>11</v>
      </c>
      <c r="D117" s="11" t="s">
        <v>5936</v>
      </c>
      <c r="E117" s="430">
        <v>35347</v>
      </c>
      <c r="F117" s="12">
        <v>1996</v>
      </c>
      <c r="G117" s="18">
        <v>5168</v>
      </c>
      <c r="H117" s="514"/>
      <c r="I117" s="22" t="s">
        <v>264</v>
      </c>
      <c r="J117" s="32" t="s">
        <v>26</v>
      </c>
      <c r="K117" s="474" t="s">
        <v>351</v>
      </c>
      <c r="L117" s="474"/>
      <c r="M117" s="474"/>
      <c r="N117" s="474"/>
      <c r="O117" s="475"/>
      <c r="P117" s="476" t="s">
        <v>393</v>
      </c>
      <c r="Q117" s="15" t="s">
        <v>282</v>
      </c>
      <c r="R117" s="15"/>
      <c r="S117" s="16" t="s">
        <v>44</v>
      </c>
      <c r="T117" s="16"/>
      <c r="U117" s="484"/>
      <c r="V117" s="485"/>
      <c r="W117" s="243"/>
      <c r="X117" s="478"/>
      <c r="Y117" s="7">
        <f t="shared" si="2"/>
        <v>0</v>
      </c>
      <c r="Z117" s="478"/>
      <c r="AA117" s="469"/>
      <c r="AB117" s="479" t="s">
        <v>5937</v>
      </c>
      <c r="AC117" s="480"/>
      <c r="AD117" s="476">
        <v>0</v>
      </c>
      <c r="AE117" s="476"/>
      <c r="AF117" s="9">
        <f t="shared" si="3"/>
        <v>0</v>
      </c>
      <c r="AG117" s="476"/>
      <c r="AH117" s="475"/>
      <c r="AI117" s="476"/>
      <c r="AJ117" s="10"/>
      <c r="AK117" s="481"/>
      <c r="AL117" s="481"/>
    </row>
    <row r="118" spans="1:38" ht="15" customHeight="1" x14ac:dyDescent="0.3">
      <c r="A118" s="473" t="s">
        <v>22</v>
      </c>
      <c r="B118" s="2" t="s">
        <v>105</v>
      </c>
      <c r="C118" s="6">
        <v>11</v>
      </c>
      <c r="D118" s="11" t="s">
        <v>5936</v>
      </c>
      <c r="E118" s="431">
        <v>35129</v>
      </c>
      <c r="F118" s="12">
        <v>1996</v>
      </c>
      <c r="G118" s="13" t="s">
        <v>410</v>
      </c>
      <c r="H118" s="157"/>
      <c r="I118" s="22" t="s">
        <v>264</v>
      </c>
      <c r="J118" s="32" t="s">
        <v>26</v>
      </c>
      <c r="K118" s="474" t="s">
        <v>351</v>
      </c>
      <c r="L118" s="474"/>
      <c r="M118" s="474"/>
      <c r="N118" s="474"/>
      <c r="O118" s="475"/>
      <c r="P118" s="476" t="s">
        <v>393</v>
      </c>
      <c r="Q118" s="15" t="s">
        <v>282</v>
      </c>
      <c r="R118" s="15"/>
      <c r="S118" s="16" t="s">
        <v>44</v>
      </c>
      <c r="T118" s="16"/>
      <c r="U118" s="484"/>
      <c r="V118" s="485"/>
      <c r="W118" s="243"/>
      <c r="X118" s="478"/>
      <c r="Y118" s="7">
        <f t="shared" si="2"/>
        <v>0</v>
      </c>
      <c r="Z118" s="478"/>
      <c r="AA118" s="469"/>
      <c r="AB118" s="479" t="s">
        <v>5937</v>
      </c>
      <c r="AC118" s="480"/>
      <c r="AD118" s="476">
        <v>0</v>
      </c>
      <c r="AE118" s="476"/>
      <c r="AF118" s="9">
        <f t="shared" si="3"/>
        <v>0</v>
      </c>
      <c r="AG118" s="476"/>
      <c r="AH118" s="475"/>
      <c r="AI118" s="476"/>
      <c r="AJ118" s="10"/>
      <c r="AK118" s="481"/>
      <c r="AL118" s="481"/>
    </row>
    <row r="119" spans="1:38" ht="15" customHeight="1" x14ac:dyDescent="0.3">
      <c r="A119" s="473" t="s">
        <v>22</v>
      </c>
      <c r="B119" s="29" t="s">
        <v>105</v>
      </c>
      <c r="C119" s="6">
        <v>9</v>
      </c>
      <c r="D119" s="11" t="s">
        <v>5936</v>
      </c>
      <c r="E119" s="431">
        <v>35244</v>
      </c>
      <c r="F119" s="12">
        <v>1996</v>
      </c>
      <c r="G119" s="13">
        <v>24250</v>
      </c>
      <c r="H119" s="528"/>
      <c r="I119" s="22" t="s">
        <v>264</v>
      </c>
      <c r="J119" s="32"/>
      <c r="K119" s="474" t="s">
        <v>351</v>
      </c>
      <c r="L119" s="474"/>
      <c r="M119" s="474"/>
      <c r="N119" s="474"/>
      <c r="O119" s="475"/>
      <c r="P119" s="476" t="s">
        <v>393</v>
      </c>
      <c r="Q119" s="15" t="s">
        <v>282</v>
      </c>
      <c r="R119" s="15"/>
      <c r="S119" s="16" t="s">
        <v>44</v>
      </c>
      <c r="T119" s="16"/>
      <c r="U119" s="484"/>
      <c r="V119" s="485"/>
      <c r="W119" s="243"/>
      <c r="X119" s="478"/>
      <c r="Y119" s="7">
        <f t="shared" si="2"/>
        <v>0</v>
      </c>
      <c r="Z119" s="478"/>
      <c r="AA119" s="469"/>
      <c r="AB119" s="479" t="s">
        <v>5937</v>
      </c>
      <c r="AC119" s="480"/>
      <c r="AD119" s="476">
        <v>0</v>
      </c>
      <c r="AE119" s="476"/>
      <c r="AF119" s="9">
        <f t="shared" si="3"/>
        <v>0</v>
      </c>
      <c r="AG119" s="476"/>
      <c r="AH119" s="475"/>
      <c r="AI119" s="476"/>
      <c r="AJ119" s="10"/>
      <c r="AK119" s="481"/>
      <c r="AL119" s="481"/>
    </row>
    <row r="120" spans="1:38" ht="15" customHeight="1" x14ac:dyDescent="0.3">
      <c r="A120" s="473" t="s">
        <v>22</v>
      </c>
      <c r="B120" s="2" t="s">
        <v>105</v>
      </c>
      <c r="C120" s="6">
        <v>8</v>
      </c>
      <c r="D120" s="11" t="s">
        <v>5936</v>
      </c>
      <c r="E120" s="430">
        <v>35339</v>
      </c>
      <c r="F120" s="12">
        <v>1996</v>
      </c>
      <c r="G120" s="13">
        <v>24132</v>
      </c>
      <c r="H120" s="157"/>
      <c r="I120" s="22" t="s">
        <v>264</v>
      </c>
      <c r="J120" s="32" t="s">
        <v>26</v>
      </c>
      <c r="K120" s="474" t="s">
        <v>371</v>
      </c>
      <c r="L120" s="474"/>
      <c r="M120" s="474"/>
      <c r="N120" s="474"/>
      <c r="O120" s="475"/>
      <c r="P120" s="476" t="s">
        <v>393</v>
      </c>
      <c r="Q120" s="15" t="s">
        <v>282</v>
      </c>
      <c r="R120" s="15"/>
      <c r="S120" s="16" t="s">
        <v>44</v>
      </c>
      <c r="T120" s="16"/>
      <c r="U120" s="484"/>
      <c r="V120" s="485"/>
      <c r="W120" s="243"/>
      <c r="X120" s="478"/>
      <c r="Y120" s="7">
        <f t="shared" si="2"/>
        <v>0</v>
      </c>
      <c r="Z120" s="478"/>
      <c r="AA120" s="469"/>
      <c r="AB120" s="479" t="s">
        <v>5937</v>
      </c>
      <c r="AC120" s="480"/>
      <c r="AD120" s="476">
        <v>0</v>
      </c>
      <c r="AE120" s="476"/>
      <c r="AF120" s="9">
        <f t="shared" si="3"/>
        <v>0</v>
      </c>
      <c r="AG120" s="476"/>
      <c r="AH120" s="475"/>
      <c r="AI120" s="476"/>
      <c r="AJ120" s="10"/>
      <c r="AK120" s="481"/>
      <c r="AL120" s="481"/>
    </row>
    <row r="121" spans="1:38" ht="15" customHeight="1" x14ac:dyDescent="0.3">
      <c r="A121" s="494" t="s">
        <v>22</v>
      </c>
      <c r="B121" s="2" t="s">
        <v>189</v>
      </c>
      <c r="C121" s="2">
        <v>7</v>
      </c>
      <c r="D121" s="11" t="s">
        <v>5936</v>
      </c>
      <c r="E121" s="432">
        <v>35758</v>
      </c>
      <c r="F121" s="12">
        <v>1997</v>
      </c>
      <c r="G121" s="36">
        <v>9207</v>
      </c>
      <c r="H121" s="514"/>
      <c r="I121" s="22" t="s">
        <v>264</v>
      </c>
      <c r="J121" s="495"/>
      <c r="K121" s="474" t="s">
        <v>351</v>
      </c>
      <c r="L121" s="474"/>
      <c r="M121" s="474"/>
      <c r="N121" s="474"/>
      <c r="O121" s="475"/>
      <c r="P121" s="496" t="s">
        <v>393</v>
      </c>
      <c r="Q121" s="15" t="s">
        <v>282</v>
      </c>
      <c r="R121" s="15"/>
      <c r="S121" s="16" t="s">
        <v>44</v>
      </c>
      <c r="T121" s="16"/>
      <c r="U121" s="484"/>
      <c r="V121" s="485"/>
      <c r="W121" s="243"/>
      <c r="X121" s="521"/>
      <c r="Y121" s="7">
        <f t="shared" si="2"/>
        <v>0</v>
      </c>
      <c r="Z121" s="522"/>
      <c r="AA121" s="469"/>
      <c r="AB121" s="479" t="s">
        <v>5937</v>
      </c>
      <c r="AC121" s="501"/>
      <c r="AD121" s="496">
        <v>0</v>
      </c>
      <c r="AE121" s="496"/>
      <c r="AF121" s="9">
        <f t="shared" si="3"/>
        <v>0</v>
      </c>
      <c r="AG121" s="496"/>
      <c r="AH121" s="475"/>
      <c r="AI121" s="496"/>
      <c r="AJ121" s="10"/>
      <c r="AK121" s="481"/>
      <c r="AL121" s="481"/>
    </row>
    <row r="122" spans="1:38" ht="15" customHeight="1" x14ac:dyDescent="0.3">
      <c r="A122" s="473" t="s">
        <v>22</v>
      </c>
      <c r="B122" s="2" t="s">
        <v>105</v>
      </c>
      <c r="C122" s="6">
        <v>7</v>
      </c>
      <c r="D122" s="11" t="s">
        <v>5936</v>
      </c>
      <c r="E122" s="430">
        <v>35277</v>
      </c>
      <c r="F122" s="12">
        <v>1996</v>
      </c>
      <c r="G122" s="13">
        <v>7795</v>
      </c>
      <c r="H122" s="157"/>
      <c r="I122" s="22" t="s">
        <v>264</v>
      </c>
      <c r="J122" s="32"/>
      <c r="K122" s="474" t="s">
        <v>351</v>
      </c>
      <c r="L122" s="474"/>
      <c r="M122" s="474"/>
      <c r="N122" s="474"/>
      <c r="O122" s="475"/>
      <c r="P122" s="476" t="s">
        <v>393</v>
      </c>
      <c r="Q122" s="15" t="s">
        <v>282</v>
      </c>
      <c r="R122" s="15"/>
      <c r="S122" s="16" t="s">
        <v>44</v>
      </c>
      <c r="T122" s="16"/>
      <c r="U122" s="484"/>
      <c r="V122" s="485"/>
      <c r="W122" s="243"/>
      <c r="X122" s="478"/>
      <c r="Y122" s="7">
        <f t="shared" si="2"/>
        <v>0</v>
      </c>
      <c r="Z122" s="478"/>
      <c r="AA122" s="469"/>
      <c r="AB122" s="479" t="s">
        <v>5937</v>
      </c>
      <c r="AC122" s="480"/>
      <c r="AD122" s="476">
        <v>0</v>
      </c>
      <c r="AE122" s="476"/>
      <c r="AF122" s="9">
        <f t="shared" si="3"/>
        <v>0</v>
      </c>
      <c r="AG122" s="476"/>
      <c r="AH122" s="475"/>
      <c r="AI122" s="476"/>
      <c r="AJ122" s="10"/>
      <c r="AK122" s="481"/>
      <c r="AL122" s="481"/>
    </row>
    <row r="123" spans="1:38" ht="15" customHeight="1" x14ac:dyDescent="0.3">
      <c r="A123" s="473" t="s">
        <v>22</v>
      </c>
      <c r="B123" s="2" t="s">
        <v>105</v>
      </c>
      <c r="C123" s="6">
        <v>7</v>
      </c>
      <c r="D123" s="11" t="s">
        <v>5936</v>
      </c>
      <c r="E123" s="430">
        <v>35277</v>
      </c>
      <c r="F123" s="12">
        <v>1996</v>
      </c>
      <c r="G123" s="18">
        <v>7785</v>
      </c>
      <c r="H123" s="157"/>
      <c r="I123" s="22" t="s">
        <v>264</v>
      </c>
      <c r="J123" s="32"/>
      <c r="K123" s="474" t="s">
        <v>351</v>
      </c>
      <c r="L123" s="474"/>
      <c r="M123" s="474"/>
      <c r="N123" s="474"/>
      <c r="O123" s="475"/>
      <c r="P123" s="476" t="s">
        <v>393</v>
      </c>
      <c r="Q123" s="15" t="s">
        <v>282</v>
      </c>
      <c r="R123" s="15"/>
      <c r="S123" s="16" t="s">
        <v>44</v>
      </c>
      <c r="T123" s="16"/>
      <c r="U123" s="484"/>
      <c r="V123" s="485"/>
      <c r="W123" s="243"/>
      <c r="X123" s="478"/>
      <c r="Y123" s="7">
        <f t="shared" si="2"/>
        <v>0</v>
      </c>
      <c r="Z123" s="478"/>
      <c r="AA123" s="469"/>
      <c r="AB123" s="479" t="s">
        <v>5937</v>
      </c>
      <c r="AC123" s="480"/>
      <c r="AD123" s="476">
        <v>0</v>
      </c>
      <c r="AE123" s="476"/>
      <c r="AF123" s="9">
        <f t="shared" si="3"/>
        <v>0</v>
      </c>
      <c r="AG123" s="476"/>
      <c r="AH123" s="475"/>
      <c r="AI123" s="476"/>
      <c r="AJ123" s="10"/>
      <c r="AK123" s="481"/>
      <c r="AL123" s="481"/>
    </row>
    <row r="124" spans="1:38" ht="15" customHeight="1" x14ac:dyDescent="0.3">
      <c r="A124" s="473" t="s">
        <v>22</v>
      </c>
      <c r="B124" s="2" t="s">
        <v>105</v>
      </c>
      <c r="C124" s="6">
        <v>7</v>
      </c>
      <c r="D124" s="11" t="s">
        <v>5936</v>
      </c>
      <c r="E124" s="430">
        <v>34031</v>
      </c>
      <c r="F124" s="12">
        <v>1993</v>
      </c>
      <c r="G124" s="13" t="s">
        <v>411</v>
      </c>
      <c r="H124" s="157"/>
      <c r="I124" s="22" t="s">
        <v>264</v>
      </c>
      <c r="J124" s="32"/>
      <c r="K124" s="475" t="s">
        <v>351</v>
      </c>
      <c r="L124" s="475"/>
      <c r="M124" s="475"/>
      <c r="N124" s="475"/>
      <c r="O124" s="475"/>
      <c r="P124" s="476" t="s">
        <v>393</v>
      </c>
      <c r="Q124" s="15" t="s">
        <v>282</v>
      </c>
      <c r="R124" s="15"/>
      <c r="S124" s="16" t="s">
        <v>44</v>
      </c>
      <c r="T124" s="16"/>
      <c r="U124" s="484"/>
      <c r="V124" s="485"/>
      <c r="W124" s="243"/>
      <c r="X124" s="478"/>
      <c r="Y124" s="7">
        <f t="shared" si="2"/>
        <v>0</v>
      </c>
      <c r="Z124" s="478"/>
      <c r="AA124" s="469"/>
      <c r="AB124" s="479" t="s">
        <v>5937</v>
      </c>
      <c r="AC124" s="480"/>
      <c r="AD124" s="476">
        <v>0</v>
      </c>
      <c r="AE124" s="476"/>
      <c r="AF124" s="9">
        <f t="shared" si="3"/>
        <v>0</v>
      </c>
      <c r="AG124" s="476"/>
      <c r="AH124" s="475"/>
      <c r="AI124" s="476"/>
      <c r="AJ124" s="10"/>
      <c r="AK124" s="481"/>
      <c r="AL124" s="481"/>
    </row>
    <row r="125" spans="1:38" ht="15" customHeight="1" x14ac:dyDescent="0.3">
      <c r="A125" s="473" t="s">
        <v>22</v>
      </c>
      <c r="B125" s="2" t="s">
        <v>105</v>
      </c>
      <c r="C125" s="6">
        <v>6</v>
      </c>
      <c r="D125" s="11" t="s">
        <v>5936</v>
      </c>
      <c r="E125" s="430">
        <v>35467</v>
      </c>
      <c r="F125" s="12">
        <v>1997</v>
      </c>
      <c r="G125" s="13">
        <v>34413</v>
      </c>
      <c r="H125" s="157"/>
      <c r="I125" s="22" t="s">
        <v>264</v>
      </c>
      <c r="J125" s="32" t="s">
        <v>26</v>
      </c>
      <c r="K125" s="474" t="s">
        <v>351</v>
      </c>
      <c r="L125" s="474"/>
      <c r="M125" s="474"/>
      <c r="N125" s="474"/>
      <c r="O125" s="475"/>
      <c r="P125" s="476" t="s">
        <v>393</v>
      </c>
      <c r="Q125" s="15" t="s">
        <v>282</v>
      </c>
      <c r="R125" s="15"/>
      <c r="S125" s="16" t="s">
        <v>44</v>
      </c>
      <c r="T125" s="16"/>
      <c r="U125" s="484"/>
      <c r="V125" s="485"/>
      <c r="W125" s="243"/>
      <c r="X125" s="478"/>
      <c r="Y125" s="7">
        <f t="shared" si="2"/>
        <v>0</v>
      </c>
      <c r="Z125" s="478"/>
      <c r="AA125" s="469"/>
      <c r="AB125" s="479" t="s">
        <v>5937</v>
      </c>
      <c r="AC125" s="480"/>
      <c r="AD125" s="476">
        <v>0</v>
      </c>
      <c r="AE125" s="476"/>
      <c r="AF125" s="9">
        <f t="shared" si="3"/>
        <v>0</v>
      </c>
      <c r="AG125" s="476"/>
      <c r="AH125" s="475"/>
      <c r="AI125" s="476"/>
      <c r="AJ125" s="10"/>
      <c r="AK125" s="481"/>
      <c r="AL125" s="481"/>
    </row>
    <row r="126" spans="1:38" ht="15" customHeight="1" x14ac:dyDescent="0.3">
      <c r="A126" s="473" t="s">
        <v>22</v>
      </c>
      <c r="B126" s="2" t="s">
        <v>105</v>
      </c>
      <c r="C126" s="6">
        <v>6</v>
      </c>
      <c r="D126" s="11" t="s">
        <v>5936</v>
      </c>
      <c r="E126" s="430">
        <v>35744</v>
      </c>
      <c r="F126" s="12">
        <v>1997</v>
      </c>
      <c r="G126" s="24">
        <v>34838</v>
      </c>
      <c r="H126" s="157"/>
      <c r="I126" s="22" t="s">
        <v>264</v>
      </c>
      <c r="J126" s="32" t="s">
        <v>26</v>
      </c>
      <c r="K126" s="474" t="s">
        <v>351</v>
      </c>
      <c r="L126" s="474"/>
      <c r="M126" s="474"/>
      <c r="N126" s="474"/>
      <c r="O126" s="475"/>
      <c r="P126" s="476" t="s">
        <v>393</v>
      </c>
      <c r="Q126" s="15" t="s">
        <v>282</v>
      </c>
      <c r="R126" s="15"/>
      <c r="S126" s="16" t="s">
        <v>44</v>
      </c>
      <c r="T126" s="16"/>
      <c r="U126" s="484"/>
      <c r="V126" s="485"/>
      <c r="W126" s="243"/>
      <c r="X126" s="478"/>
      <c r="Y126" s="7">
        <f t="shared" si="2"/>
        <v>0</v>
      </c>
      <c r="Z126" s="478"/>
      <c r="AA126" s="469"/>
      <c r="AB126" s="479" t="s">
        <v>5937</v>
      </c>
      <c r="AC126" s="480"/>
      <c r="AD126" s="476">
        <v>0</v>
      </c>
      <c r="AE126" s="476"/>
      <c r="AF126" s="9">
        <f t="shared" si="3"/>
        <v>0</v>
      </c>
      <c r="AG126" s="476"/>
      <c r="AH126" s="475"/>
      <c r="AI126" s="476"/>
      <c r="AJ126" s="10"/>
      <c r="AK126" s="481"/>
      <c r="AL126" s="481"/>
    </row>
    <row r="127" spans="1:38" ht="15" customHeight="1" x14ac:dyDescent="0.3">
      <c r="A127" s="473" t="s">
        <v>22</v>
      </c>
      <c r="B127" s="2" t="s">
        <v>105</v>
      </c>
      <c r="C127" s="6">
        <v>6</v>
      </c>
      <c r="D127" s="11" t="s">
        <v>5936</v>
      </c>
      <c r="E127" s="430">
        <v>35339</v>
      </c>
      <c r="F127" s="12">
        <v>1996</v>
      </c>
      <c r="G127" s="13">
        <v>34240</v>
      </c>
      <c r="H127" s="157"/>
      <c r="I127" s="22" t="s">
        <v>264</v>
      </c>
      <c r="J127" s="32" t="s">
        <v>26</v>
      </c>
      <c r="K127" s="474" t="s">
        <v>412</v>
      </c>
      <c r="L127" s="474"/>
      <c r="M127" s="474"/>
      <c r="N127" s="474"/>
      <c r="O127" s="475"/>
      <c r="P127" s="476" t="s">
        <v>393</v>
      </c>
      <c r="Q127" s="15" t="s">
        <v>282</v>
      </c>
      <c r="R127" s="15"/>
      <c r="S127" s="16" t="s">
        <v>44</v>
      </c>
      <c r="T127" s="16"/>
      <c r="U127" s="484"/>
      <c r="V127" s="485"/>
      <c r="W127" s="243"/>
      <c r="X127" s="478"/>
      <c r="Y127" s="7">
        <f t="shared" si="2"/>
        <v>0</v>
      </c>
      <c r="Z127" s="478"/>
      <c r="AA127" s="469"/>
      <c r="AB127" s="479" t="s">
        <v>5937</v>
      </c>
      <c r="AC127" s="480"/>
      <c r="AD127" s="476">
        <v>0</v>
      </c>
      <c r="AE127" s="476"/>
      <c r="AF127" s="9">
        <f t="shared" si="3"/>
        <v>0</v>
      </c>
      <c r="AG127" s="476"/>
      <c r="AH127" s="475"/>
      <c r="AI127" s="476"/>
      <c r="AJ127" s="10"/>
      <c r="AK127" s="481"/>
      <c r="AL127" s="481"/>
    </row>
    <row r="128" spans="1:38" ht="15" customHeight="1" x14ac:dyDescent="0.3">
      <c r="A128" s="473" t="s">
        <v>22</v>
      </c>
      <c r="B128" s="2" t="s">
        <v>105</v>
      </c>
      <c r="C128" s="6">
        <v>6</v>
      </c>
      <c r="D128" s="11" t="s">
        <v>5936</v>
      </c>
      <c r="E128" s="431">
        <v>34976</v>
      </c>
      <c r="F128" s="12">
        <v>1995</v>
      </c>
      <c r="G128" s="13" t="s">
        <v>413</v>
      </c>
      <c r="H128" s="157"/>
      <c r="I128" s="22" t="s">
        <v>264</v>
      </c>
      <c r="J128" s="32"/>
      <c r="K128" s="474" t="s">
        <v>414</v>
      </c>
      <c r="L128" s="474"/>
      <c r="M128" s="474"/>
      <c r="N128" s="474"/>
      <c r="O128" s="475"/>
      <c r="P128" s="476" t="s">
        <v>393</v>
      </c>
      <c r="Q128" s="15" t="s">
        <v>282</v>
      </c>
      <c r="R128" s="15"/>
      <c r="S128" s="16" t="s">
        <v>44</v>
      </c>
      <c r="T128" s="16"/>
      <c r="U128" s="484"/>
      <c r="V128" s="485"/>
      <c r="W128" s="243"/>
      <c r="X128" s="478"/>
      <c r="Y128" s="7">
        <f t="shared" si="2"/>
        <v>0</v>
      </c>
      <c r="Z128" s="478"/>
      <c r="AA128" s="469"/>
      <c r="AB128" s="479" t="s">
        <v>5937</v>
      </c>
      <c r="AC128" s="480"/>
      <c r="AD128" s="476">
        <v>0</v>
      </c>
      <c r="AE128" s="476"/>
      <c r="AF128" s="9">
        <f t="shared" si="3"/>
        <v>0</v>
      </c>
      <c r="AG128" s="476"/>
      <c r="AH128" s="475"/>
      <c r="AI128" s="476" t="s">
        <v>415</v>
      </c>
      <c r="AJ128" s="10"/>
      <c r="AK128" s="481"/>
      <c r="AL128" s="481"/>
    </row>
    <row r="129" spans="1:38" ht="15" customHeight="1" x14ac:dyDescent="0.3">
      <c r="A129" s="473" t="s">
        <v>22</v>
      </c>
      <c r="B129" s="2" t="s">
        <v>105</v>
      </c>
      <c r="C129" s="6">
        <v>6</v>
      </c>
      <c r="D129" s="11" t="s">
        <v>5936</v>
      </c>
      <c r="E129" s="430">
        <v>35475</v>
      </c>
      <c r="F129" s="12">
        <v>1997</v>
      </c>
      <c r="G129" s="13">
        <v>34397</v>
      </c>
      <c r="H129" s="157"/>
      <c r="I129" s="22" t="s">
        <v>264</v>
      </c>
      <c r="J129" s="32"/>
      <c r="K129" s="474" t="s">
        <v>351</v>
      </c>
      <c r="L129" s="474"/>
      <c r="M129" s="474"/>
      <c r="N129" s="474"/>
      <c r="O129" s="475"/>
      <c r="P129" s="476" t="s">
        <v>393</v>
      </c>
      <c r="Q129" s="15" t="s">
        <v>282</v>
      </c>
      <c r="R129" s="15"/>
      <c r="S129" s="16" t="s">
        <v>44</v>
      </c>
      <c r="T129" s="16"/>
      <c r="U129" s="484"/>
      <c r="V129" s="485"/>
      <c r="W129" s="243"/>
      <c r="X129" s="478"/>
      <c r="Y129" s="7">
        <f t="shared" si="2"/>
        <v>0</v>
      </c>
      <c r="Z129" s="478"/>
      <c r="AA129" s="469"/>
      <c r="AB129" s="479" t="s">
        <v>5937</v>
      </c>
      <c r="AC129" s="480"/>
      <c r="AD129" s="476">
        <v>0</v>
      </c>
      <c r="AE129" s="476"/>
      <c r="AF129" s="9">
        <f t="shared" si="3"/>
        <v>0</v>
      </c>
      <c r="AG129" s="476"/>
      <c r="AH129" s="475"/>
      <c r="AI129" s="476"/>
      <c r="AJ129" s="10"/>
      <c r="AK129" s="481"/>
      <c r="AL129" s="481"/>
    </row>
    <row r="130" spans="1:38" ht="15" customHeight="1" x14ac:dyDescent="0.3">
      <c r="A130" s="473" t="s">
        <v>22</v>
      </c>
      <c r="B130" s="2" t="s">
        <v>105</v>
      </c>
      <c r="C130" s="6">
        <v>6</v>
      </c>
      <c r="D130" s="11" t="s">
        <v>5936</v>
      </c>
      <c r="E130" s="430">
        <v>35339</v>
      </c>
      <c r="F130" s="12">
        <v>1996</v>
      </c>
      <c r="G130" s="13">
        <v>34238</v>
      </c>
      <c r="H130" s="157"/>
      <c r="I130" s="22" t="s">
        <v>264</v>
      </c>
      <c r="J130" s="32"/>
      <c r="K130" s="474" t="s">
        <v>351</v>
      </c>
      <c r="L130" s="474"/>
      <c r="M130" s="474"/>
      <c r="N130" s="474"/>
      <c r="O130" s="475"/>
      <c r="P130" s="476" t="s">
        <v>393</v>
      </c>
      <c r="Q130" s="15" t="s">
        <v>282</v>
      </c>
      <c r="R130" s="15"/>
      <c r="S130" s="16" t="s">
        <v>44</v>
      </c>
      <c r="T130" s="16"/>
      <c r="U130" s="484"/>
      <c r="V130" s="485"/>
      <c r="W130" s="243"/>
      <c r="X130" s="478"/>
      <c r="Y130" s="7">
        <f t="shared" ref="Y130:Y193" si="4">W130*AE130</f>
        <v>0</v>
      </c>
      <c r="Z130" s="478"/>
      <c r="AA130" s="469"/>
      <c r="AB130" s="479" t="s">
        <v>5937</v>
      </c>
      <c r="AC130" s="480"/>
      <c r="AD130" s="476">
        <v>0</v>
      </c>
      <c r="AE130" s="476"/>
      <c r="AF130" s="9">
        <f t="shared" si="3"/>
        <v>0</v>
      </c>
      <c r="AG130" s="476"/>
      <c r="AH130" s="475"/>
      <c r="AI130" s="476"/>
      <c r="AJ130" s="10"/>
      <c r="AK130" s="481"/>
      <c r="AL130" s="481"/>
    </row>
    <row r="131" spans="1:38" ht="15" customHeight="1" x14ac:dyDescent="0.3">
      <c r="A131" s="473" t="s">
        <v>22</v>
      </c>
      <c r="B131" s="2" t="s">
        <v>105</v>
      </c>
      <c r="C131" s="6">
        <v>5</v>
      </c>
      <c r="D131" s="11" t="s">
        <v>5936</v>
      </c>
      <c r="E131" s="431">
        <v>35173</v>
      </c>
      <c r="F131" s="12">
        <v>1996</v>
      </c>
      <c r="G131" s="13" t="s">
        <v>416</v>
      </c>
      <c r="H131" s="157"/>
      <c r="I131" s="22" t="s">
        <v>264</v>
      </c>
      <c r="J131" s="32" t="s">
        <v>26</v>
      </c>
      <c r="K131" s="474" t="s">
        <v>353</v>
      </c>
      <c r="L131" s="474"/>
      <c r="M131" s="474"/>
      <c r="N131" s="474"/>
      <c r="O131" s="475"/>
      <c r="P131" s="476" t="s">
        <v>393</v>
      </c>
      <c r="Q131" s="15" t="s">
        <v>282</v>
      </c>
      <c r="R131" s="15"/>
      <c r="S131" s="16" t="s">
        <v>44</v>
      </c>
      <c r="T131" s="16"/>
      <c r="U131" s="484"/>
      <c r="V131" s="485"/>
      <c r="W131" s="243"/>
      <c r="X131" s="478"/>
      <c r="Y131" s="7">
        <f t="shared" si="4"/>
        <v>0</v>
      </c>
      <c r="Z131" s="478"/>
      <c r="AA131" s="469"/>
      <c r="AB131" s="479" t="s">
        <v>5937</v>
      </c>
      <c r="AC131" s="480"/>
      <c r="AD131" s="476">
        <v>0</v>
      </c>
      <c r="AE131" s="476"/>
      <c r="AF131" s="9">
        <f t="shared" ref="AF131:AF194" si="5">AD131+AE131</f>
        <v>0</v>
      </c>
      <c r="AG131" s="476"/>
      <c r="AH131" s="475"/>
      <c r="AI131" s="476"/>
      <c r="AJ131" s="10"/>
      <c r="AK131" s="481"/>
      <c r="AL131" s="481"/>
    </row>
    <row r="132" spans="1:38" ht="15" customHeight="1" x14ac:dyDescent="0.3">
      <c r="A132" s="473" t="s">
        <v>22</v>
      </c>
      <c r="B132" s="2" t="s">
        <v>105</v>
      </c>
      <c r="C132" s="6">
        <v>4</v>
      </c>
      <c r="D132" s="11" t="s">
        <v>5936</v>
      </c>
      <c r="E132" s="430">
        <v>35727</v>
      </c>
      <c r="F132" s="12">
        <v>1997</v>
      </c>
      <c r="G132" s="24">
        <v>36998</v>
      </c>
      <c r="H132" s="157"/>
      <c r="I132" s="22" t="s">
        <v>264</v>
      </c>
      <c r="J132" s="32" t="s">
        <v>26</v>
      </c>
      <c r="K132" s="474" t="s">
        <v>351</v>
      </c>
      <c r="L132" s="474"/>
      <c r="M132" s="474"/>
      <c r="N132" s="474"/>
      <c r="O132" s="475"/>
      <c r="P132" s="476" t="s">
        <v>393</v>
      </c>
      <c r="Q132" s="15" t="s">
        <v>282</v>
      </c>
      <c r="R132" s="15"/>
      <c r="S132" s="16"/>
      <c r="T132" s="16"/>
      <c r="U132" s="484"/>
      <c r="V132" s="485"/>
      <c r="W132" s="243"/>
      <c r="X132" s="478"/>
      <c r="Y132" s="7">
        <f t="shared" si="4"/>
        <v>0</v>
      </c>
      <c r="Z132" s="478"/>
      <c r="AA132" s="469"/>
      <c r="AB132" s="479" t="s">
        <v>5937</v>
      </c>
      <c r="AC132" s="480"/>
      <c r="AD132" s="476">
        <v>0</v>
      </c>
      <c r="AE132" s="476"/>
      <c r="AF132" s="9">
        <f t="shared" si="5"/>
        <v>0</v>
      </c>
      <c r="AG132" s="476"/>
      <c r="AH132" s="475"/>
      <c r="AI132" s="476"/>
      <c r="AJ132" s="10"/>
      <c r="AK132" s="481"/>
      <c r="AL132" s="481"/>
    </row>
    <row r="133" spans="1:38" ht="15" customHeight="1" x14ac:dyDescent="0.3">
      <c r="A133" s="473" t="s">
        <v>22</v>
      </c>
      <c r="B133" s="2" t="s">
        <v>105</v>
      </c>
      <c r="C133" s="6">
        <v>4</v>
      </c>
      <c r="D133" s="11" t="s">
        <v>5936</v>
      </c>
      <c r="E133" s="431">
        <v>35208</v>
      </c>
      <c r="F133" s="12">
        <v>1996</v>
      </c>
      <c r="G133" s="13">
        <v>36014</v>
      </c>
      <c r="H133" s="157"/>
      <c r="I133" s="22" t="s">
        <v>264</v>
      </c>
      <c r="J133" s="32" t="s">
        <v>26</v>
      </c>
      <c r="K133" s="474" t="s">
        <v>381</v>
      </c>
      <c r="L133" s="474"/>
      <c r="M133" s="474"/>
      <c r="N133" s="474"/>
      <c r="O133" s="475"/>
      <c r="P133" s="476" t="s">
        <v>393</v>
      </c>
      <c r="Q133" s="15" t="s">
        <v>282</v>
      </c>
      <c r="R133" s="15"/>
      <c r="S133" s="16" t="s">
        <v>44</v>
      </c>
      <c r="T133" s="16"/>
      <c r="U133" s="484"/>
      <c r="V133" s="485"/>
      <c r="W133" s="243"/>
      <c r="X133" s="478"/>
      <c r="Y133" s="7">
        <f t="shared" si="4"/>
        <v>0</v>
      </c>
      <c r="Z133" s="478"/>
      <c r="AA133" s="469"/>
      <c r="AB133" s="479" t="s">
        <v>5937</v>
      </c>
      <c r="AC133" s="480"/>
      <c r="AD133" s="476">
        <v>0</v>
      </c>
      <c r="AE133" s="476"/>
      <c r="AF133" s="9">
        <f t="shared" si="5"/>
        <v>0</v>
      </c>
      <c r="AG133" s="476"/>
      <c r="AH133" s="475"/>
      <c r="AI133" s="476"/>
      <c r="AJ133" s="10"/>
      <c r="AK133" s="481"/>
      <c r="AL133" s="481"/>
    </row>
    <row r="134" spans="1:38" ht="15" customHeight="1" x14ac:dyDescent="0.3">
      <c r="A134" s="473" t="s">
        <v>22</v>
      </c>
      <c r="B134" s="2" t="s">
        <v>105</v>
      </c>
      <c r="C134" s="6">
        <v>4</v>
      </c>
      <c r="D134" s="11" t="s">
        <v>5936</v>
      </c>
      <c r="E134" s="430">
        <v>35291</v>
      </c>
      <c r="F134" s="12">
        <v>1996</v>
      </c>
      <c r="G134" s="18">
        <v>36121</v>
      </c>
      <c r="H134" s="157"/>
      <c r="I134" s="22" t="s">
        <v>264</v>
      </c>
      <c r="J134" s="32" t="s">
        <v>26</v>
      </c>
      <c r="K134" s="474" t="s">
        <v>351</v>
      </c>
      <c r="L134" s="474"/>
      <c r="M134" s="474"/>
      <c r="N134" s="474"/>
      <c r="O134" s="475"/>
      <c r="P134" s="476" t="s">
        <v>393</v>
      </c>
      <c r="Q134" s="15" t="s">
        <v>282</v>
      </c>
      <c r="R134" s="15"/>
      <c r="S134" s="16" t="s">
        <v>44</v>
      </c>
      <c r="T134" s="16"/>
      <c r="U134" s="484"/>
      <c r="V134" s="485"/>
      <c r="W134" s="243"/>
      <c r="X134" s="478"/>
      <c r="Y134" s="7">
        <f t="shared" si="4"/>
        <v>0</v>
      </c>
      <c r="Z134" s="478"/>
      <c r="AA134" s="469"/>
      <c r="AB134" s="479" t="s">
        <v>5937</v>
      </c>
      <c r="AC134" s="480"/>
      <c r="AD134" s="476">
        <v>0</v>
      </c>
      <c r="AE134" s="476"/>
      <c r="AF134" s="9">
        <f t="shared" si="5"/>
        <v>0</v>
      </c>
      <c r="AG134" s="476"/>
      <c r="AH134" s="475"/>
      <c r="AI134" s="476"/>
      <c r="AJ134" s="10"/>
      <c r="AK134" s="481"/>
      <c r="AL134" s="481"/>
    </row>
    <row r="135" spans="1:38" ht="15" customHeight="1" x14ac:dyDescent="0.3">
      <c r="A135" s="473" t="s">
        <v>22</v>
      </c>
      <c r="B135" s="29" t="s">
        <v>105</v>
      </c>
      <c r="C135" s="6">
        <v>3</v>
      </c>
      <c r="D135" s="11" t="s">
        <v>5936</v>
      </c>
      <c r="E135" s="430">
        <v>35474</v>
      </c>
      <c r="F135" s="12">
        <v>1997</v>
      </c>
      <c r="G135" s="13" t="s">
        <v>417</v>
      </c>
      <c r="H135" s="157"/>
      <c r="I135" s="22" t="s">
        <v>264</v>
      </c>
      <c r="J135" s="32" t="s">
        <v>26</v>
      </c>
      <c r="K135" s="474" t="s">
        <v>351</v>
      </c>
      <c r="L135" s="474"/>
      <c r="M135" s="474"/>
      <c r="N135" s="474"/>
      <c r="O135" s="475"/>
      <c r="P135" s="476" t="s">
        <v>393</v>
      </c>
      <c r="Q135" s="15" t="s">
        <v>282</v>
      </c>
      <c r="R135" s="15"/>
      <c r="S135" s="16" t="s">
        <v>44</v>
      </c>
      <c r="T135" s="16"/>
      <c r="U135" s="484"/>
      <c r="V135" s="485"/>
      <c r="W135" s="243"/>
      <c r="X135" s="478"/>
      <c r="Y135" s="7">
        <f t="shared" si="4"/>
        <v>0</v>
      </c>
      <c r="Z135" s="478"/>
      <c r="AA135" s="469"/>
      <c r="AB135" s="479" t="s">
        <v>5937</v>
      </c>
      <c r="AC135" s="480"/>
      <c r="AD135" s="476">
        <v>0</v>
      </c>
      <c r="AE135" s="476"/>
      <c r="AF135" s="9">
        <f t="shared" si="5"/>
        <v>0</v>
      </c>
      <c r="AG135" s="476"/>
      <c r="AH135" s="475"/>
      <c r="AI135" s="476"/>
      <c r="AJ135" s="10"/>
      <c r="AK135" s="481"/>
      <c r="AL135" s="481"/>
    </row>
    <row r="136" spans="1:38" ht="15" customHeight="1" x14ac:dyDescent="0.3">
      <c r="A136" s="473" t="s">
        <v>22</v>
      </c>
      <c r="B136" s="2" t="s">
        <v>105</v>
      </c>
      <c r="C136" s="6">
        <v>2</v>
      </c>
      <c r="D136" s="11" t="s">
        <v>5936</v>
      </c>
      <c r="E136" s="430">
        <v>35767</v>
      </c>
      <c r="F136" s="12">
        <v>1997</v>
      </c>
      <c r="G136" s="24">
        <v>52840</v>
      </c>
      <c r="H136" s="157"/>
      <c r="I136" s="22" t="s">
        <v>264</v>
      </c>
      <c r="J136" s="32" t="s">
        <v>26</v>
      </c>
      <c r="K136" s="474" t="s">
        <v>351</v>
      </c>
      <c r="L136" s="474"/>
      <c r="M136" s="474"/>
      <c r="N136" s="474"/>
      <c r="O136" s="475"/>
      <c r="P136" s="476" t="s">
        <v>393</v>
      </c>
      <c r="Q136" s="15" t="s">
        <v>282</v>
      </c>
      <c r="R136" s="15"/>
      <c r="S136" s="16" t="s">
        <v>44</v>
      </c>
      <c r="T136" s="16"/>
      <c r="U136" s="484"/>
      <c r="V136" s="485"/>
      <c r="W136" s="243"/>
      <c r="X136" s="478"/>
      <c r="Y136" s="7">
        <f t="shared" si="4"/>
        <v>0</v>
      </c>
      <c r="Z136" s="478"/>
      <c r="AA136" s="469"/>
      <c r="AB136" s="479" t="s">
        <v>5937</v>
      </c>
      <c r="AC136" s="480"/>
      <c r="AD136" s="476">
        <v>0</v>
      </c>
      <c r="AE136" s="476"/>
      <c r="AF136" s="9">
        <f t="shared" si="5"/>
        <v>0</v>
      </c>
      <c r="AG136" s="476"/>
      <c r="AH136" s="475"/>
      <c r="AI136" s="476"/>
      <c r="AJ136" s="10"/>
      <c r="AK136" s="481"/>
      <c r="AL136" s="481"/>
    </row>
    <row r="137" spans="1:38" ht="15" customHeight="1" x14ac:dyDescent="0.3">
      <c r="A137" s="473" t="s">
        <v>22</v>
      </c>
      <c r="B137" s="2" t="s">
        <v>105</v>
      </c>
      <c r="C137" s="6">
        <v>2</v>
      </c>
      <c r="D137" s="11" t="s">
        <v>5936</v>
      </c>
      <c r="E137" s="431">
        <v>35241</v>
      </c>
      <c r="F137" s="12">
        <v>1996</v>
      </c>
      <c r="G137" s="13" t="s">
        <v>418</v>
      </c>
      <c r="H137" s="157"/>
      <c r="I137" s="22" t="s">
        <v>264</v>
      </c>
      <c r="J137" s="32"/>
      <c r="K137" s="474" t="s">
        <v>351</v>
      </c>
      <c r="L137" s="474"/>
      <c r="M137" s="474"/>
      <c r="N137" s="474"/>
      <c r="O137" s="475"/>
      <c r="P137" s="476" t="s">
        <v>393</v>
      </c>
      <c r="Q137" s="15" t="s">
        <v>282</v>
      </c>
      <c r="R137" s="15"/>
      <c r="S137" s="16" t="s">
        <v>44</v>
      </c>
      <c r="T137" s="16"/>
      <c r="U137" s="484"/>
      <c r="V137" s="485"/>
      <c r="W137" s="243"/>
      <c r="X137" s="478"/>
      <c r="Y137" s="7">
        <f t="shared" si="4"/>
        <v>0</v>
      </c>
      <c r="Z137" s="478"/>
      <c r="AA137" s="469"/>
      <c r="AB137" s="479" t="s">
        <v>5937</v>
      </c>
      <c r="AC137" s="480"/>
      <c r="AD137" s="476">
        <v>0</v>
      </c>
      <c r="AE137" s="476"/>
      <c r="AF137" s="9">
        <f t="shared" si="5"/>
        <v>0</v>
      </c>
      <c r="AG137" s="476"/>
      <c r="AH137" s="475"/>
      <c r="AI137" s="476"/>
      <c r="AJ137" s="10"/>
      <c r="AK137" s="481"/>
      <c r="AL137" s="481"/>
    </row>
    <row r="138" spans="1:38" ht="15" customHeight="1" x14ac:dyDescent="0.3">
      <c r="A138" s="473" t="s">
        <v>22</v>
      </c>
      <c r="B138" s="29" t="s">
        <v>105</v>
      </c>
      <c r="C138" s="6">
        <v>1</v>
      </c>
      <c r="D138" s="11" t="s">
        <v>5936</v>
      </c>
      <c r="E138" s="431">
        <v>35240</v>
      </c>
      <c r="F138" s="12">
        <v>1996</v>
      </c>
      <c r="G138" s="13">
        <v>57452</v>
      </c>
      <c r="H138" s="157"/>
      <c r="I138" s="22" t="s">
        <v>264</v>
      </c>
      <c r="J138" s="32" t="s">
        <v>26</v>
      </c>
      <c r="K138" s="474" t="s">
        <v>353</v>
      </c>
      <c r="L138" s="474"/>
      <c r="M138" s="474"/>
      <c r="N138" s="474"/>
      <c r="O138" s="475"/>
      <c r="P138" s="476" t="s">
        <v>393</v>
      </c>
      <c r="Q138" s="476"/>
      <c r="R138" s="476"/>
      <c r="S138" s="16" t="s">
        <v>44</v>
      </c>
      <c r="T138" s="476"/>
      <c r="U138" s="476"/>
      <c r="V138" s="477"/>
      <c r="W138" s="243"/>
      <c r="X138" s="478"/>
      <c r="Y138" s="7">
        <f t="shared" si="4"/>
        <v>0</v>
      </c>
      <c r="Z138" s="478"/>
      <c r="AA138" s="469"/>
      <c r="AB138" s="479" t="s">
        <v>5937</v>
      </c>
      <c r="AC138" s="480"/>
      <c r="AD138" s="476">
        <v>0</v>
      </c>
      <c r="AE138" s="476"/>
      <c r="AF138" s="9">
        <f t="shared" si="5"/>
        <v>0</v>
      </c>
      <c r="AG138" s="476"/>
      <c r="AH138" s="475"/>
      <c r="AI138" s="476"/>
      <c r="AJ138" s="10"/>
      <c r="AK138" s="481"/>
      <c r="AL138" s="481"/>
    </row>
    <row r="139" spans="1:38" ht="15" customHeight="1" x14ac:dyDescent="0.3">
      <c r="A139" s="473" t="s">
        <v>22</v>
      </c>
      <c r="B139" s="29" t="s">
        <v>105</v>
      </c>
      <c r="C139" s="6">
        <v>1</v>
      </c>
      <c r="D139" s="11" t="s">
        <v>5936</v>
      </c>
      <c r="E139" s="430">
        <v>35699</v>
      </c>
      <c r="F139" s="12">
        <v>1997</v>
      </c>
      <c r="G139" s="18">
        <v>58169</v>
      </c>
      <c r="H139" s="157"/>
      <c r="I139" s="22" t="s">
        <v>264</v>
      </c>
      <c r="J139" s="32"/>
      <c r="K139" s="474" t="s">
        <v>351</v>
      </c>
      <c r="L139" s="474"/>
      <c r="M139" s="474"/>
      <c r="N139" s="474"/>
      <c r="O139" s="475"/>
      <c r="P139" s="476" t="s">
        <v>393</v>
      </c>
      <c r="Q139" s="15" t="s">
        <v>282</v>
      </c>
      <c r="R139" s="15"/>
      <c r="S139" s="16" t="s">
        <v>44</v>
      </c>
      <c r="T139" s="16"/>
      <c r="U139" s="484"/>
      <c r="V139" s="485"/>
      <c r="W139" s="243"/>
      <c r="X139" s="478"/>
      <c r="Y139" s="7">
        <f t="shared" si="4"/>
        <v>0</v>
      </c>
      <c r="Z139" s="478"/>
      <c r="AA139" s="469"/>
      <c r="AB139" s="479" t="s">
        <v>5937</v>
      </c>
      <c r="AC139" s="480"/>
      <c r="AD139" s="476">
        <v>0</v>
      </c>
      <c r="AE139" s="476"/>
      <c r="AF139" s="9">
        <f t="shared" si="5"/>
        <v>0</v>
      </c>
      <c r="AG139" s="476"/>
      <c r="AH139" s="475"/>
      <c r="AI139" s="476"/>
      <c r="AJ139" s="10"/>
      <c r="AK139" s="481"/>
      <c r="AL139" s="481"/>
    </row>
    <row r="140" spans="1:38" ht="15" customHeight="1" x14ac:dyDescent="0.3">
      <c r="A140" s="473" t="s">
        <v>22</v>
      </c>
      <c r="B140" s="2" t="s">
        <v>105</v>
      </c>
      <c r="C140" s="6">
        <v>1</v>
      </c>
      <c r="D140" s="11" t="s">
        <v>5936</v>
      </c>
      <c r="E140" s="430">
        <v>35269</v>
      </c>
      <c r="F140" s="12">
        <v>1996</v>
      </c>
      <c r="G140" s="13" t="s">
        <v>419</v>
      </c>
      <c r="H140" s="157"/>
      <c r="I140" s="22" t="s">
        <v>264</v>
      </c>
      <c r="J140" s="32"/>
      <c r="K140" s="474" t="s">
        <v>353</v>
      </c>
      <c r="L140" s="474"/>
      <c r="M140" s="474"/>
      <c r="N140" s="474"/>
      <c r="O140" s="475"/>
      <c r="P140" s="476" t="s">
        <v>393</v>
      </c>
      <c r="Q140" s="15" t="s">
        <v>282</v>
      </c>
      <c r="R140" s="15"/>
      <c r="S140" s="16" t="s">
        <v>44</v>
      </c>
      <c r="T140" s="16"/>
      <c r="U140" s="484"/>
      <c r="V140" s="485"/>
      <c r="W140" s="243"/>
      <c r="X140" s="478"/>
      <c r="Y140" s="7">
        <f t="shared" si="4"/>
        <v>0</v>
      </c>
      <c r="Z140" s="478"/>
      <c r="AA140" s="469"/>
      <c r="AB140" s="479" t="s">
        <v>5937</v>
      </c>
      <c r="AC140" s="480"/>
      <c r="AD140" s="476">
        <v>0</v>
      </c>
      <c r="AE140" s="476"/>
      <c r="AF140" s="9">
        <f t="shared" si="5"/>
        <v>0</v>
      </c>
      <c r="AG140" s="476"/>
      <c r="AH140" s="475"/>
      <c r="AI140" s="476"/>
      <c r="AJ140" s="10"/>
      <c r="AK140" s="481"/>
      <c r="AL140" s="481"/>
    </row>
    <row r="141" spans="1:38" ht="15" customHeight="1" x14ac:dyDescent="0.3">
      <c r="A141" s="473" t="s">
        <v>22</v>
      </c>
      <c r="B141" s="2" t="s">
        <v>105</v>
      </c>
      <c r="C141" s="6">
        <v>17</v>
      </c>
      <c r="D141" s="11" t="s">
        <v>5936</v>
      </c>
      <c r="E141" s="430">
        <v>35241</v>
      </c>
      <c r="F141" s="12">
        <v>1996</v>
      </c>
      <c r="G141" s="13">
        <v>65</v>
      </c>
      <c r="H141" s="157"/>
      <c r="I141" s="22" t="s">
        <v>264</v>
      </c>
      <c r="J141" s="32" t="s">
        <v>26</v>
      </c>
      <c r="K141" s="474" t="s">
        <v>351</v>
      </c>
      <c r="L141" s="474"/>
      <c r="M141" s="474"/>
      <c r="N141" s="474"/>
      <c r="O141" s="475"/>
      <c r="P141" s="476" t="s">
        <v>393</v>
      </c>
      <c r="Q141" s="15" t="s">
        <v>282</v>
      </c>
      <c r="R141" s="15"/>
      <c r="S141" s="16" t="s">
        <v>44</v>
      </c>
      <c r="T141" s="16"/>
      <c r="U141" s="484" t="s">
        <v>420</v>
      </c>
      <c r="V141" s="485"/>
      <c r="W141" s="243"/>
      <c r="X141" s="478"/>
      <c r="Y141" s="7">
        <f t="shared" si="4"/>
        <v>0</v>
      </c>
      <c r="Z141" s="478"/>
      <c r="AA141" s="469"/>
      <c r="AB141" s="479" t="s">
        <v>5937</v>
      </c>
      <c r="AC141" s="480"/>
      <c r="AD141" s="476">
        <v>0</v>
      </c>
      <c r="AE141" s="476"/>
      <c r="AF141" s="9">
        <f t="shared" si="5"/>
        <v>0</v>
      </c>
      <c r="AG141" s="476"/>
      <c r="AH141" s="475"/>
      <c r="AI141" s="476"/>
      <c r="AJ141" s="10"/>
      <c r="AK141" s="481"/>
      <c r="AL141" s="481"/>
    </row>
    <row r="142" spans="1:38" ht="15" customHeight="1" x14ac:dyDescent="0.3">
      <c r="A142" s="494" t="s">
        <v>22</v>
      </c>
      <c r="B142" s="2" t="s">
        <v>105</v>
      </c>
      <c r="C142" s="2">
        <v>18</v>
      </c>
      <c r="D142" s="11" t="s">
        <v>5936</v>
      </c>
      <c r="E142" s="432">
        <v>35776</v>
      </c>
      <c r="F142" s="12">
        <v>1997</v>
      </c>
      <c r="G142" s="36">
        <v>946</v>
      </c>
      <c r="H142" s="157"/>
      <c r="I142" s="22" t="s">
        <v>264</v>
      </c>
      <c r="J142" s="32" t="s">
        <v>26</v>
      </c>
      <c r="K142" s="474" t="s">
        <v>351</v>
      </c>
      <c r="L142" s="515"/>
      <c r="M142" s="515"/>
      <c r="N142" s="515"/>
      <c r="O142" s="516"/>
      <c r="P142" s="476" t="s">
        <v>393</v>
      </c>
      <c r="Q142" s="15" t="s">
        <v>282</v>
      </c>
      <c r="R142" s="15"/>
      <c r="S142" s="16" t="s">
        <v>44</v>
      </c>
      <c r="T142" s="16"/>
      <c r="U142" s="484"/>
      <c r="V142" s="485"/>
      <c r="W142" s="243"/>
      <c r="X142" s="521"/>
      <c r="Y142" s="7">
        <f t="shared" si="4"/>
        <v>0</v>
      </c>
      <c r="Z142" s="522"/>
      <c r="AA142" s="469"/>
      <c r="AB142" s="479" t="s">
        <v>5937</v>
      </c>
      <c r="AC142" s="501"/>
      <c r="AD142" s="496">
        <v>0</v>
      </c>
      <c r="AE142" s="496"/>
      <c r="AF142" s="9">
        <f t="shared" si="5"/>
        <v>0</v>
      </c>
      <c r="AG142" s="496"/>
      <c r="AH142" s="475"/>
      <c r="AI142" s="496"/>
      <c r="AJ142" s="10"/>
      <c r="AK142" s="481"/>
      <c r="AL142" s="481"/>
    </row>
    <row r="143" spans="1:38" ht="15" customHeight="1" x14ac:dyDescent="0.3">
      <c r="A143" s="473" t="s">
        <v>22</v>
      </c>
      <c r="B143" s="2" t="s">
        <v>105</v>
      </c>
      <c r="C143" s="6">
        <v>4</v>
      </c>
      <c r="D143" s="11" t="s">
        <v>5936</v>
      </c>
      <c r="E143" s="431">
        <v>35326</v>
      </c>
      <c r="F143" s="12">
        <v>1996</v>
      </c>
      <c r="G143" s="13">
        <v>36396</v>
      </c>
      <c r="H143" s="157"/>
      <c r="I143" s="22" t="s">
        <v>264</v>
      </c>
      <c r="J143" s="32" t="s">
        <v>26</v>
      </c>
      <c r="K143" s="474" t="s">
        <v>351</v>
      </c>
      <c r="L143" s="474"/>
      <c r="M143" s="474"/>
      <c r="N143" s="474"/>
      <c r="O143" s="475"/>
      <c r="P143" s="476" t="s">
        <v>393</v>
      </c>
      <c r="Q143" s="15" t="s">
        <v>282</v>
      </c>
      <c r="R143" s="15"/>
      <c r="S143" s="16"/>
      <c r="T143" s="16"/>
      <c r="U143" s="484"/>
      <c r="V143" s="485"/>
      <c r="W143" s="243"/>
      <c r="X143" s="478"/>
      <c r="Y143" s="7">
        <f t="shared" si="4"/>
        <v>0</v>
      </c>
      <c r="Z143" s="478"/>
      <c r="AA143" s="469"/>
      <c r="AB143" s="479" t="s">
        <v>5937</v>
      </c>
      <c r="AC143" s="519"/>
      <c r="AD143" s="477">
        <v>0</v>
      </c>
      <c r="AE143" s="477"/>
      <c r="AF143" s="9">
        <f t="shared" si="5"/>
        <v>0</v>
      </c>
      <c r="AG143" s="477"/>
      <c r="AH143" s="475"/>
      <c r="AI143" s="476"/>
      <c r="AJ143" s="10"/>
      <c r="AK143" s="481"/>
      <c r="AL143" s="481"/>
    </row>
    <row r="144" spans="1:38" ht="15" customHeight="1" x14ac:dyDescent="0.3">
      <c r="A144" s="473" t="s">
        <v>22</v>
      </c>
      <c r="B144" s="2" t="s">
        <v>105</v>
      </c>
      <c r="C144" s="6">
        <v>4</v>
      </c>
      <c r="D144" s="11" t="s">
        <v>190</v>
      </c>
      <c r="E144" s="431">
        <v>34881</v>
      </c>
      <c r="F144" s="12">
        <v>1995</v>
      </c>
      <c r="G144" s="13">
        <v>24525</v>
      </c>
      <c r="H144" s="157"/>
      <c r="I144" s="22" t="s">
        <v>264</v>
      </c>
      <c r="J144" s="32" t="s">
        <v>191</v>
      </c>
      <c r="K144" s="474" t="s">
        <v>314</v>
      </c>
      <c r="L144" s="474"/>
      <c r="M144" s="474"/>
      <c r="N144" s="474"/>
      <c r="O144" s="475"/>
      <c r="P144" s="476" t="s">
        <v>393</v>
      </c>
      <c r="Q144" s="15" t="s">
        <v>282</v>
      </c>
      <c r="R144" s="15"/>
      <c r="S144" s="16" t="s">
        <v>44</v>
      </c>
      <c r="T144" s="16"/>
      <c r="U144" s="484"/>
      <c r="V144" s="485"/>
      <c r="W144" s="243"/>
      <c r="X144" s="478"/>
      <c r="Y144" s="7">
        <f t="shared" si="4"/>
        <v>0</v>
      </c>
      <c r="Z144" s="478"/>
      <c r="AA144" s="469"/>
      <c r="AB144" s="479" t="s">
        <v>5937</v>
      </c>
      <c r="AC144" s="480"/>
      <c r="AD144" s="476">
        <v>0</v>
      </c>
      <c r="AE144" s="476"/>
      <c r="AF144" s="9">
        <f t="shared" si="5"/>
        <v>0</v>
      </c>
      <c r="AG144" s="476"/>
      <c r="AH144" s="475"/>
      <c r="AI144" s="476"/>
      <c r="AJ144" s="10"/>
      <c r="AK144" s="481"/>
      <c r="AL144" s="481"/>
    </row>
    <row r="145" spans="1:38" ht="15" customHeight="1" x14ac:dyDescent="0.3">
      <c r="A145" s="473" t="s">
        <v>22</v>
      </c>
      <c r="B145" s="2" t="s">
        <v>105</v>
      </c>
      <c r="C145" s="6">
        <v>4</v>
      </c>
      <c r="D145" s="11" t="s">
        <v>190</v>
      </c>
      <c r="E145" s="431">
        <v>34024</v>
      </c>
      <c r="F145" s="12">
        <v>1993</v>
      </c>
      <c r="G145" s="13">
        <v>33281</v>
      </c>
      <c r="H145" s="157"/>
      <c r="I145" s="22" t="s">
        <v>264</v>
      </c>
      <c r="J145" s="32" t="s">
        <v>26</v>
      </c>
      <c r="K145" s="474" t="s">
        <v>421</v>
      </c>
      <c r="L145" s="474"/>
      <c r="M145" s="474"/>
      <c r="N145" s="474"/>
      <c r="O145" s="482"/>
      <c r="P145" s="476" t="s">
        <v>393</v>
      </c>
      <c r="Q145" s="15" t="s">
        <v>282</v>
      </c>
      <c r="R145" s="15"/>
      <c r="S145" s="16" t="s">
        <v>44</v>
      </c>
      <c r="T145" s="16"/>
      <c r="U145" s="484"/>
      <c r="V145" s="485"/>
      <c r="W145" s="243"/>
      <c r="X145" s="478"/>
      <c r="Y145" s="7">
        <f t="shared" si="4"/>
        <v>0</v>
      </c>
      <c r="Z145" s="478"/>
      <c r="AA145" s="469"/>
      <c r="AB145" s="479" t="s">
        <v>5937</v>
      </c>
      <c r="AC145" s="480"/>
      <c r="AD145" s="476">
        <v>0</v>
      </c>
      <c r="AE145" s="476"/>
      <c r="AF145" s="9">
        <f t="shared" si="5"/>
        <v>0</v>
      </c>
      <c r="AG145" s="476"/>
      <c r="AH145" s="475"/>
      <c r="AI145" s="476"/>
      <c r="AJ145" s="10"/>
      <c r="AK145" s="481"/>
      <c r="AL145" s="481"/>
    </row>
    <row r="146" spans="1:38" ht="15" customHeight="1" x14ac:dyDescent="0.3">
      <c r="A146" s="473" t="s">
        <v>22</v>
      </c>
      <c r="B146" s="2" t="s">
        <v>422</v>
      </c>
      <c r="C146" s="6">
        <v>4</v>
      </c>
      <c r="D146" s="11" t="s">
        <v>190</v>
      </c>
      <c r="E146" s="430">
        <v>35726</v>
      </c>
      <c r="F146" s="12">
        <v>1997</v>
      </c>
      <c r="G146" s="13">
        <v>35726</v>
      </c>
      <c r="H146" s="157"/>
      <c r="I146" s="22" t="s">
        <v>264</v>
      </c>
      <c r="J146" s="32"/>
      <c r="K146" s="474" t="s">
        <v>423</v>
      </c>
      <c r="L146" s="474"/>
      <c r="M146" s="474"/>
      <c r="N146" s="474"/>
      <c r="O146" s="475"/>
      <c r="P146" s="476" t="s">
        <v>393</v>
      </c>
      <c r="Q146" s="15" t="s">
        <v>282</v>
      </c>
      <c r="R146" s="15"/>
      <c r="S146" s="16" t="s">
        <v>44</v>
      </c>
      <c r="T146" s="16"/>
      <c r="U146" s="484"/>
      <c r="V146" s="485"/>
      <c r="W146" s="243"/>
      <c r="X146" s="478"/>
      <c r="Y146" s="7">
        <f t="shared" si="4"/>
        <v>0</v>
      </c>
      <c r="Z146" s="478"/>
      <c r="AA146" s="469"/>
      <c r="AB146" s="513" t="s">
        <v>424</v>
      </c>
      <c r="AC146" s="147"/>
      <c r="AD146" s="476">
        <v>0</v>
      </c>
      <c r="AE146" s="476"/>
      <c r="AF146" s="9">
        <f t="shared" si="5"/>
        <v>0</v>
      </c>
      <c r="AG146" s="476"/>
      <c r="AH146" s="475"/>
      <c r="AI146" s="476"/>
      <c r="AJ146" s="10"/>
      <c r="AK146" s="481"/>
      <c r="AL146" s="481"/>
    </row>
    <row r="147" spans="1:38" ht="15" customHeight="1" x14ac:dyDescent="0.3">
      <c r="A147" s="473" t="s">
        <v>22</v>
      </c>
      <c r="B147" s="2" t="s">
        <v>310</v>
      </c>
      <c r="C147" s="25">
        <v>2</v>
      </c>
      <c r="D147" s="11" t="s">
        <v>190</v>
      </c>
      <c r="E147" s="437"/>
      <c r="F147" s="34"/>
      <c r="G147" s="13">
        <v>35040</v>
      </c>
      <c r="H147" s="157"/>
      <c r="I147" s="22" t="s">
        <v>264</v>
      </c>
      <c r="J147" s="32" t="s">
        <v>81</v>
      </c>
      <c r="K147" s="474" t="s">
        <v>380</v>
      </c>
      <c r="L147" s="474"/>
      <c r="M147" s="474"/>
      <c r="N147" s="474"/>
      <c r="O147" s="475"/>
      <c r="P147" s="476" t="s">
        <v>393</v>
      </c>
      <c r="Q147" s="15" t="s">
        <v>282</v>
      </c>
      <c r="R147" s="15"/>
      <c r="S147" s="16" t="s">
        <v>44</v>
      </c>
      <c r="T147" s="16"/>
      <c r="U147" s="484"/>
      <c r="V147" s="485"/>
      <c r="W147" s="243"/>
      <c r="X147" s="478"/>
      <c r="Y147" s="7">
        <f t="shared" si="4"/>
        <v>0</v>
      </c>
      <c r="Z147" s="478"/>
      <c r="AA147" s="469"/>
      <c r="AB147" s="479" t="s">
        <v>5939</v>
      </c>
      <c r="AC147" s="480"/>
      <c r="AD147" s="476">
        <v>0</v>
      </c>
      <c r="AE147" s="476"/>
      <c r="AF147" s="9">
        <f t="shared" si="5"/>
        <v>0</v>
      </c>
      <c r="AG147" s="476"/>
      <c r="AH147" s="475"/>
      <c r="AI147" s="476"/>
      <c r="AJ147" s="10"/>
      <c r="AK147" s="481"/>
      <c r="AL147" s="481"/>
    </row>
    <row r="148" spans="1:38" ht="15" customHeight="1" x14ac:dyDescent="0.3">
      <c r="A148" s="473" t="s">
        <v>22</v>
      </c>
      <c r="B148" s="2" t="s">
        <v>105</v>
      </c>
      <c r="C148" s="6">
        <v>1</v>
      </c>
      <c r="D148" s="11" t="s">
        <v>190</v>
      </c>
      <c r="E148" s="431">
        <v>35172</v>
      </c>
      <c r="F148" s="12">
        <v>1996</v>
      </c>
      <c r="G148" s="13">
        <v>57030</v>
      </c>
      <c r="H148" s="157"/>
      <c r="I148" s="22" t="s">
        <v>264</v>
      </c>
      <c r="J148" s="502" t="s">
        <v>81</v>
      </c>
      <c r="K148" s="474" t="s">
        <v>380</v>
      </c>
      <c r="L148" s="474"/>
      <c r="M148" s="474"/>
      <c r="N148" s="474"/>
      <c r="O148" s="475"/>
      <c r="P148" s="476" t="s">
        <v>393</v>
      </c>
      <c r="Q148" s="15" t="s">
        <v>282</v>
      </c>
      <c r="R148" s="15"/>
      <c r="S148" s="16" t="s">
        <v>44</v>
      </c>
      <c r="T148" s="16"/>
      <c r="U148" s="484"/>
      <c r="V148" s="485"/>
      <c r="W148" s="243"/>
      <c r="X148" s="478"/>
      <c r="Y148" s="7">
        <f t="shared" si="4"/>
        <v>0</v>
      </c>
      <c r="Z148" s="478"/>
      <c r="AA148" s="469"/>
      <c r="AB148" s="479" t="s">
        <v>5937</v>
      </c>
      <c r="AC148" s="480"/>
      <c r="AD148" s="476">
        <v>0</v>
      </c>
      <c r="AE148" s="476"/>
      <c r="AF148" s="9">
        <f t="shared" si="5"/>
        <v>0</v>
      </c>
      <c r="AG148" s="476"/>
      <c r="AH148" s="475"/>
      <c r="AI148" s="476"/>
      <c r="AJ148" s="10"/>
      <c r="AK148" s="481"/>
      <c r="AL148" s="481"/>
    </row>
    <row r="149" spans="1:38" ht="15" customHeight="1" x14ac:dyDescent="0.3">
      <c r="A149" s="473" t="s">
        <v>22</v>
      </c>
      <c r="B149" s="2" t="s">
        <v>148</v>
      </c>
      <c r="C149" s="6">
        <v>5</v>
      </c>
      <c r="D149" s="11" t="s">
        <v>143</v>
      </c>
      <c r="E149" s="430">
        <v>35326</v>
      </c>
      <c r="F149" s="12">
        <v>1996</v>
      </c>
      <c r="G149" s="19"/>
      <c r="H149" s="142"/>
      <c r="I149" s="14" t="s">
        <v>285</v>
      </c>
      <c r="J149" s="32" t="s">
        <v>26</v>
      </c>
      <c r="K149" s="474" t="s">
        <v>368</v>
      </c>
      <c r="L149" s="474"/>
      <c r="M149" s="474"/>
      <c r="N149" s="474"/>
      <c r="O149" s="475"/>
      <c r="P149" s="476" t="s">
        <v>393</v>
      </c>
      <c r="Q149" s="15" t="s">
        <v>282</v>
      </c>
      <c r="R149" s="15"/>
      <c r="S149" s="16" t="s">
        <v>44</v>
      </c>
      <c r="T149" s="16"/>
      <c r="U149" s="484"/>
      <c r="V149" s="485"/>
      <c r="W149" s="243"/>
      <c r="X149" s="478"/>
      <c r="Y149" s="7">
        <f t="shared" si="4"/>
        <v>0</v>
      </c>
      <c r="Z149" s="478"/>
      <c r="AA149" s="469"/>
      <c r="AB149" s="518" t="s">
        <v>5972</v>
      </c>
      <c r="AC149" s="519"/>
      <c r="AD149" s="476">
        <v>0</v>
      </c>
      <c r="AE149" s="476"/>
      <c r="AF149" s="9">
        <f t="shared" si="5"/>
        <v>0</v>
      </c>
      <c r="AG149" s="476"/>
      <c r="AH149" s="475"/>
      <c r="AI149" s="476"/>
      <c r="AJ149" s="10"/>
      <c r="AK149" s="481"/>
      <c r="AL149" s="481"/>
    </row>
    <row r="150" spans="1:38" ht="15" customHeight="1" x14ac:dyDescent="0.3">
      <c r="A150" s="473" t="s">
        <v>22</v>
      </c>
      <c r="B150" s="2" t="s">
        <v>148</v>
      </c>
      <c r="C150" s="6">
        <v>4</v>
      </c>
      <c r="D150" s="11" t="s">
        <v>143</v>
      </c>
      <c r="E150" s="430">
        <v>35289</v>
      </c>
      <c r="F150" s="12">
        <v>1996</v>
      </c>
      <c r="G150" s="19"/>
      <c r="H150" s="142"/>
      <c r="I150" s="14" t="s">
        <v>285</v>
      </c>
      <c r="J150" s="32" t="s">
        <v>26</v>
      </c>
      <c r="K150" s="474" t="s">
        <v>286</v>
      </c>
      <c r="L150" s="474"/>
      <c r="M150" s="474"/>
      <c r="N150" s="474"/>
      <c r="O150" s="475"/>
      <c r="P150" s="476" t="s">
        <v>393</v>
      </c>
      <c r="Q150" s="15" t="s">
        <v>282</v>
      </c>
      <c r="R150" s="15"/>
      <c r="S150" s="16" t="s">
        <v>44</v>
      </c>
      <c r="T150" s="16"/>
      <c r="U150" s="484"/>
      <c r="V150" s="485"/>
      <c r="W150" s="243"/>
      <c r="X150" s="478"/>
      <c r="Y150" s="7">
        <f t="shared" si="4"/>
        <v>0</v>
      </c>
      <c r="Z150" s="478"/>
      <c r="AA150" s="469"/>
      <c r="AB150" s="518" t="s">
        <v>5972</v>
      </c>
      <c r="AC150" s="519"/>
      <c r="AD150" s="476">
        <v>0</v>
      </c>
      <c r="AE150" s="476"/>
      <c r="AF150" s="9">
        <f t="shared" si="5"/>
        <v>0</v>
      </c>
      <c r="AG150" s="476"/>
      <c r="AH150" s="475"/>
      <c r="AI150" s="476"/>
      <c r="AJ150" s="10"/>
      <c r="AK150" s="481"/>
      <c r="AL150" s="481"/>
    </row>
    <row r="151" spans="1:38" ht="15" customHeight="1" x14ac:dyDescent="0.3">
      <c r="A151" s="473" t="s">
        <v>22</v>
      </c>
      <c r="B151" s="2" t="s">
        <v>148</v>
      </c>
      <c r="C151" s="6">
        <v>4</v>
      </c>
      <c r="D151" s="11" t="s">
        <v>143</v>
      </c>
      <c r="E151" s="430">
        <v>34991</v>
      </c>
      <c r="F151" s="12">
        <v>1995</v>
      </c>
      <c r="G151" s="19"/>
      <c r="H151" s="142"/>
      <c r="I151" s="35" t="s">
        <v>285</v>
      </c>
      <c r="J151" s="32" t="s">
        <v>26</v>
      </c>
      <c r="K151" s="474" t="s">
        <v>425</v>
      </c>
      <c r="L151" s="474"/>
      <c r="M151" s="474"/>
      <c r="N151" s="474"/>
      <c r="O151" s="482"/>
      <c r="P151" s="476" t="s">
        <v>393</v>
      </c>
      <c r="Q151" s="15" t="s">
        <v>282</v>
      </c>
      <c r="R151" s="42"/>
      <c r="S151" s="16" t="s">
        <v>44</v>
      </c>
      <c r="T151" s="16"/>
      <c r="U151" s="484"/>
      <c r="V151" s="485"/>
      <c r="W151" s="243"/>
      <c r="X151" s="478"/>
      <c r="Y151" s="7">
        <f t="shared" si="4"/>
        <v>0</v>
      </c>
      <c r="Z151" s="478"/>
      <c r="AA151" s="469"/>
      <c r="AB151" s="518" t="s">
        <v>5972</v>
      </c>
      <c r="AC151" s="519"/>
      <c r="AD151" s="476">
        <v>0</v>
      </c>
      <c r="AE151" s="476"/>
      <c r="AF151" s="9">
        <f t="shared" si="5"/>
        <v>0</v>
      </c>
      <c r="AG151" s="476"/>
      <c r="AH151" s="475"/>
      <c r="AI151" s="476"/>
      <c r="AJ151" s="10"/>
      <c r="AK151" s="481"/>
      <c r="AL151" s="481"/>
    </row>
    <row r="152" spans="1:38" ht="15" customHeight="1" x14ac:dyDescent="0.3">
      <c r="A152" s="473" t="s">
        <v>22</v>
      </c>
      <c r="B152" s="2" t="s">
        <v>23</v>
      </c>
      <c r="C152" s="6">
        <v>9</v>
      </c>
      <c r="D152" s="11" t="s">
        <v>24</v>
      </c>
      <c r="E152" s="430">
        <v>35983</v>
      </c>
      <c r="F152" s="12">
        <v>1998</v>
      </c>
      <c r="G152" s="24"/>
      <c r="H152" s="157"/>
      <c r="I152" s="14" t="s">
        <v>285</v>
      </c>
      <c r="J152" s="32" t="s">
        <v>26</v>
      </c>
      <c r="K152" s="474" t="s">
        <v>314</v>
      </c>
      <c r="L152" s="474"/>
      <c r="M152" s="474"/>
      <c r="N152" s="474"/>
      <c r="O152" s="475"/>
      <c r="P152" s="476" t="s">
        <v>426</v>
      </c>
      <c r="Q152" s="15" t="s">
        <v>282</v>
      </c>
      <c r="R152" s="15"/>
      <c r="S152" s="16" t="s">
        <v>44</v>
      </c>
      <c r="T152" s="16"/>
      <c r="U152" s="484"/>
      <c r="V152" s="485"/>
      <c r="W152" s="243"/>
      <c r="X152" s="478"/>
      <c r="Y152" s="7">
        <f t="shared" si="4"/>
        <v>0</v>
      </c>
      <c r="Z152" s="478"/>
      <c r="AA152" s="469"/>
      <c r="AB152" s="479" t="s">
        <v>49</v>
      </c>
      <c r="AC152" s="480"/>
      <c r="AD152" s="476">
        <v>0</v>
      </c>
      <c r="AE152" s="476"/>
      <c r="AF152" s="9">
        <f t="shared" si="5"/>
        <v>0</v>
      </c>
      <c r="AG152" s="476"/>
      <c r="AH152" s="475"/>
      <c r="AI152" s="476" t="s">
        <v>427</v>
      </c>
      <c r="AJ152" s="10"/>
      <c r="AK152" s="481"/>
      <c r="AL152" s="481"/>
    </row>
    <row r="153" spans="1:38" ht="15" customHeight="1" x14ac:dyDescent="0.3">
      <c r="A153" s="473" t="s">
        <v>22</v>
      </c>
      <c r="B153" s="2" t="s">
        <v>23</v>
      </c>
      <c r="C153" s="6">
        <v>5</v>
      </c>
      <c r="D153" s="11" t="s">
        <v>24</v>
      </c>
      <c r="E153" s="431">
        <v>35339</v>
      </c>
      <c r="F153" s="12">
        <v>1996</v>
      </c>
      <c r="G153" s="19"/>
      <c r="H153" s="142"/>
      <c r="I153" s="14" t="s">
        <v>285</v>
      </c>
      <c r="J153" s="32" t="s">
        <v>26</v>
      </c>
      <c r="K153" s="474" t="s">
        <v>428</v>
      </c>
      <c r="L153" s="474"/>
      <c r="M153" s="474"/>
      <c r="N153" s="474"/>
      <c r="O153" s="475"/>
      <c r="P153" s="476" t="s">
        <v>429</v>
      </c>
      <c r="Q153" s="15" t="s">
        <v>282</v>
      </c>
      <c r="R153" s="15"/>
      <c r="S153" s="16" t="s">
        <v>44</v>
      </c>
      <c r="T153" s="16"/>
      <c r="U153" s="484"/>
      <c r="V153" s="485"/>
      <c r="W153" s="243"/>
      <c r="X153" s="478"/>
      <c r="Y153" s="7">
        <f t="shared" si="4"/>
        <v>0</v>
      </c>
      <c r="Z153" s="478"/>
      <c r="AA153" s="469"/>
      <c r="AB153" s="479" t="s">
        <v>318</v>
      </c>
      <c r="AC153" s="480"/>
      <c r="AD153" s="498">
        <v>0</v>
      </c>
      <c r="AE153" s="498"/>
      <c r="AF153" s="9">
        <f t="shared" si="5"/>
        <v>0</v>
      </c>
      <c r="AG153" s="498"/>
      <c r="AH153" s="475"/>
      <c r="AI153" s="476"/>
      <c r="AJ153" s="10"/>
      <c r="AK153" s="481"/>
      <c r="AL153" s="481"/>
    </row>
    <row r="154" spans="1:38" ht="15" customHeight="1" x14ac:dyDescent="0.3">
      <c r="A154" s="473" t="s">
        <v>22</v>
      </c>
      <c r="B154" s="2" t="s">
        <v>23</v>
      </c>
      <c r="C154" s="6">
        <v>12</v>
      </c>
      <c r="D154" s="11" t="s">
        <v>24</v>
      </c>
      <c r="E154" s="430">
        <v>35839</v>
      </c>
      <c r="F154" s="12">
        <v>1998</v>
      </c>
      <c r="G154" s="19"/>
      <c r="H154" s="142"/>
      <c r="I154" s="14" t="s">
        <v>285</v>
      </c>
      <c r="J154" s="32" t="s">
        <v>81</v>
      </c>
      <c r="K154" s="474" t="s">
        <v>329</v>
      </c>
      <c r="L154" s="474"/>
      <c r="M154" s="474"/>
      <c r="N154" s="474"/>
      <c r="O154" s="475" t="s">
        <v>430</v>
      </c>
      <c r="P154" s="476" t="s">
        <v>429</v>
      </c>
      <c r="Q154" s="15" t="s">
        <v>282</v>
      </c>
      <c r="R154" s="15"/>
      <c r="S154" s="16" t="s">
        <v>44</v>
      </c>
      <c r="T154" s="16"/>
      <c r="U154" s="484"/>
      <c r="V154" s="485"/>
      <c r="W154" s="243"/>
      <c r="X154" s="478"/>
      <c r="Y154" s="7">
        <f t="shared" si="4"/>
        <v>0</v>
      </c>
      <c r="Z154" s="478"/>
      <c r="AA154" s="469"/>
      <c r="AB154" s="479" t="s">
        <v>49</v>
      </c>
      <c r="AC154" s="480"/>
      <c r="AD154" s="476">
        <v>0</v>
      </c>
      <c r="AE154" s="476"/>
      <c r="AF154" s="9">
        <f t="shared" si="5"/>
        <v>0</v>
      </c>
      <c r="AG154" s="476"/>
      <c r="AH154" s="475"/>
      <c r="AI154" s="476" t="s">
        <v>431</v>
      </c>
      <c r="AJ154" s="10"/>
      <c r="AK154" s="481"/>
      <c r="AL154" s="481"/>
    </row>
    <row r="155" spans="1:38" ht="15" customHeight="1" x14ac:dyDescent="0.3">
      <c r="A155" s="473" t="s">
        <v>22</v>
      </c>
      <c r="B155" s="2" t="s">
        <v>23</v>
      </c>
      <c r="C155" s="6">
        <v>4</v>
      </c>
      <c r="D155" s="11" t="s">
        <v>24</v>
      </c>
      <c r="E155" s="431">
        <v>35462</v>
      </c>
      <c r="F155" s="12">
        <v>1997</v>
      </c>
      <c r="G155" s="19"/>
      <c r="H155" s="142"/>
      <c r="I155" s="14" t="s">
        <v>285</v>
      </c>
      <c r="J155" s="32" t="s">
        <v>26</v>
      </c>
      <c r="K155" s="474" t="s">
        <v>73</v>
      </c>
      <c r="L155" s="474"/>
      <c r="M155" s="474"/>
      <c r="N155" s="474"/>
      <c r="O155" s="475"/>
      <c r="P155" s="476" t="s">
        <v>429</v>
      </c>
      <c r="Q155" s="15" t="s">
        <v>282</v>
      </c>
      <c r="R155" s="15"/>
      <c r="S155" s="16" t="s">
        <v>44</v>
      </c>
      <c r="T155" s="16"/>
      <c r="U155" s="484"/>
      <c r="V155" s="485"/>
      <c r="W155" s="243"/>
      <c r="X155" s="478"/>
      <c r="Y155" s="7">
        <f t="shared" si="4"/>
        <v>0</v>
      </c>
      <c r="Z155" s="478"/>
      <c r="AA155" s="469"/>
      <c r="AB155" s="479" t="s">
        <v>318</v>
      </c>
      <c r="AC155" s="480"/>
      <c r="AD155" s="498">
        <v>0</v>
      </c>
      <c r="AE155" s="498"/>
      <c r="AF155" s="9">
        <f t="shared" si="5"/>
        <v>0</v>
      </c>
      <c r="AG155" s="498"/>
      <c r="AH155" s="486"/>
      <c r="AI155" s="475"/>
      <c r="AJ155" s="10"/>
      <c r="AK155" s="481"/>
      <c r="AL155" s="481"/>
    </row>
    <row r="156" spans="1:38" ht="15" customHeight="1" x14ac:dyDescent="0.3">
      <c r="A156" s="494" t="s">
        <v>22</v>
      </c>
      <c r="B156" s="2" t="s">
        <v>23</v>
      </c>
      <c r="C156" s="2">
        <v>7</v>
      </c>
      <c r="D156" s="11" t="s">
        <v>24</v>
      </c>
      <c r="E156" s="432">
        <v>35878</v>
      </c>
      <c r="F156" s="12">
        <v>1998</v>
      </c>
      <c r="G156" s="31"/>
      <c r="H156" s="142"/>
      <c r="I156" s="22" t="s">
        <v>285</v>
      </c>
      <c r="J156" s="32" t="s">
        <v>26</v>
      </c>
      <c r="K156" s="474" t="s">
        <v>432</v>
      </c>
      <c r="L156" s="474"/>
      <c r="M156" s="474"/>
      <c r="N156" s="474"/>
      <c r="O156" s="475"/>
      <c r="P156" s="496" t="s">
        <v>429</v>
      </c>
      <c r="Q156" s="15" t="s">
        <v>282</v>
      </c>
      <c r="R156" s="15"/>
      <c r="S156" s="16" t="s">
        <v>44</v>
      </c>
      <c r="T156" s="16"/>
      <c r="U156" s="484" t="s">
        <v>433</v>
      </c>
      <c r="V156" s="485"/>
      <c r="W156" s="243"/>
      <c r="X156" s="521"/>
      <c r="Y156" s="7">
        <f t="shared" si="4"/>
        <v>0</v>
      </c>
      <c r="Z156" s="522"/>
      <c r="AA156" s="469"/>
      <c r="AB156" s="479" t="s">
        <v>49</v>
      </c>
      <c r="AC156" s="501"/>
      <c r="AD156" s="496">
        <v>0</v>
      </c>
      <c r="AE156" s="496"/>
      <c r="AF156" s="9">
        <f t="shared" si="5"/>
        <v>0</v>
      </c>
      <c r="AG156" s="496"/>
      <c r="AH156" s="486"/>
      <c r="AI156" s="516"/>
      <c r="AJ156" s="491"/>
      <c r="AK156" s="10"/>
      <c r="AL156" s="481"/>
    </row>
    <row r="157" spans="1:38" ht="15" customHeight="1" x14ac:dyDescent="0.3">
      <c r="A157" s="494" t="s">
        <v>22</v>
      </c>
      <c r="B157" s="2" t="s">
        <v>23</v>
      </c>
      <c r="C157" s="2">
        <v>5</v>
      </c>
      <c r="D157" s="11" t="s">
        <v>24</v>
      </c>
      <c r="E157" s="432">
        <v>36269</v>
      </c>
      <c r="F157" s="12">
        <v>1999</v>
      </c>
      <c r="G157" s="36"/>
      <c r="H157" s="142"/>
      <c r="I157" s="22" t="s">
        <v>285</v>
      </c>
      <c r="J157" s="32" t="s">
        <v>26</v>
      </c>
      <c r="K157" s="474" t="s">
        <v>434</v>
      </c>
      <c r="L157" s="474"/>
      <c r="M157" s="474"/>
      <c r="N157" s="474"/>
      <c r="O157" s="474" t="s">
        <v>435</v>
      </c>
      <c r="P157" s="529" t="s">
        <v>429</v>
      </c>
      <c r="Q157" s="15" t="s">
        <v>282</v>
      </c>
      <c r="R157" s="15"/>
      <c r="S157" s="16" t="s">
        <v>44</v>
      </c>
      <c r="T157" s="16"/>
      <c r="U157" s="484"/>
      <c r="V157" s="485"/>
      <c r="W157" s="243"/>
      <c r="X157" s="521"/>
      <c r="Y157" s="7">
        <f t="shared" si="4"/>
        <v>0</v>
      </c>
      <c r="Z157" s="522"/>
      <c r="AA157" s="469"/>
      <c r="AB157" s="530"/>
      <c r="AC157" s="531"/>
      <c r="AD157" s="532">
        <v>0</v>
      </c>
      <c r="AE157" s="532"/>
      <c r="AF157" s="9">
        <f t="shared" si="5"/>
        <v>0</v>
      </c>
      <c r="AG157" s="532"/>
      <c r="AH157" s="489">
        <v>0.5</v>
      </c>
      <c r="AI157" s="533"/>
      <c r="AJ157" s="475"/>
      <c r="AK157" s="491"/>
      <c r="AL157" s="10"/>
    </row>
    <row r="158" spans="1:38" ht="15" customHeight="1" x14ac:dyDescent="0.3">
      <c r="A158" s="473" t="s">
        <v>22</v>
      </c>
      <c r="B158" s="29" t="s">
        <v>105</v>
      </c>
      <c r="C158" s="6">
        <v>8</v>
      </c>
      <c r="D158" s="11" t="s">
        <v>5936</v>
      </c>
      <c r="E158" s="430">
        <v>35824</v>
      </c>
      <c r="F158" s="12">
        <v>1998</v>
      </c>
      <c r="G158" s="24">
        <v>25014</v>
      </c>
      <c r="H158" s="142"/>
      <c r="I158" s="22" t="s">
        <v>264</v>
      </c>
      <c r="J158" s="32" t="s">
        <v>191</v>
      </c>
      <c r="K158" s="474" t="s">
        <v>314</v>
      </c>
      <c r="L158" s="474"/>
      <c r="M158" s="474"/>
      <c r="N158" s="474"/>
      <c r="O158" s="475" t="s">
        <v>436</v>
      </c>
      <c r="P158" s="476" t="s">
        <v>429</v>
      </c>
      <c r="Q158" s="15" t="s">
        <v>282</v>
      </c>
      <c r="R158" s="15"/>
      <c r="S158" s="16" t="s">
        <v>44</v>
      </c>
      <c r="T158" s="16"/>
      <c r="U158" s="484" t="s">
        <v>437</v>
      </c>
      <c r="V158" s="485"/>
      <c r="W158" s="243"/>
      <c r="X158" s="478"/>
      <c r="Y158" s="7">
        <f t="shared" si="4"/>
        <v>0</v>
      </c>
      <c r="Z158" s="478"/>
      <c r="AA158" s="469"/>
      <c r="AB158" s="479" t="s">
        <v>5937</v>
      </c>
      <c r="AC158" s="480"/>
      <c r="AD158" s="483">
        <v>0</v>
      </c>
      <c r="AE158" s="483"/>
      <c r="AF158" s="9">
        <f t="shared" si="5"/>
        <v>0</v>
      </c>
      <c r="AG158" s="483"/>
      <c r="AH158" s="486"/>
      <c r="AI158" s="475"/>
      <c r="AJ158" s="491"/>
      <c r="AK158" s="10"/>
      <c r="AL158" s="481"/>
    </row>
    <row r="159" spans="1:38" ht="15" customHeight="1" x14ac:dyDescent="0.3">
      <c r="A159" s="473" t="s">
        <v>22</v>
      </c>
      <c r="B159" s="2" t="s">
        <v>105</v>
      </c>
      <c r="C159" s="6">
        <v>12</v>
      </c>
      <c r="D159" s="11" t="s">
        <v>5936</v>
      </c>
      <c r="E159" s="430">
        <v>35401</v>
      </c>
      <c r="F159" s="12">
        <v>1996</v>
      </c>
      <c r="G159" s="13">
        <v>21996</v>
      </c>
      <c r="H159" s="142"/>
      <c r="I159" s="22" t="s">
        <v>264</v>
      </c>
      <c r="J159" s="32" t="s">
        <v>26</v>
      </c>
      <c r="K159" s="474" t="s">
        <v>412</v>
      </c>
      <c r="L159" s="474"/>
      <c r="M159" s="474"/>
      <c r="N159" s="474"/>
      <c r="O159" s="475"/>
      <c r="P159" s="476" t="s">
        <v>429</v>
      </c>
      <c r="Q159" s="15" t="s">
        <v>282</v>
      </c>
      <c r="R159" s="15"/>
      <c r="S159" s="16" t="s">
        <v>44</v>
      </c>
      <c r="T159" s="16"/>
      <c r="U159" s="484"/>
      <c r="V159" s="485"/>
      <c r="W159" s="243"/>
      <c r="X159" s="478"/>
      <c r="Y159" s="7">
        <f t="shared" si="4"/>
        <v>0</v>
      </c>
      <c r="Z159" s="478"/>
      <c r="AA159" s="469"/>
      <c r="AB159" s="479" t="s">
        <v>5937</v>
      </c>
      <c r="AC159" s="480"/>
      <c r="AD159" s="483">
        <v>0</v>
      </c>
      <c r="AE159" s="483"/>
      <c r="AF159" s="9">
        <f t="shared" si="5"/>
        <v>0</v>
      </c>
      <c r="AG159" s="483"/>
      <c r="AH159" s="486"/>
      <c r="AI159" s="475"/>
      <c r="AJ159" s="43"/>
      <c r="AK159" s="481"/>
      <c r="AL159" s="481"/>
    </row>
    <row r="160" spans="1:38" ht="15" customHeight="1" x14ac:dyDescent="0.3">
      <c r="A160" s="473" t="s">
        <v>22</v>
      </c>
      <c r="B160" s="2" t="s">
        <v>105</v>
      </c>
      <c r="C160" s="6">
        <v>13</v>
      </c>
      <c r="D160" s="11" t="s">
        <v>5936</v>
      </c>
      <c r="E160" s="430">
        <v>35821</v>
      </c>
      <c r="F160" s="12">
        <v>1998</v>
      </c>
      <c r="G160" s="24">
        <v>15856</v>
      </c>
      <c r="H160" s="142"/>
      <c r="I160" s="22" t="s">
        <v>264</v>
      </c>
      <c r="J160" s="32" t="s">
        <v>26</v>
      </c>
      <c r="K160" s="474" t="s">
        <v>351</v>
      </c>
      <c r="L160" s="474"/>
      <c r="M160" s="474"/>
      <c r="N160" s="474"/>
      <c r="O160" s="475"/>
      <c r="P160" s="476" t="s">
        <v>429</v>
      </c>
      <c r="Q160" s="15" t="s">
        <v>282</v>
      </c>
      <c r="R160" s="15"/>
      <c r="S160" s="16" t="s">
        <v>44</v>
      </c>
      <c r="T160" s="16"/>
      <c r="U160" s="484"/>
      <c r="V160" s="485"/>
      <c r="W160" s="243"/>
      <c r="X160" s="478"/>
      <c r="Y160" s="7">
        <f t="shared" si="4"/>
        <v>0</v>
      </c>
      <c r="Z160" s="478"/>
      <c r="AA160" s="469"/>
      <c r="AB160" s="479" t="s">
        <v>5937</v>
      </c>
      <c r="AC160" s="480"/>
      <c r="AD160" s="483">
        <v>0</v>
      </c>
      <c r="AE160" s="483"/>
      <c r="AF160" s="9">
        <f t="shared" si="5"/>
        <v>0</v>
      </c>
      <c r="AG160" s="483"/>
      <c r="AH160" s="486"/>
      <c r="AI160" s="475"/>
      <c r="AJ160" s="10"/>
      <c r="AK160" s="481"/>
      <c r="AL160" s="481"/>
    </row>
    <row r="161" spans="1:38" ht="15" customHeight="1" x14ac:dyDescent="0.3">
      <c r="A161" s="473" t="s">
        <v>22</v>
      </c>
      <c r="B161" s="2" t="s">
        <v>105</v>
      </c>
      <c r="C161" s="6">
        <v>15</v>
      </c>
      <c r="D161" s="11" t="s">
        <v>5936</v>
      </c>
      <c r="E161" s="431">
        <v>34915</v>
      </c>
      <c r="F161" s="12">
        <v>1995</v>
      </c>
      <c r="G161" s="18">
        <v>8188</v>
      </c>
      <c r="H161" s="142"/>
      <c r="I161" s="22" t="s">
        <v>264</v>
      </c>
      <c r="J161" s="32" t="s">
        <v>191</v>
      </c>
      <c r="K161" s="474" t="s">
        <v>438</v>
      </c>
      <c r="L161" s="474"/>
      <c r="M161" s="474"/>
      <c r="N161" s="474"/>
      <c r="O161" s="475"/>
      <c r="P161" s="534" t="s">
        <v>429</v>
      </c>
      <c r="Q161" s="15" t="s">
        <v>282</v>
      </c>
      <c r="R161" s="15"/>
      <c r="S161" s="16" t="s">
        <v>44</v>
      </c>
      <c r="T161" s="16"/>
      <c r="U161" s="484" t="s">
        <v>370</v>
      </c>
      <c r="V161" s="485"/>
      <c r="W161" s="243"/>
      <c r="X161" s="478"/>
      <c r="Y161" s="7">
        <f t="shared" si="4"/>
        <v>0</v>
      </c>
      <c r="Z161" s="478"/>
      <c r="AA161" s="469"/>
      <c r="AB161" s="479" t="s">
        <v>5937</v>
      </c>
      <c r="AC161" s="480"/>
      <c r="AD161" s="483">
        <v>0</v>
      </c>
      <c r="AE161" s="483"/>
      <c r="AF161" s="9">
        <f t="shared" si="5"/>
        <v>0</v>
      </c>
      <c r="AG161" s="483"/>
      <c r="AH161" s="486"/>
      <c r="AI161" s="475"/>
      <c r="AJ161" s="10"/>
      <c r="AK161" s="481"/>
      <c r="AL161" s="481"/>
    </row>
    <row r="162" spans="1:38" ht="15" customHeight="1" x14ac:dyDescent="0.3">
      <c r="A162" s="494" t="s">
        <v>22</v>
      </c>
      <c r="B162" s="29" t="s">
        <v>105</v>
      </c>
      <c r="C162" s="2">
        <v>15</v>
      </c>
      <c r="D162" s="11" t="s">
        <v>5936</v>
      </c>
      <c r="E162" s="432">
        <v>35754</v>
      </c>
      <c r="F162" s="12">
        <v>1997</v>
      </c>
      <c r="G162" s="36">
        <v>9436</v>
      </c>
      <c r="H162" s="142"/>
      <c r="I162" s="22" t="s">
        <v>264</v>
      </c>
      <c r="J162" s="32" t="s">
        <v>26</v>
      </c>
      <c r="K162" s="474" t="s">
        <v>351</v>
      </c>
      <c r="L162" s="474"/>
      <c r="M162" s="474"/>
      <c r="N162" s="474"/>
      <c r="O162" s="475"/>
      <c r="P162" s="496" t="s">
        <v>429</v>
      </c>
      <c r="Q162" s="15" t="s">
        <v>282</v>
      </c>
      <c r="R162" s="15"/>
      <c r="S162" s="16" t="s">
        <v>44</v>
      </c>
      <c r="T162" s="16"/>
      <c r="U162" s="484"/>
      <c r="V162" s="485"/>
      <c r="W162" s="243"/>
      <c r="X162" s="478"/>
      <c r="Y162" s="7">
        <f t="shared" si="4"/>
        <v>0</v>
      </c>
      <c r="Z162" s="478"/>
      <c r="AA162" s="469"/>
      <c r="AB162" s="479" t="s">
        <v>5937</v>
      </c>
      <c r="AC162" s="480"/>
      <c r="AD162" s="483">
        <v>0</v>
      </c>
      <c r="AE162" s="483"/>
      <c r="AF162" s="9">
        <f t="shared" si="5"/>
        <v>0</v>
      </c>
      <c r="AG162" s="483"/>
      <c r="AH162" s="486"/>
      <c r="AI162" s="516"/>
      <c r="AJ162" s="10"/>
      <c r="AK162" s="481"/>
      <c r="AL162" s="481"/>
    </row>
    <row r="163" spans="1:38" ht="15" customHeight="1" x14ac:dyDescent="0.3">
      <c r="A163" s="473" t="s">
        <v>22</v>
      </c>
      <c r="B163" s="29" t="s">
        <v>105</v>
      </c>
      <c r="C163" s="6">
        <v>18</v>
      </c>
      <c r="D163" s="11" t="s">
        <v>5936</v>
      </c>
      <c r="E163" s="430">
        <v>36228</v>
      </c>
      <c r="F163" s="12">
        <v>1999</v>
      </c>
      <c r="G163" s="24" t="s">
        <v>439</v>
      </c>
      <c r="H163" s="142"/>
      <c r="I163" s="22" t="s">
        <v>264</v>
      </c>
      <c r="J163" s="32" t="s">
        <v>26</v>
      </c>
      <c r="K163" s="474" t="s">
        <v>440</v>
      </c>
      <c r="L163" s="474"/>
      <c r="M163" s="474"/>
      <c r="N163" s="474"/>
      <c r="O163" s="475"/>
      <c r="P163" s="476" t="s">
        <v>429</v>
      </c>
      <c r="Q163" s="15" t="s">
        <v>282</v>
      </c>
      <c r="R163" s="15"/>
      <c r="S163" s="16" t="s">
        <v>44</v>
      </c>
      <c r="T163" s="16"/>
      <c r="U163" s="484"/>
      <c r="V163" s="485"/>
      <c r="W163" s="243"/>
      <c r="X163" s="478"/>
      <c r="Y163" s="7">
        <f t="shared" si="4"/>
        <v>0</v>
      </c>
      <c r="Z163" s="478"/>
      <c r="AA163" s="469"/>
      <c r="AB163" s="479" t="s">
        <v>5937</v>
      </c>
      <c r="AC163" s="480"/>
      <c r="AD163" s="483">
        <v>0</v>
      </c>
      <c r="AE163" s="483"/>
      <c r="AF163" s="9">
        <f t="shared" si="5"/>
        <v>0</v>
      </c>
      <c r="AG163" s="483"/>
      <c r="AH163" s="486"/>
      <c r="AI163" s="475"/>
      <c r="AJ163" s="10"/>
      <c r="AK163" s="481"/>
      <c r="AL163" s="481"/>
    </row>
    <row r="164" spans="1:38" ht="15" customHeight="1" x14ac:dyDescent="0.3">
      <c r="A164" s="494" t="s">
        <v>22</v>
      </c>
      <c r="B164" s="2" t="s">
        <v>105</v>
      </c>
      <c r="C164" s="2">
        <v>11</v>
      </c>
      <c r="D164" s="11" t="s">
        <v>5936</v>
      </c>
      <c r="E164" s="433">
        <v>35557</v>
      </c>
      <c r="F164" s="12">
        <v>1997</v>
      </c>
      <c r="G164" s="23" t="s">
        <v>441</v>
      </c>
      <c r="H164" s="142"/>
      <c r="I164" s="22" t="s">
        <v>264</v>
      </c>
      <c r="J164" s="32" t="s">
        <v>191</v>
      </c>
      <c r="K164" s="474" t="s">
        <v>314</v>
      </c>
      <c r="L164" s="474"/>
      <c r="M164" s="474"/>
      <c r="N164" s="474"/>
      <c r="O164" s="475"/>
      <c r="P164" s="110" t="s">
        <v>429</v>
      </c>
      <c r="Q164" s="15" t="s">
        <v>282</v>
      </c>
      <c r="R164" s="15"/>
      <c r="S164" s="16" t="s">
        <v>44</v>
      </c>
      <c r="T164" s="16"/>
      <c r="U164" s="484" t="s">
        <v>442</v>
      </c>
      <c r="V164" s="485"/>
      <c r="W164" s="243"/>
      <c r="X164" s="521"/>
      <c r="Y164" s="7">
        <f t="shared" si="4"/>
        <v>0</v>
      </c>
      <c r="Z164" s="522"/>
      <c r="AA164" s="469"/>
      <c r="AB164" s="479" t="s">
        <v>5937</v>
      </c>
      <c r="AC164" s="501"/>
      <c r="AD164" s="110">
        <v>0</v>
      </c>
      <c r="AE164" s="110"/>
      <c r="AF164" s="9">
        <f t="shared" si="5"/>
        <v>0</v>
      </c>
      <c r="AG164" s="110"/>
      <c r="AH164" s="475"/>
      <c r="AI164" s="496"/>
      <c r="AJ164" s="10"/>
      <c r="AK164" s="481"/>
      <c r="AL164" s="481"/>
    </row>
    <row r="165" spans="1:38" ht="15" customHeight="1" x14ac:dyDescent="0.3">
      <c r="A165" s="473" t="s">
        <v>22</v>
      </c>
      <c r="B165" s="2" t="s">
        <v>105</v>
      </c>
      <c r="C165" s="6">
        <v>10</v>
      </c>
      <c r="D165" s="11" t="s">
        <v>5936</v>
      </c>
      <c r="E165" s="430">
        <v>35275</v>
      </c>
      <c r="F165" s="12">
        <v>1996</v>
      </c>
      <c r="G165" s="13">
        <v>20612</v>
      </c>
      <c r="H165" s="142"/>
      <c r="I165" s="22" t="s">
        <v>264</v>
      </c>
      <c r="J165" s="32" t="s">
        <v>26</v>
      </c>
      <c r="K165" s="474" t="s">
        <v>401</v>
      </c>
      <c r="L165" s="474"/>
      <c r="M165" s="474"/>
      <c r="N165" s="474"/>
      <c r="O165" s="475"/>
      <c r="P165" s="476" t="s">
        <v>429</v>
      </c>
      <c r="Q165" s="15" t="s">
        <v>282</v>
      </c>
      <c r="R165" s="15"/>
      <c r="S165" s="16" t="s">
        <v>44</v>
      </c>
      <c r="T165" s="16"/>
      <c r="U165" s="484"/>
      <c r="V165" s="485"/>
      <c r="W165" s="243"/>
      <c r="X165" s="478"/>
      <c r="Y165" s="7">
        <f t="shared" si="4"/>
        <v>0</v>
      </c>
      <c r="Z165" s="478"/>
      <c r="AA165" s="469"/>
      <c r="AB165" s="479" t="s">
        <v>5937</v>
      </c>
      <c r="AC165" s="480"/>
      <c r="AD165" s="483">
        <v>0</v>
      </c>
      <c r="AE165" s="483"/>
      <c r="AF165" s="9">
        <f t="shared" si="5"/>
        <v>0</v>
      </c>
      <c r="AG165" s="483"/>
      <c r="AH165" s="475"/>
      <c r="AI165" s="476"/>
      <c r="AJ165" s="10"/>
      <c r="AK165" s="481"/>
      <c r="AL165" s="481"/>
    </row>
    <row r="166" spans="1:38" ht="15" customHeight="1" x14ac:dyDescent="0.3">
      <c r="A166" s="494" t="s">
        <v>22</v>
      </c>
      <c r="B166" s="2" t="s">
        <v>105</v>
      </c>
      <c r="C166" s="2">
        <v>3</v>
      </c>
      <c r="D166" s="11" t="s">
        <v>5936</v>
      </c>
      <c r="E166" s="433">
        <v>35636</v>
      </c>
      <c r="F166" s="12">
        <v>1997</v>
      </c>
      <c r="G166" s="38">
        <v>35376</v>
      </c>
      <c r="H166" s="142"/>
      <c r="I166" s="22" t="s">
        <v>264</v>
      </c>
      <c r="J166" s="32" t="s">
        <v>26</v>
      </c>
      <c r="K166" s="474" t="s">
        <v>443</v>
      </c>
      <c r="L166" s="474"/>
      <c r="M166" s="474"/>
      <c r="N166" s="474"/>
      <c r="O166" s="475" t="s">
        <v>444</v>
      </c>
      <c r="P166" s="516" t="s">
        <v>429</v>
      </c>
      <c r="Q166" s="15" t="s">
        <v>282</v>
      </c>
      <c r="R166" s="15"/>
      <c r="S166" s="16" t="s">
        <v>44</v>
      </c>
      <c r="T166" s="16"/>
      <c r="U166" s="484" t="s">
        <v>445</v>
      </c>
      <c r="V166" s="485"/>
      <c r="W166" s="243"/>
      <c r="X166" s="521"/>
      <c r="Y166" s="7">
        <f t="shared" si="4"/>
        <v>0</v>
      </c>
      <c r="Z166" s="522"/>
      <c r="AA166" s="469"/>
      <c r="AB166" s="479" t="s">
        <v>5937</v>
      </c>
      <c r="AC166" s="501"/>
      <c r="AD166" s="110">
        <v>0</v>
      </c>
      <c r="AE166" s="110"/>
      <c r="AF166" s="9">
        <f t="shared" si="5"/>
        <v>0</v>
      </c>
      <c r="AG166" s="110"/>
      <c r="AH166" s="475"/>
      <c r="AI166" s="496"/>
      <c r="AJ166" s="10"/>
      <c r="AK166" s="481"/>
      <c r="AL166" s="481"/>
    </row>
    <row r="167" spans="1:38" ht="15" customHeight="1" x14ac:dyDescent="0.3">
      <c r="A167" s="473" t="s">
        <v>22</v>
      </c>
      <c r="B167" s="2" t="s">
        <v>105</v>
      </c>
      <c r="C167" s="6">
        <v>8</v>
      </c>
      <c r="D167" s="11" t="s">
        <v>5936</v>
      </c>
      <c r="E167" s="430">
        <v>35746</v>
      </c>
      <c r="F167" s="12">
        <v>1997</v>
      </c>
      <c r="G167" s="24">
        <v>24939</v>
      </c>
      <c r="H167" s="142"/>
      <c r="I167" s="22" t="s">
        <v>264</v>
      </c>
      <c r="J167" s="32" t="s">
        <v>26</v>
      </c>
      <c r="K167" s="474" t="s">
        <v>371</v>
      </c>
      <c r="L167" s="474"/>
      <c r="M167" s="474"/>
      <c r="N167" s="474"/>
      <c r="O167" s="475"/>
      <c r="P167" s="476" t="s">
        <v>429</v>
      </c>
      <c r="Q167" s="15" t="s">
        <v>282</v>
      </c>
      <c r="R167" s="15"/>
      <c r="S167" s="16" t="s">
        <v>44</v>
      </c>
      <c r="T167" s="16"/>
      <c r="U167" s="484"/>
      <c r="V167" s="485"/>
      <c r="W167" s="243"/>
      <c r="X167" s="521"/>
      <c r="Y167" s="7">
        <f t="shared" si="4"/>
        <v>0</v>
      </c>
      <c r="Z167" s="522"/>
      <c r="AA167" s="469"/>
      <c r="AB167" s="479" t="s">
        <v>5937</v>
      </c>
      <c r="AC167" s="501"/>
      <c r="AD167" s="535">
        <v>0</v>
      </c>
      <c r="AE167" s="535"/>
      <c r="AF167" s="9">
        <f t="shared" si="5"/>
        <v>0</v>
      </c>
      <c r="AG167" s="535"/>
      <c r="AH167" s="475"/>
      <c r="AI167" s="476"/>
      <c r="AJ167" s="10"/>
      <c r="AK167" s="481"/>
      <c r="AL167" s="481"/>
    </row>
    <row r="168" spans="1:38" ht="15" customHeight="1" x14ac:dyDescent="0.3">
      <c r="A168" s="494" t="s">
        <v>22</v>
      </c>
      <c r="B168" s="2" t="s">
        <v>105</v>
      </c>
      <c r="C168" s="2">
        <v>20</v>
      </c>
      <c r="D168" s="11" t="s">
        <v>5936</v>
      </c>
      <c r="E168" s="432">
        <v>35870</v>
      </c>
      <c r="F168" s="12">
        <v>1998</v>
      </c>
      <c r="G168" s="36">
        <v>16890</v>
      </c>
      <c r="H168" s="142"/>
      <c r="I168" s="22" t="s">
        <v>264</v>
      </c>
      <c r="J168" s="32" t="s">
        <v>26</v>
      </c>
      <c r="K168" s="474" t="s">
        <v>368</v>
      </c>
      <c r="L168" s="474"/>
      <c r="M168" s="474"/>
      <c r="N168" s="474"/>
      <c r="O168" s="474" t="s">
        <v>446</v>
      </c>
      <c r="P168" s="496" t="s">
        <v>429</v>
      </c>
      <c r="Q168" s="15" t="s">
        <v>282</v>
      </c>
      <c r="R168" s="15"/>
      <c r="S168" s="16" t="s">
        <v>44</v>
      </c>
      <c r="T168" s="16"/>
      <c r="U168" s="484"/>
      <c r="V168" s="485"/>
      <c r="W168" s="243"/>
      <c r="X168" s="521"/>
      <c r="Y168" s="7">
        <f t="shared" si="4"/>
        <v>0</v>
      </c>
      <c r="Z168" s="522"/>
      <c r="AA168" s="469"/>
      <c r="AB168" s="479" t="s">
        <v>5937</v>
      </c>
      <c r="AC168" s="501"/>
      <c r="AD168" s="110">
        <v>0</v>
      </c>
      <c r="AE168" s="110"/>
      <c r="AF168" s="9">
        <f t="shared" si="5"/>
        <v>0</v>
      </c>
      <c r="AG168" s="110"/>
      <c r="AH168" s="475"/>
      <c r="AI168" s="496"/>
      <c r="AJ168" s="10"/>
      <c r="AK168" s="481"/>
      <c r="AL168" s="481"/>
    </row>
    <row r="169" spans="1:38" ht="15" customHeight="1" x14ac:dyDescent="0.3">
      <c r="A169" s="494" t="s">
        <v>22</v>
      </c>
      <c r="B169" s="2" t="s">
        <v>105</v>
      </c>
      <c r="C169" s="2">
        <v>6</v>
      </c>
      <c r="D169" s="11" t="s">
        <v>5936</v>
      </c>
      <c r="E169" s="432">
        <v>36018</v>
      </c>
      <c r="F169" s="12">
        <v>1998</v>
      </c>
      <c r="G169" s="38">
        <v>34935</v>
      </c>
      <c r="H169" s="142"/>
      <c r="I169" s="22" t="s">
        <v>264</v>
      </c>
      <c r="J169" s="32" t="s">
        <v>26</v>
      </c>
      <c r="K169" s="474" t="s">
        <v>351</v>
      </c>
      <c r="L169" s="474"/>
      <c r="M169" s="474"/>
      <c r="N169" s="474"/>
      <c r="O169" s="474"/>
      <c r="P169" s="496" t="s">
        <v>429</v>
      </c>
      <c r="Q169" s="15" t="s">
        <v>282</v>
      </c>
      <c r="R169" s="15"/>
      <c r="S169" s="16" t="s">
        <v>44</v>
      </c>
      <c r="T169" s="16"/>
      <c r="U169" s="484"/>
      <c r="V169" s="485"/>
      <c r="W169" s="243"/>
      <c r="X169" s="521"/>
      <c r="Y169" s="7">
        <f t="shared" si="4"/>
        <v>0</v>
      </c>
      <c r="Z169" s="522"/>
      <c r="AA169" s="469"/>
      <c r="AB169" s="479" t="s">
        <v>5937</v>
      </c>
      <c r="AC169" s="501"/>
      <c r="AD169" s="110">
        <v>0</v>
      </c>
      <c r="AE169" s="110"/>
      <c r="AF169" s="9">
        <f t="shared" si="5"/>
        <v>0</v>
      </c>
      <c r="AG169" s="110"/>
      <c r="AH169" s="475"/>
      <c r="AI169" s="496"/>
      <c r="AJ169" s="10"/>
      <c r="AK169" s="481"/>
      <c r="AL169" s="481"/>
    </row>
    <row r="170" spans="1:38" ht="15" customHeight="1" x14ac:dyDescent="0.3">
      <c r="A170" s="494" t="s">
        <v>22</v>
      </c>
      <c r="B170" s="2" t="s">
        <v>105</v>
      </c>
      <c r="C170" s="2">
        <v>17</v>
      </c>
      <c r="D170" s="11" t="s">
        <v>5936</v>
      </c>
      <c r="E170" s="432">
        <v>34471</v>
      </c>
      <c r="F170" s="12">
        <v>1994</v>
      </c>
      <c r="G170" s="23">
        <v>66</v>
      </c>
      <c r="H170" s="142"/>
      <c r="I170" s="22" t="s">
        <v>264</v>
      </c>
      <c r="J170" s="32" t="s">
        <v>191</v>
      </c>
      <c r="K170" s="474" t="s">
        <v>314</v>
      </c>
      <c r="L170" s="474"/>
      <c r="M170" s="474"/>
      <c r="N170" s="474"/>
      <c r="O170" s="474"/>
      <c r="P170" s="496" t="s">
        <v>429</v>
      </c>
      <c r="Q170" s="15" t="s">
        <v>282</v>
      </c>
      <c r="R170" s="15"/>
      <c r="S170" s="16" t="s">
        <v>44</v>
      </c>
      <c r="T170" s="16"/>
      <c r="U170" s="484"/>
      <c r="V170" s="485"/>
      <c r="W170" s="243"/>
      <c r="X170" s="521"/>
      <c r="Y170" s="7">
        <f t="shared" si="4"/>
        <v>0</v>
      </c>
      <c r="Z170" s="522"/>
      <c r="AA170" s="469"/>
      <c r="AB170" s="479" t="s">
        <v>5937</v>
      </c>
      <c r="AC170" s="501"/>
      <c r="AD170" s="110">
        <v>0</v>
      </c>
      <c r="AE170" s="110"/>
      <c r="AF170" s="9">
        <f t="shared" si="5"/>
        <v>0</v>
      </c>
      <c r="AG170" s="110"/>
      <c r="AH170" s="475"/>
      <c r="AI170" s="496"/>
      <c r="AJ170" s="10"/>
      <c r="AK170" s="481"/>
      <c r="AL170" s="481"/>
    </row>
    <row r="171" spans="1:38" ht="15" customHeight="1" x14ac:dyDescent="0.3">
      <c r="A171" s="494" t="s">
        <v>22</v>
      </c>
      <c r="B171" s="2" t="s">
        <v>105</v>
      </c>
      <c r="C171" s="2">
        <v>10</v>
      </c>
      <c r="D171" s="11" t="s">
        <v>5936</v>
      </c>
      <c r="E171" s="432">
        <v>35481</v>
      </c>
      <c r="F171" s="12">
        <v>1997</v>
      </c>
      <c r="G171" s="23">
        <v>21056</v>
      </c>
      <c r="H171" s="142"/>
      <c r="I171" s="22" t="s">
        <v>264</v>
      </c>
      <c r="J171" s="32" t="s">
        <v>26</v>
      </c>
      <c r="K171" s="474" t="s">
        <v>351</v>
      </c>
      <c r="L171" s="474"/>
      <c r="M171" s="474"/>
      <c r="N171" s="474"/>
      <c r="O171" s="475"/>
      <c r="P171" s="496" t="s">
        <v>429</v>
      </c>
      <c r="Q171" s="15" t="s">
        <v>282</v>
      </c>
      <c r="R171" s="15"/>
      <c r="S171" s="16" t="s">
        <v>44</v>
      </c>
      <c r="T171" s="16"/>
      <c r="U171" s="484"/>
      <c r="V171" s="485"/>
      <c r="W171" s="243"/>
      <c r="X171" s="521"/>
      <c r="Y171" s="7">
        <f t="shared" si="4"/>
        <v>0</v>
      </c>
      <c r="Z171" s="522"/>
      <c r="AA171" s="469"/>
      <c r="AB171" s="479" t="s">
        <v>5937</v>
      </c>
      <c r="AC171" s="501"/>
      <c r="AD171" s="535">
        <v>0</v>
      </c>
      <c r="AE171" s="535"/>
      <c r="AF171" s="9">
        <f t="shared" si="5"/>
        <v>0</v>
      </c>
      <c r="AG171" s="535"/>
      <c r="AH171" s="475"/>
      <c r="AI171" s="496"/>
      <c r="AJ171" s="10"/>
      <c r="AK171" s="481"/>
      <c r="AL171" s="481"/>
    </row>
    <row r="172" spans="1:38" ht="15" customHeight="1" x14ac:dyDescent="0.3">
      <c r="A172" s="494" t="s">
        <v>22</v>
      </c>
      <c r="B172" s="2" t="s">
        <v>105</v>
      </c>
      <c r="C172" s="2">
        <v>10</v>
      </c>
      <c r="D172" s="11" t="s">
        <v>5936</v>
      </c>
      <c r="E172" s="432">
        <v>35338</v>
      </c>
      <c r="F172" s="12">
        <v>1996</v>
      </c>
      <c r="G172" s="23">
        <v>20841</v>
      </c>
      <c r="H172" s="506"/>
      <c r="I172" s="22" t="s">
        <v>264</v>
      </c>
      <c r="J172" s="32" t="s">
        <v>26</v>
      </c>
      <c r="K172" s="474" t="s">
        <v>447</v>
      </c>
      <c r="L172" s="474"/>
      <c r="M172" s="474"/>
      <c r="N172" s="474"/>
      <c r="O172" s="482"/>
      <c r="P172" s="496" t="s">
        <v>429</v>
      </c>
      <c r="Q172" s="15" t="s">
        <v>282</v>
      </c>
      <c r="R172" s="15"/>
      <c r="S172" s="16" t="s">
        <v>44</v>
      </c>
      <c r="T172" s="16"/>
      <c r="U172" s="484"/>
      <c r="V172" s="485"/>
      <c r="W172" s="243"/>
      <c r="X172" s="521"/>
      <c r="Y172" s="7">
        <f t="shared" si="4"/>
        <v>0</v>
      </c>
      <c r="Z172" s="522"/>
      <c r="AA172" s="469"/>
      <c r="AB172" s="479" t="s">
        <v>5937</v>
      </c>
      <c r="AC172" s="501"/>
      <c r="AD172" s="535">
        <v>0</v>
      </c>
      <c r="AE172" s="535"/>
      <c r="AF172" s="9">
        <f t="shared" si="5"/>
        <v>0</v>
      </c>
      <c r="AG172" s="535"/>
      <c r="AH172" s="475"/>
      <c r="AI172" s="496"/>
      <c r="AJ172" s="10"/>
      <c r="AK172" s="481"/>
      <c r="AL172" s="481"/>
    </row>
    <row r="173" spans="1:38" ht="15" customHeight="1" x14ac:dyDescent="0.3">
      <c r="A173" s="494" t="s">
        <v>22</v>
      </c>
      <c r="B173" s="2" t="s">
        <v>105</v>
      </c>
      <c r="C173" s="2">
        <v>8</v>
      </c>
      <c r="D173" s="11" t="s">
        <v>5936</v>
      </c>
      <c r="E173" s="432">
        <v>35681</v>
      </c>
      <c r="F173" s="12">
        <v>1997</v>
      </c>
      <c r="G173" s="36">
        <v>24773</v>
      </c>
      <c r="H173" s="142"/>
      <c r="I173" s="22" t="s">
        <v>264</v>
      </c>
      <c r="J173" s="32" t="s">
        <v>191</v>
      </c>
      <c r="K173" s="474" t="s">
        <v>314</v>
      </c>
      <c r="L173" s="474"/>
      <c r="M173" s="474"/>
      <c r="N173" s="474"/>
      <c r="O173" s="475"/>
      <c r="P173" s="496" t="s">
        <v>429</v>
      </c>
      <c r="Q173" s="15" t="s">
        <v>282</v>
      </c>
      <c r="R173" s="15"/>
      <c r="S173" s="16" t="s">
        <v>44</v>
      </c>
      <c r="T173" s="16"/>
      <c r="U173" s="484"/>
      <c r="V173" s="485"/>
      <c r="W173" s="243"/>
      <c r="X173" s="521"/>
      <c r="Y173" s="7">
        <f t="shared" si="4"/>
        <v>0</v>
      </c>
      <c r="Z173" s="522"/>
      <c r="AA173" s="469"/>
      <c r="AB173" s="479" t="s">
        <v>5937</v>
      </c>
      <c r="AC173" s="501"/>
      <c r="AD173" s="535">
        <v>0</v>
      </c>
      <c r="AE173" s="535"/>
      <c r="AF173" s="9">
        <f t="shared" si="5"/>
        <v>0</v>
      </c>
      <c r="AG173" s="535"/>
      <c r="AH173" s="475"/>
      <c r="AI173" s="496"/>
      <c r="AJ173" s="10"/>
      <c r="AK173" s="481"/>
      <c r="AL173" s="481"/>
    </row>
    <row r="174" spans="1:38" ht="15" customHeight="1" x14ac:dyDescent="0.3">
      <c r="A174" s="494" t="s">
        <v>22</v>
      </c>
      <c r="B174" s="29" t="s">
        <v>105</v>
      </c>
      <c r="C174" s="2">
        <v>8</v>
      </c>
      <c r="D174" s="11" t="s">
        <v>5936</v>
      </c>
      <c r="E174" s="433">
        <v>35114</v>
      </c>
      <c r="F174" s="12">
        <v>1996</v>
      </c>
      <c r="G174" s="23">
        <v>23415</v>
      </c>
      <c r="H174" s="142"/>
      <c r="I174" s="22" t="s">
        <v>264</v>
      </c>
      <c r="J174" s="32" t="s">
        <v>26</v>
      </c>
      <c r="K174" s="474" t="s">
        <v>401</v>
      </c>
      <c r="L174" s="474"/>
      <c r="M174" s="474"/>
      <c r="N174" s="474"/>
      <c r="O174" s="475"/>
      <c r="P174" s="496" t="s">
        <v>429</v>
      </c>
      <c r="Q174" s="15" t="s">
        <v>282</v>
      </c>
      <c r="R174" s="15"/>
      <c r="S174" s="16" t="s">
        <v>44</v>
      </c>
      <c r="T174" s="16"/>
      <c r="U174" s="484"/>
      <c r="V174" s="485"/>
      <c r="W174" s="243"/>
      <c r="X174" s="521"/>
      <c r="Y174" s="7">
        <f t="shared" si="4"/>
        <v>0</v>
      </c>
      <c r="Z174" s="522"/>
      <c r="AA174" s="469"/>
      <c r="AB174" s="479" t="s">
        <v>5937</v>
      </c>
      <c r="AC174" s="501"/>
      <c r="AD174" s="535">
        <v>0</v>
      </c>
      <c r="AE174" s="535"/>
      <c r="AF174" s="9">
        <f t="shared" si="5"/>
        <v>0</v>
      </c>
      <c r="AG174" s="535"/>
      <c r="AH174" s="475"/>
      <c r="AI174" s="496"/>
      <c r="AJ174" s="10"/>
      <c r="AK174" s="481"/>
      <c r="AL174" s="481"/>
    </row>
    <row r="175" spans="1:38" ht="15" customHeight="1" x14ac:dyDescent="0.3">
      <c r="A175" s="494" t="s">
        <v>22</v>
      </c>
      <c r="B175" s="2" t="s">
        <v>105</v>
      </c>
      <c r="C175" s="2">
        <v>8</v>
      </c>
      <c r="D175" s="11" t="s">
        <v>5936</v>
      </c>
      <c r="E175" s="433">
        <v>35251</v>
      </c>
      <c r="F175" s="12">
        <v>1996</v>
      </c>
      <c r="G175" s="23">
        <v>23865</v>
      </c>
      <c r="H175" s="142"/>
      <c r="I175" s="22" t="s">
        <v>264</v>
      </c>
      <c r="J175" s="32" t="s">
        <v>26</v>
      </c>
      <c r="K175" s="474" t="s">
        <v>351</v>
      </c>
      <c r="L175" s="474"/>
      <c r="M175" s="474"/>
      <c r="N175" s="474"/>
      <c r="O175" s="475"/>
      <c r="P175" s="496" t="s">
        <v>429</v>
      </c>
      <c r="Q175" s="15" t="s">
        <v>282</v>
      </c>
      <c r="R175" s="15"/>
      <c r="S175" s="16" t="s">
        <v>44</v>
      </c>
      <c r="T175" s="16"/>
      <c r="U175" s="484"/>
      <c r="V175" s="485"/>
      <c r="W175" s="243"/>
      <c r="X175" s="521"/>
      <c r="Y175" s="7">
        <f t="shared" si="4"/>
        <v>0</v>
      </c>
      <c r="Z175" s="522"/>
      <c r="AA175" s="469"/>
      <c r="AB175" s="479" t="s">
        <v>5937</v>
      </c>
      <c r="AC175" s="501"/>
      <c r="AD175" s="535">
        <v>0</v>
      </c>
      <c r="AE175" s="535"/>
      <c r="AF175" s="9">
        <f t="shared" si="5"/>
        <v>0</v>
      </c>
      <c r="AG175" s="535"/>
      <c r="AH175" s="475"/>
      <c r="AI175" s="496"/>
      <c r="AJ175" s="10"/>
      <c r="AK175" s="481"/>
      <c r="AL175" s="481"/>
    </row>
    <row r="176" spans="1:38" ht="15" customHeight="1" x14ac:dyDescent="0.3">
      <c r="A176" s="494" t="s">
        <v>22</v>
      </c>
      <c r="B176" s="2" t="s">
        <v>105</v>
      </c>
      <c r="C176" s="2">
        <v>3</v>
      </c>
      <c r="D176" s="11" t="s">
        <v>5936</v>
      </c>
      <c r="E176" s="432">
        <v>35348</v>
      </c>
      <c r="F176" s="12">
        <v>1996</v>
      </c>
      <c r="G176" s="23">
        <v>36604</v>
      </c>
      <c r="H176" s="142"/>
      <c r="I176" s="22" t="s">
        <v>264</v>
      </c>
      <c r="J176" s="32" t="s">
        <v>26</v>
      </c>
      <c r="K176" s="474" t="s">
        <v>351</v>
      </c>
      <c r="L176" s="474"/>
      <c r="M176" s="474"/>
      <c r="N176" s="474"/>
      <c r="O176" s="475"/>
      <c r="P176" s="496" t="s">
        <v>429</v>
      </c>
      <c r="Q176" s="15" t="s">
        <v>282</v>
      </c>
      <c r="R176" s="15"/>
      <c r="S176" s="16" t="s">
        <v>44</v>
      </c>
      <c r="T176" s="16"/>
      <c r="U176" s="484"/>
      <c r="V176" s="485"/>
      <c r="W176" s="243"/>
      <c r="X176" s="521"/>
      <c r="Y176" s="7">
        <f t="shared" si="4"/>
        <v>0</v>
      </c>
      <c r="Z176" s="522"/>
      <c r="AA176" s="469"/>
      <c r="AB176" s="479" t="s">
        <v>5937</v>
      </c>
      <c r="AC176" s="501"/>
      <c r="AD176" s="535">
        <v>0</v>
      </c>
      <c r="AE176" s="535"/>
      <c r="AF176" s="9">
        <f t="shared" si="5"/>
        <v>0</v>
      </c>
      <c r="AG176" s="535"/>
      <c r="AH176" s="475"/>
      <c r="AI176" s="496"/>
      <c r="AJ176" s="10"/>
      <c r="AK176" s="481"/>
      <c r="AL176" s="481"/>
    </row>
    <row r="177" spans="1:38" ht="15" customHeight="1" x14ac:dyDescent="0.3">
      <c r="A177" s="494" t="s">
        <v>22</v>
      </c>
      <c r="B177" s="2" t="s">
        <v>105</v>
      </c>
      <c r="C177" s="2">
        <v>1</v>
      </c>
      <c r="D177" s="11" t="s">
        <v>5936</v>
      </c>
      <c r="E177" s="433">
        <v>34467</v>
      </c>
      <c r="F177" s="12">
        <v>1994</v>
      </c>
      <c r="G177" s="23">
        <v>55812</v>
      </c>
      <c r="H177" s="506"/>
      <c r="I177" s="22" t="s">
        <v>264</v>
      </c>
      <c r="J177" s="32" t="s">
        <v>191</v>
      </c>
      <c r="K177" s="474" t="s">
        <v>314</v>
      </c>
      <c r="L177" s="474"/>
      <c r="M177" s="474"/>
      <c r="N177" s="474"/>
      <c r="O177" s="475"/>
      <c r="P177" s="532" t="s">
        <v>429</v>
      </c>
      <c r="Q177" s="15" t="s">
        <v>282</v>
      </c>
      <c r="R177" s="15"/>
      <c r="S177" s="16" t="s">
        <v>35</v>
      </c>
      <c r="T177" s="16"/>
      <c r="U177" s="484" t="s">
        <v>448</v>
      </c>
      <c r="V177" s="485"/>
      <c r="W177" s="243"/>
      <c r="X177" s="521"/>
      <c r="Y177" s="7">
        <f t="shared" si="4"/>
        <v>0</v>
      </c>
      <c r="Z177" s="522"/>
      <c r="AA177" s="469"/>
      <c r="AB177" s="479" t="s">
        <v>5937</v>
      </c>
      <c r="AC177" s="501"/>
      <c r="AD177" s="496">
        <v>0</v>
      </c>
      <c r="AE177" s="496"/>
      <c r="AF177" s="9">
        <f t="shared" si="5"/>
        <v>0</v>
      </c>
      <c r="AG177" s="496"/>
      <c r="AH177" s="475"/>
      <c r="AI177" s="496"/>
      <c r="AJ177" s="10"/>
      <c r="AK177" s="481"/>
      <c r="AL177" s="481"/>
    </row>
    <row r="178" spans="1:38" ht="15" customHeight="1" x14ac:dyDescent="0.3">
      <c r="A178" s="494" t="s">
        <v>22</v>
      </c>
      <c r="B178" s="2" t="s">
        <v>105</v>
      </c>
      <c r="C178" s="2">
        <v>11</v>
      </c>
      <c r="D178" s="11" t="s">
        <v>5936</v>
      </c>
      <c r="E178" s="432">
        <v>35622</v>
      </c>
      <c r="F178" s="12">
        <v>1997</v>
      </c>
      <c r="G178" s="23" t="s">
        <v>449</v>
      </c>
      <c r="H178" s="142"/>
      <c r="I178" s="22" t="s">
        <v>264</v>
      </c>
      <c r="J178" s="32" t="s">
        <v>191</v>
      </c>
      <c r="K178" s="474" t="s">
        <v>314</v>
      </c>
      <c r="L178" s="474"/>
      <c r="M178" s="474"/>
      <c r="N178" s="474"/>
      <c r="O178" s="474" t="s">
        <v>450</v>
      </c>
      <c r="P178" s="532" t="s">
        <v>429</v>
      </c>
      <c r="Q178" s="15" t="s">
        <v>35</v>
      </c>
      <c r="R178" s="15"/>
      <c r="S178" s="16" t="s">
        <v>35</v>
      </c>
      <c r="T178" s="16"/>
      <c r="U178" s="484" t="s">
        <v>451</v>
      </c>
      <c r="V178" s="485"/>
      <c r="W178" s="243"/>
      <c r="X178" s="521"/>
      <c r="Y178" s="7">
        <f t="shared" si="4"/>
        <v>0</v>
      </c>
      <c r="Z178" s="522"/>
      <c r="AA178" s="469"/>
      <c r="AB178" s="479" t="s">
        <v>5937</v>
      </c>
      <c r="AC178" s="501"/>
      <c r="AD178" s="496">
        <v>0</v>
      </c>
      <c r="AE178" s="496"/>
      <c r="AF178" s="9">
        <f t="shared" si="5"/>
        <v>0</v>
      </c>
      <c r="AG178" s="496"/>
      <c r="AH178" s="475"/>
      <c r="AI178" s="496"/>
      <c r="AJ178" s="10"/>
      <c r="AK178" s="481"/>
      <c r="AL178" s="481"/>
    </row>
    <row r="179" spans="1:38" ht="15" customHeight="1" x14ac:dyDescent="0.3">
      <c r="A179" s="473" t="s">
        <v>22</v>
      </c>
      <c r="B179" s="2" t="s">
        <v>105</v>
      </c>
      <c r="C179" s="6">
        <v>9</v>
      </c>
      <c r="D179" s="11" t="s">
        <v>5936</v>
      </c>
      <c r="E179" s="430">
        <v>35780</v>
      </c>
      <c r="F179" s="12">
        <v>1997</v>
      </c>
      <c r="G179" s="24">
        <v>26174</v>
      </c>
      <c r="H179" s="142"/>
      <c r="I179" s="22" t="s">
        <v>264</v>
      </c>
      <c r="J179" s="32" t="s">
        <v>26</v>
      </c>
      <c r="K179" s="474" t="s">
        <v>351</v>
      </c>
      <c r="L179" s="474"/>
      <c r="M179" s="474"/>
      <c r="N179" s="474"/>
      <c r="O179" s="475"/>
      <c r="P179" s="476" t="s">
        <v>429</v>
      </c>
      <c r="Q179" s="15" t="s">
        <v>282</v>
      </c>
      <c r="R179" s="15"/>
      <c r="S179" s="16" t="s">
        <v>44</v>
      </c>
      <c r="T179" s="16"/>
      <c r="U179" s="484"/>
      <c r="V179" s="485"/>
      <c r="W179" s="243"/>
      <c r="X179" s="478"/>
      <c r="Y179" s="7">
        <f t="shared" si="4"/>
        <v>0</v>
      </c>
      <c r="Z179" s="478"/>
      <c r="AA179" s="469"/>
      <c r="AB179" s="479" t="s">
        <v>5937</v>
      </c>
      <c r="AC179" s="480"/>
      <c r="AD179" s="483">
        <v>0</v>
      </c>
      <c r="AE179" s="483"/>
      <c r="AF179" s="9">
        <f t="shared" si="5"/>
        <v>0</v>
      </c>
      <c r="AG179" s="483"/>
      <c r="AH179" s="486"/>
      <c r="AI179" s="475"/>
      <c r="AJ179" s="10"/>
      <c r="AK179" s="481"/>
      <c r="AL179" s="481"/>
    </row>
    <row r="180" spans="1:38" ht="15" customHeight="1" x14ac:dyDescent="0.3">
      <c r="A180" s="473" t="s">
        <v>22</v>
      </c>
      <c r="B180" s="29" t="s">
        <v>105</v>
      </c>
      <c r="C180" s="6">
        <v>15</v>
      </c>
      <c r="D180" s="11" t="s">
        <v>5936</v>
      </c>
      <c r="E180" s="431">
        <v>34107</v>
      </c>
      <c r="F180" s="12">
        <v>1993</v>
      </c>
      <c r="G180" s="13">
        <v>7442</v>
      </c>
      <c r="H180" s="142"/>
      <c r="I180" s="22" t="s">
        <v>264</v>
      </c>
      <c r="J180" s="32" t="s">
        <v>26</v>
      </c>
      <c r="K180" s="474" t="s">
        <v>452</v>
      </c>
      <c r="L180" s="474"/>
      <c r="M180" s="474"/>
      <c r="N180" s="474"/>
      <c r="O180" s="475" t="s">
        <v>453</v>
      </c>
      <c r="P180" s="534" t="s">
        <v>429</v>
      </c>
      <c r="Q180" s="15" t="s">
        <v>282</v>
      </c>
      <c r="R180" s="15"/>
      <c r="S180" s="16" t="s">
        <v>44</v>
      </c>
      <c r="T180" s="16"/>
      <c r="U180" s="484" t="s">
        <v>454</v>
      </c>
      <c r="V180" s="485"/>
      <c r="W180" s="243"/>
      <c r="X180" s="478"/>
      <c r="Y180" s="7">
        <f t="shared" si="4"/>
        <v>0</v>
      </c>
      <c r="Z180" s="478"/>
      <c r="AA180" s="469"/>
      <c r="AB180" s="479" t="s">
        <v>5937</v>
      </c>
      <c r="AC180" s="480"/>
      <c r="AD180" s="483">
        <v>0</v>
      </c>
      <c r="AE180" s="483"/>
      <c r="AF180" s="9">
        <f t="shared" si="5"/>
        <v>0</v>
      </c>
      <c r="AG180" s="483"/>
      <c r="AH180" s="486"/>
      <c r="AI180" s="475"/>
      <c r="AJ180" s="10"/>
      <c r="AK180" s="481"/>
      <c r="AL180" s="481"/>
    </row>
    <row r="181" spans="1:38" ht="15" customHeight="1" x14ac:dyDescent="0.3">
      <c r="A181" s="473" t="s">
        <v>22</v>
      </c>
      <c r="B181" s="2" t="s">
        <v>105</v>
      </c>
      <c r="C181" s="6">
        <v>2</v>
      </c>
      <c r="D181" s="11" t="s">
        <v>5936</v>
      </c>
      <c r="E181" s="431">
        <v>35032</v>
      </c>
      <c r="F181" s="12">
        <v>1995</v>
      </c>
      <c r="G181" s="13">
        <v>51236</v>
      </c>
      <c r="H181" s="142"/>
      <c r="I181" s="22" t="s">
        <v>264</v>
      </c>
      <c r="J181" s="32" t="s">
        <v>26</v>
      </c>
      <c r="K181" s="474" t="s">
        <v>311</v>
      </c>
      <c r="L181" s="474"/>
      <c r="M181" s="474"/>
      <c r="N181" s="474"/>
      <c r="O181" s="536" t="s">
        <v>455</v>
      </c>
      <c r="P181" s="476" t="s">
        <v>456</v>
      </c>
      <c r="Q181" s="15" t="s">
        <v>35</v>
      </c>
      <c r="R181" s="15"/>
      <c r="S181" s="16" t="s">
        <v>44</v>
      </c>
      <c r="T181" s="16"/>
      <c r="U181" s="484"/>
      <c r="V181" s="485"/>
      <c r="W181" s="243"/>
      <c r="X181" s="478"/>
      <c r="Y181" s="7">
        <f t="shared" si="4"/>
        <v>0</v>
      </c>
      <c r="Z181" s="478"/>
      <c r="AA181" s="469"/>
      <c r="AB181" s="479" t="s">
        <v>5937</v>
      </c>
      <c r="AC181" s="480"/>
      <c r="AD181" s="483">
        <v>0</v>
      </c>
      <c r="AE181" s="483"/>
      <c r="AF181" s="9">
        <f t="shared" si="5"/>
        <v>0</v>
      </c>
      <c r="AG181" s="483"/>
      <c r="AH181" s="486"/>
      <c r="AI181" s="475"/>
      <c r="AJ181" s="10"/>
      <c r="AK181" s="481"/>
      <c r="AL181" s="481"/>
    </row>
    <row r="182" spans="1:38" ht="15" customHeight="1" x14ac:dyDescent="0.3">
      <c r="A182" s="494" t="s">
        <v>457</v>
      </c>
      <c r="B182" s="2" t="s">
        <v>105</v>
      </c>
      <c r="C182" s="2">
        <v>4</v>
      </c>
      <c r="D182" s="11" t="s">
        <v>5936</v>
      </c>
      <c r="E182" s="433">
        <v>34591</v>
      </c>
      <c r="F182" s="12">
        <v>1994</v>
      </c>
      <c r="G182" s="23">
        <v>34473</v>
      </c>
      <c r="H182" s="506"/>
      <c r="I182" s="22" t="s">
        <v>264</v>
      </c>
      <c r="J182" s="32" t="s">
        <v>26</v>
      </c>
      <c r="K182" s="474" t="s">
        <v>428</v>
      </c>
      <c r="L182" s="474"/>
      <c r="M182" s="474"/>
      <c r="N182" s="474"/>
      <c r="O182" s="475"/>
      <c r="P182" s="476" t="s">
        <v>456</v>
      </c>
      <c r="Q182" s="15" t="s">
        <v>282</v>
      </c>
      <c r="R182" s="15"/>
      <c r="S182" s="16" t="s">
        <v>44</v>
      </c>
      <c r="T182" s="16"/>
      <c r="U182" s="484"/>
      <c r="V182" s="485"/>
      <c r="W182" s="243"/>
      <c r="X182" s="521"/>
      <c r="Y182" s="7">
        <f t="shared" si="4"/>
        <v>0</v>
      </c>
      <c r="Z182" s="522"/>
      <c r="AA182" s="469"/>
      <c r="AB182" s="479" t="s">
        <v>5937</v>
      </c>
      <c r="AC182" s="501"/>
      <c r="AD182" s="110">
        <v>0</v>
      </c>
      <c r="AE182" s="110"/>
      <c r="AF182" s="9">
        <f t="shared" si="5"/>
        <v>0</v>
      </c>
      <c r="AG182" s="110"/>
      <c r="AH182" s="486"/>
      <c r="AI182" s="516"/>
      <c r="AJ182" s="10"/>
      <c r="AK182" s="481"/>
      <c r="AL182" s="481"/>
    </row>
    <row r="183" spans="1:38" ht="15" customHeight="1" x14ac:dyDescent="0.3">
      <c r="A183" s="494" t="s">
        <v>22</v>
      </c>
      <c r="B183" s="2" t="s">
        <v>105</v>
      </c>
      <c r="C183" s="2">
        <v>5</v>
      </c>
      <c r="D183" s="11" t="s">
        <v>5936</v>
      </c>
      <c r="E183" s="433">
        <v>35111</v>
      </c>
      <c r="F183" s="12">
        <v>1996</v>
      </c>
      <c r="G183" s="23">
        <v>69773</v>
      </c>
      <c r="H183" s="142"/>
      <c r="I183" s="22" t="s">
        <v>264</v>
      </c>
      <c r="J183" s="32" t="s">
        <v>26</v>
      </c>
      <c r="K183" s="474" t="s">
        <v>353</v>
      </c>
      <c r="L183" s="474"/>
      <c r="M183" s="474"/>
      <c r="N183" s="474"/>
      <c r="O183" s="475"/>
      <c r="P183" s="476" t="s">
        <v>456</v>
      </c>
      <c r="Q183" s="15" t="s">
        <v>282</v>
      </c>
      <c r="R183" s="44"/>
      <c r="S183" s="16" t="s">
        <v>44</v>
      </c>
      <c r="T183" s="16"/>
      <c r="U183" s="484"/>
      <c r="V183" s="485"/>
      <c r="W183" s="243"/>
      <c r="X183" s="521"/>
      <c r="Y183" s="7">
        <f t="shared" si="4"/>
        <v>0</v>
      </c>
      <c r="Z183" s="522"/>
      <c r="AA183" s="469"/>
      <c r="AB183" s="479" t="s">
        <v>5937</v>
      </c>
      <c r="AC183" s="501"/>
      <c r="AD183" s="110">
        <v>0</v>
      </c>
      <c r="AE183" s="110"/>
      <c r="AF183" s="9">
        <f t="shared" si="5"/>
        <v>0</v>
      </c>
      <c r="AG183" s="110"/>
      <c r="AH183" s="486"/>
      <c r="AI183" s="516"/>
      <c r="AJ183" s="10"/>
      <c r="AK183" s="481"/>
      <c r="AL183" s="481"/>
    </row>
    <row r="184" spans="1:38" ht="15" customHeight="1" x14ac:dyDescent="0.3">
      <c r="A184" s="494" t="s">
        <v>22</v>
      </c>
      <c r="B184" s="29" t="s">
        <v>105</v>
      </c>
      <c r="C184" s="2">
        <v>6</v>
      </c>
      <c r="D184" s="11" t="s">
        <v>5936</v>
      </c>
      <c r="E184" s="432">
        <v>34366</v>
      </c>
      <c r="F184" s="12">
        <v>1994</v>
      </c>
      <c r="G184" s="21" t="s">
        <v>458</v>
      </c>
      <c r="H184" s="142"/>
      <c r="I184" s="22" t="s">
        <v>285</v>
      </c>
      <c r="J184" s="32" t="s">
        <v>26</v>
      </c>
      <c r="K184" s="474" t="s">
        <v>286</v>
      </c>
      <c r="L184" s="474"/>
      <c r="M184" s="474"/>
      <c r="N184" s="474"/>
      <c r="O184" s="475" t="s">
        <v>459</v>
      </c>
      <c r="P184" s="496" t="s">
        <v>456</v>
      </c>
      <c r="Q184" s="15" t="s">
        <v>282</v>
      </c>
      <c r="R184" s="15"/>
      <c r="S184" s="16" t="s">
        <v>44</v>
      </c>
      <c r="T184" s="16"/>
      <c r="U184" s="484" t="s">
        <v>460</v>
      </c>
      <c r="V184" s="485"/>
      <c r="W184" s="243"/>
      <c r="X184" s="521"/>
      <c r="Y184" s="7">
        <f t="shared" si="4"/>
        <v>0</v>
      </c>
      <c r="Z184" s="522"/>
      <c r="AA184" s="469"/>
      <c r="AB184" s="537" t="s">
        <v>5952</v>
      </c>
      <c r="AC184" s="538"/>
      <c r="AD184" s="110">
        <v>0</v>
      </c>
      <c r="AE184" s="110"/>
      <c r="AF184" s="9">
        <f t="shared" si="5"/>
        <v>0</v>
      </c>
      <c r="AG184" s="110"/>
      <c r="AH184" s="486"/>
      <c r="AI184" s="516"/>
      <c r="AJ184" s="10"/>
      <c r="AK184" s="481"/>
      <c r="AL184" s="481"/>
    </row>
    <row r="185" spans="1:38" ht="15" customHeight="1" x14ac:dyDescent="0.3">
      <c r="A185" s="473" t="s">
        <v>22</v>
      </c>
      <c r="B185" s="2" t="s">
        <v>105</v>
      </c>
      <c r="C185" s="6">
        <v>11</v>
      </c>
      <c r="D185" s="11" t="s">
        <v>5936</v>
      </c>
      <c r="E185" s="430">
        <v>35088</v>
      </c>
      <c r="F185" s="12">
        <v>1996</v>
      </c>
      <c r="G185" s="13" t="s">
        <v>461</v>
      </c>
      <c r="H185" s="142"/>
      <c r="I185" s="22" t="s">
        <v>264</v>
      </c>
      <c r="J185" s="32" t="s">
        <v>26</v>
      </c>
      <c r="K185" s="474" t="s">
        <v>280</v>
      </c>
      <c r="L185" s="474"/>
      <c r="M185" s="474"/>
      <c r="N185" s="474"/>
      <c r="O185" s="475"/>
      <c r="P185" s="476" t="s">
        <v>456</v>
      </c>
      <c r="Q185" s="15" t="s">
        <v>282</v>
      </c>
      <c r="R185" s="15"/>
      <c r="S185" s="16" t="s">
        <v>44</v>
      </c>
      <c r="T185" s="16"/>
      <c r="U185" s="484"/>
      <c r="V185" s="485"/>
      <c r="W185" s="243"/>
      <c r="X185" s="478"/>
      <c r="Y185" s="7">
        <f t="shared" si="4"/>
        <v>0</v>
      </c>
      <c r="Z185" s="478"/>
      <c r="AA185" s="469"/>
      <c r="AB185" s="479" t="s">
        <v>5937</v>
      </c>
      <c r="AC185" s="480"/>
      <c r="AD185" s="483">
        <v>0</v>
      </c>
      <c r="AE185" s="483"/>
      <c r="AF185" s="9">
        <f t="shared" si="5"/>
        <v>0</v>
      </c>
      <c r="AG185" s="483"/>
      <c r="AH185" s="486"/>
      <c r="AI185" s="475"/>
      <c r="AJ185" s="10"/>
      <c r="AK185" s="481"/>
      <c r="AL185" s="481"/>
    </row>
    <row r="186" spans="1:38" ht="15" customHeight="1" x14ac:dyDescent="0.3">
      <c r="A186" s="494" t="s">
        <v>22</v>
      </c>
      <c r="B186" s="2" t="s">
        <v>105</v>
      </c>
      <c r="C186" s="2">
        <v>12</v>
      </c>
      <c r="D186" s="11" t="s">
        <v>5936</v>
      </c>
      <c r="E186" s="432">
        <v>34131</v>
      </c>
      <c r="F186" s="12">
        <v>1993</v>
      </c>
      <c r="G186" s="23">
        <v>17334</v>
      </c>
      <c r="H186" s="142"/>
      <c r="I186" s="22" t="s">
        <v>264</v>
      </c>
      <c r="J186" s="32" t="s">
        <v>26</v>
      </c>
      <c r="K186" s="474" t="s">
        <v>374</v>
      </c>
      <c r="L186" s="474"/>
      <c r="M186" s="474"/>
      <c r="N186" s="474"/>
      <c r="O186" s="475"/>
      <c r="P186" s="68" t="s">
        <v>456</v>
      </c>
      <c r="Q186" s="15" t="s">
        <v>282</v>
      </c>
      <c r="R186" s="15"/>
      <c r="S186" s="16" t="s">
        <v>44</v>
      </c>
      <c r="T186" s="16"/>
      <c r="U186" s="484" t="s">
        <v>462</v>
      </c>
      <c r="V186" s="485"/>
      <c r="W186" s="243"/>
      <c r="X186" s="521"/>
      <c r="Y186" s="7">
        <f t="shared" si="4"/>
        <v>0</v>
      </c>
      <c r="Z186" s="522"/>
      <c r="AA186" s="469"/>
      <c r="AB186" s="479" t="s">
        <v>5937</v>
      </c>
      <c r="AC186" s="501"/>
      <c r="AD186" s="110">
        <v>0</v>
      </c>
      <c r="AE186" s="110"/>
      <c r="AF186" s="9">
        <f t="shared" si="5"/>
        <v>0</v>
      </c>
      <c r="AG186" s="110"/>
      <c r="AH186" s="486"/>
      <c r="AI186" s="516" t="s">
        <v>463</v>
      </c>
      <c r="AJ186" s="10"/>
      <c r="AK186" s="481"/>
      <c r="AL186" s="481"/>
    </row>
    <row r="187" spans="1:38" ht="15" customHeight="1" x14ac:dyDescent="0.3">
      <c r="A187" s="499" t="s">
        <v>22</v>
      </c>
      <c r="B187" s="29" t="s">
        <v>105</v>
      </c>
      <c r="C187" s="25">
        <v>1</v>
      </c>
      <c r="D187" s="11" t="s">
        <v>5936</v>
      </c>
      <c r="E187" s="431">
        <v>34870</v>
      </c>
      <c r="F187" s="12">
        <v>1995</v>
      </c>
      <c r="G187" s="13">
        <v>56559</v>
      </c>
      <c r="H187" s="142"/>
      <c r="I187" s="22" t="s">
        <v>264</v>
      </c>
      <c r="J187" s="32" t="s">
        <v>26</v>
      </c>
      <c r="K187" s="474" t="s">
        <v>286</v>
      </c>
      <c r="L187" s="474"/>
      <c r="M187" s="474"/>
      <c r="N187" s="474"/>
      <c r="O187" s="475" t="s">
        <v>464</v>
      </c>
      <c r="P187" s="476" t="s">
        <v>429</v>
      </c>
      <c r="Q187" s="15" t="s">
        <v>282</v>
      </c>
      <c r="R187" s="15"/>
      <c r="S187" s="16" t="s">
        <v>44</v>
      </c>
      <c r="T187" s="16"/>
      <c r="U187" s="484"/>
      <c r="V187" s="485"/>
      <c r="W187" s="243"/>
      <c r="X187" s="478"/>
      <c r="Y187" s="7">
        <f t="shared" si="4"/>
        <v>0</v>
      </c>
      <c r="Z187" s="478"/>
      <c r="AA187" s="469"/>
      <c r="AB187" s="487"/>
      <c r="AC187" s="488"/>
      <c r="AD187" s="59">
        <v>0</v>
      </c>
      <c r="AE187" s="59"/>
      <c r="AF187" s="9">
        <f t="shared" si="5"/>
        <v>0</v>
      </c>
      <c r="AG187" s="59"/>
      <c r="AH187" s="489">
        <v>0.5</v>
      </c>
      <c r="AI187" s="490"/>
      <c r="AJ187" s="491"/>
      <c r="AK187" s="481"/>
      <c r="AL187" s="10"/>
    </row>
    <row r="188" spans="1:38" ht="15" customHeight="1" x14ac:dyDescent="0.3">
      <c r="A188" s="473" t="s">
        <v>22</v>
      </c>
      <c r="B188" s="29" t="s">
        <v>105</v>
      </c>
      <c r="C188" s="6">
        <v>9</v>
      </c>
      <c r="D188" s="11" t="s">
        <v>5936</v>
      </c>
      <c r="E188" s="431">
        <v>35374</v>
      </c>
      <c r="F188" s="12">
        <v>1996</v>
      </c>
      <c r="G188" s="13">
        <v>25066</v>
      </c>
      <c r="H188" s="142"/>
      <c r="I188" s="22" t="s">
        <v>264</v>
      </c>
      <c r="J188" s="32" t="s">
        <v>26</v>
      </c>
      <c r="K188" s="474" t="s">
        <v>286</v>
      </c>
      <c r="L188" s="474"/>
      <c r="M188" s="474"/>
      <c r="N188" s="474"/>
      <c r="O188" s="475" t="s">
        <v>465</v>
      </c>
      <c r="P188" s="476" t="s">
        <v>429</v>
      </c>
      <c r="Q188" s="15" t="s">
        <v>282</v>
      </c>
      <c r="R188" s="15"/>
      <c r="S188" s="16" t="s">
        <v>44</v>
      </c>
      <c r="T188" s="16"/>
      <c r="U188" s="484"/>
      <c r="V188" s="485"/>
      <c r="W188" s="243"/>
      <c r="X188" s="478"/>
      <c r="Y188" s="7">
        <f t="shared" si="4"/>
        <v>0</v>
      </c>
      <c r="Z188" s="478"/>
      <c r="AA188" s="469"/>
      <c r="AB188" s="487"/>
      <c r="AC188" s="488"/>
      <c r="AD188" s="59">
        <v>0</v>
      </c>
      <c r="AE188" s="59"/>
      <c r="AF188" s="9">
        <f t="shared" si="5"/>
        <v>0</v>
      </c>
      <c r="AG188" s="59"/>
      <c r="AH188" s="489">
        <v>0.5</v>
      </c>
      <c r="AI188" s="490"/>
      <c r="AJ188" s="491"/>
      <c r="AK188" s="481"/>
      <c r="AL188" s="10"/>
    </row>
    <row r="189" spans="1:38" ht="15" customHeight="1" x14ac:dyDescent="0.3">
      <c r="A189" s="494" t="s">
        <v>22</v>
      </c>
      <c r="B189" s="29" t="s">
        <v>105</v>
      </c>
      <c r="C189" s="2">
        <v>18</v>
      </c>
      <c r="D189" s="11" t="s">
        <v>5936</v>
      </c>
      <c r="E189" s="432">
        <v>35655</v>
      </c>
      <c r="F189" s="12">
        <v>1997</v>
      </c>
      <c r="G189" s="23">
        <v>307</v>
      </c>
      <c r="H189" s="142"/>
      <c r="I189" s="22" t="s">
        <v>264</v>
      </c>
      <c r="J189" s="32" t="s">
        <v>191</v>
      </c>
      <c r="K189" s="474" t="s">
        <v>314</v>
      </c>
      <c r="L189" s="474"/>
      <c r="M189" s="474"/>
      <c r="N189" s="474"/>
      <c r="O189" s="475" t="s">
        <v>466</v>
      </c>
      <c r="P189" s="496" t="s">
        <v>429</v>
      </c>
      <c r="Q189" s="15" t="s">
        <v>282</v>
      </c>
      <c r="R189" s="15"/>
      <c r="S189" s="16" t="s">
        <v>35</v>
      </c>
      <c r="T189" s="16"/>
      <c r="U189" s="484" t="s">
        <v>467</v>
      </c>
      <c r="V189" s="485"/>
      <c r="W189" s="243"/>
      <c r="X189" s="521"/>
      <c r="Y189" s="7">
        <f t="shared" si="4"/>
        <v>0</v>
      </c>
      <c r="Z189" s="522"/>
      <c r="AA189" s="469"/>
      <c r="AB189" s="530"/>
      <c r="AC189" s="531"/>
      <c r="AD189" s="532">
        <v>0</v>
      </c>
      <c r="AE189" s="532"/>
      <c r="AF189" s="9">
        <f t="shared" si="5"/>
        <v>0</v>
      </c>
      <c r="AG189" s="532"/>
      <c r="AH189" s="489">
        <v>1</v>
      </c>
      <c r="AI189" s="533"/>
      <c r="AJ189" s="491"/>
      <c r="AK189" s="481"/>
      <c r="AL189" s="10"/>
    </row>
    <row r="190" spans="1:38" ht="15" customHeight="1" x14ac:dyDescent="0.3">
      <c r="A190" s="473" t="s">
        <v>22</v>
      </c>
      <c r="B190" s="2" t="s">
        <v>105</v>
      </c>
      <c r="C190" s="6">
        <v>1</v>
      </c>
      <c r="D190" s="11" t="s">
        <v>190</v>
      </c>
      <c r="E190" s="431">
        <v>34974</v>
      </c>
      <c r="F190" s="12">
        <v>1995</v>
      </c>
      <c r="G190" s="13" t="s">
        <v>468</v>
      </c>
      <c r="H190" s="142"/>
      <c r="I190" s="22" t="s">
        <v>264</v>
      </c>
      <c r="J190" s="32" t="s">
        <v>191</v>
      </c>
      <c r="K190" s="474" t="s">
        <v>314</v>
      </c>
      <c r="L190" s="474"/>
      <c r="M190" s="474"/>
      <c r="N190" s="474"/>
      <c r="O190" s="475"/>
      <c r="P190" s="476" t="s">
        <v>429</v>
      </c>
      <c r="Q190" s="15" t="s">
        <v>282</v>
      </c>
      <c r="R190" s="15"/>
      <c r="S190" s="16" t="s">
        <v>44</v>
      </c>
      <c r="T190" s="16"/>
      <c r="U190" s="484"/>
      <c r="V190" s="485"/>
      <c r="W190" s="243"/>
      <c r="X190" s="478"/>
      <c r="Y190" s="7">
        <f t="shared" si="4"/>
        <v>0</v>
      </c>
      <c r="Z190" s="478"/>
      <c r="AA190" s="469"/>
      <c r="AB190" s="479" t="s">
        <v>5937</v>
      </c>
      <c r="AC190" s="480"/>
      <c r="AD190" s="476">
        <v>0</v>
      </c>
      <c r="AE190" s="476"/>
      <c r="AF190" s="9">
        <f t="shared" si="5"/>
        <v>0</v>
      </c>
      <c r="AG190" s="476"/>
      <c r="AH190" s="475"/>
      <c r="AI190" s="476"/>
      <c r="AJ190" s="10"/>
      <c r="AK190" s="481"/>
      <c r="AL190" s="481"/>
    </row>
    <row r="191" spans="1:38" ht="15" customHeight="1" x14ac:dyDescent="0.3">
      <c r="A191" s="473" t="s">
        <v>22</v>
      </c>
      <c r="B191" s="2" t="s">
        <v>23</v>
      </c>
      <c r="C191" s="6">
        <v>12</v>
      </c>
      <c r="D191" s="11" t="s">
        <v>143</v>
      </c>
      <c r="E191" s="431">
        <v>35643</v>
      </c>
      <c r="F191" s="12">
        <v>1997</v>
      </c>
      <c r="G191" s="19"/>
      <c r="H191" s="142"/>
      <c r="I191" s="14" t="s">
        <v>285</v>
      </c>
      <c r="J191" s="32" t="s">
        <v>26</v>
      </c>
      <c r="K191" s="474" t="s">
        <v>469</v>
      </c>
      <c r="L191" s="474"/>
      <c r="M191" s="474"/>
      <c r="N191" s="474"/>
      <c r="O191" s="475"/>
      <c r="P191" s="476" t="s">
        <v>429</v>
      </c>
      <c r="Q191" s="15" t="s">
        <v>35</v>
      </c>
      <c r="R191" s="15"/>
      <c r="S191" s="16" t="s">
        <v>44</v>
      </c>
      <c r="T191" s="16"/>
      <c r="U191" s="484"/>
      <c r="V191" s="485"/>
      <c r="W191" s="243"/>
      <c r="X191" s="478"/>
      <c r="Y191" s="7">
        <f t="shared" si="4"/>
        <v>0</v>
      </c>
      <c r="Z191" s="478"/>
      <c r="AA191" s="469"/>
      <c r="AB191" s="479" t="s">
        <v>318</v>
      </c>
      <c r="AC191" s="480"/>
      <c r="AD191" s="498">
        <v>0</v>
      </c>
      <c r="AE191" s="498"/>
      <c r="AF191" s="9">
        <f t="shared" si="5"/>
        <v>0</v>
      </c>
      <c r="AG191" s="498"/>
      <c r="AH191" s="475"/>
      <c r="AI191" s="476"/>
      <c r="AJ191" s="10"/>
      <c r="AK191" s="481"/>
      <c r="AL191" s="481"/>
    </row>
    <row r="192" spans="1:38" ht="15" customHeight="1" x14ac:dyDescent="0.3">
      <c r="A192" s="473" t="s">
        <v>22</v>
      </c>
      <c r="B192" s="2" t="s">
        <v>23</v>
      </c>
      <c r="C192" s="6">
        <v>1</v>
      </c>
      <c r="D192" s="11" t="s">
        <v>143</v>
      </c>
      <c r="E192" s="431">
        <v>35156</v>
      </c>
      <c r="F192" s="12">
        <v>1996</v>
      </c>
      <c r="G192" s="19"/>
      <c r="H192" s="142"/>
      <c r="I192" s="14" t="s">
        <v>285</v>
      </c>
      <c r="J192" s="32" t="s">
        <v>81</v>
      </c>
      <c r="K192" s="474" t="s">
        <v>329</v>
      </c>
      <c r="L192" s="474"/>
      <c r="M192" s="474"/>
      <c r="N192" s="474"/>
      <c r="O192" s="475"/>
      <c r="P192" s="476" t="s">
        <v>429</v>
      </c>
      <c r="Q192" s="15" t="s">
        <v>282</v>
      </c>
      <c r="R192" s="15"/>
      <c r="S192" s="16" t="s">
        <v>44</v>
      </c>
      <c r="T192" s="16"/>
      <c r="U192" s="484"/>
      <c r="V192" s="485"/>
      <c r="W192" s="243"/>
      <c r="X192" s="478"/>
      <c r="Y192" s="7">
        <f t="shared" si="4"/>
        <v>0</v>
      </c>
      <c r="Z192" s="478"/>
      <c r="AA192" s="469"/>
      <c r="AB192" s="479" t="s">
        <v>318</v>
      </c>
      <c r="AC192" s="480"/>
      <c r="AD192" s="498">
        <v>0</v>
      </c>
      <c r="AE192" s="498"/>
      <c r="AF192" s="9">
        <f t="shared" si="5"/>
        <v>0</v>
      </c>
      <c r="AG192" s="498"/>
      <c r="AH192" s="486"/>
      <c r="AI192" s="475"/>
      <c r="AJ192" s="10"/>
      <c r="AK192" s="481"/>
      <c r="AL192" s="481"/>
    </row>
    <row r="193" spans="1:38" ht="15" customHeight="1" x14ac:dyDescent="0.3">
      <c r="A193" s="473" t="s">
        <v>22</v>
      </c>
      <c r="B193" s="2" t="s">
        <v>142</v>
      </c>
      <c r="C193" s="6">
        <v>4</v>
      </c>
      <c r="D193" s="11" t="s">
        <v>143</v>
      </c>
      <c r="E193" s="430">
        <v>36360</v>
      </c>
      <c r="F193" s="12">
        <v>1999</v>
      </c>
      <c r="G193" s="24"/>
      <c r="H193" s="142"/>
      <c r="I193" s="22" t="s">
        <v>264</v>
      </c>
      <c r="J193" s="32" t="s">
        <v>26</v>
      </c>
      <c r="K193" s="474" t="s">
        <v>470</v>
      </c>
      <c r="L193" s="474"/>
      <c r="M193" s="474"/>
      <c r="N193" s="474"/>
      <c r="O193" s="475" t="s">
        <v>471</v>
      </c>
      <c r="P193" s="492" t="s">
        <v>429</v>
      </c>
      <c r="Q193" s="15" t="s">
        <v>282</v>
      </c>
      <c r="R193" s="15"/>
      <c r="S193" s="16" t="s">
        <v>44</v>
      </c>
      <c r="T193" s="16"/>
      <c r="U193" s="484"/>
      <c r="V193" s="485"/>
      <c r="W193" s="243"/>
      <c r="X193" s="478"/>
      <c r="Y193" s="7">
        <f t="shared" si="4"/>
        <v>0</v>
      </c>
      <c r="Z193" s="478"/>
      <c r="AA193" s="469"/>
      <c r="AB193" s="487"/>
      <c r="AC193" s="488"/>
      <c r="AD193" s="59">
        <v>0</v>
      </c>
      <c r="AE193" s="59"/>
      <c r="AF193" s="9">
        <f t="shared" si="5"/>
        <v>0</v>
      </c>
      <c r="AG193" s="59"/>
      <c r="AH193" s="489">
        <v>0.5</v>
      </c>
      <c r="AI193" s="490"/>
      <c r="AJ193" s="475"/>
      <c r="AK193" s="491"/>
      <c r="AL193" s="10"/>
    </row>
    <row r="194" spans="1:38" ht="15" customHeight="1" x14ac:dyDescent="0.3">
      <c r="A194" s="494" t="s">
        <v>22</v>
      </c>
      <c r="B194" s="2" t="s">
        <v>227</v>
      </c>
      <c r="C194" s="2">
        <v>5</v>
      </c>
      <c r="D194" s="11" t="s">
        <v>225</v>
      </c>
      <c r="E194" s="432">
        <v>35908</v>
      </c>
      <c r="F194" s="12">
        <v>1998</v>
      </c>
      <c r="G194" s="23">
        <v>35866</v>
      </c>
      <c r="H194" s="142"/>
      <c r="I194" s="22" t="s">
        <v>264</v>
      </c>
      <c r="J194" s="32" t="s">
        <v>26</v>
      </c>
      <c r="K194" s="474" t="s">
        <v>472</v>
      </c>
      <c r="L194" s="474"/>
      <c r="M194" s="474"/>
      <c r="N194" s="474"/>
      <c r="O194" s="474" t="s">
        <v>473</v>
      </c>
      <c r="P194" s="496" t="s">
        <v>429</v>
      </c>
      <c r="Q194" s="15" t="s">
        <v>282</v>
      </c>
      <c r="R194" s="15"/>
      <c r="S194" s="16" t="s">
        <v>44</v>
      </c>
      <c r="T194" s="16"/>
      <c r="U194" s="484"/>
      <c r="V194" s="485"/>
      <c r="W194" s="243"/>
      <c r="X194" s="521"/>
      <c r="Y194" s="7">
        <f t="shared" ref="Y194:Y257" si="6">W194*AE194</f>
        <v>0</v>
      </c>
      <c r="Z194" s="522"/>
      <c r="AA194" s="469"/>
      <c r="AB194" s="500" t="s">
        <v>5953</v>
      </c>
      <c r="AC194" s="501"/>
      <c r="AD194" s="496">
        <v>0</v>
      </c>
      <c r="AE194" s="496"/>
      <c r="AF194" s="9">
        <f t="shared" si="5"/>
        <v>0</v>
      </c>
      <c r="AG194" s="496"/>
      <c r="AH194" s="539" t="s">
        <v>5954</v>
      </c>
      <c r="AI194" s="475"/>
      <c r="AJ194" s="10"/>
      <c r="AK194" s="481"/>
      <c r="AL194" s="481"/>
    </row>
    <row r="195" spans="1:38" ht="15" customHeight="1" x14ac:dyDescent="0.3">
      <c r="A195" s="494" t="s">
        <v>22</v>
      </c>
      <c r="B195" s="2" t="s">
        <v>227</v>
      </c>
      <c r="C195" s="2">
        <v>2</v>
      </c>
      <c r="D195" s="11" t="s">
        <v>225</v>
      </c>
      <c r="E195" s="432">
        <v>35852</v>
      </c>
      <c r="F195" s="12">
        <v>1998</v>
      </c>
      <c r="G195" s="23">
        <v>35866</v>
      </c>
      <c r="H195" s="223"/>
      <c r="I195" s="22" t="s">
        <v>264</v>
      </c>
      <c r="J195" s="32" t="s">
        <v>26</v>
      </c>
      <c r="K195" s="474" t="s">
        <v>470</v>
      </c>
      <c r="L195" s="474"/>
      <c r="M195" s="474"/>
      <c r="N195" s="474"/>
      <c r="O195" s="474" t="s">
        <v>474</v>
      </c>
      <c r="P195" s="496" t="s">
        <v>429</v>
      </c>
      <c r="Q195" s="15" t="s">
        <v>282</v>
      </c>
      <c r="R195" s="15"/>
      <c r="S195" s="16" t="s">
        <v>44</v>
      </c>
      <c r="T195" s="16"/>
      <c r="U195" s="484"/>
      <c r="V195" s="485"/>
      <c r="W195" s="243"/>
      <c r="X195" s="521"/>
      <c r="Y195" s="7">
        <f t="shared" si="6"/>
        <v>0</v>
      </c>
      <c r="Z195" s="522"/>
      <c r="AA195" s="469"/>
      <c r="AB195" s="530"/>
      <c r="AC195" s="531"/>
      <c r="AD195" s="532">
        <v>0</v>
      </c>
      <c r="AE195" s="532"/>
      <c r="AF195" s="9">
        <f t="shared" ref="AF195:AF258" si="7">AD195+AE195</f>
        <v>0</v>
      </c>
      <c r="AG195" s="532"/>
      <c r="AH195" s="540">
        <v>0.5</v>
      </c>
      <c r="AI195" s="490"/>
      <c r="AJ195" s="10"/>
      <c r="AK195" s="481"/>
      <c r="AL195" s="10"/>
    </row>
    <row r="196" spans="1:38" ht="15" customHeight="1" x14ac:dyDescent="0.3">
      <c r="A196" s="494" t="s">
        <v>22</v>
      </c>
      <c r="B196" s="2" t="s">
        <v>105</v>
      </c>
      <c r="C196" s="2">
        <v>17</v>
      </c>
      <c r="D196" s="11" t="s">
        <v>225</v>
      </c>
      <c r="E196" s="433">
        <v>34735</v>
      </c>
      <c r="F196" s="12">
        <v>1995</v>
      </c>
      <c r="G196" s="23">
        <v>709</v>
      </c>
      <c r="H196" s="142"/>
      <c r="I196" s="22" t="s">
        <v>264</v>
      </c>
      <c r="J196" s="32" t="s">
        <v>191</v>
      </c>
      <c r="K196" s="474" t="s">
        <v>314</v>
      </c>
      <c r="L196" s="474"/>
      <c r="M196" s="474"/>
      <c r="N196" s="474"/>
      <c r="O196" s="475"/>
      <c r="P196" s="496" t="s">
        <v>429</v>
      </c>
      <c r="Q196" s="15" t="s">
        <v>35</v>
      </c>
      <c r="R196" s="15"/>
      <c r="S196" s="16" t="s">
        <v>44</v>
      </c>
      <c r="T196" s="16"/>
      <c r="U196" s="484" t="s">
        <v>475</v>
      </c>
      <c r="V196" s="485"/>
      <c r="W196" s="243"/>
      <c r="X196" s="521"/>
      <c r="Y196" s="7">
        <f t="shared" si="6"/>
        <v>0</v>
      </c>
      <c r="Z196" s="522"/>
      <c r="AA196" s="469"/>
      <c r="AB196" s="530"/>
      <c r="AC196" s="531"/>
      <c r="AD196" s="532">
        <v>0</v>
      </c>
      <c r="AE196" s="532"/>
      <c r="AF196" s="9">
        <f t="shared" si="7"/>
        <v>0</v>
      </c>
      <c r="AG196" s="532"/>
      <c r="AH196" s="540">
        <v>0.75</v>
      </c>
      <c r="AI196" s="490"/>
      <c r="AJ196" s="10"/>
      <c r="AK196" s="481"/>
      <c r="AL196" s="10"/>
    </row>
    <row r="197" spans="1:38" ht="15" customHeight="1" x14ac:dyDescent="0.3">
      <c r="A197" s="494" t="s">
        <v>22</v>
      </c>
      <c r="B197" s="2" t="s">
        <v>105</v>
      </c>
      <c r="C197" s="2">
        <v>12</v>
      </c>
      <c r="D197" s="11" t="s">
        <v>225</v>
      </c>
      <c r="E197" s="433">
        <v>35019</v>
      </c>
      <c r="F197" s="12">
        <v>1995</v>
      </c>
      <c r="G197" s="23">
        <v>20410</v>
      </c>
      <c r="H197" s="142"/>
      <c r="I197" s="22" t="s">
        <v>264</v>
      </c>
      <c r="J197" s="32" t="s">
        <v>26</v>
      </c>
      <c r="K197" s="474" t="s">
        <v>280</v>
      </c>
      <c r="L197" s="474"/>
      <c r="M197" s="474"/>
      <c r="N197" s="474"/>
      <c r="O197" s="475" t="s">
        <v>476</v>
      </c>
      <c r="P197" s="110" t="s">
        <v>477</v>
      </c>
      <c r="Q197" s="15" t="s">
        <v>35</v>
      </c>
      <c r="R197" s="15"/>
      <c r="S197" s="16" t="s">
        <v>35</v>
      </c>
      <c r="T197" s="16"/>
      <c r="U197" s="484" t="s">
        <v>478</v>
      </c>
      <c r="V197" s="485"/>
      <c r="W197" s="243"/>
      <c r="X197" s="521"/>
      <c r="Y197" s="7">
        <f t="shared" si="6"/>
        <v>0</v>
      </c>
      <c r="Z197" s="522"/>
      <c r="AA197" s="469"/>
      <c r="AB197" s="479" t="s">
        <v>5937</v>
      </c>
      <c r="AC197" s="501"/>
      <c r="AD197" s="535">
        <v>0</v>
      </c>
      <c r="AE197" s="535"/>
      <c r="AF197" s="9">
        <f t="shared" si="7"/>
        <v>0</v>
      </c>
      <c r="AG197" s="535"/>
      <c r="AH197" s="516"/>
      <c r="AI197" s="476"/>
      <c r="AJ197" s="10"/>
      <c r="AK197" s="481"/>
      <c r="AL197" s="481"/>
    </row>
    <row r="198" spans="1:38" ht="15" customHeight="1" x14ac:dyDescent="0.3">
      <c r="A198" s="494" t="s">
        <v>22</v>
      </c>
      <c r="B198" s="2" t="s">
        <v>105</v>
      </c>
      <c r="C198" s="2">
        <v>2</v>
      </c>
      <c r="D198" s="11" t="s">
        <v>5936</v>
      </c>
      <c r="E198" s="433">
        <v>36481</v>
      </c>
      <c r="F198" s="12">
        <v>1999</v>
      </c>
      <c r="G198" s="23">
        <v>911</v>
      </c>
      <c r="H198" s="142"/>
      <c r="I198" s="30" t="s">
        <v>38</v>
      </c>
      <c r="J198" s="495" t="s">
        <v>479</v>
      </c>
      <c r="K198" s="474" t="s">
        <v>469</v>
      </c>
      <c r="L198" s="474"/>
      <c r="M198" s="474"/>
      <c r="N198" s="474"/>
      <c r="O198" s="475" t="s">
        <v>480</v>
      </c>
      <c r="P198" s="496" t="s">
        <v>481</v>
      </c>
      <c r="Q198" s="476"/>
      <c r="R198" s="476"/>
      <c r="S198" s="476"/>
      <c r="T198" s="476"/>
      <c r="U198" s="476"/>
      <c r="V198" s="477"/>
      <c r="W198" s="243"/>
      <c r="X198" s="521"/>
      <c r="Y198" s="7">
        <f t="shared" si="6"/>
        <v>0</v>
      </c>
      <c r="Z198" s="522"/>
      <c r="AA198" s="469"/>
      <c r="AB198" s="479" t="s">
        <v>5937</v>
      </c>
      <c r="AC198" s="501"/>
      <c r="AD198" s="535">
        <v>0</v>
      </c>
      <c r="AE198" s="535"/>
      <c r="AF198" s="9">
        <f t="shared" si="7"/>
        <v>0</v>
      </c>
      <c r="AG198" s="535"/>
      <c r="AH198" s="516"/>
      <c r="AI198" s="476"/>
      <c r="AJ198" s="10"/>
      <c r="AK198" s="481"/>
      <c r="AL198" s="481"/>
    </row>
    <row r="199" spans="1:38" ht="15" customHeight="1" x14ac:dyDescent="0.3">
      <c r="A199" s="494" t="s">
        <v>22</v>
      </c>
      <c r="B199" s="2" t="s">
        <v>197</v>
      </c>
      <c r="C199" s="2">
        <v>4</v>
      </c>
      <c r="D199" s="11" t="s">
        <v>143</v>
      </c>
      <c r="E199" s="433">
        <v>35870</v>
      </c>
      <c r="F199" s="12">
        <v>1998</v>
      </c>
      <c r="G199" s="23">
        <v>15273</v>
      </c>
      <c r="H199" s="178"/>
      <c r="I199" s="22" t="s">
        <v>285</v>
      </c>
      <c r="J199" s="32" t="s">
        <v>26</v>
      </c>
      <c r="K199" s="474" t="s">
        <v>482</v>
      </c>
      <c r="L199" s="474"/>
      <c r="M199" s="474"/>
      <c r="N199" s="474"/>
      <c r="O199" s="475" t="s">
        <v>483</v>
      </c>
      <c r="P199" s="68" t="s">
        <v>484</v>
      </c>
      <c r="Q199" s="15" t="s">
        <v>35</v>
      </c>
      <c r="R199" s="15"/>
      <c r="S199" s="16" t="s">
        <v>44</v>
      </c>
      <c r="T199" s="16"/>
      <c r="U199" s="484" t="s">
        <v>485</v>
      </c>
      <c r="V199" s="485"/>
      <c r="W199" s="243"/>
      <c r="X199" s="521"/>
      <c r="Y199" s="7">
        <f t="shared" si="6"/>
        <v>0</v>
      </c>
      <c r="Z199" s="522"/>
      <c r="AA199" s="469"/>
      <c r="AB199" s="530"/>
      <c r="AC199" s="531"/>
      <c r="AD199" s="532">
        <v>0</v>
      </c>
      <c r="AE199" s="532"/>
      <c r="AF199" s="9">
        <f t="shared" si="7"/>
        <v>0</v>
      </c>
      <c r="AG199" s="532"/>
      <c r="AH199" s="540">
        <v>0.75</v>
      </c>
      <c r="AI199" s="490" t="s">
        <v>486</v>
      </c>
      <c r="AJ199" s="516"/>
      <c r="AK199" s="491"/>
      <c r="AL199" s="10"/>
    </row>
    <row r="200" spans="1:38" ht="15" customHeight="1" x14ac:dyDescent="0.3">
      <c r="A200" s="473" t="s">
        <v>22</v>
      </c>
      <c r="B200" s="2" t="s">
        <v>5944</v>
      </c>
      <c r="C200" s="6">
        <v>3</v>
      </c>
      <c r="D200" s="11" t="s">
        <v>143</v>
      </c>
      <c r="E200" s="430">
        <v>35468</v>
      </c>
      <c r="F200" s="12">
        <v>1997</v>
      </c>
      <c r="G200" s="24"/>
      <c r="H200" s="178"/>
      <c r="I200" s="22" t="s">
        <v>264</v>
      </c>
      <c r="J200" s="32" t="s">
        <v>191</v>
      </c>
      <c r="K200" s="474" t="s">
        <v>487</v>
      </c>
      <c r="L200" s="474"/>
      <c r="M200" s="474"/>
      <c r="N200" s="474"/>
      <c r="O200" s="475" t="s">
        <v>488</v>
      </c>
      <c r="P200" s="541" t="s">
        <v>484</v>
      </c>
      <c r="Q200" s="15" t="s">
        <v>282</v>
      </c>
      <c r="R200" s="15"/>
      <c r="S200" s="16" t="s">
        <v>44</v>
      </c>
      <c r="T200" s="16"/>
      <c r="U200" s="484" t="s">
        <v>489</v>
      </c>
      <c r="V200" s="485"/>
      <c r="W200" s="243"/>
      <c r="X200" s="478"/>
      <c r="Y200" s="7">
        <f t="shared" si="6"/>
        <v>0</v>
      </c>
      <c r="Z200" s="478"/>
      <c r="AA200" s="469"/>
      <c r="AB200" s="487"/>
      <c r="AC200" s="488"/>
      <c r="AD200" s="59">
        <v>0</v>
      </c>
      <c r="AE200" s="59"/>
      <c r="AF200" s="9">
        <f t="shared" si="7"/>
        <v>0</v>
      </c>
      <c r="AG200" s="59"/>
      <c r="AH200" s="489">
        <v>0.5</v>
      </c>
      <c r="AI200" s="490"/>
      <c r="AJ200" s="10"/>
      <c r="AK200" s="481"/>
      <c r="AL200" s="481"/>
    </row>
    <row r="201" spans="1:38" ht="15" customHeight="1" x14ac:dyDescent="0.3">
      <c r="A201" s="542" t="s">
        <v>22</v>
      </c>
      <c r="B201" s="29" t="s">
        <v>197</v>
      </c>
      <c r="C201" s="45">
        <v>2</v>
      </c>
      <c r="D201" s="11" t="s">
        <v>143</v>
      </c>
      <c r="E201" s="438">
        <v>35721</v>
      </c>
      <c r="F201" s="12">
        <v>1997</v>
      </c>
      <c r="G201" s="46">
        <v>13590</v>
      </c>
      <c r="H201" s="142"/>
      <c r="I201" s="22" t="s">
        <v>264</v>
      </c>
      <c r="J201" s="543"/>
      <c r="K201" s="544" t="s">
        <v>490</v>
      </c>
      <c r="L201" s="544"/>
      <c r="M201" s="544"/>
      <c r="N201" s="544"/>
      <c r="O201" s="512"/>
      <c r="P201" s="508" t="s">
        <v>491</v>
      </c>
      <c r="Q201" s="15" t="s">
        <v>282</v>
      </c>
      <c r="R201" s="15"/>
      <c r="S201" s="16" t="s">
        <v>44</v>
      </c>
      <c r="T201" s="16"/>
      <c r="U201" s="484"/>
      <c r="V201" s="485"/>
      <c r="W201" s="243"/>
      <c r="X201" s="545"/>
      <c r="Y201" s="7">
        <f t="shared" si="6"/>
        <v>0</v>
      </c>
      <c r="Z201" s="545"/>
      <c r="AA201" s="469"/>
      <c r="AB201" s="546" t="s">
        <v>5955</v>
      </c>
      <c r="AC201" s="547"/>
      <c r="AD201" s="508">
        <v>0</v>
      </c>
      <c r="AE201" s="508"/>
      <c r="AF201" s="9">
        <f t="shared" si="7"/>
        <v>0</v>
      </c>
      <c r="AG201" s="508"/>
      <c r="AH201" s="512" t="s">
        <v>5956</v>
      </c>
      <c r="AI201" s="508"/>
      <c r="AJ201" s="47"/>
      <c r="AK201" s="481"/>
      <c r="AL201" s="548"/>
    </row>
    <row r="202" spans="1:38" ht="15" customHeight="1" x14ac:dyDescent="0.3">
      <c r="A202" s="473" t="s">
        <v>22</v>
      </c>
      <c r="B202" s="2" t="s">
        <v>144</v>
      </c>
      <c r="C202" s="6">
        <v>4</v>
      </c>
      <c r="D202" s="11" t="s">
        <v>143</v>
      </c>
      <c r="E202" s="431">
        <v>35689</v>
      </c>
      <c r="F202" s="12">
        <v>1997</v>
      </c>
      <c r="G202" s="19"/>
      <c r="H202" s="142"/>
      <c r="I202" s="14" t="s">
        <v>285</v>
      </c>
      <c r="J202" s="502" t="s">
        <v>315</v>
      </c>
      <c r="K202" s="474" t="s">
        <v>316</v>
      </c>
      <c r="L202" s="474"/>
      <c r="M202" s="474"/>
      <c r="N202" s="474"/>
      <c r="O202" s="497"/>
      <c r="P202" s="476" t="s">
        <v>365</v>
      </c>
      <c r="Q202" s="476"/>
      <c r="R202" s="476"/>
      <c r="S202" s="476"/>
      <c r="T202" s="476"/>
      <c r="U202" s="476"/>
      <c r="V202" s="477"/>
      <c r="W202" s="243"/>
      <c r="X202" s="478"/>
      <c r="Y202" s="7">
        <f t="shared" si="6"/>
        <v>0</v>
      </c>
      <c r="Z202" s="478"/>
      <c r="AA202" s="469"/>
      <c r="AB202" s="503" t="s">
        <v>6055</v>
      </c>
      <c r="AC202" s="222"/>
      <c r="AD202" s="549">
        <v>0</v>
      </c>
      <c r="AE202" s="549"/>
      <c r="AF202" s="9">
        <f t="shared" si="7"/>
        <v>0</v>
      </c>
      <c r="AG202" s="549"/>
      <c r="AH202" s="475"/>
      <c r="AI202" s="476"/>
      <c r="AJ202" s="10"/>
      <c r="AK202" s="481"/>
      <c r="AL202" s="481"/>
    </row>
    <row r="203" spans="1:38" ht="15" customHeight="1" x14ac:dyDescent="0.3">
      <c r="A203" s="473" t="s">
        <v>22</v>
      </c>
      <c r="B203" s="2" t="s">
        <v>105</v>
      </c>
      <c r="C203" s="6">
        <v>1</v>
      </c>
      <c r="D203" s="11" t="s">
        <v>5936</v>
      </c>
      <c r="E203" s="430">
        <v>35320</v>
      </c>
      <c r="F203" s="12">
        <v>1996</v>
      </c>
      <c r="G203" s="13" t="s">
        <v>492</v>
      </c>
      <c r="H203" s="142"/>
      <c r="I203" s="22" t="s">
        <v>264</v>
      </c>
      <c r="J203" s="32"/>
      <c r="K203" s="474" t="s">
        <v>351</v>
      </c>
      <c r="L203" s="474"/>
      <c r="M203" s="474"/>
      <c r="N203" s="474"/>
      <c r="O203" s="475"/>
      <c r="P203" s="476" t="s">
        <v>493</v>
      </c>
      <c r="Q203" s="15"/>
      <c r="R203" s="15"/>
      <c r="S203" s="16"/>
      <c r="T203" s="16"/>
      <c r="U203" s="484"/>
      <c r="V203" s="485"/>
      <c r="W203" s="243"/>
      <c r="X203" s="478"/>
      <c r="Y203" s="7">
        <f t="shared" si="6"/>
        <v>0</v>
      </c>
      <c r="Z203" s="478"/>
      <c r="AA203" s="469"/>
      <c r="AB203" s="479" t="s">
        <v>5937</v>
      </c>
      <c r="AC203" s="480"/>
      <c r="AD203" s="476">
        <v>0</v>
      </c>
      <c r="AE203" s="476"/>
      <c r="AF203" s="9">
        <f t="shared" si="7"/>
        <v>0</v>
      </c>
      <c r="AG203" s="476"/>
      <c r="AH203" s="475"/>
      <c r="AI203" s="476"/>
      <c r="AJ203" s="10"/>
      <c r="AK203" s="481"/>
      <c r="AL203" s="481"/>
    </row>
    <row r="204" spans="1:38" ht="15" customHeight="1" x14ac:dyDescent="0.3">
      <c r="A204" s="473" t="s">
        <v>22</v>
      </c>
      <c r="B204" s="2" t="s">
        <v>142</v>
      </c>
      <c r="C204" s="6">
        <v>2</v>
      </c>
      <c r="D204" s="11" t="s">
        <v>143</v>
      </c>
      <c r="E204" s="430">
        <v>36285</v>
      </c>
      <c r="F204" s="12">
        <v>1999</v>
      </c>
      <c r="G204" s="24">
        <v>19990066</v>
      </c>
      <c r="H204" s="157"/>
      <c r="I204" s="22" t="s">
        <v>264</v>
      </c>
      <c r="J204" s="32" t="s">
        <v>191</v>
      </c>
      <c r="K204" s="474" t="s">
        <v>314</v>
      </c>
      <c r="L204" s="474"/>
      <c r="M204" s="474"/>
      <c r="N204" s="474"/>
      <c r="O204" s="475" t="s">
        <v>494</v>
      </c>
      <c r="P204" s="476" t="s">
        <v>495</v>
      </c>
      <c r="Q204" s="476"/>
      <c r="R204" s="476"/>
      <c r="S204" s="476"/>
      <c r="T204" s="476"/>
      <c r="U204" s="476"/>
      <c r="V204" s="477"/>
      <c r="W204" s="243"/>
      <c r="X204" s="478"/>
      <c r="Y204" s="7">
        <f t="shared" si="6"/>
        <v>0</v>
      </c>
      <c r="Z204" s="478"/>
      <c r="AA204" s="469"/>
      <c r="AB204" s="503" t="s">
        <v>6055</v>
      </c>
      <c r="AC204" s="222"/>
      <c r="AD204" s="476">
        <v>0</v>
      </c>
      <c r="AE204" s="476"/>
      <c r="AF204" s="9">
        <f t="shared" si="7"/>
        <v>0</v>
      </c>
      <c r="AG204" s="476"/>
      <c r="AH204" s="475" t="s">
        <v>496</v>
      </c>
      <c r="AI204" s="476"/>
      <c r="AJ204" s="10"/>
      <c r="AK204" s="481"/>
      <c r="AL204" s="481"/>
    </row>
    <row r="205" spans="1:38" ht="15" customHeight="1" x14ac:dyDescent="0.3">
      <c r="A205" s="494" t="s">
        <v>22</v>
      </c>
      <c r="B205" s="2" t="s">
        <v>105</v>
      </c>
      <c r="C205" s="2">
        <v>13</v>
      </c>
      <c r="D205" s="11" t="s">
        <v>5936</v>
      </c>
      <c r="E205" s="433">
        <v>33786</v>
      </c>
      <c r="F205" s="12">
        <v>1992</v>
      </c>
      <c r="G205" s="23" t="s">
        <v>497</v>
      </c>
      <c r="H205" s="142"/>
      <c r="I205" s="22" t="s">
        <v>264</v>
      </c>
      <c r="J205" s="32" t="s">
        <v>26</v>
      </c>
      <c r="K205" s="474" t="s">
        <v>498</v>
      </c>
      <c r="L205" s="474"/>
      <c r="M205" s="474"/>
      <c r="N205" s="474"/>
      <c r="O205" s="475" t="s">
        <v>499</v>
      </c>
      <c r="P205" s="476" t="s">
        <v>493</v>
      </c>
      <c r="Q205" s="15" t="s">
        <v>282</v>
      </c>
      <c r="R205" s="15"/>
      <c r="S205" s="16"/>
      <c r="T205" s="16"/>
      <c r="U205" s="484"/>
      <c r="V205" s="485"/>
      <c r="W205" s="243"/>
      <c r="X205" s="521"/>
      <c r="Y205" s="7">
        <f t="shared" si="6"/>
        <v>0</v>
      </c>
      <c r="Z205" s="522"/>
      <c r="AA205" s="469"/>
      <c r="AB205" s="479" t="s">
        <v>5937</v>
      </c>
      <c r="AC205" s="501"/>
      <c r="AD205" s="496">
        <v>0</v>
      </c>
      <c r="AE205" s="496"/>
      <c r="AF205" s="9">
        <f t="shared" si="7"/>
        <v>0</v>
      </c>
      <c r="AG205" s="496"/>
      <c r="AH205" s="516"/>
      <c r="AI205" s="476"/>
      <c r="AJ205" s="48"/>
      <c r="AK205" s="481"/>
      <c r="AL205" s="481"/>
    </row>
    <row r="206" spans="1:38" ht="15" customHeight="1" x14ac:dyDescent="0.3">
      <c r="A206" s="494" t="s">
        <v>22</v>
      </c>
      <c r="B206" s="2" t="s">
        <v>142</v>
      </c>
      <c r="C206" s="2"/>
      <c r="D206" s="11" t="s">
        <v>5936</v>
      </c>
      <c r="E206" s="432">
        <v>34281</v>
      </c>
      <c r="F206" s="12">
        <v>1993</v>
      </c>
      <c r="G206" s="31"/>
      <c r="H206" s="506"/>
      <c r="I206" s="22" t="s">
        <v>285</v>
      </c>
      <c r="J206" s="495"/>
      <c r="K206" s="474" t="s">
        <v>469</v>
      </c>
      <c r="L206" s="474"/>
      <c r="M206" s="474"/>
      <c r="N206" s="474"/>
      <c r="O206" s="475"/>
      <c r="P206" s="496" t="s">
        <v>493</v>
      </c>
      <c r="Q206" s="15" t="s">
        <v>369</v>
      </c>
      <c r="R206" s="15"/>
      <c r="S206" s="16"/>
      <c r="T206" s="16"/>
      <c r="U206" s="484"/>
      <c r="V206" s="485"/>
      <c r="W206" s="243"/>
      <c r="X206" s="521"/>
      <c r="Y206" s="7">
        <f t="shared" si="6"/>
        <v>0</v>
      </c>
      <c r="Z206" s="522"/>
      <c r="AA206" s="469"/>
      <c r="AB206" s="500"/>
      <c r="AC206" s="501"/>
      <c r="AD206" s="496">
        <v>0</v>
      </c>
      <c r="AE206" s="496"/>
      <c r="AF206" s="9">
        <f t="shared" si="7"/>
        <v>0</v>
      </c>
      <c r="AG206" s="496"/>
      <c r="AH206" s="93" t="s">
        <v>500</v>
      </c>
      <c r="AI206" s="476"/>
      <c r="AJ206" s="48"/>
      <c r="AK206" s="481"/>
      <c r="AL206" s="481"/>
    </row>
    <row r="207" spans="1:38" ht="15" customHeight="1" x14ac:dyDescent="0.3">
      <c r="A207" s="494" t="s">
        <v>22</v>
      </c>
      <c r="B207" s="2" t="s">
        <v>105</v>
      </c>
      <c r="C207" s="2"/>
      <c r="D207" s="11" t="s">
        <v>5936</v>
      </c>
      <c r="E207" s="432"/>
      <c r="F207" s="33"/>
      <c r="G207" s="31"/>
      <c r="H207" s="142"/>
      <c r="I207" s="22" t="s">
        <v>285</v>
      </c>
      <c r="J207" s="32"/>
      <c r="K207" s="474" t="s">
        <v>501</v>
      </c>
      <c r="L207" s="474"/>
      <c r="M207" s="474"/>
      <c r="N207" s="474"/>
      <c r="O207" s="474"/>
      <c r="P207" s="551" t="s">
        <v>493</v>
      </c>
      <c r="Q207" s="476"/>
      <c r="R207" s="476"/>
      <c r="S207" s="476"/>
      <c r="T207" s="476"/>
      <c r="U207" s="476"/>
      <c r="V207" s="477"/>
      <c r="W207" s="243"/>
      <c r="X207" s="521"/>
      <c r="Y207" s="7">
        <f t="shared" si="6"/>
        <v>0</v>
      </c>
      <c r="Z207" s="522"/>
      <c r="AA207" s="469"/>
      <c r="AB207" s="500" t="s">
        <v>5957</v>
      </c>
      <c r="AC207" s="501"/>
      <c r="AD207" s="496">
        <v>0</v>
      </c>
      <c r="AE207" s="496"/>
      <c r="AF207" s="9">
        <f t="shared" si="7"/>
        <v>0</v>
      </c>
      <c r="AG207" s="496"/>
      <c r="AH207" s="516"/>
      <c r="AI207" s="476"/>
      <c r="AJ207" s="48"/>
      <c r="AK207" s="481"/>
      <c r="AL207" s="481"/>
    </row>
    <row r="208" spans="1:38" ht="15" customHeight="1" x14ac:dyDescent="0.3">
      <c r="A208" s="494" t="s">
        <v>22</v>
      </c>
      <c r="B208" s="2" t="s">
        <v>502</v>
      </c>
      <c r="C208" s="2"/>
      <c r="D208" s="11" t="s">
        <v>190</v>
      </c>
      <c r="E208" s="432"/>
      <c r="F208" s="33"/>
      <c r="G208" s="36"/>
      <c r="H208" s="506"/>
      <c r="I208" s="22" t="s">
        <v>264</v>
      </c>
      <c r="J208" s="495"/>
      <c r="K208" s="474" t="s">
        <v>503</v>
      </c>
      <c r="L208" s="474"/>
      <c r="M208" s="474"/>
      <c r="N208" s="474"/>
      <c r="O208" s="475"/>
      <c r="P208" s="496" t="s">
        <v>493</v>
      </c>
      <c r="Q208" s="476"/>
      <c r="R208" s="476"/>
      <c r="S208" s="476"/>
      <c r="T208" s="476"/>
      <c r="U208" s="476"/>
      <c r="V208" s="477"/>
      <c r="W208" s="243"/>
      <c r="X208" s="521"/>
      <c r="Y208" s="7">
        <f t="shared" si="6"/>
        <v>0</v>
      </c>
      <c r="Z208" s="522"/>
      <c r="AA208" s="469"/>
      <c r="AB208" s="500" t="s">
        <v>5958</v>
      </c>
      <c r="AC208" s="501"/>
      <c r="AD208" s="496">
        <v>0</v>
      </c>
      <c r="AE208" s="496"/>
      <c r="AF208" s="9">
        <f t="shared" si="7"/>
        <v>0</v>
      </c>
      <c r="AG208" s="496"/>
      <c r="AH208" s="516"/>
      <c r="AI208" s="496"/>
      <c r="AJ208" s="10"/>
      <c r="AK208" s="552"/>
      <c r="AL208" s="481"/>
    </row>
    <row r="209" spans="1:38" ht="15" customHeight="1" x14ac:dyDescent="0.3">
      <c r="A209" s="473" t="s">
        <v>22</v>
      </c>
      <c r="B209" s="2" t="s">
        <v>5963</v>
      </c>
      <c r="C209" s="6">
        <v>3</v>
      </c>
      <c r="D209" s="11" t="s">
        <v>190</v>
      </c>
      <c r="E209" s="430"/>
      <c r="F209" s="33"/>
      <c r="G209" s="13">
        <v>34767</v>
      </c>
      <c r="H209" s="142"/>
      <c r="I209" s="22" t="s">
        <v>264</v>
      </c>
      <c r="J209" s="32"/>
      <c r="K209" s="474" t="s">
        <v>504</v>
      </c>
      <c r="L209" s="474"/>
      <c r="M209" s="474"/>
      <c r="N209" s="474"/>
      <c r="O209" s="482"/>
      <c r="P209" s="476" t="s">
        <v>493</v>
      </c>
      <c r="Q209" s="15" t="s">
        <v>282</v>
      </c>
      <c r="R209" s="15"/>
      <c r="S209" s="16"/>
      <c r="T209" s="16"/>
      <c r="U209" s="484"/>
      <c r="V209" s="485"/>
      <c r="W209" s="243"/>
      <c r="X209" s="478"/>
      <c r="Y209" s="7">
        <f t="shared" si="6"/>
        <v>0</v>
      </c>
      <c r="Z209" s="478"/>
      <c r="AA209" s="469"/>
      <c r="AB209" s="479" t="s">
        <v>5959</v>
      </c>
      <c r="AC209" s="480"/>
      <c r="AD209" s="476">
        <v>0</v>
      </c>
      <c r="AE209" s="476"/>
      <c r="AF209" s="9">
        <f t="shared" si="7"/>
        <v>0</v>
      </c>
      <c r="AG209" s="476"/>
      <c r="AH209" s="475"/>
      <c r="AI209" s="476"/>
      <c r="AJ209" s="10"/>
      <c r="AK209" s="481"/>
      <c r="AL209" s="481"/>
    </row>
    <row r="210" spans="1:38" ht="15" customHeight="1" x14ac:dyDescent="0.3">
      <c r="A210" s="473" t="s">
        <v>22</v>
      </c>
      <c r="B210" s="2" t="s">
        <v>105</v>
      </c>
      <c r="C210" s="6">
        <v>3</v>
      </c>
      <c r="D210" s="11" t="s">
        <v>5936</v>
      </c>
      <c r="E210" s="436">
        <v>34751</v>
      </c>
      <c r="F210" s="12">
        <v>1995</v>
      </c>
      <c r="G210" s="18">
        <v>34752</v>
      </c>
      <c r="H210" s="178"/>
      <c r="I210" s="35" t="s">
        <v>285</v>
      </c>
      <c r="J210" s="32" t="s">
        <v>26</v>
      </c>
      <c r="K210" s="474" t="s">
        <v>373</v>
      </c>
      <c r="L210" s="474"/>
      <c r="M210" s="474"/>
      <c r="N210" s="474"/>
      <c r="O210" s="482"/>
      <c r="P210" s="476" t="s">
        <v>429</v>
      </c>
      <c r="Q210" s="15" t="s">
        <v>282</v>
      </c>
      <c r="R210" s="15"/>
      <c r="S210" s="16" t="s">
        <v>44</v>
      </c>
      <c r="T210" s="16"/>
      <c r="U210" s="484" t="s">
        <v>460</v>
      </c>
      <c r="V210" s="485"/>
      <c r="W210" s="243"/>
      <c r="X210" s="478"/>
      <c r="Y210" s="7">
        <f t="shared" si="6"/>
        <v>0</v>
      </c>
      <c r="Z210" s="478"/>
      <c r="AA210" s="469"/>
      <c r="AB210" s="487"/>
      <c r="AC210" s="488"/>
      <c r="AD210" s="59">
        <v>0</v>
      </c>
      <c r="AE210" s="59"/>
      <c r="AF210" s="9">
        <f t="shared" si="7"/>
        <v>0</v>
      </c>
      <c r="AG210" s="59"/>
      <c r="AH210" s="489">
        <v>0.5</v>
      </c>
      <c r="AI210" s="490"/>
      <c r="AJ210" s="491"/>
      <c r="AK210" s="481"/>
      <c r="AL210" s="10"/>
    </row>
    <row r="211" spans="1:38" ht="15" customHeight="1" x14ac:dyDescent="0.3">
      <c r="A211" s="473" t="s">
        <v>22</v>
      </c>
      <c r="B211" s="29" t="s">
        <v>506</v>
      </c>
      <c r="C211" s="6">
        <v>2</v>
      </c>
      <c r="D211" s="11" t="s">
        <v>225</v>
      </c>
      <c r="E211" s="430">
        <v>36271</v>
      </c>
      <c r="F211" s="12">
        <v>1999</v>
      </c>
      <c r="G211" s="19"/>
      <c r="H211" s="142"/>
      <c r="I211" s="22" t="s">
        <v>264</v>
      </c>
      <c r="J211" s="32" t="s">
        <v>26</v>
      </c>
      <c r="K211" s="474" t="s">
        <v>343</v>
      </c>
      <c r="L211" s="474"/>
      <c r="M211" s="474"/>
      <c r="N211" s="553" t="s">
        <v>122</v>
      </c>
      <c r="O211" s="475" t="s">
        <v>507</v>
      </c>
      <c r="P211" s="483" t="s">
        <v>429</v>
      </c>
      <c r="Q211" s="15" t="s">
        <v>282</v>
      </c>
      <c r="R211" s="15"/>
      <c r="S211" s="16" t="s">
        <v>44</v>
      </c>
      <c r="T211" s="16"/>
      <c r="U211" s="484"/>
      <c r="V211" s="485"/>
      <c r="W211" s="243"/>
      <c r="X211" s="478"/>
      <c r="Y211" s="7">
        <f t="shared" si="6"/>
        <v>0</v>
      </c>
      <c r="Z211" s="478"/>
      <c r="AA211" s="469"/>
      <c r="AB211" s="487"/>
      <c r="AC211" s="488"/>
      <c r="AD211" s="59">
        <v>0</v>
      </c>
      <c r="AE211" s="59"/>
      <c r="AF211" s="9">
        <f t="shared" si="7"/>
        <v>0</v>
      </c>
      <c r="AG211" s="59"/>
      <c r="AH211" s="489">
        <v>0.5</v>
      </c>
      <c r="AI211" s="490"/>
      <c r="AJ211" s="491"/>
      <c r="AK211" s="481"/>
      <c r="AL211" s="10"/>
    </row>
    <row r="212" spans="1:38" ht="15" customHeight="1" x14ac:dyDescent="0.3">
      <c r="A212" s="473" t="s">
        <v>508</v>
      </c>
      <c r="B212" s="29" t="s">
        <v>263</v>
      </c>
      <c r="C212" s="6">
        <v>1</v>
      </c>
      <c r="D212" s="11" t="s">
        <v>143</v>
      </c>
      <c r="E212" s="430">
        <v>36117</v>
      </c>
      <c r="F212" s="12">
        <v>1998</v>
      </c>
      <c r="G212" s="24"/>
      <c r="H212" s="157"/>
      <c r="I212" s="22" t="s">
        <v>264</v>
      </c>
      <c r="J212" s="520" t="s">
        <v>81</v>
      </c>
      <c r="K212" s="474" t="s">
        <v>509</v>
      </c>
      <c r="L212" s="474"/>
      <c r="M212" s="474"/>
      <c r="N212" s="474"/>
      <c r="O212" s="482" t="s">
        <v>510</v>
      </c>
      <c r="P212" s="483" t="s">
        <v>277</v>
      </c>
      <c r="Q212" s="15" t="s">
        <v>35</v>
      </c>
      <c r="R212" s="15"/>
      <c r="S212" s="16"/>
      <c r="T212" s="16"/>
      <c r="U212" s="484"/>
      <c r="V212" s="485"/>
      <c r="W212" s="243"/>
      <c r="X212" s="478"/>
      <c r="Y212" s="7">
        <f t="shared" si="6"/>
        <v>0</v>
      </c>
      <c r="Z212" s="478"/>
      <c r="AA212" s="469"/>
      <c r="AB212" s="479" t="s">
        <v>5960</v>
      </c>
      <c r="AC212" s="480"/>
      <c r="AD212" s="476">
        <v>0</v>
      </c>
      <c r="AE212" s="476"/>
      <c r="AF212" s="9">
        <f t="shared" si="7"/>
        <v>0</v>
      </c>
      <c r="AG212" s="476"/>
      <c r="AH212" s="490"/>
      <c r="AI212" s="475"/>
      <c r="AJ212" s="10"/>
      <c r="AK212" s="481"/>
      <c r="AL212" s="481"/>
    </row>
    <row r="213" spans="1:38" ht="15" customHeight="1" x14ac:dyDescent="0.3">
      <c r="A213" s="473" t="s">
        <v>508</v>
      </c>
      <c r="B213" s="29" t="s">
        <v>144</v>
      </c>
      <c r="C213" s="6">
        <v>8</v>
      </c>
      <c r="D213" s="11" t="s">
        <v>143</v>
      </c>
      <c r="E213" s="431">
        <v>35177</v>
      </c>
      <c r="F213" s="12">
        <v>1996</v>
      </c>
      <c r="G213" s="24"/>
      <c r="H213" s="157"/>
      <c r="I213" s="22" t="s">
        <v>264</v>
      </c>
      <c r="J213" s="32"/>
      <c r="K213" s="474" t="s">
        <v>511</v>
      </c>
      <c r="L213" s="474"/>
      <c r="M213" s="474"/>
      <c r="N213" s="474"/>
      <c r="O213" s="482"/>
      <c r="P213" s="476" t="s">
        <v>300</v>
      </c>
      <c r="Q213" s="15" t="s">
        <v>35</v>
      </c>
      <c r="R213" s="15"/>
      <c r="S213" s="16" t="s">
        <v>35</v>
      </c>
      <c r="T213" s="16"/>
      <c r="U213" s="484"/>
      <c r="V213" s="485"/>
      <c r="W213" s="243">
        <v>2500000</v>
      </c>
      <c r="X213" s="478"/>
      <c r="Y213" s="7">
        <f t="shared" si="6"/>
        <v>0</v>
      </c>
      <c r="Z213" s="478"/>
      <c r="AA213" s="469"/>
      <c r="AB213" s="479" t="s">
        <v>5961</v>
      </c>
      <c r="AC213" s="480"/>
      <c r="AD213" s="476">
        <v>0</v>
      </c>
      <c r="AE213" s="476"/>
      <c r="AF213" s="9">
        <f t="shared" si="7"/>
        <v>0</v>
      </c>
      <c r="AG213" s="476"/>
      <c r="AH213" s="475"/>
      <c r="AI213" s="476"/>
      <c r="AJ213" s="10"/>
      <c r="AK213" s="481"/>
      <c r="AL213" s="481"/>
    </row>
    <row r="214" spans="1:38" ht="15" customHeight="1" x14ac:dyDescent="0.3">
      <c r="A214" s="473" t="s">
        <v>508</v>
      </c>
      <c r="B214" s="2" t="s">
        <v>105</v>
      </c>
      <c r="C214" s="6">
        <v>14</v>
      </c>
      <c r="D214" s="11" t="s">
        <v>5936</v>
      </c>
      <c r="E214" s="430"/>
      <c r="F214" s="34"/>
      <c r="G214" s="50" t="s">
        <v>512</v>
      </c>
      <c r="H214" s="157"/>
      <c r="I214" s="14" t="s">
        <v>285</v>
      </c>
      <c r="J214" s="32"/>
      <c r="K214" s="474" t="s">
        <v>513</v>
      </c>
      <c r="L214" s="474"/>
      <c r="M214" s="474"/>
      <c r="N214" s="474"/>
      <c r="O214" s="482"/>
      <c r="P214" s="476" t="s">
        <v>303</v>
      </c>
      <c r="Q214" s="15" t="s">
        <v>35</v>
      </c>
      <c r="R214" s="15"/>
      <c r="S214" s="16" t="s">
        <v>35</v>
      </c>
      <c r="T214" s="16"/>
      <c r="U214" s="484"/>
      <c r="V214" s="485"/>
      <c r="W214" s="243">
        <v>21596446</v>
      </c>
      <c r="X214" s="478"/>
      <c r="Y214" s="7">
        <f t="shared" si="6"/>
        <v>0</v>
      </c>
      <c r="Z214" s="478"/>
      <c r="AA214" s="469"/>
      <c r="AB214" s="479" t="s">
        <v>5937</v>
      </c>
      <c r="AC214" s="480"/>
      <c r="AD214" s="476">
        <v>0</v>
      </c>
      <c r="AE214" s="476"/>
      <c r="AF214" s="9">
        <f t="shared" si="7"/>
        <v>0</v>
      </c>
      <c r="AG214" s="476"/>
      <c r="AH214" s="475"/>
      <c r="AI214" s="476"/>
      <c r="AJ214" s="10"/>
      <c r="AK214" s="481"/>
      <c r="AL214" s="481"/>
    </row>
    <row r="215" spans="1:38" ht="15" customHeight="1" x14ac:dyDescent="0.3">
      <c r="A215" s="494" t="s">
        <v>508</v>
      </c>
      <c r="B215" s="2" t="s">
        <v>148</v>
      </c>
      <c r="C215" s="2">
        <v>4</v>
      </c>
      <c r="D215" s="11" t="s">
        <v>143</v>
      </c>
      <c r="E215" s="432">
        <v>34249</v>
      </c>
      <c r="F215" s="12">
        <v>1993</v>
      </c>
      <c r="G215" s="36"/>
      <c r="H215" s="157"/>
      <c r="I215" s="22" t="s">
        <v>264</v>
      </c>
      <c r="J215" s="520" t="s">
        <v>81</v>
      </c>
      <c r="K215" s="474" t="s">
        <v>509</v>
      </c>
      <c r="L215" s="474"/>
      <c r="M215" s="474"/>
      <c r="N215" s="474"/>
      <c r="O215" s="475"/>
      <c r="P215" s="476" t="s">
        <v>317</v>
      </c>
      <c r="Q215" s="15" t="s">
        <v>282</v>
      </c>
      <c r="R215" s="15"/>
      <c r="S215" s="16" t="s">
        <v>35</v>
      </c>
      <c r="T215" s="16"/>
      <c r="U215" s="484"/>
      <c r="V215" s="485"/>
      <c r="W215" s="243"/>
      <c r="X215" s="521"/>
      <c r="Y215" s="7">
        <f t="shared" si="6"/>
        <v>0</v>
      </c>
      <c r="Z215" s="522"/>
      <c r="AA215" s="469"/>
      <c r="AB215" s="500" t="s">
        <v>5945</v>
      </c>
      <c r="AC215" s="501"/>
      <c r="AD215" s="496">
        <v>0</v>
      </c>
      <c r="AE215" s="496"/>
      <c r="AF215" s="9">
        <f t="shared" si="7"/>
        <v>0</v>
      </c>
      <c r="AG215" s="496"/>
      <c r="AH215" s="475"/>
      <c r="AI215" s="476"/>
      <c r="AJ215" s="10"/>
      <c r="AK215" s="552"/>
      <c r="AL215" s="481"/>
    </row>
    <row r="216" spans="1:38" ht="15" customHeight="1" x14ac:dyDescent="0.3">
      <c r="A216" s="494" t="s">
        <v>508</v>
      </c>
      <c r="B216" s="2" t="s">
        <v>105</v>
      </c>
      <c r="C216" s="2">
        <v>13</v>
      </c>
      <c r="D216" s="11" t="s">
        <v>5936</v>
      </c>
      <c r="E216" s="433">
        <v>35187</v>
      </c>
      <c r="F216" s="12">
        <v>1996</v>
      </c>
      <c r="G216" s="23">
        <v>14690</v>
      </c>
      <c r="H216" s="178"/>
      <c r="I216" s="22" t="s">
        <v>264</v>
      </c>
      <c r="J216" s="495" t="s">
        <v>81</v>
      </c>
      <c r="K216" s="474" t="s">
        <v>514</v>
      </c>
      <c r="L216" s="474"/>
      <c r="M216" s="474"/>
      <c r="N216" s="474"/>
      <c r="O216" s="475"/>
      <c r="P216" s="496" t="s">
        <v>330</v>
      </c>
      <c r="Q216" s="15" t="s">
        <v>282</v>
      </c>
      <c r="R216" s="15"/>
      <c r="S216" s="16" t="s">
        <v>35</v>
      </c>
      <c r="T216" s="16"/>
      <c r="U216" s="484" t="s">
        <v>515</v>
      </c>
      <c r="V216" s="485"/>
      <c r="W216" s="243">
        <v>3000000</v>
      </c>
      <c r="X216" s="521"/>
      <c r="Y216" s="7">
        <f t="shared" si="6"/>
        <v>0</v>
      </c>
      <c r="Z216" s="522"/>
      <c r="AA216" s="469"/>
      <c r="AB216" s="479" t="s">
        <v>5937</v>
      </c>
      <c r="AC216" s="501"/>
      <c r="AD216" s="496">
        <v>0</v>
      </c>
      <c r="AE216" s="496"/>
      <c r="AF216" s="9">
        <f t="shared" si="7"/>
        <v>0</v>
      </c>
      <c r="AG216" s="496"/>
      <c r="AH216" s="476" t="s">
        <v>273</v>
      </c>
      <c r="AI216" s="496"/>
      <c r="AJ216" s="10"/>
      <c r="AK216" s="552"/>
      <c r="AL216" s="481"/>
    </row>
    <row r="217" spans="1:38" ht="15" customHeight="1" x14ac:dyDescent="0.3">
      <c r="A217" s="494" t="s">
        <v>508</v>
      </c>
      <c r="B217" s="2" t="s">
        <v>144</v>
      </c>
      <c r="C217" s="2">
        <v>9</v>
      </c>
      <c r="D217" s="11" t="s">
        <v>143</v>
      </c>
      <c r="E217" s="432">
        <v>36337</v>
      </c>
      <c r="F217" s="12">
        <v>1999</v>
      </c>
      <c r="G217" s="36"/>
      <c r="H217" s="142"/>
      <c r="I217" s="22" t="s">
        <v>264</v>
      </c>
      <c r="J217" s="495" t="s">
        <v>516</v>
      </c>
      <c r="K217" s="474" t="s">
        <v>509</v>
      </c>
      <c r="L217" s="474"/>
      <c r="M217" s="474"/>
      <c r="N217" s="474"/>
      <c r="O217" s="475"/>
      <c r="P217" s="496" t="s">
        <v>517</v>
      </c>
      <c r="Q217" s="476"/>
      <c r="R217" s="476"/>
      <c r="S217" s="476"/>
      <c r="T217" s="476"/>
      <c r="U217" s="476"/>
      <c r="V217" s="477"/>
      <c r="W217" s="243"/>
      <c r="X217" s="521"/>
      <c r="Y217" s="7">
        <f t="shared" si="6"/>
        <v>0</v>
      </c>
      <c r="Z217" s="521"/>
      <c r="AA217" s="469"/>
      <c r="AB217" s="503" t="s">
        <v>6055</v>
      </c>
      <c r="AC217" s="554"/>
      <c r="AD217" s="496">
        <v>0</v>
      </c>
      <c r="AE217" s="496"/>
      <c r="AF217" s="9">
        <f t="shared" si="7"/>
        <v>0</v>
      </c>
      <c r="AG217" s="496"/>
      <c r="AH217" s="516"/>
      <c r="AI217" s="496"/>
      <c r="AJ217" s="10"/>
      <c r="AK217" s="552"/>
      <c r="AL217" s="481"/>
    </row>
    <row r="218" spans="1:38" ht="15" customHeight="1" x14ac:dyDescent="0.3">
      <c r="A218" s="494" t="s">
        <v>508</v>
      </c>
      <c r="B218" s="2" t="s">
        <v>144</v>
      </c>
      <c r="C218" s="2" t="s">
        <v>518</v>
      </c>
      <c r="D218" s="11" t="s">
        <v>143</v>
      </c>
      <c r="E218" s="432">
        <v>36501</v>
      </c>
      <c r="F218" s="12">
        <v>1999</v>
      </c>
      <c r="G218" s="23"/>
      <c r="H218" s="142"/>
      <c r="I218" s="22" t="s">
        <v>264</v>
      </c>
      <c r="J218" s="555" t="s">
        <v>81</v>
      </c>
      <c r="K218" s="474" t="s">
        <v>509</v>
      </c>
      <c r="L218" s="474"/>
      <c r="M218" s="474"/>
      <c r="N218" s="474"/>
      <c r="O218" s="475" t="s">
        <v>519</v>
      </c>
      <c r="P218" s="496" t="s">
        <v>520</v>
      </c>
      <c r="Q218" s="476"/>
      <c r="R218" s="476"/>
      <c r="S218" s="476"/>
      <c r="T218" s="476"/>
      <c r="U218" s="476"/>
      <c r="V218" s="477"/>
      <c r="W218" s="243"/>
      <c r="X218" s="521"/>
      <c r="Y218" s="7">
        <f t="shared" si="6"/>
        <v>0</v>
      </c>
      <c r="Z218" s="522"/>
      <c r="AA218" s="469"/>
      <c r="AB218" s="530"/>
      <c r="AC218" s="531"/>
      <c r="AD218" s="532">
        <v>0</v>
      </c>
      <c r="AE218" s="532"/>
      <c r="AF218" s="9">
        <f t="shared" si="7"/>
        <v>0</v>
      </c>
      <c r="AG218" s="532"/>
      <c r="AH218" s="556">
        <v>0.2</v>
      </c>
      <c r="AI218" s="533"/>
      <c r="AJ218" s="475"/>
      <c r="AK218" s="557"/>
      <c r="AL218" s="10"/>
    </row>
    <row r="219" spans="1:38" ht="15" customHeight="1" x14ac:dyDescent="0.3">
      <c r="A219" s="494" t="s">
        <v>508</v>
      </c>
      <c r="B219" s="2" t="s">
        <v>142</v>
      </c>
      <c r="C219" s="2">
        <v>1</v>
      </c>
      <c r="D219" s="11" t="s">
        <v>143</v>
      </c>
      <c r="E219" s="432"/>
      <c r="F219" s="28"/>
      <c r="G219" s="23">
        <v>35691</v>
      </c>
      <c r="H219" s="157"/>
      <c r="I219" s="22" t="s">
        <v>264</v>
      </c>
      <c r="J219" s="495"/>
      <c r="K219" s="474" t="s">
        <v>521</v>
      </c>
      <c r="L219" s="474"/>
      <c r="M219" s="474"/>
      <c r="N219" s="474"/>
      <c r="O219" s="475" t="s">
        <v>522</v>
      </c>
      <c r="P219" s="496" t="s">
        <v>365</v>
      </c>
      <c r="Q219" s="15" t="s">
        <v>282</v>
      </c>
      <c r="R219" s="15"/>
      <c r="S219" s="16" t="s">
        <v>44</v>
      </c>
      <c r="T219" s="16"/>
      <c r="U219" s="484"/>
      <c r="V219" s="485"/>
      <c r="W219" s="243"/>
      <c r="X219" s="521"/>
      <c r="Y219" s="7">
        <f t="shared" si="6"/>
        <v>0</v>
      </c>
      <c r="Z219" s="522"/>
      <c r="AA219" s="469"/>
      <c r="AB219" s="500" t="s">
        <v>5962</v>
      </c>
      <c r="AC219" s="501"/>
      <c r="AD219" s="496">
        <v>0</v>
      </c>
      <c r="AE219" s="496"/>
      <c r="AF219" s="9">
        <f t="shared" si="7"/>
        <v>0</v>
      </c>
      <c r="AG219" s="496"/>
      <c r="AH219" s="516"/>
      <c r="AI219" s="496"/>
      <c r="AJ219" s="10"/>
      <c r="AK219" s="552"/>
      <c r="AL219" s="481"/>
    </row>
    <row r="220" spans="1:38" ht="15" customHeight="1" x14ac:dyDescent="0.3">
      <c r="A220" s="494" t="s">
        <v>508</v>
      </c>
      <c r="B220" s="2" t="s">
        <v>144</v>
      </c>
      <c r="C220" s="2">
        <v>7</v>
      </c>
      <c r="D220" s="11" t="s">
        <v>143</v>
      </c>
      <c r="E220" s="439">
        <v>35812</v>
      </c>
      <c r="F220" s="12">
        <v>1998</v>
      </c>
      <c r="G220" s="36"/>
      <c r="H220" s="157"/>
      <c r="I220" s="22" t="s">
        <v>264</v>
      </c>
      <c r="J220" s="495" t="s">
        <v>81</v>
      </c>
      <c r="K220" s="474" t="s">
        <v>523</v>
      </c>
      <c r="L220" s="474"/>
      <c r="M220" s="474"/>
      <c r="N220" s="474"/>
      <c r="O220" s="482"/>
      <c r="P220" s="496" t="s">
        <v>393</v>
      </c>
      <c r="Q220" s="15" t="s">
        <v>282</v>
      </c>
      <c r="R220" s="15"/>
      <c r="S220" s="16" t="s">
        <v>44</v>
      </c>
      <c r="T220" s="16"/>
      <c r="U220" s="484"/>
      <c r="V220" s="485"/>
      <c r="W220" s="243"/>
      <c r="X220" s="521"/>
      <c r="Y220" s="7">
        <f t="shared" si="6"/>
        <v>0</v>
      </c>
      <c r="Z220" s="522"/>
      <c r="AA220" s="469"/>
      <c r="AB220" s="500" t="s">
        <v>5961</v>
      </c>
      <c r="AC220" s="501"/>
      <c r="AD220" s="496">
        <v>0</v>
      </c>
      <c r="AE220" s="496"/>
      <c r="AF220" s="9">
        <f t="shared" si="7"/>
        <v>0</v>
      </c>
      <c r="AG220" s="496"/>
      <c r="AH220" s="516"/>
      <c r="AI220" s="476"/>
      <c r="AJ220" s="10"/>
      <c r="AK220" s="552"/>
      <c r="AL220" s="481"/>
    </row>
    <row r="221" spans="1:38" ht="15" customHeight="1" x14ac:dyDescent="0.3">
      <c r="A221" s="473" t="s">
        <v>508</v>
      </c>
      <c r="B221" s="2" t="s">
        <v>211</v>
      </c>
      <c r="C221" s="6">
        <v>2</v>
      </c>
      <c r="D221" s="11" t="s">
        <v>190</v>
      </c>
      <c r="E221" s="431">
        <v>36399</v>
      </c>
      <c r="F221" s="12">
        <v>1999</v>
      </c>
      <c r="G221" s="13"/>
      <c r="H221" s="157"/>
      <c r="I221" s="22" t="s">
        <v>264</v>
      </c>
      <c r="J221" s="520" t="s">
        <v>516</v>
      </c>
      <c r="K221" s="474" t="s">
        <v>509</v>
      </c>
      <c r="L221" s="474"/>
      <c r="M221" s="474"/>
      <c r="N221" s="474"/>
      <c r="O221" s="475" t="s">
        <v>524</v>
      </c>
      <c r="P221" s="492" t="s">
        <v>484</v>
      </c>
      <c r="Q221" s="15" t="s">
        <v>282</v>
      </c>
      <c r="R221" s="15"/>
      <c r="S221" s="16" t="s">
        <v>44</v>
      </c>
      <c r="T221" s="16"/>
      <c r="U221" s="484"/>
      <c r="V221" s="485"/>
      <c r="W221" s="243"/>
      <c r="X221" s="478"/>
      <c r="Y221" s="7">
        <f t="shared" si="6"/>
        <v>0</v>
      </c>
      <c r="Z221" s="478"/>
      <c r="AA221" s="469"/>
      <c r="AB221" s="487"/>
      <c r="AC221" s="488"/>
      <c r="AD221" s="59">
        <v>0</v>
      </c>
      <c r="AE221" s="59"/>
      <c r="AF221" s="9">
        <f t="shared" si="7"/>
        <v>0</v>
      </c>
      <c r="AG221" s="59"/>
      <c r="AH221" s="489">
        <v>0.4</v>
      </c>
      <c r="AI221" s="490"/>
      <c r="AJ221" s="475"/>
      <c r="AK221" s="491"/>
      <c r="AL221" s="10"/>
    </row>
    <row r="222" spans="1:38" ht="15" customHeight="1" x14ac:dyDescent="0.3">
      <c r="A222" s="494" t="s">
        <v>525</v>
      </c>
      <c r="B222" s="2" t="s">
        <v>105</v>
      </c>
      <c r="C222" s="2">
        <v>13</v>
      </c>
      <c r="D222" s="11" t="s">
        <v>5936</v>
      </c>
      <c r="E222" s="432">
        <v>35796</v>
      </c>
      <c r="F222" s="12">
        <v>1998</v>
      </c>
      <c r="G222" s="52">
        <v>12303</v>
      </c>
      <c r="H222" s="559"/>
      <c r="I222" s="22" t="s">
        <v>264</v>
      </c>
      <c r="J222" s="32" t="s">
        <v>191</v>
      </c>
      <c r="K222" s="474" t="s">
        <v>526</v>
      </c>
      <c r="L222" s="474"/>
      <c r="M222" s="474"/>
      <c r="N222" s="474"/>
      <c r="O222" s="475"/>
      <c r="P222" s="496" t="s">
        <v>277</v>
      </c>
      <c r="Q222" s="15" t="s">
        <v>35</v>
      </c>
      <c r="R222" s="15"/>
      <c r="S222" s="16" t="s">
        <v>527</v>
      </c>
      <c r="T222" s="16"/>
      <c r="U222" s="484"/>
      <c r="V222" s="485"/>
      <c r="W222" s="243">
        <v>11290078</v>
      </c>
      <c r="X222" s="521"/>
      <c r="Y222" s="7">
        <f t="shared" si="6"/>
        <v>0</v>
      </c>
      <c r="Z222" s="522"/>
      <c r="AA222" s="469"/>
      <c r="AB222" s="479" t="s">
        <v>5937</v>
      </c>
      <c r="AC222" s="501"/>
      <c r="AD222" s="110">
        <v>0</v>
      </c>
      <c r="AE222" s="110"/>
      <c r="AF222" s="9">
        <f t="shared" si="7"/>
        <v>0</v>
      </c>
      <c r="AG222" s="110"/>
      <c r="AH222" s="516" t="s">
        <v>305</v>
      </c>
      <c r="AI222" s="496"/>
      <c r="AJ222" s="10"/>
      <c r="AK222" s="552"/>
      <c r="AL222" s="481"/>
    </row>
    <row r="223" spans="1:38" ht="15" customHeight="1" x14ac:dyDescent="0.3">
      <c r="A223" s="494" t="s">
        <v>525</v>
      </c>
      <c r="B223" s="2" t="s">
        <v>6172</v>
      </c>
      <c r="C223" s="2" t="s">
        <v>528</v>
      </c>
      <c r="D223" s="20" t="s">
        <v>190</v>
      </c>
      <c r="E223" s="432">
        <v>35796</v>
      </c>
      <c r="F223" s="12">
        <v>1998</v>
      </c>
      <c r="G223" s="31"/>
      <c r="H223" s="157"/>
      <c r="I223" s="22" t="s">
        <v>264</v>
      </c>
      <c r="J223" s="32" t="s">
        <v>26</v>
      </c>
      <c r="K223" s="474" t="s">
        <v>529</v>
      </c>
      <c r="L223" s="474"/>
      <c r="M223" s="474"/>
      <c r="N223" s="474"/>
      <c r="O223" s="497" t="s">
        <v>530</v>
      </c>
      <c r="P223" s="496" t="s">
        <v>393</v>
      </c>
      <c r="Q223" s="15" t="s">
        <v>282</v>
      </c>
      <c r="R223" s="15"/>
      <c r="S223" s="16"/>
      <c r="T223" s="16"/>
      <c r="U223" s="484"/>
      <c r="V223" s="485"/>
      <c r="W223" s="243"/>
      <c r="X223" s="521"/>
      <c r="Y223" s="7">
        <f t="shared" si="6"/>
        <v>0</v>
      </c>
      <c r="Z223" s="522"/>
      <c r="AA223" s="469"/>
      <c r="AB223" s="500" t="s">
        <v>531</v>
      </c>
      <c r="AC223" s="501"/>
      <c r="AD223" s="496">
        <v>0</v>
      </c>
      <c r="AE223" s="496"/>
      <c r="AF223" s="9">
        <f t="shared" si="7"/>
        <v>0</v>
      </c>
      <c r="AG223" s="496"/>
      <c r="AH223" s="516"/>
      <c r="AI223" s="496"/>
      <c r="AJ223" s="10"/>
      <c r="AK223" s="552"/>
      <c r="AL223" s="32"/>
    </row>
    <row r="224" spans="1:38" ht="15" customHeight="1" x14ac:dyDescent="0.3">
      <c r="A224" s="494" t="s">
        <v>532</v>
      </c>
      <c r="B224" s="29" t="s">
        <v>105</v>
      </c>
      <c r="C224" s="2">
        <v>15</v>
      </c>
      <c r="D224" s="11" t="s">
        <v>5936</v>
      </c>
      <c r="E224" s="433">
        <v>33135</v>
      </c>
      <c r="F224" s="12">
        <v>1990</v>
      </c>
      <c r="G224" s="23">
        <v>5542</v>
      </c>
      <c r="H224" s="559"/>
      <c r="I224" s="22" t="s">
        <v>264</v>
      </c>
      <c r="J224" s="495"/>
      <c r="K224" s="474" t="s">
        <v>533</v>
      </c>
      <c r="L224" s="474"/>
      <c r="M224" s="474"/>
      <c r="N224" s="474"/>
      <c r="O224" s="475"/>
      <c r="P224" s="496" t="s">
        <v>44</v>
      </c>
      <c r="Q224" s="15" t="s">
        <v>282</v>
      </c>
      <c r="R224" s="15"/>
      <c r="S224" s="16" t="s">
        <v>44</v>
      </c>
      <c r="T224" s="16"/>
      <c r="U224" s="484"/>
      <c r="V224" s="485"/>
      <c r="W224" s="243"/>
      <c r="X224" s="521"/>
      <c r="Y224" s="7">
        <f t="shared" si="6"/>
        <v>0</v>
      </c>
      <c r="Z224" s="522"/>
      <c r="AA224" s="469"/>
      <c r="AB224" s="479" t="s">
        <v>5937</v>
      </c>
      <c r="AC224" s="501"/>
      <c r="AD224" s="496">
        <v>0</v>
      </c>
      <c r="AE224" s="496"/>
      <c r="AF224" s="9">
        <f t="shared" si="7"/>
        <v>0</v>
      </c>
      <c r="AG224" s="496"/>
      <c r="AH224" s="516"/>
      <c r="AI224" s="496"/>
      <c r="AJ224" s="10"/>
      <c r="AK224" s="552"/>
      <c r="AL224" s="481"/>
    </row>
    <row r="225" spans="1:38" ht="15" customHeight="1" x14ac:dyDescent="0.3">
      <c r="A225" s="473" t="s">
        <v>22</v>
      </c>
      <c r="B225" s="2" t="s">
        <v>263</v>
      </c>
      <c r="C225" s="6">
        <v>3</v>
      </c>
      <c r="D225" s="11" t="s">
        <v>143</v>
      </c>
      <c r="E225" s="430">
        <v>35886</v>
      </c>
      <c r="F225" s="12">
        <v>1998</v>
      </c>
      <c r="G225" s="13">
        <v>35886</v>
      </c>
      <c r="H225" s="559"/>
      <c r="I225" s="22" t="s">
        <v>264</v>
      </c>
      <c r="J225" s="32" t="s">
        <v>26</v>
      </c>
      <c r="K225" s="474" t="s">
        <v>469</v>
      </c>
      <c r="L225" s="474"/>
      <c r="M225" s="474"/>
      <c r="N225" s="474"/>
      <c r="O225" s="475" t="s">
        <v>534</v>
      </c>
      <c r="P225" s="476" t="s">
        <v>484</v>
      </c>
      <c r="Q225" s="15" t="s">
        <v>35</v>
      </c>
      <c r="R225" s="15"/>
      <c r="S225" s="16" t="s">
        <v>35</v>
      </c>
      <c r="T225" s="16"/>
      <c r="U225" s="484" t="s">
        <v>535</v>
      </c>
      <c r="V225" s="485"/>
      <c r="W225" s="243"/>
      <c r="X225" s="478"/>
      <c r="Y225" s="7">
        <f t="shared" si="6"/>
        <v>0</v>
      </c>
      <c r="Z225" s="478"/>
      <c r="AA225" s="469"/>
      <c r="AB225" s="487"/>
      <c r="AC225" s="488"/>
      <c r="AD225" s="59">
        <v>0</v>
      </c>
      <c r="AE225" s="59"/>
      <c r="AF225" s="9">
        <f t="shared" si="7"/>
        <v>0</v>
      </c>
      <c r="AG225" s="59"/>
      <c r="AH225" s="489"/>
      <c r="AI225" s="490"/>
      <c r="AJ225" s="10"/>
      <c r="AK225" s="481"/>
      <c r="AL225" s="481"/>
    </row>
    <row r="226" spans="1:38" ht="15" customHeight="1" x14ac:dyDescent="0.3">
      <c r="A226" s="494" t="s">
        <v>22</v>
      </c>
      <c r="B226" s="29" t="s">
        <v>23</v>
      </c>
      <c r="C226" s="2">
        <v>4</v>
      </c>
      <c r="D226" s="11" t="s">
        <v>24</v>
      </c>
      <c r="E226" s="432">
        <v>35853</v>
      </c>
      <c r="F226" s="12">
        <v>1998</v>
      </c>
      <c r="G226" s="23">
        <v>35853</v>
      </c>
      <c r="H226" s="157"/>
      <c r="I226" s="22" t="s">
        <v>264</v>
      </c>
      <c r="J226" s="32" t="s">
        <v>26</v>
      </c>
      <c r="K226" s="474" t="s">
        <v>392</v>
      </c>
      <c r="L226" s="474"/>
      <c r="M226" s="474"/>
      <c r="N226" s="474"/>
      <c r="O226" s="475" t="s">
        <v>536</v>
      </c>
      <c r="P226" s="496" t="s">
        <v>484</v>
      </c>
      <c r="Q226" s="15" t="s">
        <v>282</v>
      </c>
      <c r="R226" s="15"/>
      <c r="S226" s="16" t="s">
        <v>44</v>
      </c>
      <c r="T226" s="16"/>
      <c r="U226" s="484"/>
      <c r="V226" s="485"/>
      <c r="W226" s="243"/>
      <c r="X226" s="521"/>
      <c r="Y226" s="7">
        <f t="shared" si="6"/>
        <v>0</v>
      </c>
      <c r="Z226" s="522"/>
      <c r="AA226" s="469"/>
      <c r="AB226" s="530"/>
      <c r="AC226" s="531"/>
      <c r="AD226" s="532">
        <v>0</v>
      </c>
      <c r="AE226" s="532"/>
      <c r="AF226" s="9">
        <f t="shared" si="7"/>
        <v>0</v>
      </c>
      <c r="AG226" s="532"/>
      <c r="AH226" s="540"/>
      <c r="AI226" s="533"/>
      <c r="AJ226" s="10"/>
      <c r="AK226" s="481"/>
      <c r="AL226" s="481"/>
    </row>
    <row r="227" spans="1:38" ht="15" customHeight="1" x14ac:dyDescent="0.3">
      <c r="A227" s="494" t="s">
        <v>22</v>
      </c>
      <c r="B227" s="2" t="s">
        <v>23</v>
      </c>
      <c r="C227" s="2">
        <v>8</v>
      </c>
      <c r="D227" s="11" t="s">
        <v>24</v>
      </c>
      <c r="E227" s="433">
        <v>35321</v>
      </c>
      <c r="F227" s="12">
        <v>1996</v>
      </c>
      <c r="G227" s="36"/>
      <c r="H227" s="559"/>
      <c r="I227" s="22" t="s">
        <v>264</v>
      </c>
      <c r="J227" s="32" t="s">
        <v>26</v>
      </c>
      <c r="K227" s="474" t="s">
        <v>332</v>
      </c>
      <c r="L227" s="474"/>
      <c r="M227" s="474"/>
      <c r="N227" s="474"/>
      <c r="O227" s="475" t="s">
        <v>537</v>
      </c>
      <c r="P227" s="496" t="s">
        <v>484</v>
      </c>
      <c r="Q227" s="15" t="s">
        <v>282</v>
      </c>
      <c r="R227" s="15"/>
      <c r="S227" s="16" t="s">
        <v>35</v>
      </c>
      <c r="T227" s="16"/>
      <c r="U227" s="484" t="s">
        <v>538</v>
      </c>
      <c r="V227" s="485"/>
      <c r="W227" s="243"/>
      <c r="X227" s="521"/>
      <c r="Y227" s="7">
        <f t="shared" si="6"/>
        <v>0</v>
      </c>
      <c r="Z227" s="522"/>
      <c r="AA227" s="469"/>
      <c r="AB227" s="530"/>
      <c r="AC227" s="531"/>
      <c r="AD227" s="532">
        <v>0</v>
      </c>
      <c r="AE227" s="532"/>
      <c r="AF227" s="9">
        <f t="shared" si="7"/>
        <v>0</v>
      </c>
      <c r="AG227" s="532"/>
      <c r="AH227" s="540"/>
      <c r="AI227" s="533"/>
      <c r="AJ227" s="10"/>
      <c r="AK227" s="481"/>
      <c r="AL227" s="481"/>
    </row>
    <row r="228" spans="1:38" ht="15" customHeight="1" x14ac:dyDescent="0.3">
      <c r="A228" s="473" t="s">
        <v>22</v>
      </c>
      <c r="B228" s="2" t="s">
        <v>324</v>
      </c>
      <c r="C228" s="6">
        <v>2</v>
      </c>
      <c r="D228" s="11" t="s">
        <v>225</v>
      </c>
      <c r="E228" s="430">
        <v>36687</v>
      </c>
      <c r="F228" s="12">
        <v>2000</v>
      </c>
      <c r="G228" s="24"/>
      <c r="H228" s="559"/>
      <c r="I228" s="22" t="s">
        <v>264</v>
      </c>
      <c r="J228" s="32" t="s">
        <v>191</v>
      </c>
      <c r="K228" s="474" t="s">
        <v>314</v>
      </c>
      <c r="L228" s="474"/>
      <c r="M228" s="474"/>
      <c r="N228" s="474"/>
      <c r="O228" s="482" t="s">
        <v>539</v>
      </c>
      <c r="P228" s="476" t="s">
        <v>540</v>
      </c>
      <c r="Q228" s="476"/>
      <c r="R228" s="476"/>
      <c r="S228" s="476"/>
      <c r="T228" s="476"/>
      <c r="U228" s="476"/>
      <c r="V228" s="477"/>
      <c r="W228" s="243">
        <v>9066887</v>
      </c>
      <c r="X228" s="478"/>
      <c r="Y228" s="7">
        <f t="shared" si="6"/>
        <v>0</v>
      </c>
      <c r="Z228" s="478"/>
      <c r="AA228" s="469"/>
      <c r="AB228" s="487"/>
      <c r="AC228" s="488"/>
      <c r="AD228" s="59">
        <v>0</v>
      </c>
      <c r="AE228" s="59"/>
      <c r="AF228" s="9">
        <f t="shared" si="7"/>
        <v>0</v>
      </c>
      <c r="AG228" s="59"/>
      <c r="AH228" s="489"/>
      <c r="AI228" s="490"/>
      <c r="AJ228" s="10"/>
      <c r="AK228" s="481"/>
      <c r="AL228" s="481"/>
    </row>
    <row r="229" spans="1:38" ht="15" customHeight="1" x14ac:dyDescent="0.3">
      <c r="A229" s="473" t="s">
        <v>22</v>
      </c>
      <c r="B229" s="2" t="s">
        <v>105</v>
      </c>
      <c r="C229" s="6">
        <v>12</v>
      </c>
      <c r="D229" s="11" t="s">
        <v>190</v>
      </c>
      <c r="E229" s="431">
        <v>34568</v>
      </c>
      <c r="F229" s="12">
        <v>1994</v>
      </c>
      <c r="G229" s="13">
        <v>18776</v>
      </c>
      <c r="H229" s="559"/>
      <c r="I229" s="22" t="s">
        <v>264</v>
      </c>
      <c r="J229" s="32" t="s">
        <v>26</v>
      </c>
      <c r="K229" s="474" t="s">
        <v>541</v>
      </c>
      <c r="L229" s="474"/>
      <c r="M229" s="474"/>
      <c r="N229" s="474"/>
      <c r="O229" s="482"/>
      <c r="P229" s="476" t="s">
        <v>484</v>
      </c>
      <c r="Q229" s="15" t="s">
        <v>282</v>
      </c>
      <c r="R229" s="15"/>
      <c r="S229" s="16" t="s">
        <v>44</v>
      </c>
      <c r="T229" s="16"/>
      <c r="U229" s="484" t="s">
        <v>542</v>
      </c>
      <c r="V229" s="485"/>
      <c r="W229" s="243"/>
      <c r="X229" s="478"/>
      <c r="Y229" s="7">
        <f t="shared" si="6"/>
        <v>0</v>
      </c>
      <c r="Z229" s="478"/>
      <c r="AA229" s="469"/>
      <c r="AB229" s="487"/>
      <c r="AC229" s="488"/>
      <c r="AD229" s="59">
        <v>0</v>
      </c>
      <c r="AE229" s="59"/>
      <c r="AF229" s="9">
        <f t="shared" si="7"/>
        <v>0</v>
      </c>
      <c r="AG229" s="59"/>
      <c r="AH229" s="489"/>
      <c r="AI229" s="490"/>
      <c r="AJ229" s="10"/>
      <c r="AK229" s="481"/>
      <c r="AL229" s="481"/>
    </row>
    <row r="230" spans="1:38" ht="15" customHeight="1" x14ac:dyDescent="0.3">
      <c r="A230" s="473" t="s">
        <v>22</v>
      </c>
      <c r="B230" s="2" t="s">
        <v>105</v>
      </c>
      <c r="C230" s="6">
        <v>4</v>
      </c>
      <c r="D230" s="11" t="s">
        <v>190</v>
      </c>
      <c r="E230" s="431">
        <v>35136</v>
      </c>
      <c r="F230" s="12">
        <v>1996</v>
      </c>
      <c r="G230" s="13">
        <v>35666</v>
      </c>
      <c r="H230" s="157"/>
      <c r="I230" s="22" t="s">
        <v>264</v>
      </c>
      <c r="J230" s="32" t="s">
        <v>26</v>
      </c>
      <c r="K230" s="474" t="s">
        <v>543</v>
      </c>
      <c r="L230" s="474"/>
      <c r="M230" s="474"/>
      <c r="N230" s="474"/>
      <c r="O230" s="475" t="s">
        <v>544</v>
      </c>
      <c r="P230" s="476" t="s">
        <v>484</v>
      </c>
      <c r="Q230" s="15" t="s">
        <v>282</v>
      </c>
      <c r="R230" s="15"/>
      <c r="S230" s="16" t="s">
        <v>44</v>
      </c>
      <c r="T230" s="16"/>
      <c r="U230" s="484" t="s">
        <v>545</v>
      </c>
      <c r="V230" s="485"/>
      <c r="W230" s="243"/>
      <c r="X230" s="478"/>
      <c r="Y230" s="7">
        <f t="shared" si="6"/>
        <v>0</v>
      </c>
      <c r="Z230" s="478"/>
      <c r="AA230" s="469"/>
      <c r="AB230" s="487"/>
      <c r="AC230" s="488"/>
      <c r="AD230" s="59">
        <v>0</v>
      </c>
      <c r="AE230" s="59"/>
      <c r="AF230" s="9">
        <f t="shared" si="7"/>
        <v>0</v>
      </c>
      <c r="AG230" s="59"/>
      <c r="AH230" s="489"/>
      <c r="AI230" s="490"/>
      <c r="AJ230" s="10"/>
      <c r="AK230" s="481"/>
      <c r="AL230" s="481"/>
    </row>
    <row r="231" spans="1:38" ht="15" customHeight="1" x14ac:dyDescent="0.3">
      <c r="A231" s="473" t="s">
        <v>22</v>
      </c>
      <c r="B231" s="2" t="s">
        <v>23</v>
      </c>
      <c r="C231" s="6">
        <v>4</v>
      </c>
      <c r="D231" s="11" t="s">
        <v>24</v>
      </c>
      <c r="E231" s="431">
        <v>35462</v>
      </c>
      <c r="F231" s="12">
        <v>1997</v>
      </c>
      <c r="G231" s="19"/>
      <c r="H231" s="559"/>
      <c r="I231" s="14" t="s">
        <v>285</v>
      </c>
      <c r="J231" s="520" t="s">
        <v>81</v>
      </c>
      <c r="K231" s="474" t="s">
        <v>329</v>
      </c>
      <c r="L231" s="474"/>
      <c r="M231" s="474"/>
      <c r="N231" s="474"/>
      <c r="O231" s="475"/>
      <c r="P231" s="476" t="s">
        <v>484</v>
      </c>
      <c r="Q231" s="15" t="s">
        <v>282</v>
      </c>
      <c r="R231" s="15"/>
      <c r="S231" s="16" t="s">
        <v>44</v>
      </c>
      <c r="T231" s="16"/>
      <c r="U231" s="484"/>
      <c r="V231" s="485"/>
      <c r="W231" s="243"/>
      <c r="X231" s="478"/>
      <c r="Y231" s="7">
        <f t="shared" si="6"/>
        <v>0</v>
      </c>
      <c r="Z231" s="478"/>
      <c r="AA231" s="469"/>
      <c r="AB231" s="487"/>
      <c r="AC231" s="488"/>
      <c r="AD231" s="59">
        <v>0</v>
      </c>
      <c r="AE231" s="59"/>
      <c r="AF231" s="9">
        <f t="shared" si="7"/>
        <v>0</v>
      </c>
      <c r="AG231" s="59"/>
      <c r="AH231" s="489"/>
      <c r="AI231" s="490"/>
      <c r="AJ231" s="10"/>
      <c r="AK231" s="481"/>
      <c r="AL231" s="481"/>
    </row>
    <row r="232" spans="1:38" ht="15" customHeight="1" x14ac:dyDescent="0.3">
      <c r="A232" s="473" t="s">
        <v>22</v>
      </c>
      <c r="B232" s="2" t="s">
        <v>345</v>
      </c>
      <c r="C232" s="6" t="s">
        <v>546</v>
      </c>
      <c r="D232" s="11" t="s">
        <v>225</v>
      </c>
      <c r="E232" s="430">
        <v>36278</v>
      </c>
      <c r="F232" s="12">
        <v>1999</v>
      </c>
      <c r="G232" s="19" t="s">
        <v>547</v>
      </c>
      <c r="H232" s="157"/>
      <c r="I232" s="22" t="s">
        <v>264</v>
      </c>
      <c r="J232" s="32" t="s">
        <v>26</v>
      </c>
      <c r="K232" s="474" t="s">
        <v>347</v>
      </c>
      <c r="L232" s="474"/>
      <c r="M232" s="474"/>
      <c r="N232" s="474"/>
      <c r="O232" s="475" t="s">
        <v>548</v>
      </c>
      <c r="P232" s="476" t="s">
        <v>549</v>
      </c>
      <c r="Q232" s="15" t="s">
        <v>35</v>
      </c>
      <c r="R232" s="15"/>
      <c r="S232" s="16" t="s">
        <v>35</v>
      </c>
      <c r="T232" s="16"/>
      <c r="U232" s="484"/>
      <c r="V232" s="485"/>
      <c r="W232" s="243">
        <v>3574436.23</v>
      </c>
      <c r="X232" s="478"/>
      <c r="Y232" s="7">
        <f t="shared" si="6"/>
        <v>0</v>
      </c>
      <c r="Z232" s="478"/>
      <c r="AA232" s="469"/>
      <c r="AB232" s="487"/>
      <c r="AC232" s="488"/>
      <c r="AD232" s="59">
        <v>0</v>
      </c>
      <c r="AE232" s="59"/>
      <c r="AF232" s="9">
        <f t="shared" si="7"/>
        <v>0</v>
      </c>
      <c r="AG232" s="59"/>
      <c r="AH232" s="489"/>
      <c r="AI232" s="490" t="s">
        <v>550</v>
      </c>
      <c r="AJ232" s="10"/>
      <c r="AK232" s="481"/>
      <c r="AL232" s="481"/>
    </row>
    <row r="233" spans="1:38" ht="15" customHeight="1" x14ac:dyDescent="0.3">
      <c r="A233" s="494" t="s">
        <v>22</v>
      </c>
      <c r="B233" s="2" t="s">
        <v>105</v>
      </c>
      <c r="C233" s="2">
        <v>18</v>
      </c>
      <c r="D233" s="11" t="s">
        <v>5936</v>
      </c>
      <c r="E233" s="432">
        <v>36353</v>
      </c>
      <c r="F233" s="12">
        <v>1999</v>
      </c>
      <c r="G233" s="53" t="s">
        <v>551</v>
      </c>
      <c r="H233" s="157"/>
      <c r="I233" s="22" t="s">
        <v>264</v>
      </c>
      <c r="J233" s="32" t="s">
        <v>26</v>
      </c>
      <c r="K233" s="474" t="s">
        <v>552</v>
      </c>
      <c r="L233" s="474"/>
      <c r="M233" s="474"/>
      <c r="N233" s="474"/>
      <c r="O233" s="475" t="s">
        <v>553</v>
      </c>
      <c r="P233" s="496" t="s">
        <v>484</v>
      </c>
      <c r="Q233" s="15" t="s">
        <v>35</v>
      </c>
      <c r="R233" s="15"/>
      <c r="S233" s="16" t="s">
        <v>44</v>
      </c>
      <c r="T233" s="16"/>
      <c r="U233" s="484" t="s">
        <v>554</v>
      </c>
      <c r="V233" s="485"/>
      <c r="W233" s="243"/>
      <c r="X233" s="521"/>
      <c r="Y233" s="7">
        <f t="shared" si="6"/>
        <v>0</v>
      </c>
      <c r="Z233" s="522"/>
      <c r="AA233" s="469"/>
      <c r="AB233" s="530"/>
      <c r="AC233" s="531"/>
      <c r="AD233" s="532">
        <v>0</v>
      </c>
      <c r="AE233" s="532"/>
      <c r="AF233" s="9">
        <f t="shared" si="7"/>
        <v>0</v>
      </c>
      <c r="AG233" s="532"/>
      <c r="AH233" s="540"/>
      <c r="AI233" s="533"/>
      <c r="AJ233" s="10"/>
      <c r="AK233" s="481"/>
      <c r="AL233" s="481"/>
    </row>
    <row r="234" spans="1:38" ht="15" customHeight="1" x14ac:dyDescent="0.3">
      <c r="A234" s="494" t="s">
        <v>22</v>
      </c>
      <c r="B234" s="2" t="s">
        <v>345</v>
      </c>
      <c r="C234" s="2" t="s">
        <v>346</v>
      </c>
      <c r="D234" s="11" t="s">
        <v>225</v>
      </c>
      <c r="E234" s="433">
        <v>36434</v>
      </c>
      <c r="F234" s="12">
        <v>1999</v>
      </c>
      <c r="G234" s="23">
        <v>35417</v>
      </c>
      <c r="H234" s="514"/>
      <c r="I234" s="22" t="s">
        <v>264</v>
      </c>
      <c r="J234" s="32" t="s">
        <v>26</v>
      </c>
      <c r="K234" s="474" t="s">
        <v>555</v>
      </c>
      <c r="L234" s="474"/>
      <c r="M234" s="474"/>
      <c r="N234" s="474"/>
      <c r="O234" s="475" t="s">
        <v>556</v>
      </c>
      <c r="P234" s="558" t="s">
        <v>557</v>
      </c>
      <c r="Q234" s="476"/>
      <c r="R234" s="476"/>
      <c r="S234" s="476"/>
      <c r="T234" s="476"/>
      <c r="U234" s="476"/>
      <c r="V234" s="477"/>
      <c r="W234" s="243">
        <v>19000000</v>
      </c>
      <c r="X234" s="521"/>
      <c r="Y234" s="7">
        <f t="shared" si="6"/>
        <v>0</v>
      </c>
      <c r="Z234" s="522"/>
      <c r="AA234" s="469"/>
      <c r="AB234" s="530"/>
      <c r="AC234" s="531"/>
      <c r="AD234" s="532">
        <v>0</v>
      </c>
      <c r="AE234" s="532"/>
      <c r="AF234" s="9">
        <f t="shared" si="7"/>
        <v>0</v>
      </c>
      <c r="AG234" s="532"/>
      <c r="AH234" s="540"/>
      <c r="AI234" s="533" t="s">
        <v>558</v>
      </c>
      <c r="AJ234" s="10"/>
      <c r="AK234" s="481"/>
      <c r="AL234" s="481"/>
    </row>
    <row r="235" spans="1:38" ht="15" customHeight="1" x14ac:dyDescent="0.3">
      <c r="A235" s="473" t="s">
        <v>22</v>
      </c>
      <c r="B235" s="2" t="s">
        <v>23</v>
      </c>
      <c r="C235" s="6">
        <v>9</v>
      </c>
      <c r="D235" s="11" t="s">
        <v>24</v>
      </c>
      <c r="E235" s="431">
        <v>35977</v>
      </c>
      <c r="F235" s="12">
        <v>1998</v>
      </c>
      <c r="G235" s="19"/>
      <c r="H235" s="157"/>
      <c r="I235" s="14" t="s">
        <v>285</v>
      </c>
      <c r="J235" s="520" t="s">
        <v>81</v>
      </c>
      <c r="K235" s="474" t="s">
        <v>329</v>
      </c>
      <c r="L235" s="474"/>
      <c r="M235" s="474"/>
      <c r="N235" s="474"/>
      <c r="O235" s="475" t="s">
        <v>559</v>
      </c>
      <c r="P235" s="476" t="s">
        <v>484</v>
      </c>
      <c r="Q235" s="15" t="s">
        <v>282</v>
      </c>
      <c r="R235" s="15"/>
      <c r="S235" s="16" t="s">
        <v>44</v>
      </c>
      <c r="T235" s="16"/>
      <c r="U235" s="484"/>
      <c r="V235" s="485"/>
      <c r="W235" s="243"/>
      <c r="X235" s="478"/>
      <c r="Y235" s="7">
        <f t="shared" si="6"/>
        <v>0</v>
      </c>
      <c r="Z235" s="478"/>
      <c r="AA235" s="469"/>
      <c r="AB235" s="487"/>
      <c r="AC235" s="488"/>
      <c r="AD235" s="59">
        <v>0</v>
      </c>
      <c r="AE235" s="59"/>
      <c r="AF235" s="9">
        <f t="shared" si="7"/>
        <v>0</v>
      </c>
      <c r="AG235" s="59"/>
      <c r="AH235" s="489"/>
      <c r="AI235" s="490"/>
      <c r="AJ235" s="10"/>
      <c r="AK235" s="481"/>
      <c r="AL235" s="481"/>
    </row>
    <row r="236" spans="1:38" ht="15" customHeight="1" x14ac:dyDescent="0.3">
      <c r="A236" s="473" t="s">
        <v>22</v>
      </c>
      <c r="B236" s="2" t="s">
        <v>105</v>
      </c>
      <c r="C236" s="6">
        <v>9</v>
      </c>
      <c r="D236" s="11" t="s">
        <v>5936</v>
      </c>
      <c r="E236" s="430">
        <v>35748</v>
      </c>
      <c r="F236" s="12">
        <v>1997</v>
      </c>
      <c r="G236" s="24">
        <v>26076</v>
      </c>
      <c r="H236" s="157"/>
      <c r="I236" s="22" t="s">
        <v>264</v>
      </c>
      <c r="J236" s="32" t="s">
        <v>26</v>
      </c>
      <c r="K236" s="474" t="s">
        <v>560</v>
      </c>
      <c r="L236" s="474"/>
      <c r="M236" s="474"/>
      <c r="N236" s="474"/>
      <c r="O236" s="475"/>
      <c r="P236" s="476" t="s">
        <v>484</v>
      </c>
      <c r="Q236" s="15" t="s">
        <v>282</v>
      </c>
      <c r="R236" s="15"/>
      <c r="S236" s="16" t="s">
        <v>44</v>
      </c>
      <c r="T236" s="16"/>
      <c r="U236" s="484"/>
      <c r="V236" s="485"/>
      <c r="W236" s="243"/>
      <c r="X236" s="478"/>
      <c r="Y236" s="7">
        <f t="shared" si="6"/>
        <v>0</v>
      </c>
      <c r="Z236" s="478"/>
      <c r="AA236" s="469"/>
      <c r="AB236" s="487"/>
      <c r="AC236" s="488"/>
      <c r="AD236" s="59">
        <v>0</v>
      </c>
      <c r="AE236" s="59"/>
      <c r="AF236" s="9">
        <f t="shared" si="7"/>
        <v>0</v>
      </c>
      <c r="AG236" s="59"/>
      <c r="AH236" s="489"/>
      <c r="AI236" s="490"/>
      <c r="AJ236" s="10"/>
      <c r="AK236" s="59"/>
      <c r="AL236" s="59"/>
    </row>
    <row r="237" spans="1:38" ht="15" customHeight="1" x14ac:dyDescent="0.3">
      <c r="A237" s="473" t="s">
        <v>22</v>
      </c>
      <c r="B237" s="2" t="s">
        <v>105</v>
      </c>
      <c r="C237" s="6">
        <v>15</v>
      </c>
      <c r="D237" s="11" t="s">
        <v>5936</v>
      </c>
      <c r="E237" s="430">
        <v>35888</v>
      </c>
      <c r="F237" s="12">
        <v>1998</v>
      </c>
      <c r="G237" s="24" t="s">
        <v>561</v>
      </c>
      <c r="H237" s="157"/>
      <c r="I237" s="22" t="s">
        <v>264</v>
      </c>
      <c r="J237" s="32" t="s">
        <v>26</v>
      </c>
      <c r="K237" s="474" t="s">
        <v>392</v>
      </c>
      <c r="L237" s="474"/>
      <c r="M237" s="474"/>
      <c r="N237" s="474"/>
      <c r="O237" s="475"/>
      <c r="P237" s="476" t="s">
        <v>484</v>
      </c>
      <c r="Q237" s="15" t="s">
        <v>282</v>
      </c>
      <c r="R237" s="15"/>
      <c r="S237" s="16" t="s">
        <v>44</v>
      </c>
      <c r="T237" s="16"/>
      <c r="U237" s="484"/>
      <c r="V237" s="485"/>
      <c r="W237" s="243"/>
      <c r="X237" s="478"/>
      <c r="Y237" s="7">
        <f t="shared" si="6"/>
        <v>0</v>
      </c>
      <c r="Z237" s="478"/>
      <c r="AA237" s="469"/>
      <c r="AB237" s="487"/>
      <c r="AC237" s="488"/>
      <c r="AD237" s="59">
        <v>0</v>
      </c>
      <c r="AE237" s="59"/>
      <c r="AF237" s="9">
        <f t="shared" si="7"/>
        <v>0</v>
      </c>
      <c r="AG237" s="59"/>
      <c r="AH237" s="489"/>
      <c r="AI237" s="490"/>
      <c r="AJ237" s="10"/>
      <c r="AK237" s="481"/>
      <c r="AL237" s="481"/>
    </row>
    <row r="238" spans="1:38" ht="15" customHeight="1" x14ac:dyDescent="0.3">
      <c r="A238" s="473" t="s">
        <v>22</v>
      </c>
      <c r="B238" s="2" t="s">
        <v>105</v>
      </c>
      <c r="C238" s="6">
        <v>10</v>
      </c>
      <c r="D238" s="11" t="s">
        <v>190</v>
      </c>
      <c r="E238" s="431">
        <v>33561</v>
      </c>
      <c r="F238" s="12">
        <v>1991</v>
      </c>
      <c r="G238" s="13">
        <v>16890</v>
      </c>
      <c r="H238" s="157"/>
      <c r="I238" s="22" t="s">
        <v>264</v>
      </c>
      <c r="J238" s="32" t="s">
        <v>26</v>
      </c>
      <c r="K238" s="474" t="s">
        <v>469</v>
      </c>
      <c r="L238" s="474"/>
      <c r="M238" s="474"/>
      <c r="N238" s="474"/>
      <c r="O238" s="475" t="s">
        <v>562</v>
      </c>
      <c r="P238" s="541" t="s">
        <v>563</v>
      </c>
      <c r="Q238" s="15" t="s">
        <v>282</v>
      </c>
      <c r="R238" s="15"/>
      <c r="S238" s="16" t="s">
        <v>35</v>
      </c>
      <c r="T238" s="16"/>
      <c r="U238" s="484" t="s">
        <v>564</v>
      </c>
      <c r="V238" s="485"/>
      <c r="W238" s="243">
        <v>100000000</v>
      </c>
      <c r="X238" s="478"/>
      <c r="Y238" s="7">
        <f t="shared" si="6"/>
        <v>0</v>
      </c>
      <c r="Z238" s="478"/>
      <c r="AA238" s="469"/>
      <c r="AB238" s="487"/>
      <c r="AC238" s="488"/>
      <c r="AD238" s="59">
        <v>0</v>
      </c>
      <c r="AE238" s="59"/>
      <c r="AF238" s="9">
        <f t="shared" si="7"/>
        <v>0</v>
      </c>
      <c r="AG238" s="59"/>
      <c r="AH238" s="489"/>
      <c r="AI238" s="490"/>
      <c r="AJ238" s="10"/>
      <c r="AK238" s="481"/>
      <c r="AL238" s="481"/>
    </row>
    <row r="239" spans="1:38" ht="15" customHeight="1" x14ac:dyDescent="0.3">
      <c r="A239" s="473" t="s">
        <v>22</v>
      </c>
      <c r="B239" s="2" t="s">
        <v>105</v>
      </c>
      <c r="C239" s="6">
        <v>6</v>
      </c>
      <c r="D239" s="11" t="s">
        <v>5936</v>
      </c>
      <c r="E239" s="431">
        <v>34998</v>
      </c>
      <c r="F239" s="12">
        <v>1995</v>
      </c>
      <c r="G239" s="13">
        <v>33498</v>
      </c>
      <c r="H239" s="157"/>
      <c r="I239" s="22" t="s">
        <v>264</v>
      </c>
      <c r="J239" s="32" t="s">
        <v>26</v>
      </c>
      <c r="K239" s="474" t="s">
        <v>565</v>
      </c>
      <c r="L239" s="474"/>
      <c r="M239" s="474"/>
      <c r="N239" s="474"/>
      <c r="O239" s="482"/>
      <c r="P239" s="476" t="s">
        <v>484</v>
      </c>
      <c r="Q239" s="15" t="s">
        <v>35</v>
      </c>
      <c r="R239" s="15"/>
      <c r="S239" s="16" t="s">
        <v>44</v>
      </c>
      <c r="T239" s="16"/>
      <c r="U239" s="484"/>
      <c r="V239" s="485"/>
      <c r="W239" s="243"/>
      <c r="X239" s="478"/>
      <c r="Y239" s="7">
        <f t="shared" si="6"/>
        <v>0</v>
      </c>
      <c r="Z239" s="478"/>
      <c r="AA239" s="469"/>
      <c r="AB239" s="487"/>
      <c r="AC239" s="488"/>
      <c r="AD239" s="59">
        <v>0</v>
      </c>
      <c r="AE239" s="59"/>
      <c r="AF239" s="9">
        <f t="shared" si="7"/>
        <v>0</v>
      </c>
      <c r="AG239" s="59"/>
      <c r="AH239" s="489"/>
      <c r="AI239" s="490"/>
      <c r="AJ239" s="10"/>
      <c r="AK239" s="481"/>
      <c r="AL239" s="481"/>
    </row>
    <row r="240" spans="1:38" ht="15" customHeight="1" x14ac:dyDescent="0.3">
      <c r="A240" s="473" t="s">
        <v>22</v>
      </c>
      <c r="B240" s="2" t="s">
        <v>422</v>
      </c>
      <c r="C240" s="6">
        <v>3</v>
      </c>
      <c r="D240" s="11" t="s">
        <v>190</v>
      </c>
      <c r="E240" s="430">
        <v>35612</v>
      </c>
      <c r="F240" s="12">
        <v>1997</v>
      </c>
      <c r="G240" s="13">
        <v>35641</v>
      </c>
      <c r="H240" s="157"/>
      <c r="I240" s="22" t="s">
        <v>264</v>
      </c>
      <c r="J240" s="32" t="s">
        <v>26</v>
      </c>
      <c r="K240" s="474" t="s">
        <v>566</v>
      </c>
      <c r="L240" s="474"/>
      <c r="M240" s="474"/>
      <c r="N240" s="474"/>
      <c r="O240" s="475" t="s">
        <v>567</v>
      </c>
      <c r="P240" s="541" t="s">
        <v>349</v>
      </c>
      <c r="Q240" s="15" t="s">
        <v>35</v>
      </c>
      <c r="R240" s="15"/>
      <c r="S240" s="16" t="s">
        <v>35</v>
      </c>
      <c r="T240" s="16"/>
      <c r="U240" s="484" t="s">
        <v>568</v>
      </c>
      <c r="V240" s="485"/>
      <c r="W240" s="243">
        <v>60000000</v>
      </c>
      <c r="X240" s="478"/>
      <c r="Y240" s="7">
        <f t="shared" si="6"/>
        <v>0</v>
      </c>
      <c r="Z240" s="478"/>
      <c r="AA240" s="469"/>
      <c r="AB240" s="487"/>
      <c r="AC240" s="488"/>
      <c r="AD240" s="59">
        <v>0</v>
      </c>
      <c r="AE240" s="59"/>
      <c r="AF240" s="9">
        <f t="shared" si="7"/>
        <v>0</v>
      </c>
      <c r="AG240" s="59"/>
      <c r="AH240" s="489"/>
      <c r="AI240" s="490"/>
      <c r="AJ240" s="10"/>
      <c r="AK240" s="481"/>
      <c r="AL240" s="481"/>
    </row>
    <row r="241" spans="1:38" ht="15" customHeight="1" x14ac:dyDescent="0.3">
      <c r="A241" s="473" t="s">
        <v>22</v>
      </c>
      <c r="B241" s="2" t="s">
        <v>105</v>
      </c>
      <c r="C241" s="6">
        <v>10</v>
      </c>
      <c r="D241" s="11" t="s">
        <v>5936</v>
      </c>
      <c r="E241" s="430">
        <v>35474</v>
      </c>
      <c r="F241" s="12">
        <v>1997</v>
      </c>
      <c r="G241" s="13">
        <v>21081</v>
      </c>
      <c r="H241" s="157"/>
      <c r="I241" s="22" t="s">
        <v>264</v>
      </c>
      <c r="J241" s="32" t="s">
        <v>26</v>
      </c>
      <c r="K241" s="474" t="s">
        <v>412</v>
      </c>
      <c r="L241" s="474"/>
      <c r="M241" s="474"/>
      <c r="N241" s="474"/>
      <c r="O241" s="475"/>
      <c r="P241" s="476" t="s">
        <v>484</v>
      </c>
      <c r="Q241" s="15" t="s">
        <v>282</v>
      </c>
      <c r="R241" s="15"/>
      <c r="S241" s="16" t="s">
        <v>44</v>
      </c>
      <c r="T241" s="16"/>
      <c r="U241" s="484"/>
      <c r="V241" s="485"/>
      <c r="W241" s="243"/>
      <c r="X241" s="478"/>
      <c r="Y241" s="7">
        <f t="shared" si="6"/>
        <v>0</v>
      </c>
      <c r="Z241" s="478"/>
      <c r="AA241" s="469"/>
      <c r="AB241" s="487"/>
      <c r="AC241" s="488"/>
      <c r="AD241" s="59">
        <v>0</v>
      </c>
      <c r="AE241" s="59"/>
      <c r="AF241" s="9">
        <f t="shared" si="7"/>
        <v>0</v>
      </c>
      <c r="AG241" s="59"/>
      <c r="AH241" s="489"/>
      <c r="AI241" s="490"/>
      <c r="AJ241" s="10"/>
      <c r="AK241" s="481"/>
      <c r="AL241" s="481"/>
    </row>
    <row r="242" spans="1:38" ht="15" customHeight="1" x14ac:dyDescent="0.3">
      <c r="A242" s="473" t="s">
        <v>22</v>
      </c>
      <c r="B242" s="2" t="s">
        <v>23</v>
      </c>
      <c r="C242" s="6">
        <v>5</v>
      </c>
      <c r="D242" s="11" t="s">
        <v>190</v>
      </c>
      <c r="E242" s="431">
        <v>36312</v>
      </c>
      <c r="F242" s="12">
        <v>1999</v>
      </c>
      <c r="G242" s="13"/>
      <c r="H242" s="157"/>
      <c r="I242" s="14" t="s">
        <v>285</v>
      </c>
      <c r="J242" s="32" t="s">
        <v>26</v>
      </c>
      <c r="K242" s="474" t="s">
        <v>286</v>
      </c>
      <c r="L242" s="474"/>
      <c r="M242" s="474"/>
      <c r="N242" s="474"/>
      <c r="O242" s="475" t="s">
        <v>569</v>
      </c>
      <c r="P242" s="476" t="s">
        <v>484</v>
      </c>
      <c r="Q242" s="15" t="s">
        <v>282</v>
      </c>
      <c r="R242" s="15"/>
      <c r="S242" s="16" t="s">
        <v>44</v>
      </c>
      <c r="T242" s="16"/>
      <c r="U242" s="484"/>
      <c r="V242" s="485"/>
      <c r="W242" s="243"/>
      <c r="X242" s="478"/>
      <c r="Y242" s="7">
        <f t="shared" si="6"/>
        <v>0</v>
      </c>
      <c r="Z242" s="478"/>
      <c r="AA242" s="469"/>
      <c r="AB242" s="487"/>
      <c r="AC242" s="488"/>
      <c r="AD242" s="59">
        <v>0</v>
      </c>
      <c r="AE242" s="59"/>
      <c r="AF242" s="9">
        <f t="shared" si="7"/>
        <v>0</v>
      </c>
      <c r="AG242" s="59"/>
      <c r="AH242" s="489"/>
      <c r="AI242" s="490"/>
      <c r="AJ242" s="10"/>
      <c r="AK242" s="481"/>
      <c r="AL242" s="481"/>
    </row>
    <row r="243" spans="1:38" ht="15" customHeight="1" x14ac:dyDescent="0.3">
      <c r="A243" s="473" t="s">
        <v>22</v>
      </c>
      <c r="B243" s="2" t="s">
        <v>23</v>
      </c>
      <c r="C243" s="6">
        <v>12</v>
      </c>
      <c r="D243" s="11" t="s">
        <v>24</v>
      </c>
      <c r="E243" s="430">
        <v>35866</v>
      </c>
      <c r="F243" s="12">
        <v>1998</v>
      </c>
      <c r="G243" s="19"/>
      <c r="H243" s="157"/>
      <c r="I243" s="14" t="s">
        <v>285</v>
      </c>
      <c r="J243" s="32" t="s">
        <v>26</v>
      </c>
      <c r="K243" s="474" t="s">
        <v>286</v>
      </c>
      <c r="L243" s="474"/>
      <c r="M243" s="474"/>
      <c r="N243" s="474"/>
      <c r="O243" s="475" t="s">
        <v>570</v>
      </c>
      <c r="P243" s="476" t="s">
        <v>484</v>
      </c>
      <c r="Q243" s="15" t="s">
        <v>282</v>
      </c>
      <c r="R243" s="15"/>
      <c r="S243" s="16"/>
      <c r="T243" s="54"/>
      <c r="U243" s="560"/>
      <c r="V243" s="560"/>
      <c r="W243" s="243"/>
      <c r="X243" s="478"/>
      <c r="Y243" s="7">
        <f t="shared" si="6"/>
        <v>0</v>
      </c>
      <c r="Z243" s="478"/>
      <c r="AA243" s="469"/>
      <c r="AB243" s="479" t="s">
        <v>49</v>
      </c>
      <c r="AC243" s="480"/>
      <c r="AD243" s="476">
        <v>0</v>
      </c>
      <c r="AE243" s="476"/>
      <c r="AF243" s="9">
        <f t="shared" si="7"/>
        <v>0</v>
      </c>
      <c r="AG243" s="476"/>
      <c r="AH243" s="486" t="s">
        <v>686</v>
      </c>
      <c r="AI243" s="475" t="s">
        <v>571</v>
      </c>
      <c r="AJ243" s="491"/>
      <c r="AK243" s="481"/>
      <c r="AL243" s="481"/>
    </row>
    <row r="244" spans="1:38" ht="15" customHeight="1" x14ac:dyDescent="0.3">
      <c r="A244" s="520" t="s">
        <v>22</v>
      </c>
      <c r="B244" s="2" t="s">
        <v>5963</v>
      </c>
      <c r="C244" s="6">
        <v>4</v>
      </c>
      <c r="D244" s="11" t="s">
        <v>190</v>
      </c>
      <c r="E244" s="430">
        <v>35490</v>
      </c>
      <c r="F244" s="12">
        <v>1997</v>
      </c>
      <c r="G244" s="13">
        <v>35612</v>
      </c>
      <c r="H244" s="157"/>
      <c r="I244" s="22" t="s">
        <v>264</v>
      </c>
      <c r="J244" s="32" t="s">
        <v>26</v>
      </c>
      <c r="K244" s="474" t="s">
        <v>572</v>
      </c>
      <c r="L244" s="474"/>
      <c r="M244" s="474"/>
      <c r="N244" s="474"/>
      <c r="O244" s="475" t="s">
        <v>573</v>
      </c>
      <c r="P244" s="476" t="s">
        <v>484</v>
      </c>
      <c r="Q244" s="15" t="s">
        <v>282</v>
      </c>
      <c r="R244" s="15"/>
      <c r="S244" s="16"/>
      <c r="T244" s="54"/>
      <c r="U244" s="560"/>
      <c r="V244" s="560"/>
      <c r="W244" s="243"/>
      <c r="X244" s="478"/>
      <c r="Y244" s="7">
        <f t="shared" si="6"/>
        <v>0</v>
      </c>
      <c r="Z244" s="478"/>
      <c r="AA244" s="469"/>
      <c r="AB244" s="479" t="s">
        <v>5964</v>
      </c>
      <c r="AC244" s="480"/>
      <c r="AD244" s="476">
        <v>0</v>
      </c>
      <c r="AE244" s="476"/>
      <c r="AF244" s="9">
        <f t="shared" si="7"/>
        <v>0</v>
      </c>
      <c r="AG244" s="476"/>
      <c r="AH244" s="486" t="s">
        <v>5965</v>
      </c>
      <c r="AI244" s="475"/>
      <c r="AJ244" s="491"/>
      <c r="AK244" s="481"/>
      <c r="AL244" s="481"/>
    </row>
    <row r="245" spans="1:38" ht="15" customHeight="1" x14ac:dyDescent="0.3">
      <c r="A245" s="494" t="s">
        <v>22</v>
      </c>
      <c r="B245" s="2" t="s">
        <v>23</v>
      </c>
      <c r="C245" s="2">
        <v>1</v>
      </c>
      <c r="D245" s="11" t="s">
        <v>24</v>
      </c>
      <c r="E245" s="433">
        <v>36489</v>
      </c>
      <c r="F245" s="12">
        <v>1999</v>
      </c>
      <c r="G245" s="23">
        <v>861</v>
      </c>
      <c r="H245" s="157"/>
      <c r="I245" s="22" t="s">
        <v>264</v>
      </c>
      <c r="J245" s="32" t="s">
        <v>26</v>
      </c>
      <c r="K245" s="474" t="s">
        <v>469</v>
      </c>
      <c r="L245" s="474"/>
      <c r="M245" s="474"/>
      <c r="N245" s="474"/>
      <c r="O245" s="474" t="s">
        <v>469</v>
      </c>
      <c r="P245" s="497" t="s">
        <v>294</v>
      </c>
      <c r="Q245" s="15" t="s">
        <v>35</v>
      </c>
      <c r="R245" s="15"/>
      <c r="S245" s="16"/>
      <c r="T245" s="55"/>
      <c r="U245" s="561" t="s">
        <v>574</v>
      </c>
      <c r="V245" s="562"/>
      <c r="W245" s="243">
        <v>97753532</v>
      </c>
      <c r="X245" s="478"/>
      <c r="Y245" s="7">
        <f t="shared" si="6"/>
        <v>0</v>
      </c>
      <c r="Z245" s="478"/>
      <c r="AA245" s="469"/>
      <c r="AB245" s="513" t="s">
        <v>5976</v>
      </c>
      <c r="AC245" s="563"/>
      <c r="AD245" s="496">
        <v>0</v>
      </c>
      <c r="AE245" s="496"/>
      <c r="AF245" s="9">
        <f t="shared" si="7"/>
        <v>0</v>
      </c>
      <c r="AG245" s="496"/>
      <c r="AH245" s="539" t="s">
        <v>667</v>
      </c>
      <c r="AI245" s="475" t="s">
        <v>575</v>
      </c>
      <c r="AJ245" s="557"/>
      <c r="AK245" s="481"/>
      <c r="AL245" s="481"/>
    </row>
    <row r="246" spans="1:38" ht="15" customHeight="1" x14ac:dyDescent="0.3">
      <c r="A246" s="494" t="s">
        <v>22</v>
      </c>
      <c r="B246" s="2" t="s">
        <v>145</v>
      </c>
      <c r="C246" s="2">
        <v>1</v>
      </c>
      <c r="D246" s="11" t="s">
        <v>143</v>
      </c>
      <c r="E246" s="432">
        <v>36739</v>
      </c>
      <c r="F246" s="12">
        <v>2000</v>
      </c>
      <c r="G246" s="31"/>
      <c r="H246" s="157"/>
      <c r="I246" s="22" t="s">
        <v>264</v>
      </c>
      <c r="J246" s="32" t="s">
        <v>26</v>
      </c>
      <c r="K246" s="474" t="s">
        <v>576</v>
      </c>
      <c r="L246" s="474"/>
      <c r="M246" s="474"/>
      <c r="N246" s="474"/>
      <c r="O246" s="475" t="s">
        <v>577</v>
      </c>
      <c r="P246" s="496" t="s">
        <v>484</v>
      </c>
      <c r="Q246" s="15" t="s">
        <v>282</v>
      </c>
      <c r="R246" s="44"/>
      <c r="S246" s="16"/>
      <c r="T246" s="54"/>
      <c r="U246" s="560"/>
      <c r="V246" s="560"/>
      <c r="W246" s="243"/>
      <c r="X246" s="521"/>
      <c r="Y246" s="7">
        <f t="shared" si="6"/>
        <v>0</v>
      </c>
      <c r="Z246" s="522"/>
      <c r="AA246" s="469"/>
      <c r="AB246" s="564" t="s">
        <v>578</v>
      </c>
      <c r="AC246" s="565"/>
      <c r="AD246" s="496">
        <v>0</v>
      </c>
      <c r="AE246" s="496"/>
      <c r="AF246" s="9">
        <f t="shared" si="7"/>
        <v>0</v>
      </c>
      <c r="AG246" s="496"/>
      <c r="AH246" s="566" t="s">
        <v>681</v>
      </c>
      <c r="AI246" s="475" t="s">
        <v>579</v>
      </c>
      <c r="AJ246" s="557"/>
      <c r="AK246" s="481"/>
      <c r="AL246" s="481"/>
    </row>
    <row r="247" spans="1:38" ht="15" customHeight="1" x14ac:dyDescent="0.3">
      <c r="A247" s="494" t="s">
        <v>22</v>
      </c>
      <c r="B247" s="2" t="s">
        <v>144</v>
      </c>
      <c r="C247" s="2">
        <v>5</v>
      </c>
      <c r="D247" s="11" t="s">
        <v>143</v>
      </c>
      <c r="E247" s="432">
        <v>34659</v>
      </c>
      <c r="F247" s="12">
        <v>1994</v>
      </c>
      <c r="G247" s="31"/>
      <c r="H247" s="142">
        <v>5.0013105003200302E+21</v>
      </c>
      <c r="I247" s="22" t="s">
        <v>285</v>
      </c>
      <c r="J247" s="32" t="s">
        <v>26</v>
      </c>
      <c r="K247" s="474" t="s">
        <v>392</v>
      </c>
      <c r="L247" s="474"/>
      <c r="M247" s="474"/>
      <c r="N247" s="474"/>
      <c r="O247" s="475" t="s">
        <v>580</v>
      </c>
      <c r="P247" s="496" t="s">
        <v>484</v>
      </c>
      <c r="Q247" s="15" t="s">
        <v>282</v>
      </c>
      <c r="R247" s="15"/>
      <c r="S247" s="16"/>
      <c r="T247" s="54"/>
      <c r="U247" s="560"/>
      <c r="V247" s="560"/>
      <c r="W247" s="243"/>
      <c r="X247" s="521"/>
      <c r="Y247" s="7">
        <f t="shared" si="6"/>
        <v>0</v>
      </c>
      <c r="Z247" s="522"/>
      <c r="AA247" s="469"/>
      <c r="AB247" s="500" t="s">
        <v>581</v>
      </c>
      <c r="AC247" s="501"/>
      <c r="AD247" s="496">
        <v>0</v>
      </c>
      <c r="AE247" s="496"/>
      <c r="AF247" s="9">
        <f t="shared" si="7"/>
        <v>0</v>
      </c>
      <c r="AG247" s="496"/>
      <c r="AH247" s="539" t="s">
        <v>738</v>
      </c>
      <c r="AI247" s="475" t="s">
        <v>582</v>
      </c>
      <c r="AJ247" s="557"/>
      <c r="AK247" s="481"/>
      <c r="AL247" s="481"/>
    </row>
    <row r="248" spans="1:38" ht="15" customHeight="1" x14ac:dyDescent="0.3">
      <c r="A248" s="494" t="s">
        <v>22</v>
      </c>
      <c r="B248" s="29" t="s">
        <v>23</v>
      </c>
      <c r="C248" s="2">
        <v>9</v>
      </c>
      <c r="D248" s="11" t="s">
        <v>24</v>
      </c>
      <c r="E248" s="433">
        <v>36439</v>
      </c>
      <c r="F248" s="12">
        <v>1999</v>
      </c>
      <c r="G248" s="23"/>
      <c r="H248" s="223"/>
      <c r="I248" s="22" t="s">
        <v>285</v>
      </c>
      <c r="J248" s="32" t="s">
        <v>26</v>
      </c>
      <c r="K248" s="474" t="s">
        <v>552</v>
      </c>
      <c r="L248" s="474"/>
      <c r="M248" s="474"/>
      <c r="N248" s="474"/>
      <c r="O248" s="475" t="s">
        <v>583</v>
      </c>
      <c r="P248" s="496" t="s">
        <v>584</v>
      </c>
      <c r="Q248" s="15" t="s">
        <v>35</v>
      </c>
      <c r="R248" s="15"/>
      <c r="S248" s="16" t="s">
        <v>35</v>
      </c>
      <c r="T248" s="54"/>
      <c r="U248" s="560" t="s">
        <v>585</v>
      </c>
      <c r="V248" s="560"/>
      <c r="W248" s="243">
        <f>142125+16318199+5148000</f>
        <v>21608324</v>
      </c>
      <c r="X248" s="521"/>
      <c r="Y248" s="7">
        <f t="shared" si="6"/>
        <v>0</v>
      </c>
      <c r="Z248" s="522"/>
      <c r="AA248" s="469"/>
      <c r="AB248" s="500" t="s">
        <v>586</v>
      </c>
      <c r="AC248" s="501"/>
      <c r="AD248" s="496">
        <v>0</v>
      </c>
      <c r="AE248" s="496"/>
      <c r="AF248" s="9">
        <f t="shared" si="7"/>
        <v>0</v>
      </c>
      <c r="AG248" s="496"/>
      <c r="AH248" s="539" t="s">
        <v>671</v>
      </c>
      <c r="AI248" s="475"/>
      <c r="AJ248" s="557"/>
      <c r="AK248" s="481"/>
      <c r="AL248" s="481"/>
    </row>
    <row r="249" spans="1:38" ht="15" customHeight="1" x14ac:dyDescent="0.3">
      <c r="A249" s="494" t="s">
        <v>22</v>
      </c>
      <c r="B249" s="29" t="s">
        <v>23</v>
      </c>
      <c r="C249" s="2">
        <v>9</v>
      </c>
      <c r="D249" s="11" t="s">
        <v>24</v>
      </c>
      <c r="E249" s="432">
        <v>36553</v>
      </c>
      <c r="F249" s="12">
        <v>2000</v>
      </c>
      <c r="G249" s="31" t="s">
        <v>587</v>
      </c>
      <c r="H249" s="142"/>
      <c r="I249" s="22" t="s">
        <v>264</v>
      </c>
      <c r="J249" s="32" t="s">
        <v>26</v>
      </c>
      <c r="K249" s="474" t="s">
        <v>392</v>
      </c>
      <c r="L249" s="474"/>
      <c r="M249" s="474"/>
      <c r="N249" s="474"/>
      <c r="O249" s="475" t="s">
        <v>588</v>
      </c>
      <c r="P249" s="496" t="s">
        <v>484</v>
      </c>
      <c r="Q249" s="15" t="s">
        <v>282</v>
      </c>
      <c r="R249" s="15"/>
      <c r="S249" s="16"/>
      <c r="T249" s="54"/>
      <c r="U249" s="560"/>
      <c r="V249" s="560"/>
      <c r="W249" s="243"/>
      <c r="X249" s="521"/>
      <c r="Y249" s="7">
        <f t="shared" si="6"/>
        <v>0</v>
      </c>
      <c r="Z249" s="522"/>
      <c r="AA249" s="469"/>
      <c r="AB249" s="500" t="s">
        <v>586</v>
      </c>
      <c r="AC249" s="501"/>
      <c r="AD249" s="496">
        <v>0</v>
      </c>
      <c r="AE249" s="496"/>
      <c r="AF249" s="9">
        <f t="shared" si="7"/>
        <v>0</v>
      </c>
      <c r="AG249" s="496"/>
      <c r="AH249" s="539" t="s">
        <v>671</v>
      </c>
      <c r="AI249" s="475"/>
      <c r="AJ249" s="557"/>
      <c r="AK249" s="481"/>
      <c r="AL249" s="481"/>
    </row>
    <row r="250" spans="1:38" ht="15" customHeight="1" x14ac:dyDescent="0.3">
      <c r="A250" s="494" t="s">
        <v>22</v>
      </c>
      <c r="B250" s="29" t="s">
        <v>23</v>
      </c>
      <c r="C250" s="2">
        <v>11</v>
      </c>
      <c r="D250" s="11" t="s">
        <v>24</v>
      </c>
      <c r="E250" s="432">
        <v>36028</v>
      </c>
      <c r="F250" s="12">
        <v>1998</v>
      </c>
      <c r="G250" s="31"/>
      <c r="H250" s="142"/>
      <c r="I250" s="22" t="s">
        <v>285</v>
      </c>
      <c r="J250" s="32" t="s">
        <v>26</v>
      </c>
      <c r="K250" s="474" t="s">
        <v>589</v>
      </c>
      <c r="L250" s="474"/>
      <c r="M250" s="474"/>
      <c r="N250" s="474"/>
      <c r="O250" s="475" t="s">
        <v>590</v>
      </c>
      <c r="P250" s="496" t="s">
        <v>484</v>
      </c>
      <c r="Q250" s="15" t="s">
        <v>282</v>
      </c>
      <c r="R250" s="15"/>
      <c r="S250" s="16"/>
      <c r="T250" s="54"/>
      <c r="U250" s="560"/>
      <c r="V250" s="560"/>
      <c r="W250" s="243"/>
      <c r="X250" s="521"/>
      <c r="Y250" s="7">
        <f t="shared" si="6"/>
        <v>0</v>
      </c>
      <c r="Z250" s="522"/>
      <c r="AA250" s="469"/>
      <c r="AB250" s="479" t="s">
        <v>318</v>
      </c>
      <c r="AC250" s="501"/>
      <c r="AD250" s="567">
        <v>0</v>
      </c>
      <c r="AE250" s="567"/>
      <c r="AF250" s="9">
        <f t="shared" si="7"/>
        <v>0</v>
      </c>
      <c r="AG250" s="567"/>
      <c r="AH250" s="539" t="s">
        <v>671</v>
      </c>
      <c r="AI250" s="475"/>
      <c r="AJ250" s="557"/>
      <c r="AK250" s="481"/>
      <c r="AL250" s="481"/>
    </row>
    <row r="251" spans="1:38" ht="15" customHeight="1" x14ac:dyDescent="0.3">
      <c r="A251" s="568" t="s">
        <v>22</v>
      </c>
      <c r="B251" s="56" t="s">
        <v>144</v>
      </c>
      <c r="C251" s="57">
        <v>6</v>
      </c>
      <c r="D251" s="11" t="s">
        <v>143</v>
      </c>
      <c r="E251" s="122">
        <v>34734</v>
      </c>
      <c r="F251" s="12">
        <v>1995</v>
      </c>
      <c r="G251" s="24"/>
      <c r="H251" s="569"/>
      <c r="I251" s="22" t="s">
        <v>264</v>
      </c>
      <c r="J251" s="32" t="s">
        <v>26</v>
      </c>
      <c r="K251" s="477" t="s">
        <v>591</v>
      </c>
      <c r="L251" s="477"/>
      <c r="M251" s="477"/>
      <c r="N251" s="477"/>
      <c r="O251" s="511"/>
      <c r="P251" s="476" t="s">
        <v>592</v>
      </c>
      <c r="Q251" s="15" t="s">
        <v>282</v>
      </c>
      <c r="R251" s="15"/>
      <c r="S251" s="16" t="s">
        <v>44</v>
      </c>
      <c r="T251" s="54"/>
      <c r="U251" s="560"/>
      <c r="V251" s="560"/>
      <c r="W251" s="243"/>
      <c r="X251" s="478"/>
      <c r="Y251" s="7">
        <f t="shared" si="6"/>
        <v>0</v>
      </c>
      <c r="Z251" s="478"/>
      <c r="AA251" s="469"/>
      <c r="AB251" s="479" t="s">
        <v>5961</v>
      </c>
      <c r="AC251" s="480"/>
      <c r="AD251" s="476">
        <v>0</v>
      </c>
      <c r="AE251" s="476"/>
      <c r="AF251" s="9">
        <f t="shared" si="7"/>
        <v>0</v>
      </c>
      <c r="AG251" s="476"/>
      <c r="AH251" s="486" t="s">
        <v>727</v>
      </c>
      <c r="AI251" s="476"/>
      <c r="AJ251" s="491"/>
      <c r="AK251" s="59"/>
      <c r="AL251" s="59"/>
    </row>
    <row r="252" spans="1:38" ht="15" customHeight="1" x14ac:dyDescent="0.3">
      <c r="A252" s="568" t="s">
        <v>22</v>
      </c>
      <c r="B252" s="58" t="s">
        <v>105</v>
      </c>
      <c r="C252" s="57">
        <v>3</v>
      </c>
      <c r="D252" s="11" t="s">
        <v>190</v>
      </c>
      <c r="E252" s="440">
        <v>34640</v>
      </c>
      <c r="F252" s="12">
        <v>1994</v>
      </c>
      <c r="G252" s="13">
        <v>34745</v>
      </c>
      <c r="H252" s="569"/>
      <c r="I252" s="22" t="s">
        <v>264</v>
      </c>
      <c r="J252" s="32" t="s">
        <v>26</v>
      </c>
      <c r="K252" s="477" t="s">
        <v>593</v>
      </c>
      <c r="L252" s="477"/>
      <c r="M252" s="477"/>
      <c r="N252" s="477"/>
      <c r="O252" s="511"/>
      <c r="P252" s="476" t="s">
        <v>594</v>
      </c>
      <c r="Q252" s="15" t="s">
        <v>35</v>
      </c>
      <c r="R252" s="15"/>
      <c r="S252" s="16" t="s">
        <v>35</v>
      </c>
      <c r="T252" s="16"/>
      <c r="U252" s="484" t="s">
        <v>595</v>
      </c>
      <c r="V252" s="485"/>
      <c r="W252" s="243">
        <v>5000000</v>
      </c>
      <c r="X252" s="478"/>
      <c r="Y252" s="7">
        <f t="shared" si="6"/>
        <v>0</v>
      </c>
      <c r="Z252" s="478"/>
      <c r="AA252" s="469"/>
      <c r="AB252" s="479" t="s">
        <v>5937</v>
      </c>
      <c r="AC252" s="480"/>
      <c r="AD252" s="483">
        <v>0</v>
      </c>
      <c r="AE252" s="483"/>
      <c r="AF252" s="9">
        <f t="shared" si="7"/>
        <v>0</v>
      </c>
      <c r="AG252" s="483"/>
      <c r="AH252" s="489"/>
      <c r="AI252" s="490"/>
      <c r="AJ252" s="10"/>
      <c r="AK252" s="481"/>
      <c r="AL252" s="481"/>
    </row>
    <row r="253" spans="1:38" ht="15" customHeight="1" x14ac:dyDescent="0.3">
      <c r="A253" s="494" t="s">
        <v>22</v>
      </c>
      <c r="B253" s="2" t="s">
        <v>105</v>
      </c>
      <c r="C253" s="2">
        <v>12</v>
      </c>
      <c r="D253" s="11" t="s">
        <v>5936</v>
      </c>
      <c r="E253" s="432">
        <v>35865</v>
      </c>
      <c r="F253" s="12">
        <v>1998</v>
      </c>
      <c r="G253" s="36">
        <v>23058</v>
      </c>
      <c r="H253" s="570"/>
      <c r="I253" s="22" t="s">
        <v>264</v>
      </c>
      <c r="J253" s="32" t="s">
        <v>26</v>
      </c>
      <c r="K253" s="474" t="s">
        <v>392</v>
      </c>
      <c r="L253" s="474"/>
      <c r="M253" s="474"/>
      <c r="N253" s="474"/>
      <c r="O253" s="475" t="s">
        <v>596</v>
      </c>
      <c r="P253" s="475" t="s">
        <v>484</v>
      </c>
      <c r="Q253" s="15" t="s">
        <v>282</v>
      </c>
      <c r="R253" s="15"/>
      <c r="S253" s="16" t="s">
        <v>44</v>
      </c>
      <c r="T253" s="16"/>
      <c r="U253" s="484" t="s">
        <v>597</v>
      </c>
      <c r="V253" s="485"/>
      <c r="W253" s="243"/>
      <c r="X253" s="521"/>
      <c r="Y253" s="7">
        <f t="shared" si="6"/>
        <v>0</v>
      </c>
      <c r="Z253" s="522"/>
      <c r="AA253" s="469"/>
      <c r="AB253" s="479" t="s">
        <v>5937</v>
      </c>
      <c r="AC253" s="501"/>
      <c r="AD253" s="110">
        <v>0</v>
      </c>
      <c r="AE253" s="110"/>
      <c r="AF253" s="9">
        <f t="shared" si="7"/>
        <v>0</v>
      </c>
      <c r="AG253" s="110"/>
      <c r="AH253" s="540"/>
      <c r="AI253" s="490"/>
      <c r="AJ253" s="10"/>
      <c r="AK253" s="481"/>
      <c r="AL253" s="481"/>
    </row>
    <row r="254" spans="1:38" ht="15" customHeight="1" x14ac:dyDescent="0.3">
      <c r="A254" s="494" t="s">
        <v>22</v>
      </c>
      <c r="B254" s="2" t="s">
        <v>105</v>
      </c>
      <c r="C254" s="2">
        <v>10</v>
      </c>
      <c r="D254" s="11" t="s">
        <v>190</v>
      </c>
      <c r="E254" s="433">
        <v>35125</v>
      </c>
      <c r="F254" s="12">
        <v>1996</v>
      </c>
      <c r="G254" s="23">
        <v>20109</v>
      </c>
      <c r="H254" s="223"/>
      <c r="I254" s="22" t="s">
        <v>264</v>
      </c>
      <c r="J254" s="555" t="s">
        <v>81</v>
      </c>
      <c r="K254" s="474" t="s">
        <v>380</v>
      </c>
      <c r="L254" s="474"/>
      <c r="M254" s="474"/>
      <c r="N254" s="474"/>
      <c r="O254" s="475"/>
      <c r="P254" s="496" t="s">
        <v>484</v>
      </c>
      <c r="Q254" s="15" t="s">
        <v>282</v>
      </c>
      <c r="R254" s="15"/>
      <c r="S254" s="16" t="s">
        <v>44</v>
      </c>
      <c r="T254" s="16"/>
      <c r="U254" s="484"/>
      <c r="V254" s="485"/>
      <c r="W254" s="243"/>
      <c r="X254" s="521"/>
      <c r="Y254" s="7">
        <f t="shared" si="6"/>
        <v>0</v>
      </c>
      <c r="Z254" s="522"/>
      <c r="AA254" s="469"/>
      <c r="AB254" s="479" t="s">
        <v>5937</v>
      </c>
      <c r="AC254" s="501"/>
      <c r="AD254" s="110">
        <v>0</v>
      </c>
      <c r="AE254" s="110"/>
      <c r="AF254" s="9">
        <f t="shared" si="7"/>
        <v>0</v>
      </c>
      <c r="AG254" s="110"/>
      <c r="AH254" s="540"/>
      <c r="AI254" s="533"/>
      <c r="AJ254" s="10"/>
      <c r="AK254" s="481"/>
      <c r="AL254" s="481"/>
    </row>
    <row r="255" spans="1:38" ht="15" customHeight="1" x14ac:dyDescent="0.3">
      <c r="A255" s="494" t="s">
        <v>22</v>
      </c>
      <c r="B255" s="2" t="s">
        <v>105</v>
      </c>
      <c r="C255" s="2">
        <v>10</v>
      </c>
      <c r="D255" s="11" t="s">
        <v>5936</v>
      </c>
      <c r="E255" s="433">
        <v>35170</v>
      </c>
      <c r="F255" s="12">
        <v>1996</v>
      </c>
      <c r="G255" s="23">
        <v>20319</v>
      </c>
      <c r="H255" s="142"/>
      <c r="I255" s="22" t="s">
        <v>264</v>
      </c>
      <c r="J255" s="32" t="s">
        <v>26</v>
      </c>
      <c r="K255" s="474" t="s">
        <v>351</v>
      </c>
      <c r="L255" s="474"/>
      <c r="M255" s="474"/>
      <c r="N255" s="474"/>
      <c r="O255" s="475"/>
      <c r="P255" s="496" t="s">
        <v>429</v>
      </c>
      <c r="Q255" s="15" t="s">
        <v>282</v>
      </c>
      <c r="R255" s="15"/>
      <c r="S255" s="16" t="s">
        <v>44</v>
      </c>
      <c r="T255" s="16"/>
      <c r="U255" s="484"/>
      <c r="V255" s="485"/>
      <c r="W255" s="243"/>
      <c r="X255" s="521"/>
      <c r="Y255" s="7">
        <f t="shared" si="6"/>
        <v>0</v>
      </c>
      <c r="Z255" s="522"/>
      <c r="AA255" s="469"/>
      <c r="AB255" s="479" t="s">
        <v>5937</v>
      </c>
      <c r="AC255" s="501"/>
      <c r="AD255" s="110">
        <v>0</v>
      </c>
      <c r="AE255" s="110"/>
      <c r="AF255" s="9">
        <f t="shared" si="7"/>
        <v>0</v>
      </c>
      <c r="AG255" s="110"/>
      <c r="AH255" s="540"/>
      <c r="AI255" s="533"/>
      <c r="AJ255" s="10"/>
      <c r="AK255" s="481"/>
      <c r="AL255" s="481"/>
    </row>
    <row r="256" spans="1:38" ht="15" customHeight="1" x14ac:dyDescent="0.3">
      <c r="A256" s="473" t="s">
        <v>22</v>
      </c>
      <c r="B256" s="2" t="s">
        <v>105</v>
      </c>
      <c r="C256" s="6">
        <v>6</v>
      </c>
      <c r="D256" s="11" t="s">
        <v>5936</v>
      </c>
      <c r="E256" s="431">
        <v>34884</v>
      </c>
      <c r="F256" s="12">
        <v>1995</v>
      </c>
      <c r="G256" s="13">
        <v>33139</v>
      </c>
      <c r="H256" s="142"/>
      <c r="I256" s="22" t="s">
        <v>264</v>
      </c>
      <c r="J256" s="32" t="s">
        <v>191</v>
      </c>
      <c r="K256" s="474" t="s">
        <v>314</v>
      </c>
      <c r="L256" s="474"/>
      <c r="M256" s="474"/>
      <c r="N256" s="474"/>
      <c r="O256" s="475"/>
      <c r="P256" s="475" t="s">
        <v>303</v>
      </c>
      <c r="Q256" s="15" t="s">
        <v>282</v>
      </c>
      <c r="R256" s="15"/>
      <c r="S256" s="16" t="s">
        <v>35</v>
      </c>
      <c r="T256" s="16"/>
      <c r="U256" s="484"/>
      <c r="V256" s="485"/>
      <c r="W256" s="243">
        <v>18500000</v>
      </c>
      <c r="X256" s="478"/>
      <c r="Y256" s="7">
        <f t="shared" si="6"/>
        <v>0</v>
      </c>
      <c r="Z256" s="478"/>
      <c r="AA256" s="469"/>
      <c r="AB256" s="479" t="s">
        <v>5937</v>
      </c>
      <c r="AC256" s="480"/>
      <c r="AD256" s="493">
        <v>0</v>
      </c>
      <c r="AE256" s="493"/>
      <c r="AF256" s="9">
        <f t="shared" si="7"/>
        <v>0</v>
      </c>
      <c r="AG256" s="493"/>
      <c r="AH256" s="486"/>
      <c r="AI256" s="490"/>
      <c r="AJ256" s="10"/>
      <c r="AK256" s="481"/>
      <c r="AL256" s="481"/>
    </row>
    <row r="257" spans="1:38" ht="15" customHeight="1" x14ac:dyDescent="0.3">
      <c r="A257" s="568" t="s">
        <v>22</v>
      </c>
      <c r="B257" s="58" t="s">
        <v>105</v>
      </c>
      <c r="C257" s="57">
        <v>6</v>
      </c>
      <c r="D257" s="11" t="s">
        <v>5936</v>
      </c>
      <c r="E257" s="431">
        <v>34884</v>
      </c>
      <c r="F257" s="12">
        <v>1995</v>
      </c>
      <c r="G257" s="13">
        <v>33129</v>
      </c>
      <c r="H257" s="142"/>
      <c r="I257" s="22" t="s">
        <v>264</v>
      </c>
      <c r="J257" s="32" t="s">
        <v>26</v>
      </c>
      <c r="K257" s="477" t="s">
        <v>392</v>
      </c>
      <c r="L257" s="477"/>
      <c r="M257" s="477"/>
      <c r="N257" s="477"/>
      <c r="O257" s="476"/>
      <c r="P257" s="475" t="s">
        <v>393</v>
      </c>
      <c r="Q257" s="15" t="s">
        <v>282</v>
      </c>
      <c r="R257" s="15"/>
      <c r="S257" s="16" t="s">
        <v>44</v>
      </c>
      <c r="T257" s="16"/>
      <c r="U257" s="484"/>
      <c r="V257" s="485"/>
      <c r="W257" s="243"/>
      <c r="X257" s="478"/>
      <c r="Y257" s="7">
        <f t="shared" si="6"/>
        <v>0</v>
      </c>
      <c r="Z257" s="478"/>
      <c r="AA257" s="469"/>
      <c r="AB257" s="479" t="s">
        <v>5937</v>
      </c>
      <c r="AC257" s="480"/>
      <c r="AD257" s="483">
        <v>0</v>
      </c>
      <c r="AE257" s="483"/>
      <c r="AF257" s="9">
        <f t="shared" si="7"/>
        <v>0</v>
      </c>
      <c r="AG257" s="483"/>
      <c r="AH257" s="489"/>
      <c r="AI257" s="490"/>
      <c r="AJ257" s="10"/>
      <c r="AK257" s="481"/>
      <c r="AL257" s="481"/>
    </row>
    <row r="258" spans="1:38" ht="15" customHeight="1" x14ac:dyDescent="0.3">
      <c r="A258" s="473" t="s">
        <v>22</v>
      </c>
      <c r="B258" s="2" t="s">
        <v>105</v>
      </c>
      <c r="C258" s="6">
        <v>6</v>
      </c>
      <c r="D258" s="11" t="s">
        <v>5936</v>
      </c>
      <c r="E258" s="430">
        <v>35992</v>
      </c>
      <c r="F258" s="12">
        <v>1998</v>
      </c>
      <c r="G258" s="24" t="s">
        <v>598</v>
      </c>
      <c r="H258" s="178"/>
      <c r="I258" s="22" t="s">
        <v>264</v>
      </c>
      <c r="J258" s="32" t="s">
        <v>26</v>
      </c>
      <c r="K258" s="474" t="s">
        <v>351</v>
      </c>
      <c r="L258" s="474"/>
      <c r="M258" s="474"/>
      <c r="N258" s="474"/>
      <c r="O258" s="475"/>
      <c r="P258" s="475" t="s">
        <v>429</v>
      </c>
      <c r="Q258" s="15" t="s">
        <v>282</v>
      </c>
      <c r="R258" s="15"/>
      <c r="S258" s="16" t="s">
        <v>44</v>
      </c>
      <c r="T258" s="16"/>
      <c r="U258" s="484"/>
      <c r="V258" s="485"/>
      <c r="W258" s="243"/>
      <c r="X258" s="478"/>
      <c r="Y258" s="7">
        <f t="shared" ref="Y258:Y321" si="8">W258*AE258</f>
        <v>0</v>
      </c>
      <c r="Z258" s="478"/>
      <c r="AA258" s="469"/>
      <c r="AB258" s="479" t="s">
        <v>5937</v>
      </c>
      <c r="AC258" s="480"/>
      <c r="AD258" s="483">
        <v>0</v>
      </c>
      <c r="AE258" s="483"/>
      <c r="AF258" s="9">
        <f t="shared" si="7"/>
        <v>0</v>
      </c>
      <c r="AG258" s="483"/>
      <c r="AH258" s="489"/>
      <c r="AI258" s="490"/>
      <c r="AJ258" s="10"/>
      <c r="AK258" s="481"/>
      <c r="AL258" s="481"/>
    </row>
    <row r="259" spans="1:38" ht="15" customHeight="1" x14ac:dyDescent="0.3">
      <c r="A259" s="494" t="s">
        <v>22</v>
      </c>
      <c r="B259" s="2" t="s">
        <v>5963</v>
      </c>
      <c r="C259" s="2">
        <v>2</v>
      </c>
      <c r="D259" s="11" t="s">
        <v>190</v>
      </c>
      <c r="E259" s="432">
        <v>35451</v>
      </c>
      <c r="F259" s="12">
        <v>1997</v>
      </c>
      <c r="G259" s="23">
        <v>34767</v>
      </c>
      <c r="H259" s="178"/>
      <c r="I259" s="22" t="s">
        <v>264</v>
      </c>
      <c r="J259" s="32" t="s">
        <v>26</v>
      </c>
      <c r="K259" s="474" t="s">
        <v>599</v>
      </c>
      <c r="L259" s="474"/>
      <c r="M259" s="474"/>
      <c r="N259" s="474"/>
      <c r="O259" s="475" t="s">
        <v>600</v>
      </c>
      <c r="P259" s="496" t="s">
        <v>429</v>
      </c>
      <c r="Q259" s="15" t="s">
        <v>282</v>
      </c>
      <c r="R259" s="15"/>
      <c r="S259" s="16" t="s">
        <v>44</v>
      </c>
      <c r="T259" s="16"/>
      <c r="U259" s="484"/>
      <c r="V259" s="485"/>
      <c r="W259" s="243"/>
      <c r="X259" s="478"/>
      <c r="Y259" s="7">
        <f t="shared" si="8"/>
        <v>0</v>
      </c>
      <c r="Z259" s="478"/>
      <c r="AA259" s="469"/>
      <c r="AB259" s="571" t="s">
        <v>5959</v>
      </c>
      <c r="AC259" s="572"/>
      <c r="AD259" s="573">
        <v>0</v>
      </c>
      <c r="AE259" s="573"/>
      <c r="AF259" s="9">
        <f t="shared" ref="AF259:AF322" si="9">AD259+AE259</f>
        <v>0</v>
      </c>
      <c r="AG259" s="573"/>
      <c r="AH259" s="540"/>
      <c r="AI259" s="574"/>
      <c r="AJ259" s="10"/>
      <c r="AK259" s="481"/>
      <c r="AL259" s="481"/>
    </row>
    <row r="260" spans="1:38" ht="15" customHeight="1" x14ac:dyDescent="0.3">
      <c r="A260" s="575" t="s">
        <v>22</v>
      </c>
      <c r="B260" s="58" t="s">
        <v>105</v>
      </c>
      <c r="C260" s="58">
        <v>17</v>
      </c>
      <c r="D260" s="11" t="s">
        <v>5936</v>
      </c>
      <c r="E260" s="441">
        <v>35823</v>
      </c>
      <c r="F260" s="12">
        <v>1998</v>
      </c>
      <c r="G260" s="36">
        <v>1097</v>
      </c>
      <c r="H260" s="142"/>
      <c r="I260" s="22" t="s">
        <v>264</v>
      </c>
      <c r="J260" s="32" t="s">
        <v>26</v>
      </c>
      <c r="K260" s="477" t="s">
        <v>601</v>
      </c>
      <c r="L260" s="477"/>
      <c r="M260" s="477"/>
      <c r="N260" s="477"/>
      <c r="O260" s="476"/>
      <c r="P260" s="476" t="s">
        <v>484</v>
      </c>
      <c r="Q260" s="15" t="s">
        <v>282</v>
      </c>
      <c r="R260" s="15"/>
      <c r="S260" s="16" t="s">
        <v>44</v>
      </c>
      <c r="T260" s="16"/>
      <c r="U260" s="484" t="s">
        <v>602</v>
      </c>
      <c r="V260" s="485"/>
      <c r="W260" s="243"/>
      <c r="X260" s="521"/>
      <c r="Y260" s="7">
        <f t="shared" si="8"/>
        <v>0</v>
      </c>
      <c r="Z260" s="522"/>
      <c r="AA260" s="469"/>
      <c r="AB260" s="479" t="s">
        <v>5937</v>
      </c>
      <c r="AC260" s="501"/>
      <c r="AD260" s="110">
        <v>0</v>
      </c>
      <c r="AE260" s="110"/>
      <c r="AF260" s="9">
        <f t="shared" si="9"/>
        <v>0</v>
      </c>
      <c r="AG260" s="110"/>
      <c r="AH260" s="540"/>
      <c r="AI260" s="490" t="s">
        <v>603</v>
      </c>
      <c r="AJ260" s="10"/>
      <c r="AK260" s="481"/>
      <c r="AL260" s="481"/>
    </row>
    <row r="261" spans="1:38" ht="15" customHeight="1" x14ac:dyDescent="0.3">
      <c r="A261" s="520" t="s">
        <v>22</v>
      </c>
      <c r="B261" s="29" t="s">
        <v>144</v>
      </c>
      <c r="C261" s="6">
        <v>7</v>
      </c>
      <c r="D261" s="11" t="s">
        <v>143</v>
      </c>
      <c r="E261" s="430">
        <v>36362</v>
      </c>
      <c r="F261" s="12">
        <v>1999</v>
      </c>
      <c r="G261" s="19"/>
      <c r="H261" s="178"/>
      <c r="I261" s="22" t="s">
        <v>264</v>
      </c>
      <c r="J261" s="32" t="s">
        <v>26</v>
      </c>
      <c r="K261" s="474" t="s">
        <v>329</v>
      </c>
      <c r="L261" s="474"/>
      <c r="M261" s="474"/>
      <c r="N261" s="474"/>
      <c r="O261" s="475" t="s">
        <v>604</v>
      </c>
      <c r="P261" s="476" t="s">
        <v>605</v>
      </c>
      <c r="Q261" s="476"/>
      <c r="R261" s="476"/>
      <c r="S261" s="476"/>
      <c r="T261" s="476"/>
      <c r="U261" s="476"/>
      <c r="V261" s="477"/>
      <c r="W261" s="243">
        <v>45000000</v>
      </c>
      <c r="X261" s="478"/>
      <c r="Y261" s="7">
        <f t="shared" si="8"/>
        <v>0</v>
      </c>
      <c r="Z261" s="478"/>
      <c r="AA261" s="469"/>
      <c r="AB261" s="479" t="s">
        <v>147</v>
      </c>
      <c r="AC261" s="480"/>
      <c r="AD261" s="476">
        <v>0</v>
      </c>
      <c r="AE261" s="476"/>
      <c r="AF261" s="9">
        <f t="shared" si="9"/>
        <v>0</v>
      </c>
      <c r="AG261" s="476"/>
      <c r="AH261" s="489"/>
      <c r="AI261" s="490"/>
      <c r="AJ261" s="10"/>
      <c r="AK261" s="481"/>
      <c r="AL261" s="481"/>
    </row>
    <row r="262" spans="1:38" ht="15" customHeight="1" x14ac:dyDescent="0.3">
      <c r="A262" s="520" t="s">
        <v>22</v>
      </c>
      <c r="B262" s="2" t="s">
        <v>5942</v>
      </c>
      <c r="C262" s="6" t="s">
        <v>606</v>
      </c>
      <c r="D262" s="11" t="s">
        <v>143</v>
      </c>
      <c r="E262" s="431">
        <v>34989</v>
      </c>
      <c r="F262" s="12">
        <v>1995</v>
      </c>
      <c r="G262" s="24"/>
      <c r="H262" s="142"/>
      <c r="I262" s="22" t="s">
        <v>264</v>
      </c>
      <c r="J262" s="32" t="s">
        <v>26</v>
      </c>
      <c r="K262" s="474" t="s">
        <v>607</v>
      </c>
      <c r="L262" s="474"/>
      <c r="M262" s="474"/>
      <c r="N262" s="474"/>
      <c r="O262" s="482"/>
      <c r="P262" s="476" t="s">
        <v>484</v>
      </c>
      <c r="Q262" s="15" t="s">
        <v>35</v>
      </c>
      <c r="R262" s="15"/>
      <c r="S262" s="16" t="s">
        <v>44</v>
      </c>
      <c r="T262" s="16"/>
      <c r="U262" s="484"/>
      <c r="V262" s="485"/>
      <c r="W262" s="243"/>
      <c r="X262" s="478"/>
      <c r="Y262" s="7">
        <f t="shared" si="8"/>
        <v>0</v>
      </c>
      <c r="Z262" s="478"/>
      <c r="AA262" s="469"/>
      <c r="AB262" s="503" t="s">
        <v>6055</v>
      </c>
      <c r="AC262" s="222"/>
      <c r="AD262" s="476">
        <v>0</v>
      </c>
      <c r="AE262" s="476"/>
      <c r="AF262" s="9">
        <f t="shared" si="9"/>
        <v>0</v>
      </c>
      <c r="AG262" s="476"/>
      <c r="AH262" s="489">
        <v>0.75</v>
      </c>
      <c r="AI262" s="490"/>
      <c r="AJ262" s="10"/>
      <c r="AK262" s="502"/>
      <c r="AL262" s="502"/>
    </row>
    <row r="263" spans="1:38" ht="15" customHeight="1" x14ac:dyDescent="0.3">
      <c r="A263" s="520" t="s">
        <v>22</v>
      </c>
      <c r="B263" s="2" t="s">
        <v>144</v>
      </c>
      <c r="C263" s="6">
        <v>1</v>
      </c>
      <c r="D263" s="11" t="s">
        <v>143</v>
      </c>
      <c r="E263" s="430">
        <v>35635</v>
      </c>
      <c r="F263" s="12">
        <v>1997</v>
      </c>
      <c r="G263" s="13">
        <v>35466</v>
      </c>
      <c r="H263" s="142"/>
      <c r="I263" s="22" t="s">
        <v>264</v>
      </c>
      <c r="J263" s="32" t="s">
        <v>26</v>
      </c>
      <c r="K263" s="474" t="s">
        <v>608</v>
      </c>
      <c r="L263" s="474"/>
      <c r="M263" s="474"/>
      <c r="N263" s="474"/>
      <c r="O263" s="475" t="s">
        <v>609</v>
      </c>
      <c r="P263" s="476" t="s">
        <v>484</v>
      </c>
      <c r="Q263" s="15" t="s">
        <v>282</v>
      </c>
      <c r="R263" s="15"/>
      <c r="S263" s="16" t="s">
        <v>44</v>
      </c>
      <c r="T263" s="16"/>
      <c r="U263" s="484"/>
      <c r="V263" s="485"/>
      <c r="W263" s="243"/>
      <c r="X263" s="478"/>
      <c r="Y263" s="7">
        <f t="shared" si="8"/>
        <v>0</v>
      </c>
      <c r="Z263" s="478"/>
      <c r="AA263" s="469"/>
      <c r="AB263" s="503" t="s">
        <v>6055</v>
      </c>
      <c r="AC263" s="222"/>
      <c r="AD263" s="476">
        <v>0</v>
      </c>
      <c r="AE263" s="476"/>
      <c r="AF263" s="9">
        <f t="shared" si="9"/>
        <v>0</v>
      </c>
      <c r="AG263" s="476"/>
      <c r="AH263" s="489">
        <v>0.5</v>
      </c>
      <c r="AI263" s="490"/>
      <c r="AJ263" s="10"/>
      <c r="AK263" s="481"/>
      <c r="AL263" s="481"/>
    </row>
    <row r="264" spans="1:38" ht="15" customHeight="1" x14ac:dyDescent="0.3">
      <c r="A264" s="520" t="s">
        <v>22</v>
      </c>
      <c r="B264" s="2" t="s">
        <v>144</v>
      </c>
      <c r="C264" s="6">
        <v>1</v>
      </c>
      <c r="D264" s="11" t="s">
        <v>143</v>
      </c>
      <c r="E264" s="430">
        <v>36001</v>
      </c>
      <c r="F264" s="12">
        <v>1998</v>
      </c>
      <c r="G264" s="13">
        <v>35563</v>
      </c>
      <c r="H264" s="142"/>
      <c r="I264" s="22" t="s">
        <v>264</v>
      </c>
      <c r="J264" s="32" t="s">
        <v>26</v>
      </c>
      <c r="K264" s="474" t="s">
        <v>392</v>
      </c>
      <c r="L264" s="474"/>
      <c r="M264" s="474"/>
      <c r="N264" s="474"/>
      <c r="O264" s="475" t="s">
        <v>610</v>
      </c>
      <c r="P264" s="476" t="s">
        <v>484</v>
      </c>
      <c r="Q264" s="15" t="s">
        <v>282</v>
      </c>
      <c r="R264" s="15"/>
      <c r="S264" s="16" t="s">
        <v>44</v>
      </c>
      <c r="T264" s="16"/>
      <c r="U264" s="484"/>
      <c r="V264" s="485"/>
      <c r="W264" s="243"/>
      <c r="X264" s="478"/>
      <c r="Y264" s="7">
        <f t="shared" si="8"/>
        <v>0</v>
      </c>
      <c r="Z264" s="478"/>
      <c r="AA264" s="469"/>
      <c r="AB264" s="503" t="s">
        <v>6055</v>
      </c>
      <c r="AC264" s="222"/>
      <c r="AD264" s="476">
        <v>0</v>
      </c>
      <c r="AE264" s="476"/>
      <c r="AF264" s="9">
        <f t="shared" si="9"/>
        <v>0</v>
      </c>
      <c r="AG264" s="476"/>
      <c r="AH264" s="489">
        <v>0.5</v>
      </c>
      <c r="AI264" s="490"/>
      <c r="AJ264" s="10"/>
      <c r="AK264" s="481"/>
      <c r="AL264" s="481"/>
    </row>
    <row r="265" spans="1:38" ht="15" customHeight="1" x14ac:dyDescent="0.3">
      <c r="A265" s="494" t="s">
        <v>22</v>
      </c>
      <c r="B265" s="2" t="s">
        <v>23</v>
      </c>
      <c r="C265" s="2">
        <v>9</v>
      </c>
      <c r="D265" s="11" t="s">
        <v>24</v>
      </c>
      <c r="E265" s="432">
        <v>36300</v>
      </c>
      <c r="F265" s="12">
        <v>1999</v>
      </c>
      <c r="G265" s="31"/>
      <c r="H265" s="142"/>
      <c r="I265" s="22" t="s">
        <v>285</v>
      </c>
      <c r="J265" s="32" t="s">
        <v>26</v>
      </c>
      <c r="K265" s="474" t="s">
        <v>470</v>
      </c>
      <c r="L265" s="474"/>
      <c r="M265" s="474"/>
      <c r="N265" s="474"/>
      <c r="O265" s="475" t="s">
        <v>611</v>
      </c>
      <c r="P265" s="496" t="s">
        <v>612</v>
      </c>
      <c r="Q265" s="15" t="s">
        <v>282</v>
      </c>
      <c r="R265" s="15"/>
      <c r="S265" s="16" t="s">
        <v>44</v>
      </c>
      <c r="T265" s="16"/>
      <c r="U265" s="484"/>
      <c r="V265" s="485"/>
      <c r="W265" s="243"/>
      <c r="X265" s="521"/>
      <c r="Y265" s="7">
        <f t="shared" si="8"/>
        <v>0</v>
      </c>
      <c r="Z265" s="522"/>
      <c r="AA265" s="469"/>
      <c r="AB265" s="500" t="s">
        <v>586</v>
      </c>
      <c r="AC265" s="501"/>
      <c r="AD265" s="496">
        <v>0</v>
      </c>
      <c r="AE265" s="496"/>
      <c r="AF265" s="9">
        <f t="shared" si="9"/>
        <v>0</v>
      </c>
      <c r="AG265" s="496"/>
      <c r="AH265" s="540">
        <v>0.5</v>
      </c>
      <c r="AI265" s="533" t="s">
        <v>613</v>
      </c>
      <c r="AJ265" s="10"/>
      <c r="AK265" s="481"/>
      <c r="AL265" s="481"/>
    </row>
    <row r="266" spans="1:38" ht="15" customHeight="1" x14ac:dyDescent="0.3">
      <c r="A266" s="494" t="s">
        <v>22</v>
      </c>
      <c r="B266" s="2" t="s">
        <v>23</v>
      </c>
      <c r="C266" s="2">
        <v>1</v>
      </c>
      <c r="D266" s="11" t="s">
        <v>24</v>
      </c>
      <c r="E266" s="433">
        <v>36342</v>
      </c>
      <c r="F266" s="12">
        <v>1999</v>
      </c>
      <c r="G266" s="31"/>
      <c r="H266" s="142"/>
      <c r="I266" s="22" t="s">
        <v>285</v>
      </c>
      <c r="J266" s="555" t="s">
        <v>81</v>
      </c>
      <c r="K266" s="474" t="s">
        <v>469</v>
      </c>
      <c r="L266" s="474"/>
      <c r="M266" s="474"/>
      <c r="N266" s="474"/>
      <c r="O266" s="475" t="s">
        <v>614</v>
      </c>
      <c r="P266" s="496" t="s">
        <v>615</v>
      </c>
      <c r="Q266" s="15" t="s">
        <v>35</v>
      </c>
      <c r="R266" s="15"/>
      <c r="S266" s="16" t="s">
        <v>44</v>
      </c>
      <c r="T266" s="16"/>
      <c r="U266" s="484" t="s">
        <v>616</v>
      </c>
      <c r="V266" s="485"/>
      <c r="W266" s="243"/>
      <c r="X266" s="521"/>
      <c r="Y266" s="7">
        <f t="shared" si="8"/>
        <v>0</v>
      </c>
      <c r="Z266" s="522"/>
      <c r="AA266" s="469"/>
      <c r="AB266" s="479" t="s">
        <v>318</v>
      </c>
      <c r="AC266" s="501"/>
      <c r="AD266" s="567">
        <v>0</v>
      </c>
      <c r="AE266" s="567"/>
      <c r="AF266" s="9">
        <f t="shared" si="9"/>
        <v>0</v>
      </c>
      <c r="AG266" s="567"/>
      <c r="AH266" s="540">
        <v>0.75</v>
      </c>
      <c r="AI266" s="533"/>
      <c r="AJ266" s="10"/>
      <c r="AK266" s="481"/>
      <c r="AL266" s="481"/>
    </row>
    <row r="267" spans="1:38" ht="15" customHeight="1" x14ac:dyDescent="0.3">
      <c r="A267" s="494" t="s">
        <v>22</v>
      </c>
      <c r="B267" s="2" t="s">
        <v>219</v>
      </c>
      <c r="C267" s="2">
        <v>1</v>
      </c>
      <c r="D267" s="11" t="s">
        <v>190</v>
      </c>
      <c r="E267" s="432">
        <v>37116</v>
      </c>
      <c r="F267" s="12">
        <v>2001</v>
      </c>
      <c r="G267" s="52"/>
      <c r="H267" s="142"/>
      <c r="I267" s="22" t="s">
        <v>264</v>
      </c>
      <c r="J267" s="32" t="s">
        <v>26</v>
      </c>
      <c r="K267" s="474" t="s">
        <v>617</v>
      </c>
      <c r="L267" s="474"/>
      <c r="M267" s="474"/>
      <c r="N267" s="474"/>
      <c r="O267" s="475" t="s">
        <v>618</v>
      </c>
      <c r="P267" s="551" t="s">
        <v>605</v>
      </c>
      <c r="Q267" s="476"/>
      <c r="R267" s="476"/>
      <c r="S267" s="476"/>
      <c r="T267" s="476"/>
      <c r="U267" s="476"/>
      <c r="V267" s="477"/>
      <c r="W267" s="243">
        <v>20000000</v>
      </c>
      <c r="X267" s="521"/>
      <c r="Y267" s="7">
        <f t="shared" si="8"/>
        <v>0</v>
      </c>
      <c r="Z267" s="522"/>
      <c r="AA267" s="469"/>
      <c r="AB267" s="500" t="s">
        <v>619</v>
      </c>
      <c r="AC267" s="501"/>
      <c r="AD267" s="496">
        <v>0</v>
      </c>
      <c r="AE267" s="496"/>
      <c r="AF267" s="9">
        <f t="shared" si="9"/>
        <v>0</v>
      </c>
      <c r="AG267" s="496"/>
      <c r="AH267" s="540">
        <v>0.4</v>
      </c>
      <c r="AI267" s="533"/>
      <c r="AJ267" s="10"/>
      <c r="AK267" s="481"/>
      <c r="AL267" s="481"/>
    </row>
    <row r="268" spans="1:38" ht="15" customHeight="1" x14ac:dyDescent="0.3">
      <c r="A268" s="473" t="s">
        <v>22</v>
      </c>
      <c r="B268" s="2" t="s">
        <v>422</v>
      </c>
      <c r="C268" s="6">
        <v>3</v>
      </c>
      <c r="D268" s="11" t="s">
        <v>190</v>
      </c>
      <c r="E268" s="442">
        <v>36564</v>
      </c>
      <c r="F268" s="12">
        <v>2000</v>
      </c>
      <c r="G268" s="19" t="s">
        <v>620</v>
      </c>
      <c r="H268" s="142"/>
      <c r="I268" s="22" t="s">
        <v>264</v>
      </c>
      <c r="J268" s="520" t="s">
        <v>81</v>
      </c>
      <c r="K268" s="474" t="s">
        <v>621</v>
      </c>
      <c r="L268" s="474"/>
      <c r="M268" s="474"/>
      <c r="N268" s="474"/>
      <c r="O268" s="475" t="s">
        <v>622</v>
      </c>
      <c r="P268" s="476" t="s">
        <v>623</v>
      </c>
      <c r="Q268" s="15" t="s">
        <v>282</v>
      </c>
      <c r="R268" s="15"/>
      <c r="S268" s="16" t="s">
        <v>35</v>
      </c>
      <c r="T268" s="16"/>
      <c r="U268" s="484"/>
      <c r="V268" s="485"/>
      <c r="W268" s="243">
        <v>13800000</v>
      </c>
      <c r="X268" s="521"/>
      <c r="Y268" s="7">
        <f t="shared" si="8"/>
        <v>0</v>
      </c>
      <c r="Z268" s="522"/>
      <c r="AA268" s="469"/>
      <c r="AB268" s="513" t="s">
        <v>424</v>
      </c>
      <c r="AC268" s="563"/>
      <c r="AD268" s="496">
        <v>0</v>
      </c>
      <c r="AE268" s="496"/>
      <c r="AF268" s="9">
        <f t="shared" si="9"/>
        <v>0</v>
      </c>
      <c r="AG268" s="496"/>
      <c r="AH268" s="489">
        <v>1</v>
      </c>
      <c r="AI268" s="490"/>
      <c r="AJ268" s="10"/>
      <c r="AK268" s="481"/>
      <c r="AL268" s="481"/>
    </row>
    <row r="269" spans="1:38" ht="15" customHeight="1" x14ac:dyDescent="0.3">
      <c r="A269" s="494" t="s">
        <v>22</v>
      </c>
      <c r="B269" s="2" t="s">
        <v>422</v>
      </c>
      <c r="C269" s="2">
        <v>3</v>
      </c>
      <c r="D269" s="11" t="s">
        <v>190</v>
      </c>
      <c r="E269" s="442">
        <v>36564</v>
      </c>
      <c r="F269" s="12">
        <v>2000</v>
      </c>
      <c r="G269" s="31" t="s">
        <v>620</v>
      </c>
      <c r="H269" s="142"/>
      <c r="I269" s="22" t="s">
        <v>264</v>
      </c>
      <c r="J269" s="555" t="s">
        <v>81</v>
      </c>
      <c r="K269" s="474" t="s">
        <v>621</v>
      </c>
      <c r="L269" s="474"/>
      <c r="M269" s="474"/>
      <c r="N269" s="474"/>
      <c r="O269" s="475" t="s">
        <v>622</v>
      </c>
      <c r="P269" s="476" t="s">
        <v>623</v>
      </c>
      <c r="Q269" s="15" t="s">
        <v>282</v>
      </c>
      <c r="R269" s="15"/>
      <c r="S269" s="16" t="s">
        <v>35</v>
      </c>
      <c r="T269" s="16"/>
      <c r="U269" s="484"/>
      <c r="V269" s="485"/>
      <c r="W269" s="243"/>
      <c r="X269" s="521"/>
      <c r="Y269" s="7">
        <f t="shared" si="8"/>
        <v>0</v>
      </c>
      <c r="Z269" s="522"/>
      <c r="AA269" s="469"/>
      <c r="AB269" s="513" t="s">
        <v>424</v>
      </c>
      <c r="AC269" s="563"/>
      <c r="AD269" s="496">
        <v>0</v>
      </c>
      <c r="AE269" s="496"/>
      <c r="AF269" s="9">
        <f t="shared" si="9"/>
        <v>0</v>
      </c>
      <c r="AG269" s="496"/>
      <c r="AH269" s="489">
        <v>1</v>
      </c>
      <c r="AI269" s="490"/>
      <c r="AJ269" s="10"/>
      <c r="AK269" s="481"/>
      <c r="AL269" s="481"/>
    </row>
    <row r="270" spans="1:38" ht="15" customHeight="1" x14ac:dyDescent="0.3">
      <c r="A270" s="473" t="s">
        <v>22</v>
      </c>
      <c r="B270" s="2" t="s">
        <v>105</v>
      </c>
      <c r="C270" s="6">
        <v>1</v>
      </c>
      <c r="D270" s="11" t="s">
        <v>5936</v>
      </c>
      <c r="E270" s="430">
        <v>35872</v>
      </c>
      <c r="F270" s="12">
        <v>1998</v>
      </c>
      <c r="G270" s="13" t="s">
        <v>624</v>
      </c>
      <c r="H270" s="142"/>
      <c r="I270" s="22" t="s">
        <v>264</v>
      </c>
      <c r="J270" s="32" t="s">
        <v>26</v>
      </c>
      <c r="K270" s="474" t="s">
        <v>469</v>
      </c>
      <c r="L270" s="474"/>
      <c r="M270" s="474"/>
      <c r="N270" s="474"/>
      <c r="O270" s="475"/>
      <c r="P270" s="476" t="s">
        <v>615</v>
      </c>
      <c r="Q270" s="15" t="s">
        <v>35</v>
      </c>
      <c r="R270" s="15"/>
      <c r="S270" s="16" t="s">
        <v>35</v>
      </c>
      <c r="T270" s="16"/>
      <c r="U270" s="484" t="s">
        <v>625</v>
      </c>
      <c r="V270" s="485"/>
      <c r="W270" s="243"/>
      <c r="X270" s="478"/>
      <c r="Y270" s="7">
        <f t="shared" si="8"/>
        <v>0</v>
      </c>
      <c r="Z270" s="478"/>
      <c r="AA270" s="469"/>
      <c r="AB270" s="479" t="s">
        <v>5937</v>
      </c>
      <c r="AC270" s="480"/>
      <c r="AD270" s="483">
        <v>0</v>
      </c>
      <c r="AE270" s="483"/>
      <c r="AF270" s="9">
        <f t="shared" si="9"/>
        <v>0</v>
      </c>
      <c r="AG270" s="483"/>
      <c r="AH270" s="489">
        <v>1</v>
      </c>
      <c r="AI270" s="490"/>
      <c r="AJ270" s="10"/>
      <c r="AK270" s="481"/>
      <c r="AL270" s="481"/>
    </row>
    <row r="271" spans="1:38" ht="15" customHeight="1" x14ac:dyDescent="0.3">
      <c r="A271" s="520" t="s">
        <v>22</v>
      </c>
      <c r="B271" s="2" t="s">
        <v>105</v>
      </c>
      <c r="C271" s="6">
        <v>15</v>
      </c>
      <c r="D271" s="11" t="s">
        <v>5936</v>
      </c>
      <c r="E271" s="430">
        <v>35774</v>
      </c>
      <c r="F271" s="12">
        <v>1997</v>
      </c>
      <c r="G271" s="24">
        <v>9266</v>
      </c>
      <c r="H271" s="142"/>
      <c r="I271" s="22" t="s">
        <v>264</v>
      </c>
      <c r="J271" s="32" t="s">
        <v>26</v>
      </c>
      <c r="K271" s="474" t="s">
        <v>469</v>
      </c>
      <c r="L271" s="474"/>
      <c r="M271" s="474"/>
      <c r="N271" s="474"/>
      <c r="O271" s="475" t="s">
        <v>626</v>
      </c>
      <c r="P271" s="541" t="s">
        <v>605</v>
      </c>
      <c r="Q271" s="476"/>
      <c r="R271" s="476"/>
      <c r="S271" s="476"/>
      <c r="T271" s="476"/>
      <c r="U271" s="476"/>
      <c r="V271" s="477"/>
      <c r="W271" s="243">
        <v>140000000</v>
      </c>
      <c r="X271" s="478"/>
      <c r="Y271" s="7">
        <f t="shared" si="8"/>
        <v>0</v>
      </c>
      <c r="Z271" s="478"/>
      <c r="AA271" s="469"/>
      <c r="AB271" s="479" t="s">
        <v>5937</v>
      </c>
      <c r="AC271" s="480"/>
      <c r="AD271" s="476">
        <v>0</v>
      </c>
      <c r="AE271" s="476"/>
      <c r="AF271" s="9">
        <f t="shared" si="9"/>
        <v>0</v>
      </c>
      <c r="AG271" s="476"/>
      <c r="AH271" s="489"/>
      <c r="AI271" s="490"/>
      <c r="AJ271" s="10"/>
      <c r="AK271" s="481"/>
      <c r="AL271" s="481"/>
    </row>
    <row r="272" spans="1:38" ht="15" customHeight="1" x14ac:dyDescent="0.3">
      <c r="A272" s="520" t="s">
        <v>22</v>
      </c>
      <c r="B272" s="2" t="s">
        <v>23</v>
      </c>
      <c r="C272" s="6">
        <v>1</v>
      </c>
      <c r="D272" s="11" t="s">
        <v>24</v>
      </c>
      <c r="E272" s="431">
        <v>36676</v>
      </c>
      <c r="F272" s="12">
        <v>2000</v>
      </c>
      <c r="G272" s="13">
        <v>824</v>
      </c>
      <c r="H272" s="142"/>
      <c r="I272" s="14" t="s">
        <v>285</v>
      </c>
      <c r="J272" s="32" t="s">
        <v>26</v>
      </c>
      <c r="K272" s="474" t="s">
        <v>469</v>
      </c>
      <c r="L272" s="474"/>
      <c r="M272" s="474"/>
      <c r="N272" s="474"/>
      <c r="O272" s="475" t="s">
        <v>627</v>
      </c>
      <c r="P272" s="476" t="s">
        <v>628</v>
      </c>
      <c r="Q272" s="15" t="s">
        <v>282</v>
      </c>
      <c r="R272" s="15"/>
      <c r="S272" s="16" t="s">
        <v>44</v>
      </c>
      <c r="T272" s="16"/>
      <c r="U272" s="484"/>
      <c r="V272" s="485"/>
      <c r="W272" s="243"/>
      <c r="X272" s="478"/>
      <c r="Y272" s="7">
        <f t="shared" si="8"/>
        <v>0</v>
      </c>
      <c r="Z272" s="478"/>
      <c r="AA272" s="469"/>
      <c r="AB272" s="479" t="s">
        <v>49</v>
      </c>
      <c r="AC272" s="480"/>
      <c r="AD272" s="476">
        <v>0</v>
      </c>
      <c r="AE272" s="476"/>
      <c r="AF272" s="9">
        <f t="shared" si="9"/>
        <v>0</v>
      </c>
      <c r="AG272" s="476"/>
      <c r="AH272" s="489">
        <v>0.5</v>
      </c>
      <c r="AI272" s="490"/>
      <c r="AJ272" s="10"/>
      <c r="AK272" s="481"/>
      <c r="AL272" s="481"/>
    </row>
    <row r="273" spans="1:38" ht="15" customHeight="1" x14ac:dyDescent="0.3">
      <c r="A273" s="59" t="s">
        <v>22</v>
      </c>
      <c r="B273" s="58" t="s">
        <v>23</v>
      </c>
      <c r="C273" s="57">
        <v>3</v>
      </c>
      <c r="D273" s="11" t="s">
        <v>24</v>
      </c>
      <c r="E273" s="122">
        <v>36714</v>
      </c>
      <c r="F273" s="12">
        <v>2000</v>
      </c>
      <c r="G273" s="24" t="s">
        <v>629</v>
      </c>
      <c r="H273" s="142"/>
      <c r="I273" s="22" t="s">
        <v>264</v>
      </c>
      <c r="J273" s="59" t="s">
        <v>630</v>
      </c>
      <c r="K273" s="477" t="s">
        <v>631</v>
      </c>
      <c r="L273" s="477"/>
      <c r="M273" s="477"/>
      <c r="N273" s="477"/>
      <c r="O273" s="476" t="s">
        <v>632</v>
      </c>
      <c r="P273" s="476" t="s">
        <v>633</v>
      </c>
      <c r="Q273" s="15" t="s">
        <v>35</v>
      </c>
      <c r="R273" s="15"/>
      <c r="S273" s="16" t="s">
        <v>313</v>
      </c>
      <c r="T273" s="16"/>
      <c r="U273" s="484"/>
      <c r="V273" s="485"/>
      <c r="W273" s="243"/>
      <c r="X273" s="478"/>
      <c r="Y273" s="7">
        <f t="shared" si="8"/>
        <v>0</v>
      </c>
      <c r="Z273" s="478"/>
      <c r="AA273" s="469"/>
      <c r="AB273" s="479" t="s">
        <v>586</v>
      </c>
      <c r="AC273" s="480"/>
      <c r="AD273" s="476">
        <v>0</v>
      </c>
      <c r="AE273" s="476"/>
      <c r="AF273" s="9">
        <f t="shared" si="9"/>
        <v>0</v>
      </c>
      <c r="AG273" s="476"/>
      <c r="AH273" s="489">
        <v>1</v>
      </c>
      <c r="AI273" s="490"/>
      <c r="AJ273" s="10"/>
      <c r="AK273" s="481"/>
      <c r="AL273" s="481"/>
    </row>
    <row r="274" spans="1:38" ht="15" customHeight="1" x14ac:dyDescent="0.3">
      <c r="A274" s="59" t="s">
        <v>634</v>
      </c>
      <c r="B274" s="58" t="s">
        <v>105</v>
      </c>
      <c r="C274" s="57">
        <v>13</v>
      </c>
      <c r="D274" s="11" t="s">
        <v>5936</v>
      </c>
      <c r="E274" s="440">
        <v>34560</v>
      </c>
      <c r="F274" s="12">
        <v>1994</v>
      </c>
      <c r="G274" s="13">
        <v>13050</v>
      </c>
      <c r="H274" s="142"/>
      <c r="I274" s="22" t="s">
        <v>264</v>
      </c>
      <c r="J274" s="32" t="s">
        <v>191</v>
      </c>
      <c r="K274" s="477" t="s">
        <v>526</v>
      </c>
      <c r="L274" s="477"/>
      <c r="M274" s="477"/>
      <c r="N274" s="477"/>
      <c r="O274" s="476" t="s">
        <v>635</v>
      </c>
      <c r="P274" s="476" t="s">
        <v>615</v>
      </c>
      <c r="Q274" s="15" t="s">
        <v>35</v>
      </c>
      <c r="R274" s="15"/>
      <c r="S274" s="16" t="s">
        <v>44</v>
      </c>
      <c r="T274" s="16"/>
      <c r="U274" s="484"/>
      <c r="V274" s="485"/>
      <c r="W274" s="243"/>
      <c r="X274" s="478"/>
      <c r="Y274" s="7">
        <f t="shared" si="8"/>
        <v>0</v>
      </c>
      <c r="Z274" s="478"/>
      <c r="AA274" s="469"/>
      <c r="AB274" s="479" t="s">
        <v>5937</v>
      </c>
      <c r="AC274" s="480"/>
      <c r="AD274" s="476">
        <v>0</v>
      </c>
      <c r="AE274" s="476"/>
      <c r="AF274" s="9">
        <f t="shared" si="9"/>
        <v>0</v>
      </c>
      <c r="AG274" s="476"/>
      <c r="AH274" s="489">
        <v>1</v>
      </c>
      <c r="AI274" s="490"/>
      <c r="AJ274" s="10"/>
      <c r="AK274" s="481"/>
      <c r="AL274" s="481"/>
    </row>
    <row r="275" spans="1:38" ht="15" customHeight="1" x14ac:dyDescent="0.3">
      <c r="A275" s="568" t="s">
        <v>22</v>
      </c>
      <c r="B275" s="56" t="s">
        <v>5948</v>
      </c>
      <c r="C275" s="57">
        <v>2</v>
      </c>
      <c r="D275" s="11" t="s">
        <v>225</v>
      </c>
      <c r="E275" s="122">
        <v>36139</v>
      </c>
      <c r="F275" s="12">
        <v>1998</v>
      </c>
      <c r="G275" s="24"/>
      <c r="H275" s="142"/>
      <c r="I275" s="22" t="s">
        <v>264</v>
      </c>
      <c r="J275" s="32" t="s">
        <v>26</v>
      </c>
      <c r="K275" s="477" t="s">
        <v>636</v>
      </c>
      <c r="L275" s="477"/>
      <c r="M275" s="477"/>
      <c r="N275" s="477"/>
      <c r="O275" s="476" t="s">
        <v>637</v>
      </c>
      <c r="P275" s="476" t="s">
        <v>638</v>
      </c>
      <c r="Q275" s="15" t="s">
        <v>282</v>
      </c>
      <c r="R275" s="15"/>
      <c r="S275" s="16" t="s">
        <v>44</v>
      </c>
      <c r="T275" s="16"/>
      <c r="U275" s="484" t="s">
        <v>639</v>
      </c>
      <c r="V275" s="485"/>
      <c r="W275" s="243">
        <f>104399296.55+36000000</f>
        <v>140399296.55000001</v>
      </c>
      <c r="X275" s="478"/>
      <c r="Y275" s="7">
        <f t="shared" si="8"/>
        <v>0</v>
      </c>
      <c r="Z275" s="478"/>
      <c r="AA275" s="469"/>
      <c r="AB275" s="504" t="s">
        <v>6115</v>
      </c>
      <c r="AC275" s="197"/>
      <c r="AD275" s="477">
        <v>0</v>
      </c>
      <c r="AE275" s="477"/>
      <c r="AF275" s="9">
        <f t="shared" si="9"/>
        <v>0</v>
      </c>
      <c r="AG275" s="477"/>
      <c r="AH275" s="489">
        <v>1</v>
      </c>
      <c r="AI275" s="576"/>
      <c r="AJ275" s="10"/>
      <c r="AK275" s="481"/>
      <c r="AL275" s="481"/>
    </row>
    <row r="276" spans="1:38" ht="15" customHeight="1" x14ac:dyDescent="0.3">
      <c r="A276" s="59" t="s">
        <v>22</v>
      </c>
      <c r="B276" s="58" t="s">
        <v>23</v>
      </c>
      <c r="C276" s="57">
        <v>4</v>
      </c>
      <c r="D276" s="11" t="s">
        <v>24</v>
      </c>
      <c r="E276" s="440">
        <v>35886</v>
      </c>
      <c r="F276" s="12">
        <v>1998</v>
      </c>
      <c r="G276" s="24"/>
      <c r="H276" s="142"/>
      <c r="I276" s="14" t="s">
        <v>285</v>
      </c>
      <c r="J276" s="32" t="s">
        <v>26</v>
      </c>
      <c r="K276" s="477" t="s">
        <v>640</v>
      </c>
      <c r="L276" s="477"/>
      <c r="M276" s="477"/>
      <c r="N276" s="477"/>
      <c r="O276" s="476"/>
      <c r="P276" s="476" t="s">
        <v>628</v>
      </c>
      <c r="Q276" s="15" t="s">
        <v>282</v>
      </c>
      <c r="R276" s="15"/>
      <c r="S276" s="16" t="s">
        <v>44</v>
      </c>
      <c r="T276" s="16"/>
      <c r="U276" s="484"/>
      <c r="V276" s="485"/>
      <c r="W276" s="243"/>
      <c r="X276" s="478"/>
      <c r="Y276" s="7">
        <f t="shared" si="8"/>
        <v>0</v>
      </c>
      <c r="Z276" s="478"/>
      <c r="AA276" s="469"/>
      <c r="AB276" s="479" t="s">
        <v>318</v>
      </c>
      <c r="AC276" s="480"/>
      <c r="AD276" s="476">
        <v>0</v>
      </c>
      <c r="AE276" s="476"/>
      <c r="AF276" s="9">
        <f t="shared" si="9"/>
        <v>0</v>
      </c>
      <c r="AG276" s="476"/>
      <c r="AH276" s="489">
        <v>0.5</v>
      </c>
      <c r="AI276" s="490"/>
      <c r="AJ276" s="10"/>
      <c r="AK276" s="481"/>
      <c r="AL276" s="481"/>
    </row>
    <row r="277" spans="1:38" ht="15" customHeight="1" x14ac:dyDescent="0.3">
      <c r="A277" s="499" t="s">
        <v>22</v>
      </c>
      <c r="B277" s="2" t="s">
        <v>144</v>
      </c>
      <c r="C277" s="25">
        <v>6</v>
      </c>
      <c r="D277" s="11" t="s">
        <v>143</v>
      </c>
      <c r="E277" s="430">
        <v>34848</v>
      </c>
      <c r="F277" s="12">
        <v>1995</v>
      </c>
      <c r="G277" s="13">
        <v>35212</v>
      </c>
      <c r="H277" s="157"/>
      <c r="I277" s="22" t="s">
        <v>264</v>
      </c>
      <c r="J277" s="32" t="s">
        <v>26</v>
      </c>
      <c r="K277" s="474" t="s">
        <v>392</v>
      </c>
      <c r="L277" s="474"/>
      <c r="M277" s="474"/>
      <c r="N277" s="474"/>
      <c r="O277" s="475"/>
      <c r="P277" s="476" t="s">
        <v>638</v>
      </c>
      <c r="Q277" s="15" t="s">
        <v>35</v>
      </c>
      <c r="R277" s="15"/>
      <c r="S277" s="16" t="s">
        <v>35</v>
      </c>
      <c r="T277" s="16"/>
      <c r="U277" s="484"/>
      <c r="V277" s="485"/>
      <c r="W277" s="243">
        <v>101049297</v>
      </c>
      <c r="X277" s="478"/>
      <c r="Y277" s="7">
        <f t="shared" si="8"/>
        <v>0</v>
      </c>
      <c r="Z277" s="478"/>
      <c r="AA277" s="469"/>
      <c r="AB277" s="479" t="s">
        <v>5961</v>
      </c>
      <c r="AC277" s="480"/>
      <c r="AD277" s="476">
        <v>0</v>
      </c>
      <c r="AE277" s="476"/>
      <c r="AF277" s="9">
        <f t="shared" si="9"/>
        <v>0</v>
      </c>
      <c r="AG277" s="476"/>
      <c r="AH277" s="489">
        <v>1</v>
      </c>
      <c r="AI277" s="490"/>
      <c r="AJ277" s="10"/>
      <c r="AK277" s="59"/>
      <c r="AL277" s="59"/>
    </row>
    <row r="278" spans="1:38" ht="15" customHeight="1" x14ac:dyDescent="0.3">
      <c r="A278" s="575" t="s">
        <v>22</v>
      </c>
      <c r="B278" s="58" t="s">
        <v>227</v>
      </c>
      <c r="C278" s="58">
        <v>3</v>
      </c>
      <c r="D278" s="11" t="s">
        <v>225</v>
      </c>
      <c r="E278" s="441">
        <v>35972</v>
      </c>
      <c r="F278" s="12">
        <v>1998</v>
      </c>
      <c r="G278" s="36">
        <v>90111</v>
      </c>
      <c r="H278" s="142"/>
      <c r="I278" s="22" t="s">
        <v>264</v>
      </c>
      <c r="J278" s="32" t="s">
        <v>26</v>
      </c>
      <c r="K278" s="477" t="s">
        <v>469</v>
      </c>
      <c r="L278" s="477"/>
      <c r="M278" s="477"/>
      <c r="N278" s="477"/>
      <c r="O278" s="476"/>
      <c r="P278" s="496" t="s">
        <v>628</v>
      </c>
      <c r="Q278" s="15" t="s">
        <v>282</v>
      </c>
      <c r="R278" s="15"/>
      <c r="S278" s="16" t="s">
        <v>44</v>
      </c>
      <c r="T278" s="61"/>
      <c r="U278" s="484"/>
      <c r="V278" s="485"/>
      <c r="W278" s="243"/>
      <c r="X278" s="478"/>
      <c r="Y278" s="7">
        <f t="shared" si="8"/>
        <v>0</v>
      </c>
      <c r="Z278" s="577"/>
      <c r="AA278" s="469"/>
      <c r="AB278" s="504" t="s">
        <v>6115</v>
      </c>
      <c r="AC278" s="200"/>
      <c r="AD278" s="540">
        <v>0</v>
      </c>
      <c r="AE278" s="540"/>
      <c r="AF278" s="9">
        <f t="shared" si="9"/>
        <v>0</v>
      </c>
      <c r="AG278" s="578" t="s">
        <v>641</v>
      </c>
      <c r="AH278" s="476"/>
      <c r="AI278" s="496" t="s">
        <v>642</v>
      </c>
      <c r="AJ278" s="10"/>
      <c r="AK278" s="481"/>
      <c r="AL278" s="481"/>
    </row>
    <row r="279" spans="1:38" ht="15" customHeight="1" x14ac:dyDescent="0.3">
      <c r="A279" s="575" t="s">
        <v>22</v>
      </c>
      <c r="B279" s="56" t="s">
        <v>643</v>
      </c>
      <c r="C279" s="58" t="s">
        <v>644</v>
      </c>
      <c r="D279" s="11" t="s">
        <v>143</v>
      </c>
      <c r="E279" s="441">
        <v>36630</v>
      </c>
      <c r="F279" s="12">
        <v>2000</v>
      </c>
      <c r="G279" s="23"/>
      <c r="H279" s="142"/>
      <c r="I279" s="22" t="s">
        <v>264</v>
      </c>
      <c r="J279" s="32" t="s">
        <v>26</v>
      </c>
      <c r="K279" s="477" t="s">
        <v>645</v>
      </c>
      <c r="L279" s="477"/>
      <c r="M279" s="477"/>
      <c r="N279" s="477"/>
      <c r="O279" s="477" t="s">
        <v>646</v>
      </c>
      <c r="P279" s="496" t="s">
        <v>628</v>
      </c>
      <c r="Q279" s="15" t="s">
        <v>282</v>
      </c>
      <c r="R279" s="15"/>
      <c r="S279" s="16" t="s">
        <v>44</v>
      </c>
      <c r="T279" s="16"/>
      <c r="U279" s="484"/>
      <c r="V279" s="485"/>
      <c r="W279" s="243"/>
      <c r="X279" s="478"/>
      <c r="Y279" s="7">
        <f t="shared" si="8"/>
        <v>0</v>
      </c>
      <c r="Z279" s="577"/>
      <c r="AA279" s="469"/>
      <c r="AB279" s="500" t="s">
        <v>647</v>
      </c>
      <c r="AC279" s="501"/>
      <c r="AD279" s="540">
        <v>0</v>
      </c>
      <c r="AE279" s="540"/>
      <c r="AF279" s="9">
        <f t="shared" si="9"/>
        <v>0</v>
      </c>
      <c r="AG279" s="496" t="s">
        <v>648</v>
      </c>
      <c r="AH279" s="476" t="s">
        <v>649</v>
      </c>
      <c r="AI279" s="496" t="s">
        <v>650</v>
      </c>
      <c r="AJ279" s="10"/>
      <c r="AK279" s="481"/>
      <c r="AL279" s="481"/>
    </row>
    <row r="280" spans="1:38" ht="15" customHeight="1" x14ac:dyDescent="0.3">
      <c r="A280" s="575" t="s">
        <v>22</v>
      </c>
      <c r="B280" s="56" t="s">
        <v>324</v>
      </c>
      <c r="C280" s="58">
        <v>1</v>
      </c>
      <c r="D280" s="11" t="s">
        <v>225</v>
      </c>
      <c r="E280" s="441">
        <v>36277</v>
      </c>
      <c r="F280" s="12">
        <v>1999</v>
      </c>
      <c r="G280" s="36">
        <v>6916</v>
      </c>
      <c r="H280" s="142"/>
      <c r="I280" s="22" t="s">
        <v>264</v>
      </c>
      <c r="J280" s="32" t="s">
        <v>26</v>
      </c>
      <c r="K280" s="477" t="s">
        <v>469</v>
      </c>
      <c r="L280" s="477"/>
      <c r="M280" s="477"/>
      <c r="N280" s="477"/>
      <c r="O280" s="476" t="s">
        <v>651</v>
      </c>
      <c r="P280" s="496" t="s">
        <v>628</v>
      </c>
      <c r="Q280" s="15" t="s">
        <v>282</v>
      </c>
      <c r="R280" s="15"/>
      <c r="S280" s="16" t="s">
        <v>44</v>
      </c>
      <c r="T280" s="16"/>
      <c r="U280" s="484"/>
      <c r="V280" s="485"/>
      <c r="W280" s="243"/>
      <c r="X280" s="478"/>
      <c r="Y280" s="7">
        <f t="shared" si="8"/>
        <v>0</v>
      </c>
      <c r="Z280" s="577"/>
      <c r="AA280" s="469"/>
      <c r="AB280" s="504" t="s">
        <v>6115</v>
      </c>
      <c r="AC280" s="200"/>
      <c r="AD280" s="540">
        <v>0</v>
      </c>
      <c r="AE280" s="540"/>
      <c r="AF280" s="9">
        <f t="shared" si="9"/>
        <v>0</v>
      </c>
      <c r="AG280" s="522">
        <v>2000000</v>
      </c>
      <c r="AH280" s="476"/>
      <c r="AI280" s="496" t="s">
        <v>652</v>
      </c>
      <c r="AJ280" s="10"/>
      <c r="AK280" s="481"/>
      <c r="AL280" s="481"/>
    </row>
    <row r="281" spans="1:38" ht="15" customHeight="1" x14ac:dyDescent="0.3">
      <c r="A281" s="568" t="s">
        <v>22</v>
      </c>
      <c r="B281" s="58" t="s">
        <v>142</v>
      </c>
      <c r="C281" s="57">
        <v>4</v>
      </c>
      <c r="D281" s="11" t="s">
        <v>143</v>
      </c>
      <c r="E281" s="440">
        <v>37082</v>
      </c>
      <c r="F281" s="12">
        <v>2001</v>
      </c>
      <c r="G281" s="24"/>
      <c r="H281" s="157"/>
      <c r="I281" s="22" t="s">
        <v>264</v>
      </c>
      <c r="J281" s="59" t="s">
        <v>630</v>
      </c>
      <c r="K281" s="477" t="s">
        <v>631</v>
      </c>
      <c r="L281" s="477"/>
      <c r="M281" s="477"/>
      <c r="N281" s="477"/>
      <c r="O281" s="476" t="s">
        <v>653</v>
      </c>
      <c r="P281" s="476" t="s">
        <v>633</v>
      </c>
      <c r="Q281" s="15" t="s">
        <v>35</v>
      </c>
      <c r="R281" s="15"/>
      <c r="S281" s="16" t="s">
        <v>35</v>
      </c>
      <c r="T281" s="16"/>
      <c r="U281" s="484"/>
      <c r="V281" s="485"/>
      <c r="W281" s="243"/>
      <c r="X281" s="478"/>
      <c r="Y281" s="7">
        <f t="shared" si="8"/>
        <v>0</v>
      </c>
      <c r="Z281" s="478"/>
      <c r="AA281" s="469"/>
      <c r="AB281" s="479" t="s">
        <v>147</v>
      </c>
      <c r="AC281" s="480"/>
      <c r="AD281" s="489">
        <v>0</v>
      </c>
      <c r="AE281" s="489"/>
      <c r="AF281" s="9">
        <f t="shared" si="9"/>
        <v>0</v>
      </c>
      <c r="AG281" s="486"/>
      <c r="AH281" s="476" t="s">
        <v>654</v>
      </c>
      <c r="AI281" s="476"/>
      <c r="AJ281" s="10"/>
      <c r="AK281" s="481"/>
      <c r="AL281" s="481"/>
    </row>
    <row r="282" spans="1:38" ht="15" customHeight="1" x14ac:dyDescent="0.3">
      <c r="A282" s="568" t="s">
        <v>22</v>
      </c>
      <c r="B282" s="58" t="s">
        <v>5963</v>
      </c>
      <c r="C282" s="57">
        <v>2</v>
      </c>
      <c r="D282" s="14" t="s">
        <v>190</v>
      </c>
      <c r="E282" s="122">
        <v>36607</v>
      </c>
      <c r="F282" s="12">
        <v>2000</v>
      </c>
      <c r="G282" s="24"/>
      <c r="H282" s="157"/>
      <c r="I282" s="22" t="s">
        <v>264</v>
      </c>
      <c r="J282" s="59" t="s">
        <v>630</v>
      </c>
      <c r="K282" s="477" t="s">
        <v>631</v>
      </c>
      <c r="L282" s="477"/>
      <c r="M282" s="477"/>
      <c r="N282" s="477"/>
      <c r="O282" s="476" t="s">
        <v>655</v>
      </c>
      <c r="P282" s="476" t="s">
        <v>628</v>
      </c>
      <c r="Q282" s="15" t="s">
        <v>282</v>
      </c>
      <c r="R282" s="15"/>
      <c r="S282" s="16"/>
      <c r="T282" s="16"/>
      <c r="U282" s="484"/>
      <c r="V282" s="485"/>
      <c r="W282" s="243"/>
      <c r="X282" s="478"/>
      <c r="Y282" s="7">
        <f t="shared" si="8"/>
        <v>0</v>
      </c>
      <c r="Z282" s="478"/>
      <c r="AA282" s="469"/>
      <c r="AB282" s="579" t="s">
        <v>5959</v>
      </c>
      <c r="AC282" s="580"/>
      <c r="AD282" s="489">
        <v>0</v>
      </c>
      <c r="AE282" s="489"/>
      <c r="AF282" s="9">
        <f t="shared" si="9"/>
        <v>0</v>
      </c>
      <c r="AG282" s="486" t="s">
        <v>656</v>
      </c>
      <c r="AH282" s="476" t="s">
        <v>657</v>
      </c>
      <c r="AI282" s="476"/>
      <c r="AJ282" s="10"/>
      <c r="AK282" s="481"/>
      <c r="AL282" s="481"/>
    </row>
    <row r="283" spans="1:38" ht="15" customHeight="1" x14ac:dyDescent="0.3">
      <c r="A283" s="59" t="s">
        <v>22</v>
      </c>
      <c r="B283" s="58" t="s">
        <v>211</v>
      </c>
      <c r="C283" s="57">
        <v>1</v>
      </c>
      <c r="D283" s="14" t="s">
        <v>190</v>
      </c>
      <c r="E283" s="440">
        <v>36420</v>
      </c>
      <c r="F283" s="12">
        <v>1999</v>
      </c>
      <c r="G283" s="13" t="s">
        <v>658</v>
      </c>
      <c r="H283" s="157"/>
      <c r="I283" s="14" t="s">
        <v>285</v>
      </c>
      <c r="J283" s="32" t="s">
        <v>26</v>
      </c>
      <c r="K283" s="477" t="s">
        <v>428</v>
      </c>
      <c r="L283" s="477"/>
      <c r="M283" s="477"/>
      <c r="N283" s="477"/>
      <c r="O283" s="476" t="s">
        <v>659</v>
      </c>
      <c r="P283" s="476" t="s">
        <v>628</v>
      </c>
      <c r="Q283" s="15" t="s">
        <v>35</v>
      </c>
      <c r="R283" s="15"/>
      <c r="S283" s="16" t="s">
        <v>44</v>
      </c>
      <c r="T283" s="16"/>
      <c r="U283" s="484"/>
      <c r="V283" s="485"/>
      <c r="W283" s="243"/>
      <c r="X283" s="478"/>
      <c r="Y283" s="7">
        <f t="shared" si="8"/>
        <v>0</v>
      </c>
      <c r="Z283" s="478"/>
      <c r="AA283" s="469"/>
      <c r="AB283" s="479" t="s">
        <v>5966</v>
      </c>
      <c r="AC283" s="480"/>
      <c r="AD283" s="489">
        <v>0</v>
      </c>
      <c r="AE283" s="489"/>
      <c r="AF283" s="9">
        <f t="shared" si="9"/>
        <v>0</v>
      </c>
      <c r="AG283" s="476"/>
      <c r="AH283" s="476" t="s">
        <v>661</v>
      </c>
      <c r="AI283" s="476"/>
      <c r="AJ283" s="10"/>
      <c r="AK283" s="481"/>
      <c r="AL283" s="481"/>
    </row>
    <row r="284" spans="1:38" ht="15" customHeight="1" x14ac:dyDescent="0.3">
      <c r="A284" s="575" t="s">
        <v>22</v>
      </c>
      <c r="B284" s="58" t="s">
        <v>227</v>
      </c>
      <c r="C284" s="58">
        <v>5</v>
      </c>
      <c r="D284" s="11" t="s">
        <v>225</v>
      </c>
      <c r="E284" s="443">
        <v>36559</v>
      </c>
      <c r="F284" s="12">
        <v>2000</v>
      </c>
      <c r="G284" s="23"/>
      <c r="H284" s="142"/>
      <c r="I284" s="22" t="s">
        <v>264</v>
      </c>
      <c r="J284" s="32" t="s">
        <v>26</v>
      </c>
      <c r="K284" s="477" t="s">
        <v>662</v>
      </c>
      <c r="L284" s="477"/>
      <c r="M284" s="477"/>
      <c r="N284" s="477"/>
      <c r="O284" s="476" t="s">
        <v>663</v>
      </c>
      <c r="P284" s="581" t="s">
        <v>628</v>
      </c>
      <c r="Q284" s="15" t="s">
        <v>282</v>
      </c>
      <c r="R284" s="15"/>
      <c r="S284" s="16" t="s">
        <v>44</v>
      </c>
      <c r="T284" s="16"/>
      <c r="U284" s="484"/>
      <c r="V284" s="485"/>
      <c r="W284" s="243"/>
      <c r="X284" s="478"/>
      <c r="Y284" s="7">
        <f t="shared" si="8"/>
        <v>0</v>
      </c>
      <c r="Z284" s="577"/>
      <c r="AA284" s="469"/>
      <c r="AB284" s="500" t="s">
        <v>5953</v>
      </c>
      <c r="AC284" s="501"/>
      <c r="AD284" s="540">
        <v>0</v>
      </c>
      <c r="AE284" s="540"/>
      <c r="AF284" s="9">
        <f t="shared" si="9"/>
        <v>0</v>
      </c>
      <c r="AG284" s="539" t="s">
        <v>664</v>
      </c>
      <c r="AH284" s="476" t="s">
        <v>5967</v>
      </c>
      <c r="AI284" s="496" t="s">
        <v>665</v>
      </c>
      <c r="AJ284" s="10"/>
      <c r="AK284" s="481"/>
      <c r="AL284" s="481"/>
    </row>
    <row r="285" spans="1:38" ht="15" customHeight="1" x14ac:dyDescent="0.3">
      <c r="A285" s="575" t="s">
        <v>22</v>
      </c>
      <c r="B285" s="56" t="s">
        <v>23</v>
      </c>
      <c r="C285" s="58">
        <v>9</v>
      </c>
      <c r="D285" s="11" t="s">
        <v>24</v>
      </c>
      <c r="E285" s="443">
        <v>36706</v>
      </c>
      <c r="F285" s="12">
        <v>2000</v>
      </c>
      <c r="G285" s="23"/>
      <c r="H285" s="142"/>
      <c r="I285" s="22" t="s">
        <v>285</v>
      </c>
      <c r="J285" s="32" t="s">
        <v>26</v>
      </c>
      <c r="K285" s="477" t="s">
        <v>662</v>
      </c>
      <c r="L285" s="477"/>
      <c r="M285" s="477"/>
      <c r="N285" s="477"/>
      <c r="O285" s="476" t="s">
        <v>666</v>
      </c>
      <c r="P285" s="496" t="s">
        <v>628</v>
      </c>
      <c r="Q285" s="15" t="s">
        <v>282</v>
      </c>
      <c r="R285" s="15"/>
      <c r="S285" s="16" t="s">
        <v>44</v>
      </c>
      <c r="T285" s="16"/>
      <c r="U285" s="484"/>
      <c r="V285" s="485"/>
      <c r="W285" s="243"/>
      <c r="X285" s="478"/>
      <c r="Y285" s="7">
        <f t="shared" si="8"/>
        <v>0</v>
      </c>
      <c r="Z285" s="478"/>
      <c r="AA285" s="469"/>
      <c r="AB285" s="479" t="s">
        <v>586</v>
      </c>
      <c r="AC285" s="501"/>
      <c r="AD285" s="540">
        <v>0</v>
      </c>
      <c r="AE285" s="540"/>
      <c r="AF285" s="9">
        <f t="shared" si="9"/>
        <v>0</v>
      </c>
      <c r="AG285" s="539" t="s">
        <v>667</v>
      </c>
      <c r="AH285" s="476"/>
      <c r="AI285" s="496" t="s">
        <v>668</v>
      </c>
      <c r="AJ285" s="10"/>
      <c r="AK285" s="481"/>
      <c r="AL285" s="481"/>
    </row>
    <row r="286" spans="1:38" ht="15" customHeight="1" x14ac:dyDescent="0.3">
      <c r="A286" s="59" t="s">
        <v>22</v>
      </c>
      <c r="B286" s="56" t="s">
        <v>23</v>
      </c>
      <c r="C286" s="57">
        <v>3</v>
      </c>
      <c r="D286" s="11" t="s">
        <v>24</v>
      </c>
      <c r="E286" s="122">
        <v>36586</v>
      </c>
      <c r="F286" s="12">
        <v>2000</v>
      </c>
      <c r="G286" s="24" t="s">
        <v>669</v>
      </c>
      <c r="H286" s="142"/>
      <c r="I286" s="14" t="s">
        <v>285</v>
      </c>
      <c r="J286" s="32" t="s">
        <v>26</v>
      </c>
      <c r="K286" s="474"/>
      <c r="L286" s="582"/>
      <c r="M286" s="477"/>
      <c r="N286" s="477"/>
      <c r="O286" s="476" t="s">
        <v>670</v>
      </c>
      <c r="P286" s="476" t="s">
        <v>615</v>
      </c>
      <c r="Q286" s="15" t="s">
        <v>282</v>
      </c>
      <c r="R286" s="15"/>
      <c r="S286" s="16" t="s">
        <v>44</v>
      </c>
      <c r="T286" s="16"/>
      <c r="U286" s="484"/>
      <c r="V286" s="485"/>
      <c r="W286" s="243"/>
      <c r="X286" s="478"/>
      <c r="Y286" s="7">
        <f t="shared" si="8"/>
        <v>0</v>
      </c>
      <c r="Z286" s="478"/>
      <c r="AA286" s="469"/>
      <c r="AB286" s="479" t="s">
        <v>586</v>
      </c>
      <c r="AC286" s="480"/>
      <c r="AD286" s="489">
        <v>0</v>
      </c>
      <c r="AE286" s="489"/>
      <c r="AF286" s="9">
        <f t="shared" si="9"/>
        <v>0</v>
      </c>
      <c r="AG286" s="486" t="s">
        <v>671</v>
      </c>
      <c r="AH286" s="476"/>
      <c r="AI286" s="476" t="s">
        <v>672</v>
      </c>
      <c r="AJ286" s="10"/>
      <c r="AK286" s="481"/>
      <c r="AL286" s="481"/>
    </row>
    <row r="287" spans="1:38" ht="15" customHeight="1" x14ac:dyDescent="0.3">
      <c r="A287" s="568" t="s">
        <v>22</v>
      </c>
      <c r="B287" s="58" t="s">
        <v>227</v>
      </c>
      <c r="C287" s="57">
        <v>8</v>
      </c>
      <c r="D287" s="11" t="s">
        <v>225</v>
      </c>
      <c r="E287" s="440">
        <v>36458</v>
      </c>
      <c r="F287" s="12">
        <v>1999</v>
      </c>
      <c r="G287" s="13"/>
      <c r="H287" s="142"/>
      <c r="I287" s="22" t="s">
        <v>264</v>
      </c>
      <c r="J287" s="32" t="s">
        <v>26</v>
      </c>
      <c r="K287" s="477" t="s">
        <v>636</v>
      </c>
      <c r="L287" s="582"/>
      <c r="M287" s="582"/>
      <c r="N287" s="582"/>
      <c r="O287" s="476" t="s">
        <v>673</v>
      </c>
      <c r="P287" s="583" t="s">
        <v>638</v>
      </c>
      <c r="Q287" s="15" t="s">
        <v>35</v>
      </c>
      <c r="R287" s="15"/>
      <c r="S287" s="16" t="s">
        <v>35</v>
      </c>
      <c r="T287" s="16"/>
      <c r="U287" s="484"/>
      <c r="V287" s="485"/>
      <c r="W287" s="243">
        <v>12573462</v>
      </c>
      <c r="X287" s="478"/>
      <c r="Y287" s="7">
        <f t="shared" si="8"/>
        <v>0</v>
      </c>
      <c r="Z287" s="478"/>
      <c r="AA287" s="469"/>
      <c r="AB287" s="500" t="s">
        <v>5953</v>
      </c>
      <c r="AC287" s="501"/>
      <c r="AD287" s="489">
        <v>0</v>
      </c>
      <c r="AE287" s="489"/>
      <c r="AF287" s="9">
        <f t="shared" si="9"/>
        <v>0</v>
      </c>
      <c r="AG287" s="486" t="s">
        <v>674</v>
      </c>
      <c r="AH287" s="476" t="s">
        <v>5967</v>
      </c>
      <c r="AI287" s="476"/>
      <c r="AJ287" s="10"/>
      <c r="AK287" s="481"/>
      <c r="AL287" s="491"/>
    </row>
    <row r="288" spans="1:38" ht="15" customHeight="1" x14ac:dyDescent="0.3">
      <c r="A288" s="568" t="s">
        <v>508</v>
      </c>
      <c r="B288" s="58" t="s">
        <v>105</v>
      </c>
      <c r="C288" s="57">
        <v>10</v>
      </c>
      <c r="D288" s="14" t="s">
        <v>190</v>
      </c>
      <c r="E288" s="440">
        <v>34941</v>
      </c>
      <c r="F288" s="12">
        <v>1995</v>
      </c>
      <c r="G288" s="13">
        <v>19821</v>
      </c>
      <c r="H288" s="142"/>
      <c r="I288" s="22" t="s">
        <v>264</v>
      </c>
      <c r="J288" s="59" t="s">
        <v>81</v>
      </c>
      <c r="K288" s="477" t="s">
        <v>675</v>
      </c>
      <c r="L288" s="477"/>
      <c r="M288" s="477"/>
      <c r="N288" s="477"/>
      <c r="O288" s="476" t="s">
        <v>676</v>
      </c>
      <c r="P288" s="541" t="s">
        <v>628</v>
      </c>
      <c r="Q288" s="15" t="s">
        <v>282</v>
      </c>
      <c r="R288" s="15"/>
      <c r="S288" s="16" t="s">
        <v>44</v>
      </c>
      <c r="T288" s="62"/>
      <c r="U288" s="484"/>
      <c r="V288" s="485"/>
      <c r="W288" s="243"/>
      <c r="X288" s="478"/>
      <c r="Y288" s="7">
        <f t="shared" si="8"/>
        <v>0</v>
      </c>
      <c r="Z288" s="478"/>
      <c r="AA288" s="469"/>
      <c r="AB288" s="479" t="s">
        <v>5937</v>
      </c>
      <c r="AC288" s="480"/>
      <c r="AD288" s="489">
        <v>0</v>
      </c>
      <c r="AE288" s="489"/>
      <c r="AF288" s="9">
        <f t="shared" si="9"/>
        <v>0</v>
      </c>
      <c r="AG288" s="490" t="s">
        <v>677</v>
      </c>
      <c r="AH288" s="476"/>
      <c r="AI288" s="476"/>
      <c r="AJ288" s="10"/>
      <c r="AK288" s="481"/>
      <c r="AL288" s="481"/>
    </row>
    <row r="289" spans="1:38" ht="15" customHeight="1" x14ac:dyDescent="0.3">
      <c r="A289" s="584" t="s">
        <v>22</v>
      </c>
      <c r="B289" s="63" t="s">
        <v>105</v>
      </c>
      <c r="C289" s="64">
        <v>1</v>
      </c>
      <c r="D289" s="11" t="s">
        <v>5936</v>
      </c>
      <c r="E289" s="444">
        <v>36192</v>
      </c>
      <c r="F289" s="12">
        <v>1999</v>
      </c>
      <c r="G289" s="66" t="s">
        <v>678</v>
      </c>
      <c r="H289" s="142"/>
      <c r="I289" s="22" t="s">
        <v>264</v>
      </c>
      <c r="J289" s="32" t="s">
        <v>26</v>
      </c>
      <c r="K289" s="585" t="s">
        <v>392</v>
      </c>
      <c r="L289" s="585"/>
      <c r="M289" s="585"/>
      <c r="N289" s="585"/>
      <c r="O289" s="541"/>
      <c r="P289" s="541" t="s">
        <v>615</v>
      </c>
      <c r="Q289" s="541"/>
      <c r="R289" s="541"/>
      <c r="S289" s="16" t="s">
        <v>44</v>
      </c>
      <c r="T289" s="541"/>
      <c r="U289" s="541"/>
      <c r="V289" s="585"/>
      <c r="W289" s="243"/>
      <c r="X289" s="586"/>
      <c r="Y289" s="7">
        <f t="shared" si="8"/>
        <v>0</v>
      </c>
      <c r="Z289" s="586"/>
      <c r="AA289" s="469"/>
      <c r="AB289" s="479" t="s">
        <v>5937</v>
      </c>
      <c r="AC289" s="480"/>
      <c r="AD289" s="587">
        <v>0</v>
      </c>
      <c r="AE289" s="587"/>
      <c r="AF289" s="9">
        <f t="shared" si="9"/>
        <v>0</v>
      </c>
      <c r="AG289" s="588" t="s">
        <v>677</v>
      </c>
      <c r="AH289" s="541"/>
      <c r="AI289" s="541"/>
      <c r="AJ289" s="67"/>
      <c r="AK289" s="502"/>
      <c r="AL289" s="502"/>
    </row>
    <row r="290" spans="1:38" ht="15" customHeight="1" x14ac:dyDescent="0.3">
      <c r="A290" s="584" t="s">
        <v>22</v>
      </c>
      <c r="B290" s="63" t="s">
        <v>105</v>
      </c>
      <c r="C290" s="64">
        <v>11</v>
      </c>
      <c r="D290" s="11" t="s">
        <v>5936</v>
      </c>
      <c r="E290" s="444">
        <v>36025</v>
      </c>
      <c r="F290" s="12">
        <v>1998</v>
      </c>
      <c r="G290" s="66" t="s">
        <v>679</v>
      </c>
      <c r="H290" s="142"/>
      <c r="I290" s="22" t="s">
        <v>264</v>
      </c>
      <c r="J290" s="32" t="s">
        <v>26</v>
      </c>
      <c r="K290" s="477" t="s">
        <v>636</v>
      </c>
      <c r="L290" s="585"/>
      <c r="M290" s="585"/>
      <c r="N290" s="585"/>
      <c r="O290" s="541" t="s">
        <v>680</v>
      </c>
      <c r="P290" s="541" t="s">
        <v>638</v>
      </c>
      <c r="Q290" s="15" t="s">
        <v>282</v>
      </c>
      <c r="R290" s="15"/>
      <c r="S290" s="16" t="s">
        <v>35</v>
      </c>
      <c r="T290" s="62"/>
      <c r="U290" s="484"/>
      <c r="V290" s="485"/>
      <c r="W290" s="243">
        <f>8500000+20000</f>
        <v>8520000</v>
      </c>
      <c r="X290" s="478"/>
      <c r="Y290" s="7">
        <f t="shared" si="8"/>
        <v>0</v>
      </c>
      <c r="Z290" s="478"/>
      <c r="AA290" s="469"/>
      <c r="AB290" s="479" t="s">
        <v>5937</v>
      </c>
      <c r="AC290" s="480"/>
      <c r="AD290" s="489">
        <v>0</v>
      </c>
      <c r="AE290" s="489"/>
      <c r="AF290" s="9">
        <f t="shared" si="9"/>
        <v>0</v>
      </c>
      <c r="AG290" s="490" t="s">
        <v>677</v>
      </c>
      <c r="AH290" s="476"/>
      <c r="AI290" s="476"/>
      <c r="AJ290" s="10"/>
      <c r="AK290" s="481"/>
      <c r="AL290" s="481"/>
    </row>
    <row r="291" spans="1:38" ht="15" customHeight="1" x14ac:dyDescent="0.3">
      <c r="A291" s="589" t="s">
        <v>22</v>
      </c>
      <c r="B291" s="68" t="s">
        <v>422</v>
      </c>
      <c r="C291" s="64">
        <v>4</v>
      </c>
      <c r="D291" s="65" t="s">
        <v>190</v>
      </c>
      <c r="E291" s="445">
        <v>36739</v>
      </c>
      <c r="F291" s="12">
        <v>2000</v>
      </c>
      <c r="G291" s="69"/>
      <c r="H291" s="142"/>
      <c r="I291" s="22" t="s">
        <v>264</v>
      </c>
      <c r="J291" s="589" t="s">
        <v>81</v>
      </c>
      <c r="K291" s="585" t="s">
        <v>640</v>
      </c>
      <c r="L291" s="585"/>
      <c r="M291" s="585"/>
      <c r="N291" s="585"/>
      <c r="O291" s="541"/>
      <c r="P291" s="534" t="s">
        <v>605</v>
      </c>
      <c r="Q291" s="476"/>
      <c r="R291" s="476"/>
      <c r="S291" s="476"/>
      <c r="T291" s="476"/>
      <c r="U291" s="476"/>
      <c r="V291" s="477"/>
      <c r="W291" s="243"/>
      <c r="X291" s="478"/>
      <c r="Y291" s="7">
        <f t="shared" si="8"/>
        <v>0</v>
      </c>
      <c r="Z291" s="478"/>
      <c r="AA291" s="469"/>
      <c r="AB291" s="513" t="s">
        <v>424</v>
      </c>
      <c r="AC291" s="147"/>
      <c r="AD291" s="489">
        <v>0</v>
      </c>
      <c r="AE291" s="489"/>
      <c r="AF291" s="9">
        <f t="shared" si="9"/>
        <v>0</v>
      </c>
      <c r="AG291" s="486" t="s">
        <v>681</v>
      </c>
      <c r="AH291" s="476" t="s">
        <v>682</v>
      </c>
      <c r="AI291" s="476"/>
      <c r="AJ291" s="10"/>
      <c r="AK291" s="481"/>
      <c r="AL291" s="481"/>
    </row>
    <row r="292" spans="1:38" ht="15" customHeight="1" x14ac:dyDescent="0.3">
      <c r="A292" s="568" t="s">
        <v>22</v>
      </c>
      <c r="B292" s="58" t="s">
        <v>23</v>
      </c>
      <c r="C292" s="57">
        <v>12</v>
      </c>
      <c r="D292" s="11" t="s">
        <v>24</v>
      </c>
      <c r="E292" s="122">
        <v>36342</v>
      </c>
      <c r="F292" s="12">
        <v>1999</v>
      </c>
      <c r="G292" s="24" t="s">
        <v>683</v>
      </c>
      <c r="H292" s="142"/>
      <c r="I292" s="35" t="s">
        <v>285</v>
      </c>
      <c r="J292" s="32" t="s">
        <v>26</v>
      </c>
      <c r="K292" s="477" t="s">
        <v>636</v>
      </c>
      <c r="L292" s="477"/>
      <c r="M292" s="477"/>
      <c r="N292" s="477"/>
      <c r="O292" s="476" t="s">
        <v>684</v>
      </c>
      <c r="P292" s="549" t="s">
        <v>685</v>
      </c>
      <c r="Q292" s="15" t="s">
        <v>282</v>
      </c>
      <c r="R292" s="15"/>
      <c r="S292" s="16" t="s">
        <v>44</v>
      </c>
      <c r="T292" s="16"/>
      <c r="U292" s="484"/>
      <c r="V292" s="485"/>
      <c r="W292" s="243"/>
      <c r="X292" s="478"/>
      <c r="Y292" s="7">
        <f t="shared" si="8"/>
        <v>0</v>
      </c>
      <c r="Z292" s="478"/>
      <c r="AA292" s="469"/>
      <c r="AB292" s="518" t="s">
        <v>586</v>
      </c>
      <c r="AC292" s="519"/>
      <c r="AD292" s="590">
        <v>0</v>
      </c>
      <c r="AE292" s="590"/>
      <c r="AF292" s="9">
        <f t="shared" si="9"/>
        <v>0</v>
      </c>
      <c r="AG292" s="591" t="s">
        <v>686</v>
      </c>
      <c r="AH292" s="476"/>
      <c r="AI292" s="476"/>
      <c r="AJ292" s="10"/>
      <c r="AK292" s="59"/>
      <c r="AL292" s="481"/>
    </row>
    <row r="293" spans="1:38" ht="15" customHeight="1" x14ac:dyDescent="0.3">
      <c r="A293" s="59" t="s">
        <v>22</v>
      </c>
      <c r="B293" s="58" t="s">
        <v>23</v>
      </c>
      <c r="C293" s="57">
        <v>11</v>
      </c>
      <c r="D293" s="11" t="s">
        <v>24</v>
      </c>
      <c r="E293" s="446">
        <v>36963</v>
      </c>
      <c r="F293" s="12">
        <v>2001</v>
      </c>
      <c r="G293" s="24"/>
      <c r="H293" s="142"/>
      <c r="I293" s="14" t="s">
        <v>285</v>
      </c>
      <c r="J293" s="32" t="s">
        <v>26</v>
      </c>
      <c r="K293" s="477" t="s">
        <v>621</v>
      </c>
      <c r="L293" s="477"/>
      <c r="M293" s="477"/>
      <c r="N293" s="477"/>
      <c r="O293" s="476" t="s">
        <v>687</v>
      </c>
      <c r="P293" s="583" t="s">
        <v>688</v>
      </c>
      <c r="Q293" s="15" t="s">
        <v>282</v>
      </c>
      <c r="R293" s="15"/>
      <c r="S293" s="16" t="s">
        <v>35</v>
      </c>
      <c r="T293" s="16"/>
      <c r="U293" s="484"/>
      <c r="V293" s="485"/>
      <c r="W293" s="243"/>
      <c r="X293" s="478"/>
      <c r="Y293" s="7">
        <f t="shared" si="8"/>
        <v>0</v>
      </c>
      <c r="Z293" s="478"/>
      <c r="AA293" s="469"/>
      <c r="AB293" s="479" t="s">
        <v>49</v>
      </c>
      <c r="AC293" s="480"/>
      <c r="AD293" s="489">
        <v>0</v>
      </c>
      <c r="AE293" s="489"/>
      <c r="AF293" s="9">
        <f t="shared" si="9"/>
        <v>0</v>
      </c>
      <c r="AG293" s="486" t="s">
        <v>667</v>
      </c>
      <c r="AH293" s="476" t="s">
        <v>689</v>
      </c>
      <c r="AI293" s="476"/>
      <c r="AJ293" s="10"/>
      <c r="AK293" s="59"/>
      <c r="AL293" s="481"/>
    </row>
    <row r="294" spans="1:38" ht="15" customHeight="1" x14ac:dyDescent="0.3">
      <c r="A294" s="59" t="s">
        <v>22</v>
      </c>
      <c r="B294" s="58" t="s">
        <v>23</v>
      </c>
      <c r="C294" s="57">
        <v>11</v>
      </c>
      <c r="D294" s="11" t="s">
        <v>24</v>
      </c>
      <c r="E294" s="446">
        <v>36963</v>
      </c>
      <c r="F294" s="12">
        <v>2001</v>
      </c>
      <c r="G294" s="24"/>
      <c r="H294" s="142"/>
      <c r="I294" s="14" t="s">
        <v>285</v>
      </c>
      <c r="J294" s="32" t="s">
        <v>26</v>
      </c>
      <c r="K294" s="477" t="s">
        <v>621</v>
      </c>
      <c r="L294" s="477"/>
      <c r="M294" s="477"/>
      <c r="N294" s="477"/>
      <c r="O294" s="476" t="s">
        <v>687</v>
      </c>
      <c r="P294" s="583" t="s">
        <v>688</v>
      </c>
      <c r="Q294" s="15" t="s">
        <v>282</v>
      </c>
      <c r="R294" s="15"/>
      <c r="S294" s="16" t="s">
        <v>35</v>
      </c>
      <c r="T294" s="16"/>
      <c r="U294" s="484"/>
      <c r="V294" s="485"/>
      <c r="W294" s="243"/>
      <c r="X294" s="478"/>
      <c r="Y294" s="7">
        <f t="shared" si="8"/>
        <v>0</v>
      </c>
      <c r="Z294" s="478"/>
      <c r="AA294" s="469"/>
      <c r="AB294" s="479" t="s">
        <v>49</v>
      </c>
      <c r="AC294" s="480"/>
      <c r="AD294" s="489">
        <v>0</v>
      </c>
      <c r="AE294" s="489"/>
      <c r="AF294" s="9">
        <f t="shared" si="9"/>
        <v>0</v>
      </c>
      <c r="AG294" s="486" t="s">
        <v>667</v>
      </c>
      <c r="AH294" s="476" t="s">
        <v>689</v>
      </c>
      <c r="AI294" s="476"/>
      <c r="AJ294" s="10"/>
      <c r="AK294" s="59"/>
      <c r="AL294" s="481"/>
    </row>
    <row r="295" spans="1:38" ht="15" customHeight="1" x14ac:dyDescent="0.3">
      <c r="A295" s="592" t="s">
        <v>22</v>
      </c>
      <c r="B295" s="70" t="s">
        <v>105</v>
      </c>
      <c r="C295" s="70">
        <v>4</v>
      </c>
      <c r="D295" s="11" t="s">
        <v>5936</v>
      </c>
      <c r="E295" s="447">
        <v>35762</v>
      </c>
      <c r="F295" s="12">
        <v>1997</v>
      </c>
      <c r="G295" s="71">
        <v>37078</v>
      </c>
      <c r="H295" s="157"/>
      <c r="I295" s="22" t="s">
        <v>264</v>
      </c>
      <c r="J295" s="32" t="s">
        <v>26</v>
      </c>
      <c r="K295" s="593" t="s">
        <v>392</v>
      </c>
      <c r="L295" s="593"/>
      <c r="M295" s="593"/>
      <c r="N295" s="593"/>
      <c r="O295" s="549"/>
      <c r="P295" s="550" t="s">
        <v>690</v>
      </c>
      <c r="Q295" s="15" t="s">
        <v>282</v>
      </c>
      <c r="R295" s="15"/>
      <c r="S295" s="16" t="s">
        <v>44</v>
      </c>
      <c r="T295" s="16"/>
      <c r="U295" s="484"/>
      <c r="V295" s="485"/>
      <c r="W295" s="243"/>
      <c r="X295" s="594"/>
      <c r="Y295" s="7">
        <f t="shared" si="8"/>
        <v>0</v>
      </c>
      <c r="Z295" s="594"/>
      <c r="AA295" s="469"/>
      <c r="AB295" s="479" t="s">
        <v>5937</v>
      </c>
      <c r="AC295" s="501"/>
      <c r="AD295" s="595">
        <v>0</v>
      </c>
      <c r="AE295" s="595"/>
      <c r="AF295" s="9">
        <f t="shared" si="9"/>
        <v>0</v>
      </c>
      <c r="AG295" s="596" t="s">
        <v>677</v>
      </c>
      <c r="AH295" s="549"/>
      <c r="AI295" s="558"/>
      <c r="AJ295" s="72"/>
      <c r="AK295" s="597"/>
      <c r="AL295" s="597"/>
    </row>
    <row r="296" spans="1:38" ht="15" customHeight="1" x14ac:dyDescent="0.3">
      <c r="A296" s="597" t="s">
        <v>22</v>
      </c>
      <c r="B296" s="56" t="s">
        <v>105</v>
      </c>
      <c r="C296" s="73">
        <v>12</v>
      </c>
      <c r="D296" s="11" t="s">
        <v>5936</v>
      </c>
      <c r="E296" s="448">
        <v>35472</v>
      </c>
      <c r="F296" s="12">
        <v>1997</v>
      </c>
      <c r="G296" s="74" t="s">
        <v>691</v>
      </c>
      <c r="H296" s="157"/>
      <c r="I296" s="22" t="s">
        <v>264</v>
      </c>
      <c r="J296" s="32" t="s">
        <v>26</v>
      </c>
      <c r="K296" s="593" t="s">
        <v>392</v>
      </c>
      <c r="L296" s="593"/>
      <c r="M296" s="593"/>
      <c r="N296" s="593"/>
      <c r="O296" s="549" t="s">
        <v>692</v>
      </c>
      <c r="P296" s="598" t="s">
        <v>685</v>
      </c>
      <c r="Q296" s="15" t="s">
        <v>282</v>
      </c>
      <c r="R296" s="15"/>
      <c r="S296" s="16" t="s">
        <v>44</v>
      </c>
      <c r="T296" s="16"/>
      <c r="U296" s="484" t="s">
        <v>693</v>
      </c>
      <c r="V296" s="485"/>
      <c r="W296" s="243"/>
      <c r="X296" s="594"/>
      <c r="Y296" s="7">
        <f t="shared" si="8"/>
        <v>0</v>
      </c>
      <c r="Z296" s="594"/>
      <c r="AA296" s="469"/>
      <c r="AB296" s="479" t="s">
        <v>5937</v>
      </c>
      <c r="AC296" s="480"/>
      <c r="AD296" s="599">
        <v>0</v>
      </c>
      <c r="AE296" s="599"/>
      <c r="AF296" s="9">
        <f t="shared" si="9"/>
        <v>0</v>
      </c>
      <c r="AG296" s="600" t="s">
        <v>677</v>
      </c>
      <c r="AH296" s="549"/>
      <c r="AI296" s="549"/>
      <c r="AJ296" s="72"/>
      <c r="AK296" s="597"/>
      <c r="AL296" s="597"/>
    </row>
    <row r="297" spans="1:38" ht="15" customHeight="1" x14ac:dyDescent="0.3">
      <c r="A297" s="59" t="s">
        <v>22</v>
      </c>
      <c r="B297" s="58" t="s">
        <v>694</v>
      </c>
      <c r="C297" s="57" t="s">
        <v>644</v>
      </c>
      <c r="D297" s="11" t="s">
        <v>5936</v>
      </c>
      <c r="E297" s="440">
        <v>36586</v>
      </c>
      <c r="F297" s="12">
        <v>2000</v>
      </c>
      <c r="G297" s="13"/>
      <c r="H297" s="142"/>
      <c r="I297" s="22" t="s">
        <v>264</v>
      </c>
      <c r="J297" s="32" t="s">
        <v>26</v>
      </c>
      <c r="K297" s="477" t="s">
        <v>695</v>
      </c>
      <c r="L297" s="477"/>
      <c r="M297" s="477"/>
      <c r="N297" s="477"/>
      <c r="O297" s="476" t="s">
        <v>696</v>
      </c>
      <c r="P297" s="541" t="s">
        <v>685</v>
      </c>
      <c r="Q297" s="15" t="s">
        <v>282</v>
      </c>
      <c r="R297" s="15"/>
      <c r="S297" s="16" t="s">
        <v>44</v>
      </c>
      <c r="T297" s="16"/>
      <c r="U297" s="484"/>
      <c r="V297" s="485"/>
      <c r="W297" s="243"/>
      <c r="X297" s="478"/>
      <c r="Y297" s="7">
        <f t="shared" si="8"/>
        <v>0</v>
      </c>
      <c r="Z297" s="478"/>
      <c r="AA297" s="469"/>
      <c r="AB297" s="479" t="s">
        <v>5937</v>
      </c>
      <c r="AC297" s="480"/>
      <c r="AD297" s="489">
        <v>0</v>
      </c>
      <c r="AE297" s="489"/>
      <c r="AF297" s="9">
        <f t="shared" si="9"/>
        <v>0</v>
      </c>
      <c r="AG297" s="486" t="s">
        <v>677</v>
      </c>
      <c r="AH297" s="476"/>
      <c r="AI297" s="476" t="s">
        <v>697</v>
      </c>
      <c r="AJ297" s="10"/>
      <c r="AK297" s="59"/>
      <c r="AL297" s="59"/>
    </row>
    <row r="298" spans="1:38" ht="15" customHeight="1" x14ac:dyDescent="0.3">
      <c r="A298" s="59" t="s">
        <v>22</v>
      </c>
      <c r="B298" s="56" t="s">
        <v>23</v>
      </c>
      <c r="C298" s="57">
        <v>13</v>
      </c>
      <c r="D298" s="11" t="s">
        <v>24</v>
      </c>
      <c r="E298" s="122">
        <v>36963</v>
      </c>
      <c r="F298" s="12">
        <v>2001</v>
      </c>
      <c r="G298" s="24" t="s">
        <v>698</v>
      </c>
      <c r="H298" s="142"/>
      <c r="I298" s="14" t="s">
        <v>285</v>
      </c>
      <c r="J298" s="32" t="s">
        <v>26</v>
      </c>
      <c r="K298" s="477" t="s">
        <v>636</v>
      </c>
      <c r="L298" s="477"/>
      <c r="M298" s="477"/>
      <c r="N298" s="477"/>
      <c r="O298" s="476" t="s">
        <v>699</v>
      </c>
      <c r="P298" s="583" t="s">
        <v>700</v>
      </c>
      <c r="Q298" s="15" t="s">
        <v>35</v>
      </c>
      <c r="R298" s="15"/>
      <c r="S298" s="16" t="s">
        <v>35</v>
      </c>
      <c r="T298" s="16"/>
      <c r="U298" s="484"/>
      <c r="V298" s="485"/>
      <c r="W298" s="243">
        <v>26888546</v>
      </c>
      <c r="X298" s="478"/>
      <c r="Y298" s="7">
        <f t="shared" si="8"/>
        <v>0</v>
      </c>
      <c r="Z298" s="478"/>
      <c r="AA298" s="469"/>
      <c r="AB298" s="479" t="s">
        <v>49</v>
      </c>
      <c r="AC298" s="480"/>
      <c r="AD298" s="489">
        <v>0</v>
      </c>
      <c r="AE298" s="489"/>
      <c r="AF298" s="9">
        <f t="shared" si="9"/>
        <v>0</v>
      </c>
      <c r="AG298" s="486" t="s">
        <v>667</v>
      </c>
      <c r="AH298" s="476"/>
      <c r="AI298" s="476"/>
      <c r="AJ298" s="10"/>
      <c r="AK298" s="59"/>
      <c r="AL298" s="59"/>
    </row>
    <row r="299" spans="1:38" ht="15" customHeight="1" x14ac:dyDescent="0.3">
      <c r="A299" s="59" t="s">
        <v>22</v>
      </c>
      <c r="B299" s="58" t="s">
        <v>23</v>
      </c>
      <c r="C299" s="57">
        <v>4</v>
      </c>
      <c r="D299" s="11" t="s">
        <v>24</v>
      </c>
      <c r="E299" s="440">
        <v>36462</v>
      </c>
      <c r="F299" s="12">
        <v>1999</v>
      </c>
      <c r="G299" s="13">
        <v>19990542</v>
      </c>
      <c r="H299" s="601"/>
      <c r="I299" s="14" t="s">
        <v>285</v>
      </c>
      <c r="J299" s="59" t="s">
        <v>315</v>
      </c>
      <c r="K299" s="477" t="s">
        <v>316</v>
      </c>
      <c r="L299" s="477"/>
      <c r="M299" s="477"/>
      <c r="N299" s="477"/>
      <c r="O299" s="476"/>
      <c r="P299" s="583" t="s">
        <v>701</v>
      </c>
      <c r="Q299" s="476"/>
      <c r="R299" s="476"/>
      <c r="S299" s="476"/>
      <c r="T299" s="476"/>
      <c r="U299" s="476"/>
      <c r="V299" s="477"/>
      <c r="W299" s="243">
        <v>17000000</v>
      </c>
      <c r="X299" s="478"/>
      <c r="Y299" s="7">
        <f t="shared" si="8"/>
        <v>0</v>
      </c>
      <c r="Z299" s="478"/>
      <c r="AA299" s="469"/>
      <c r="AB299" s="479" t="s">
        <v>49</v>
      </c>
      <c r="AC299" s="480"/>
      <c r="AD299" s="489">
        <v>0</v>
      </c>
      <c r="AE299" s="489"/>
      <c r="AF299" s="9">
        <f t="shared" si="9"/>
        <v>0</v>
      </c>
      <c r="AG299" s="486" t="s">
        <v>671</v>
      </c>
      <c r="AH299" s="476"/>
      <c r="AI299" s="476"/>
      <c r="AJ299" s="10"/>
      <c r="AK299" s="59"/>
      <c r="AL299" s="59"/>
    </row>
    <row r="300" spans="1:38" ht="15" customHeight="1" x14ac:dyDescent="0.3">
      <c r="A300" s="59" t="s">
        <v>22</v>
      </c>
      <c r="B300" s="58" t="s">
        <v>23</v>
      </c>
      <c r="C300" s="57">
        <v>5</v>
      </c>
      <c r="D300" s="11" t="s">
        <v>24</v>
      </c>
      <c r="E300" s="122">
        <v>36294</v>
      </c>
      <c r="F300" s="12">
        <v>1999</v>
      </c>
      <c r="G300" s="24">
        <v>326</v>
      </c>
      <c r="H300" s="142"/>
      <c r="I300" s="14" t="s">
        <v>285</v>
      </c>
      <c r="J300" s="59" t="s">
        <v>315</v>
      </c>
      <c r="K300" s="477" t="s">
        <v>316</v>
      </c>
      <c r="L300" s="477"/>
      <c r="M300" s="477"/>
      <c r="N300" s="477"/>
      <c r="O300" s="602"/>
      <c r="P300" s="583" t="s">
        <v>701</v>
      </c>
      <c r="Q300" s="476"/>
      <c r="R300" s="476"/>
      <c r="S300" s="476"/>
      <c r="T300" s="476"/>
      <c r="U300" s="476"/>
      <c r="V300" s="477"/>
      <c r="W300" s="243">
        <v>17000000</v>
      </c>
      <c r="X300" s="478"/>
      <c r="Y300" s="7">
        <f t="shared" si="8"/>
        <v>0</v>
      </c>
      <c r="Z300" s="478"/>
      <c r="AA300" s="469"/>
      <c r="AB300" s="479" t="s">
        <v>49</v>
      </c>
      <c r="AC300" s="480"/>
      <c r="AD300" s="489">
        <v>0</v>
      </c>
      <c r="AE300" s="489"/>
      <c r="AF300" s="9">
        <f t="shared" si="9"/>
        <v>0</v>
      </c>
      <c r="AG300" s="486" t="s">
        <v>671</v>
      </c>
      <c r="AH300" s="476"/>
      <c r="AI300" s="476"/>
      <c r="AJ300" s="10"/>
      <c r="AK300" s="59"/>
      <c r="AL300" s="59"/>
    </row>
    <row r="301" spans="1:38" ht="15" customHeight="1" x14ac:dyDescent="0.3">
      <c r="A301" s="531" t="s">
        <v>22</v>
      </c>
      <c r="B301" s="58" t="s">
        <v>23</v>
      </c>
      <c r="C301" s="58">
        <v>13</v>
      </c>
      <c r="D301" s="11" t="s">
        <v>24</v>
      </c>
      <c r="E301" s="441">
        <v>35864</v>
      </c>
      <c r="F301" s="12">
        <v>1998</v>
      </c>
      <c r="G301" s="36"/>
      <c r="H301" s="142"/>
      <c r="I301" s="14" t="s">
        <v>285</v>
      </c>
      <c r="J301" s="59" t="s">
        <v>315</v>
      </c>
      <c r="K301" s="477" t="s">
        <v>316</v>
      </c>
      <c r="L301" s="477"/>
      <c r="M301" s="477"/>
      <c r="N301" s="477"/>
      <c r="O301" s="602"/>
      <c r="P301" s="581" t="s">
        <v>701</v>
      </c>
      <c r="Q301" s="476"/>
      <c r="R301" s="476"/>
      <c r="S301" s="476"/>
      <c r="T301" s="476"/>
      <c r="U301" s="476"/>
      <c r="V301" s="477"/>
      <c r="W301" s="243">
        <v>17000000</v>
      </c>
      <c r="X301" s="478"/>
      <c r="Y301" s="7">
        <f t="shared" si="8"/>
        <v>0</v>
      </c>
      <c r="Z301" s="478"/>
      <c r="AA301" s="469"/>
      <c r="AB301" s="479" t="s">
        <v>49</v>
      </c>
      <c r="AC301" s="480"/>
      <c r="AD301" s="489">
        <v>0</v>
      </c>
      <c r="AE301" s="540"/>
      <c r="AF301" s="9">
        <f t="shared" si="9"/>
        <v>0</v>
      </c>
      <c r="AG301" s="539" t="s">
        <v>686</v>
      </c>
      <c r="AH301" s="476"/>
      <c r="AI301" s="496"/>
      <c r="AJ301" s="10"/>
      <c r="AK301" s="59"/>
      <c r="AL301" s="59"/>
    </row>
    <row r="302" spans="1:38" ht="15" customHeight="1" x14ac:dyDescent="0.3">
      <c r="A302" s="531" t="s">
        <v>22</v>
      </c>
      <c r="B302" s="58" t="s">
        <v>23</v>
      </c>
      <c r="C302" s="58">
        <v>13</v>
      </c>
      <c r="D302" s="11" t="s">
        <v>24</v>
      </c>
      <c r="E302" s="443">
        <v>35947</v>
      </c>
      <c r="F302" s="12">
        <v>1998</v>
      </c>
      <c r="G302" s="36"/>
      <c r="H302" s="142"/>
      <c r="I302" s="14" t="s">
        <v>285</v>
      </c>
      <c r="J302" s="59" t="s">
        <v>315</v>
      </c>
      <c r="K302" s="477" t="s">
        <v>316</v>
      </c>
      <c r="L302" s="477"/>
      <c r="M302" s="477"/>
      <c r="N302" s="477"/>
      <c r="O302" s="602"/>
      <c r="P302" s="581" t="s">
        <v>701</v>
      </c>
      <c r="Q302" s="476"/>
      <c r="R302" s="476"/>
      <c r="S302" s="476"/>
      <c r="T302" s="476"/>
      <c r="U302" s="476"/>
      <c r="V302" s="477"/>
      <c r="W302" s="243">
        <v>17000000</v>
      </c>
      <c r="X302" s="478"/>
      <c r="Y302" s="7">
        <f t="shared" si="8"/>
        <v>0</v>
      </c>
      <c r="Z302" s="478"/>
      <c r="AA302" s="469"/>
      <c r="AB302" s="479" t="s">
        <v>49</v>
      </c>
      <c r="AC302" s="480"/>
      <c r="AD302" s="489">
        <v>0</v>
      </c>
      <c r="AE302" s="540"/>
      <c r="AF302" s="9">
        <f t="shared" si="9"/>
        <v>0</v>
      </c>
      <c r="AG302" s="539" t="s">
        <v>686</v>
      </c>
      <c r="AH302" s="476"/>
      <c r="AI302" s="496"/>
      <c r="AJ302" s="10"/>
      <c r="AK302" s="59"/>
      <c r="AL302" s="59"/>
    </row>
    <row r="303" spans="1:38" ht="15" customHeight="1" x14ac:dyDescent="0.3">
      <c r="A303" s="531" t="s">
        <v>22</v>
      </c>
      <c r="B303" s="58" t="s">
        <v>23</v>
      </c>
      <c r="C303" s="58">
        <v>13</v>
      </c>
      <c r="D303" s="11" t="s">
        <v>24</v>
      </c>
      <c r="E303" s="443">
        <v>35982</v>
      </c>
      <c r="F303" s="12">
        <v>1998</v>
      </c>
      <c r="G303" s="36"/>
      <c r="H303" s="142"/>
      <c r="I303" s="14" t="s">
        <v>285</v>
      </c>
      <c r="J303" s="59" t="s">
        <v>315</v>
      </c>
      <c r="K303" s="477" t="s">
        <v>316</v>
      </c>
      <c r="L303" s="477"/>
      <c r="M303" s="477"/>
      <c r="N303" s="477"/>
      <c r="O303" s="602"/>
      <c r="P303" s="581" t="s">
        <v>701</v>
      </c>
      <c r="Q303" s="476"/>
      <c r="R303" s="476"/>
      <c r="S303" s="476"/>
      <c r="T303" s="476"/>
      <c r="U303" s="476"/>
      <c r="V303" s="477"/>
      <c r="W303" s="243">
        <v>17000000</v>
      </c>
      <c r="X303" s="478"/>
      <c r="Y303" s="7">
        <f t="shared" si="8"/>
        <v>0</v>
      </c>
      <c r="Z303" s="478"/>
      <c r="AA303" s="469"/>
      <c r="AB303" s="479" t="s">
        <v>49</v>
      </c>
      <c r="AC303" s="480"/>
      <c r="AD303" s="489">
        <v>0</v>
      </c>
      <c r="AE303" s="540"/>
      <c r="AF303" s="9">
        <f t="shared" si="9"/>
        <v>0</v>
      </c>
      <c r="AG303" s="539" t="s">
        <v>686</v>
      </c>
      <c r="AH303" s="476"/>
      <c r="AI303" s="496"/>
      <c r="AJ303" s="10"/>
      <c r="AK303" s="59"/>
      <c r="AL303" s="59"/>
    </row>
    <row r="304" spans="1:38" ht="15" customHeight="1" x14ac:dyDescent="0.3">
      <c r="A304" s="531" t="s">
        <v>22</v>
      </c>
      <c r="B304" s="58" t="s">
        <v>23</v>
      </c>
      <c r="C304" s="58">
        <v>13</v>
      </c>
      <c r="D304" s="11" t="s">
        <v>24</v>
      </c>
      <c r="E304" s="443">
        <v>35982</v>
      </c>
      <c r="F304" s="12">
        <v>1998</v>
      </c>
      <c r="G304" s="23" t="s">
        <v>702</v>
      </c>
      <c r="H304" s="142"/>
      <c r="I304" s="14" t="s">
        <v>285</v>
      </c>
      <c r="J304" s="59" t="s">
        <v>315</v>
      </c>
      <c r="K304" s="477" t="s">
        <v>316</v>
      </c>
      <c r="L304" s="477"/>
      <c r="M304" s="477"/>
      <c r="N304" s="477"/>
      <c r="O304" s="602"/>
      <c r="P304" s="581" t="s">
        <v>701</v>
      </c>
      <c r="Q304" s="476"/>
      <c r="R304" s="476"/>
      <c r="S304" s="476"/>
      <c r="T304" s="476"/>
      <c r="U304" s="476"/>
      <c r="V304" s="477"/>
      <c r="W304" s="243">
        <v>17000000</v>
      </c>
      <c r="X304" s="478"/>
      <c r="Y304" s="7">
        <f t="shared" si="8"/>
        <v>0</v>
      </c>
      <c r="Z304" s="478"/>
      <c r="AA304" s="469"/>
      <c r="AB304" s="479" t="s">
        <v>49</v>
      </c>
      <c r="AC304" s="480"/>
      <c r="AD304" s="489">
        <v>0</v>
      </c>
      <c r="AE304" s="540"/>
      <c r="AF304" s="9">
        <f t="shared" si="9"/>
        <v>0</v>
      </c>
      <c r="AG304" s="539" t="s">
        <v>686</v>
      </c>
      <c r="AH304" s="476"/>
      <c r="AI304" s="496"/>
      <c r="AJ304" s="10"/>
      <c r="AK304" s="59"/>
      <c r="AL304" s="59"/>
    </row>
    <row r="305" spans="1:38" ht="15" customHeight="1" x14ac:dyDescent="0.3">
      <c r="A305" s="531" t="s">
        <v>22</v>
      </c>
      <c r="B305" s="58" t="s">
        <v>23</v>
      </c>
      <c r="C305" s="58">
        <v>13</v>
      </c>
      <c r="D305" s="11" t="s">
        <v>24</v>
      </c>
      <c r="E305" s="443">
        <v>36068</v>
      </c>
      <c r="F305" s="12">
        <v>1998</v>
      </c>
      <c r="G305" s="36"/>
      <c r="H305" s="142"/>
      <c r="I305" s="14" t="s">
        <v>285</v>
      </c>
      <c r="J305" s="59" t="s">
        <v>315</v>
      </c>
      <c r="K305" s="477" t="s">
        <v>316</v>
      </c>
      <c r="L305" s="477"/>
      <c r="M305" s="477"/>
      <c r="N305" s="477"/>
      <c r="O305" s="602"/>
      <c r="P305" s="581" t="s">
        <v>701</v>
      </c>
      <c r="Q305" s="476"/>
      <c r="R305" s="476"/>
      <c r="S305" s="476"/>
      <c r="T305" s="476"/>
      <c r="U305" s="476"/>
      <c r="V305" s="477"/>
      <c r="W305" s="243">
        <v>17000000</v>
      </c>
      <c r="X305" s="478"/>
      <c r="Y305" s="7">
        <f t="shared" si="8"/>
        <v>0</v>
      </c>
      <c r="Z305" s="478"/>
      <c r="AA305" s="469"/>
      <c r="AB305" s="479" t="s">
        <v>49</v>
      </c>
      <c r="AC305" s="480"/>
      <c r="AD305" s="489">
        <v>0</v>
      </c>
      <c r="AE305" s="540"/>
      <c r="AF305" s="9">
        <f t="shared" si="9"/>
        <v>0</v>
      </c>
      <c r="AG305" s="539" t="s">
        <v>686</v>
      </c>
      <c r="AH305" s="476"/>
      <c r="AI305" s="496"/>
      <c r="AJ305" s="10"/>
      <c r="AK305" s="59"/>
      <c r="AL305" s="603"/>
    </row>
    <row r="306" spans="1:38" ht="15" customHeight="1" x14ac:dyDescent="0.3">
      <c r="A306" s="531" t="s">
        <v>22</v>
      </c>
      <c r="B306" s="58" t="s">
        <v>23</v>
      </c>
      <c r="C306" s="58">
        <v>13</v>
      </c>
      <c r="D306" s="11" t="s">
        <v>24</v>
      </c>
      <c r="E306" s="443">
        <v>36069</v>
      </c>
      <c r="F306" s="12">
        <v>1998</v>
      </c>
      <c r="G306" s="36"/>
      <c r="H306" s="142"/>
      <c r="I306" s="14" t="s">
        <v>285</v>
      </c>
      <c r="J306" s="59" t="s">
        <v>315</v>
      </c>
      <c r="K306" s="477" t="s">
        <v>316</v>
      </c>
      <c r="L306" s="477"/>
      <c r="M306" s="477"/>
      <c r="N306" s="477"/>
      <c r="O306" s="602"/>
      <c r="P306" s="581" t="s">
        <v>701</v>
      </c>
      <c r="Q306" s="476"/>
      <c r="R306" s="476"/>
      <c r="S306" s="476"/>
      <c r="T306" s="476"/>
      <c r="U306" s="476"/>
      <c r="V306" s="477"/>
      <c r="W306" s="243">
        <v>17000000</v>
      </c>
      <c r="X306" s="478"/>
      <c r="Y306" s="7">
        <f t="shared" si="8"/>
        <v>0</v>
      </c>
      <c r="Z306" s="478"/>
      <c r="AA306" s="469"/>
      <c r="AB306" s="479" t="s">
        <v>49</v>
      </c>
      <c r="AC306" s="480"/>
      <c r="AD306" s="489">
        <v>0</v>
      </c>
      <c r="AE306" s="540"/>
      <c r="AF306" s="9">
        <f t="shared" si="9"/>
        <v>0</v>
      </c>
      <c r="AG306" s="539" t="s">
        <v>686</v>
      </c>
      <c r="AH306" s="476"/>
      <c r="AI306" s="496"/>
      <c r="AJ306" s="10"/>
      <c r="AK306" s="59"/>
      <c r="AL306" s="59"/>
    </row>
    <row r="307" spans="1:38" ht="15" customHeight="1" x14ac:dyDescent="0.3">
      <c r="A307" s="531" t="s">
        <v>22</v>
      </c>
      <c r="B307" s="58" t="s">
        <v>23</v>
      </c>
      <c r="C307" s="58">
        <v>13</v>
      </c>
      <c r="D307" s="11" t="s">
        <v>24</v>
      </c>
      <c r="E307" s="443">
        <v>36069</v>
      </c>
      <c r="F307" s="12">
        <v>1998</v>
      </c>
      <c r="G307" s="36"/>
      <c r="H307" s="142"/>
      <c r="I307" s="14" t="s">
        <v>285</v>
      </c>
      <c r="J307" s="59" t="s">
        <v>315</v>
      </c>
      <c r="K307" s="477" t="s">
        <v>316</v>
      </c>
      <c r="L307" s="477"/>
      <c r="M307" s="477"/>
      <c r="N307" s="477"/>
      <c r="O307" s="602"/>
      <c r="P307" s="581" t="s">
        <v>701</v>
      </c>
      <c r="Q307" s="476"/>
      <c r="R307" s="476"/>
      <c r="S307" s="476"/>
      <c r="T307" s="476"/>
      <c r="U307" s="476"/>
      <c r="V307" s="477"/>
      <c r="W307" s="243">
        <v>17000000</v>
      </c>
      <c r="X307" s="478"/>
      <c r="Y307" s="7">
        <f t="shared" si="8"/>
        <v>0</v>
      </c>
      <c r="Z307" s="478"/>
      <c r="AA307" s="469"/>
      <c r="AB307" s="479" t="s">
        <v>49</v>
      </c>
      <c r="AC307" s="480"/>
      <c r="AD307" s="489">
        <v>0</v>
      </c>
      <c r="AE307" s="540"/>
      <c r="AF307" s="9">
        <f t="shared" si="9"/>
        <v>0</v>
      </c>
      <c r="AG307" s="539" t="s">
        <v>686</v>
      </c>
      <c r="AH307" s="476"/>
      <c r="AI307" s="496"/>
      <c r="AJ307" s="10"/>
      <c r="AK307" s="59"/>
      <c r="AL307" s="603"/>
    </row>
    <row r="308" spans="1:38" ht="15" customHeight="1" x14ac:dyDescent="0.3">
      <c r="A308" s="59" t="s">
        <v>22</v>
      </c>
      <c r="B308" s="56" t="s">
        <v>23</v>
      </c>
      <c r="C308" s="57">
        <v>5</v>
      </c>
      <c r="D308" s="11" t="s">
        <v>24</v>
      </c>
      <c r="E308" s="440">
        <v>36591</v>
      </c>
      <c r="F308" s="12">
        <v>2000</v>
      </c>
      <c r="G308" s="13"/>
      <c r="H308" s="142"/>
      <c r="I308" s="14" t="s">
        <v>285</v>
      </c>
      <c r="J308" s="59" t="s">
        <v>315</v>
      </c>
      <c r="K308" s="477" t="s">
        <v>316</v>
      </c>
      <c r="L308" s="477"/>
      <c r="M308" s="477"/>
      <c r="N308" s="477"/>
      <c r="O308" s="476"/>
      <c r="P308" s="583" t="s">
        <v>701</v>
      </c>
      <c r="Q308" s="476"/>
      <c r="R308" s="476"/>
      <c r="S308" s="476"/>
      <c r="T308" s="476"/>
      <c r="U308" s="476"/>
      <c r="V308" s="477"/>
      <c r="W308" s="243">
        <v>17000000</v>
      </c>
      <c r="X308" s="478"/>
      <c r="Y308" s="7">
        <f t="shared" si="8"/>
        <v>0</v>
      </c>
      <c r="Z308" s="478"/>
      <c r="AA308" s="469"/>
      <c r="AB308" s="479" t="s">
        <v>49</v>
      </c>
      <c r="AC308" s="480"/>
      <c r="AD308" s="489">
        <v>0</v>
      </c>
      <c r="AE308" s="489"/>
      <c r="AF308" s="9">
        <f t="shared" si="9"/>
        <v>0</v>
      </c>
      <c r="AG308" s="486" t="s">
        <v>671</v>
      </c>
      <c r="AH308" s="476"/>
      <c r="AI308" s="476" t="s">
        <v>703</v>
      </c>
      <c r="AJ308" s="10"/>
      <c r="AK308" s="59"/>
      <c r="AL308" s="59"/>
    </row>
    <row r="309" spans="1:38" ht="15" customHeight="1" x14ac:dyDescent="0.3">
      <c r="A309" s="575" t="s">
        <v>508</v>
      </c>
      <c r="B309" s="56" t="s">
        <v>195</v>
      </c>
      <c r="C309" s="58">
        <v>1</v>
      </c>
      <c r="D309" s="14" t="s">
        <v>190</v>
      </c>
      <c r="E309" s="441">
        <v>37057</v>
      </c>
      <c r="F309" s="12">
        <v>2001</v>
      </c>
      <c r="G309" s="36" t="s">
        <v>704</v>
      </c>
      <c r="H309" s="142"/>
      <c r="I309" s="22" t="s">
        <v>264</v>
      </c>
      <c r="J309" s="532" t="s">
        <v>516</v>
      </c>
      <c r="K309" s="477" t="s">
        <v>705</v>
      </c>
      <c r="L309" s="477"/>
      <c r="M309" s="477"/>
      <c r="N309" s="477"/>
      <c r="O309" s="476" t="s">
        <v>706</v>
      </c>
      <c r="P309" s="583" t="s">
        <v>685</v>
      </c>
      <c r="Q309" s="15" t="s">
        <v>282</v>
      </c>
      <c r="R309" s="44"/>
      <c r="S309" s="16" t="s">
        <v>44</v>
      </c>
      <c r="T309" s="16"/>
      <c r="U309" s="484"/>
      <c r="V309" s="485"/>
      <c r="W309" s="243"/>
      <c r="X309" s="478"/>
      <c r="Y309" s="7">
        <f t="shared" si="8"/>
        <v>0</v>
      </c>
      <c r="Z309" s="577"/>
      <c r="AA309" s="469"/>
      <c r="AB309" s="604" t="s">
        <v>6081</v>
      </c>
      <c r="AC309" s="88"/>
      <c r="AD309" s="540">
        <v>0</v>
      </c>
      <c r="AE309" s="540"/>
      <c r="AF309" s="9">
        <f t="shared" si="9"/>
        <v>0</v>
      </c>
      <c r="AG309" s="539"/>
      <c r="AH309" s="476" t="s">
        <v>707</v>
      </c>
      <c r="AI309" s="496"/>
      <c r="AJ309" s="10"/>
      <c r="AK309" s="59"/>
      <c r="AL309" s="59"/>
    </row>
    <row r="310" spans="1:38" ht="15" customHeight="1" x14ac:dyDescent="0.3">
      <c r="A310" s="575" t="s">
        <v>22</v>
      </c>
      <c r="B310" s="58" t="s">
        <v>6168</v>
      </c>
      <c r="C310" s="58">
        <v>4</v>
      </c>
      <c r="D310" s="14" t="s">
        <v>190</v>
      </c>
      <c r="E310" s="441">
        <v>37105</v>
      </c>
      <c r="F310" s="12">
        <v>2001</v>
      </c>
      <c r="G310" s="36">
        <v>242</v>
      </c>
      <c r="H310" s="142"/>
      <c r="I310" s="22" t="s">
        <v>264</v>
      </c>
      <c r="J310" s="32" t="s">
        <v>26</v>
      </c>
      <c r="K310" s="477" t="s">
        <v>392</v>
      </c>
      <c r="L310" s="477"/>
      <c r="M310" s="477"/>
      <c r="N310" s="477"/>
      <c r="O310" s="476" t="s">
        <v>708</v>
      </c>
      <c r="P310" s="583" t="s">
        <v>701</v>
      </c>
      <c r="Q310" s="476"/>
      <c r="R310" s="476"/>
      <c r="S310" s="476"/>
      <c r="T310" s="476"/>
      <c r="U310" s="476"/>
      <c r="V310" s="477"/>
      <c r="W310" s="243">
        <v>15000000</v>
      </c>
      <c r="X310" s="478"/>
      <c r="Y310" s="7">
        <f t="shared" si="8"/>
        <v>0</v>
      </c>
      <c r="Z310" s="577"/>
      <c r="AA310" s="469"/>
      <c r="AB310" s="537" t="s">
        <v>5959</v>
      </c>
      <c r="AC310" s="538"/>
      <c r="AD310" s="540">
        <v>0</v>
      </c>
      <c r="AE310" s="540"/>
      <c r="AF310" s="9">
        <f t="shared" si="9"/>
        <v>0</v>
      </c>
      <c r="AG310" s="539"/>
      <c r="AH310" s="476" t="s">
        <v>709</v>
      </c>
      <c r="AI310" s="496"/>
      <c r="AJ310" s="10"/>
      <c r="AK310" s="59"/>
      <c r="AL310" s="59"/>
    </row>
    <row r="311" spans="1:38" ht="15" customHeight="1" x14ac:dyDescent="0.3">
      <c r="A311" s="575" t="s">
        <v>22</v>
      </c>
      <c r="B311" s="58" t="s">
        <v>105</v>
      </c>
      <c r="C311" s="58">
        <v>3</v>
      </c>
      <c r="D311" s="11" t="s">
        <v>5936</v>
      </c>
      <c r="E311" s="443">
        <v>2001</v>
      </c>
      <c r="F311" s="12">
        <v>1905</v>
      </c>
      <c r="G311" s="36" t="s">
        <v>710</v>
      </c>
      <c r="H311" s="142"/>
      <c r="I311" s="22" t="s">
        <v>264</v>
      </c>
      <c r="J311" s="32" t="s">
        <v>26</v>
      </c>
      <c r="K311" s="477" t="s">
        <v>695</v>
      </c>
      <c r="L311" s="477"/>
      <c r="M311" s="477"/>
      <c r="N311" s="477"/>
      <c r="O311" s="476"/>
      <c r="P311" s="551" t="s">
        <v>685</v>
      </c>
      <c r="Q311" s="15" t="s">
        <v>282</v>
      </c>
      <c r="R311" s="75"/>
      <c r="S311" s="16" t="s">
        <v>44</v>
      </c>
      <c r="T311" s="16"/>
      <c r="U311" s="484"/>
      <c r="V311" s="485"/>
      <c r="W311" s="243"/>
      <c r="X311" s="478"/>
      <c r="Y311" s="7">
        <f t="shared" si="8"/>
        <v>0</v>
      </c>
      <c r="Z311" s="478"/>
      <c r="AA311" s="469"/>
      <c r="AB311" s="479" t="s">
        <v>5937</v>
      </c>
      <c r="AC311" s="501"/>
      <c r="AD311" s="540">
        <v>0</v>
      </c>
      <c r="AE311" s="540"/>
      <c r="AF311" s="9">
        <f t="shared" si="9"/>
        <v>0</v>
      </c>
      <c r="AG311" s="539"/>
      <c r="AH311" s="476" t="s">
        <v>273</v>
      </c>
      <c r="AI311" s="496"/>
      <c r="AJ311" s="10"/>
      <c r="AK311" s="59"/>
      <c r="AL311" s="59"/>
    </row>
    <row r="312" spans="1:38" ht="15" customHeight="1" x14ac:dyDescent="0.3">
      <c r="A312" s="605" t="s">
        <v>22</v>
      </c>
      <c r="B312" s="76" t="s">
        <v>643</v>
      </c>
      <c r="C312" s="606" t="s">
        <v>644</v>
      </c>
      <c r="D312" s="11" t="s">
        <v>143</v>
      </c>
      <c r="E312" s="449">
        <v>36630</v>
      </c>
      <c r="F312" s="12">
        <v>2000</v>
      </c>
      <c r="G312" s="77"/>
      <c r="H312" s="142"/>
      <c r="I312" s="22" t="s">
        <v>264</v>
      </c>
      <c r="J312" s="32" t="s">
        <v>26</v>
      </c>
      <c r="K312" s="607" t="s">
        <v>645</v>
      </c>
      <c r="L312" s="77"/>
      <c r="M312" s="483"/>
      <c r="N312" s="483"/>
      <c r="O312" s="608" t="s">
        <v>646</v>
      </c>
      <c r="P312" s="483" t="s">
        <v>685</v>
      </c>
      <c r="Q312" s="15" t="s">
        <v>282</v>
      </c>
      <c r="R312" s="15"/>
      <c r="S312" s="16" t="s">
        <v>44</v>
      </c>
      <c r="T312" s="54"/>
      <c r="U312" s="560"/>
      <c r="V312" s="560"/>
      <c r="W312" s="243"/>
      <c r="X312" s="478"/>
      <c r="Y312" s="7">
        <f t="shared" si="8"/>
        <v>0</v>
      </c>
      <c r="Z312" s="478"/>
      <c r="AA312" s="469"/>
      <c r="AB312" s="579" t="s">
        <v>647</v>
      </c>
      <c r="AC312" s="580"/>
      <c r="AD312" s="608">
        <v>0</v>
      </c>
      <c r="AE312" s="608"/>
      <c r="AF312" s="9">
        <f t="shared" si="9"/>
        <v>0</v>
      </c>
      <c r="AG312" s="77"/>
      <c r="AH312" s="608" t="s">
        <v>649</v>
      </c>
      <c r="AI312" s="81"/>
      <c r="AJ312" s="77"/>
      <c r="AK312" s="77"/>
      <c r="AL312" s="77"/>
    </row>
    <row r="313" spans="1:38" ht="15" customHeight="1" x14ac:dyDescent="0.3">
      <c r="A313" s="609" t="s">
        <v>634</v>
      </c>
      <c r="B313" s="78" t="s">
        <v>711</v>
      </c>
      <c r="C313" s="79">
        <v>2</v>
      </c>
      <c r="D313" s="11" t="s">
        <v>225</v>
      </c>
      <c r="E313" s="440">
        <v>37742</v>
      </c>
      <c r="F313" s="12">
        <v>2003</v>
      </c>
      <c r="G313" s="80"/>
      <c r="H313" s="142"/>
      <c r="I313" s="22" t="s">
        <v>264</v>
      </c>
      <c r="J313" s="32" t="s">
        <v>26</v>
      </c>
      <c r="K313" s="610" t="s">
        <v>712</v>
      </c>
      <c r="L313" s="610"/>
      <c r="M313" s="611"/>
      <c r="N313" s="611"/>
      <c r="O313" s="483"/>
      <c r="P313" s="110" t="s">
        <v>713</v>
      </c>
      <c r="Q313" s="80"/>
      <c r="R313" s="80"/>
      <c r="S313" s="80"/>
      <c r="T313" s="80"/>
      <c r="U313" s="80"/>
      <c r="V313" s="612"/>
      <c r="W313" s="243">
        <f>842208+43374</f>
        <v>885582</v>
      </c>
      <c r="X313" s="613"/>
      <c r="Y313" s="7">
        <f t="shared" si="8"/>
        <v>0</v>
      </c>
      <c r="Z313" s="613"/>
      <c r="AA313" s="469"/>
      <c r="AB313" s="500" t="s">
        <v>5953</v>
      </c>
      <c r="AC313" s="501"/>
      <c r="AD313" s="614">
        <v>0</v>
      </c>
      <c r="AE313" s="614"/>
      <c r="AF313" s="9">
        <f t="shared" si="9"/>
        <v>0</v>
      </c>
      <c r="AG313" s="604" t="s">
        <v>664</v>
      </c>
      <c r="AH313" s="80"/>
      <c r="AI313" s="611"/>
      <c r="AJ313" s="81"/>
      <c r="AK313" s="77"/>
      <c r="AL313" s="81"/>
    </row>
    <row r="314" spans="1:38" ht="15" customHeight="1" x14ac:dyDescent="0.3">
      <c r="A314" s="575" t="s">
        <v>22</v>
      </c>
      <c r="B314" s="58" t="s">
        <v>422</v>
      </c>
      <c r="C314" s="58">
        <v>3</v>
      </c>
      <c r="D314" s="14" t="s">
        <v>190</v>
      </c>
      <c r="E314" s="443">
        <v>36410</v>
      </c>
      <c r="F314" s="12">
        <v>1999</v>
      </c>
      <c r="G314" s="23"/>
      <c r="H314" s="142"/>
      <c r="I314" s="22" t="s">
        <v>264</v>
      </c>
      <c r="J314" s="32" t="s">
        <v>26</v>
      </c>
      <c r="K314" s="477" t="s">
        <v>392</v>
      </c>
      <c r="L314" s="477"/>
      <c r="M314" s="477"/>
      <c r="N314" s="477"/>
      <c r="O314" s="476" t="s">
        <v>714</v>
      </c>
      <c r="P314" s="476" t="s">
        <v>429</v>
      </c>
      <c r="Q314" s="15" t="s">
        <v>282</v>
      </c>
      <c r="R314" s="15"/>
      <c r="S314" s="16" t="s">
        <v>44</v>
      </c>
      <c r="T314" s="16"/>
      <c r="U314" s="484"/>
      <c r="V314" s="485"/>
      <c r="W314" s="243"/>
      <c r="X314" s="478"/>
      <c r="Y314" s="7">
        <f t="shared" si="8"/>
        <v>0</v>
      </c>
      <c r="Z314" s="577"/>
      <c r="AA314" s="469"/>
      <c r="AB314" s="513" t="s">
        <v>424</v>
      </c>
      <c r="AC314" s="563"/>
      <c r="AD314" s="540">
        <v>0</v>
      </c>
      <c r="AE314" s="540"/>
      <c r="AF314" s="9">
        <f t="shared" si="9"/>
        <v>0</v>
      </c>
      <c r="AG314" s="486" t="s">
        <v>715</v>
      </c>
      <c r="AH314" s="476" t="s">
        <v>716</v>
      </c>
      <c r="AI314" s="496" t="s">
        <v>717</v>
      </c>
      <c r="AJ314" s="10"/>
      <c r="AK314" s="59"/>
      <c r="AL314" s="10"/>
    </row>
    <row r="315" spans="1:38" ht="15" customHeight="1" x14ac:dyDescent="0.3">
      <c r="A315" s="575" t="s">
        <v>22</v>
      </c>
      <c r="B315" s="56" t="s">
        <v>105</v>
      </c>
      <c r="C315" s="58">
        <v>7</v>
      </c>
      <c r="D315" s="11" t="s">
        <v>5936</v>
      </c>
      <c r="E315" s="441">
        <v>35902</v>
      </c>
      <c r="F315" s="12">
        <v>1998</v>
      </c>
      <c r="G315" s="36" t="s">
        <v>718</v>
      </c>
      <c r="H315" s="142"/>
      <c r="I315" s="22" t="s">
        <v>264</v>
      </c>
      <c r="J315" s="32" t="s">
        <v>26</v>
      </c>
      <c r="K315" s="477" t="s">
        <v>392</v>
      </c>
      <c r="L315" s="477"/>
      <c r="M315" s="477"/>
      <c r="N315" s="477"/>
      <c r="O315" s="476"/>
      <c r="P315" s="496" t="s">
        <v>685</v>
      </c>
      <c r="Q315" s="15" t="s">
        <v>35</v>
      </c>
      <c r="R315" s="15"/>
      <c r="S315" s="16" t="s">
        <v>44</v>
      </c>
      <c r="T315" s="16"/>
      <c r="U315" s="484"/>
      <c r="V315" s="485"/>
      <c r="W315" s="243"/>
      <c r="X315" s="478"/>
      <c r="Y315" s="7">
        <f t="shared" si="8"/>
        <v>0</v>
      </c>
      <c r="Z315" s="478"/>
      <c r="AA315" s="469"/>
      <c r="AB315" s="479" t="s">
        <v>5937</v>
      </c>
      <c r="AC315" s="501"/>
      <c r="AD315" s="540">
        <v>0</v>
      </c>
      <c r="AE315" s="540"/>
      <c r="AF315" s="9">
        <f t="shared" si="9"/>
        <v>0</v>
      </c>
      <c r="AG315" s="533" t="s">
        <v>677</v>
      </c>
      <c r="AH315" s="476"/>
      <c r="AI315" s="496"/>
      <c r="AJ315" s="10"/>
      <c r="AK315" s="59"/>
      <c r="AL315" s="10"/>
    </row>
    <row r="316" spans="1:38" ht="15" customHeight="1" x14ac:dyDescent="0.3">
      <c r="A316" s="575" t="s">
        <v>22</v>
      </c>
      <c r="B316" s="58" t="s">
        <v>105</v>
      </c>
      <c r="C316" s="58">
        <v>8</v>
      </c>
      <c r="D316" s="11" t="s">
        <v>5936</v>
      </c>
      <c r="E316" s="441">
        <v>35339</v>
      </c>
      <c r="F316" s="12">
        <v>1996</v>
      </c>
      <c r="G316" s="38">
        <v>34982</v>
      </c>
      <c r="H316" s="142"/>
      <c r="I316" s="22" t="s">
        <v>285</v>
      </c>
      <c r="J316" s="32" t="s">
        <v>26</v>
      </c>
      <c r="K316" s="477" t="s">
        <v>636</v>
      </c>
      <c r="L316" s="477"/>
      <c r="M316" s="477"/>
      <c r="N316" s="477"/>
      <c r="O316" s="476"/>
      <c r="P316" s="476" t="s">
        <v>685</v>
      </c>
      <c r="Q316" s="15" t="s">
        <v>35</v>
      </c>
      <c r="R316" s="15"/>
      <c r="S316" s="16" t="s">
        <v>44</v>
      </c>
      <c r="T316" s="55"/>
      <c r="U316" s="615" t="s">
        <v>719</v>
      </c>
      <c r="V316" s="616"/>
      <c r="W316" s="243"/>
      <c r="X316" s="478"/>
      <c r="Y316" s="7">
        <f t="shared" si="8"/>
        <v>0</v>
      </c>
      <c r="Z316" s="478"/>
      <c r="AA316" s="469"/>
      <c r="AB316" s="479" t="s">
        <v>5968</v>
      </c>
      <c r="AC316" s="501"/>
      <c r="AD316" s="540">
        <v>0</v>
      </c>
      <c r="AE316" s="540"/>
      <c r="AF316" s="9">
        <f t="shared" si="9"/>
        <v>0</v>
      </c>
      <c r="AG316" s="539" t="s">
        <v>720</v>
      </c>
      <c r="AH316" s="476"/>
      <c r="AI316" s="496"/>
      <c r="AJ316" s="10"/>
      <c r="AK316" s="59"/>
      <c r="AL316" s="10"/>
    </row>
    <row r="317" spans="1:38" ht="15" customHeight="1" x14ac:dyDescent="0.3">
      <c r="A317" s="59" t="s">
        <v>22</v>
      </c>
      <c r="B317" s="58" t="s">
        <v>105</v>
      </c>
      <c r="C317" s="57">
        <v>20</v>
      </c>
      <c r="D317" s="11" t="s">
        <v>5936</v>
      </c>
      <c r="E317" s="440">
        <v>36697</v>
      </c>
      <c r="F317" s="12">
        <v>2000</v>
      </c>
      <c r="G317" s="13" t="s">
        <v>721</v>
      </c>
      <c r="H317" s="142"/>
      <c r="I317" s="14" t="s">
        <v>285</v>
      </c>
      <c r="J317" s="32" t="s">
        <v>26</v>
      </c>
      <c r="K317" s="477" t="s">
        <v>695</v>
      </c>
      <c r="L317" s="477"/>
      <c r="M317" s="477"/>
      <c r="N317" s="477"/>
      <c r="O317" s="476" t="s">
        <v>722</v>
      </c>
      <c r="P317" s="476" t="s">
        <v>685</v>
      </c>
      <c r="Q317" s="15" t="s">
        <v>282</v>
      </c>
      <c r="R317" s="15"/>
      <c r="S317" s="16" t="s">
        <v>44</v>
      </c>
      <c r="T317" s="16"/>
      <c r="U317" s="484"/>
      <c r="V317" s="485"/>
      <c r="W317" s="243"/>
      <c r="X317" s="478"/>
      <c r="Y317" s="7">
        <f t="shared" si="8"/>
        <v>0</v>
      </c>
      <c r="Z317" s="478"/>
      <c r="AA317" s="469"/>
      <c r="AB317" s="479" t="s">
        <v>5937</v>
      </c>
      <c r="AC317" s="480"/>
      <c r="AD317" s="489">
        <v>0</v>
      </c>
      <c r="AE317" s="489"/>
      <c r="AF317" s="9">
        <f t="shared" si="9"/>
        <v>0</v>
      </c>
      <c r="AG317" s="490" t="s">
        <v>677</v>
      </c>
      <c r="AH317" s="476" t="s">
        <v>723</v>
      </c>
      <c r="AI317" s="476" t="s">
        <v>724</v>
      </c>
      <c r="AJ317" s="10"/>
      <c r="AK317" s="59"/>
      <c r="AL317" s="10"/>
    </row>
    <row r="318" spans="1:38" ht="15" customHeight="1" x14ac:dyDescent="0.3">
      <c r="A318" s="575" t="s">
        <v>634</v>
      </c>
      <c r="B318" s="56" t="s">
        <v>5942</v>
      </c>
      <c r="C318" s="57" t="s">
        <v>725</v>
      </c>
      <c r="D318" s="11" t="s">
        <v>143</v>
      </c>
      <c r="E318" s="122">
        <v>36571</v>
      </c>
      <c r="F318" s="12">
        <v>2000</v>
      </c>
      <c r="G318" s="13"/>
      <c r="H318" s="142"/>
      <c r="I318" s="22" t="s">
        <v>264</v>
      </c>
      <c r="J318" s="32" t="s">
        <v>191</v>
      </c>
      <c r="K318" s="477" t="s">
        <v>726</v>
      </c>
      <c r="L318" s="477"/>
      <c r="M318" s="477"/>
      <c r="N318" s="477"/>
      <c r="O318" s="511"/>
      <c r="P318" s="476" t="s">
        <v>615</v>
      </c>
      <c r="Q318" s="476"/>
      <c r="R318" s="476"/>
      <c r="S318" s="476"/>
      <c r="T318" s="476"/>
      <c r="U318" s="476"/>
      <c r="V318" s="477"/>
      <c r="W318" s="243"/>
      <c r="X318" s="478"/>
      <c r="Y318" s="7">
        <f t="shared" si="8"/>
        <v>0</v>
      </c>
      <c r="Z318" s="478"/>
      <c r="AA318" s="469"/>
      <c r="AB318" s="479" t="s">
        <v>147</v>
      </c>
      <c r="AC318" s="480"/>
      <c r="AD318" s="489">
        <v>0</v>
      </c>
      <c r="AE318" s="540"/>
      <c r="AF318" s="9">
        <f t="shared" si="9"/>
        <v>0</v>
      </c>
      <c r="AG318" s="539" t="s">
        <v>727</v>
      </c>
      <c r="AH318" s="476"/>
      <c r="AI318" s="476"/>
      <c r="AJ318" s="10"/>
      <c r="AK318" s="481"/>
      <c r="AL318" s="481"/>
    </row>
    <row r="319" spans="1:38" ht="15" customHeight="1" x14ac:dyDescent="0.3">
      <c r="A319" s="617" t="s">
        <v>22</v>
      </c>
      <c r="B319" s="58" t="s">
        <v>105</v>
      </c>
      <c r="C319" s="58">
        <v>16</v>
      </c>
      <c r="D319" s="11" t="s">
        <v>5936</v>
      </c>
      <c r="E319" s="441">
        <v>36923</v>
      </c>
      <c r="F319" s="12">
        <v>2001</v>
      </c>
      <c r="G319" s="36" t="s">
        <v>728</v>
      </c>
      <c r="H319" s="142"/>
      <c r="I319" s="22" t="s">
        <v>264</v>
      </c>
      <c r="J319" s="22" t="s">
        <v>67</v>
      </c>
      <c r="K319" s="477" t="s">
        <v>729</v>
      </c>
      <c r="L319" s="477"/>
      <c r="M319" s="477"/>
      <c r="N319" s="477"/>
      <c r="O319" s="476" t="s">
        <v>730</v>
      </c>
      <c r="P319" s="496" t="s">
        <v>731</v>
      </c>
      <c r="Q319" s="15" t="s">
        <v>35</v>
      </c>
      <c r="R319" s="15"/>
      <c r="S319" s="16" t="s">
        <v>313</v>
      </c>
      <c r="T319" s="16"/>
      <c r="U319" s="484"/>
      <c r="V319" s="485"/>
      <c r="W319" s="243"/>
      <c r="X319" s="478"/>
      <c r="Y319" s="7">
        <f t="shared" si="8"/>
        <v>0</v>
      </c>
      <c r="Z319" s="577"/>
      <c r="AA319" s="469"/>
      <c r="AB319" s="500" t="s">
        <v>732</v>
      </c>
      <c r="AC319" s="501"/>
      <c r="AD319" s="540">
        <v>0</v>
      </c>
      <c r="AE319" s="540"/>
      <c r="AF319" s="9">
        <f t="shared" si="9"/>
        <v>0</v>
      </c>
      <c r="AG319" s="539" t="s">
        <v>677</v>
      </c>
      <c r="AH319" s="476"/>
      <c r="AI319" s="496"/>
      <c r="AJ319" s="10"/>
      <c r="AK319" s="59"/>
      <c r="AL319" s="10"/>
    </row>
    <row r="320" spans="1:38" ht="15" customHeight="1" x14ac:dyDescent="0.3">
      <c r="A320" s="568" t="s">
        <v>22</v>
      </c>
      <c r="B320" s="58" t="s">
        <v>144</v>
      </c>
      <c r="C320" s="57">
        <v>3</v>
      </c>
      <c r="D320" s="11" t="s">
        <v>143</v>
      </c>
      <c r="E320" s="440">
        <v>35313</v>
      </c>
      <c r="F320" s="12">
        <v>1996</v>
      </c>
      <c r="G320" s="24"/>
      <c r="H320" s="142"/>
      <c r="I320" s="14" t="s">
        <v>285</v>
      </c>
      <c r="J320" s="476" t="s">
        <v>733</v>
      </c>
      <c r="K320" s="477" t="s">
        <v>734</v>
      </c>
      <c r="L320" s="477"/>
      <c r="M320" s="477"/>
      <c r="N320" s="477"/>
      <c r="O320" s="476" t="s">
        <v>735</v>
      </c>
      <c r="P320" s="476" t="s">
        <v>700</v>
      </c>
      <c r="Q320" s="15" t="s">
        <v>35</v>
      </c>
      <c r="R320" s="15"/>
      <c r="S320" s="16" t="s">
        <v>35</v>
      </c>
      <c r="T320" s="16"/>
      <c r="U320" s="484"/>
      <c r="V320" s="485"/>
      <c r="W320" s="243">
        <v>4800000</v>
      </c>
      <c r="X320" s="478"/>
      <c r="Y320" s="7">
        <f t="shared" si="8"/>
        <v>0</v>
      </c>
      <c r="Z320" s="478"/>
      <c r="AA320" s="469"/>
      <c r="AB320" s="503" t="s">
        <v>6055</v>
      </c>
      <c r="AC320" s="222"/>
      <c r="AD320" s="489">
        <v>0</v>
      </c>
      <c r="AE320" s="489"/>
      <c r="AF320" s="9">
        <f t="shared" si="9"/>
        <v>0</v>
      </c>
      <c r="AG320" s="486" t="s">
        <v>727</v>
      </c>
      <c r="AH320" s="476"/>
      <c r="AI320" s="476"/>
      <c r="AJ320" s="10"/>
      <c r="AK320" s="59"/>
      <c r="AL320" s="10"/>
    </row>
    <row r="321" spans="1:38" ht="15" customHeight="1" x14ac:dyDescent="0.3">
      <c r="A321" s="568" t="s">
        <v>22</v>
      </c>
      <c r="B321" s="58" t="s">
        <v>246</v>
      </c>
      <c r="C321" s="57">
        <v>1</v>
      </c>
      <c r="D321" s="11" t="s">
        <v>225</v>
      </c>
      <c r="E321" s="122">
        <v>36951</v>
      </c>
      <c r="F321" s="12">
        <v>2001</v>
      </c>
      <c r="G321" s="24"/>
      <c r="H321" s="142"/>
      <c r="I321" s="22" t="s">
        <v>264</v>
      </c>
      <c r="J321" s="32" t="s">
        <v>191</v>
      </c>
      <c r="K321" s="477" t="s">
        <v>314</v>
      </c>
      <c r="L321" s="477"/>
      <c r="M321" s="477"/>
      <c r="N321" s="477"/>
      <c r="O321" s="476" t="s">
        <v>736</v>
      </c>
      <c r="P321" s="583" t="s">
        <v>685</v>
      </c>
      <c r="Q321" s="15" t="s">
        <v>282</v>
      </c>
      <c r="R321" s="15"/>
      <c r="S321" s="16" t="s">
        <v>35</v>
      </c>
      <c r="T321" s="16"/>
      <c r="U321" s="484" t="s">
        <v>737</v>
      </c>
      <c r="V321" s="485"/>
      <c r="W321" s="243"/>
      <c r="X321" s="478"/>
      <c r="Y321" s="7">
        <f t="shared" si="8"/>
        <v>0</v>
      </c>
      <c r="Z321" s="478"/>
      <c r="AA321" s="469"/>
      <c r="AB321" s="500" t="s">
        <v>5953</v>
      </c>
      <c r="AC321" s="501"/>
      <c r="AD321" s="489">
        <v>0</v>
      </c>
      <c r="AE321" s="489"/>
      <c r="AF321" s="9">
        <f t="shared" si="9"/>
        <v>0</v>
      </c>
      <c r="AG321" s="486" t="s">
        <v>738</v>
      </c>
      <c r="AH321" s="476" t="s">
        <v>739</v>
      </c>
      <c r="AI321" s="476" t="s">
        <v>740</v>
      </c>
      <c r="AJ321" s="10"/>
      <c r="AK321" s="59"/>
      <c r="AL321" s="10"/>
    </row>
    <row r="322" spans="1:38" ht="15" customHeight="1" x14ac:dyDescent="0.3">
      <c r="A322" s="575" t="s">
        <v>508</v>
      </c>
      <c r="B322" s="58" t="s">
        <v>105</v>
      </c>
      <c r="C322" s="58">
        <v>5</v>
      </c>
      <c r="D322" s="11" t="s">
        <v>5936</v>
      </c>
      <c r="E322" s="443">
        <v>35529</v>
      </c>
      <c r="F322" s="12">
        <v>1997</v>
      </c>
      <c r="G322" s="23">
        <v>71353</v>
      </c>
      <c r="H322" s="142"/>
      <c r="I322" s="22" t="s">
        <v>264</v>
      </c>
      <c r="J322" s="59" t="s">
        <v>516</v>
      </c>
      <c r="K322" s="477" t="s">
        <v>741</v>
      </c>
      <c r="L322" s="477"/>
      <c r="M322" s="477"/>
      <c r="N322" s="477"/>
      <c r="O322" s="476" t="s">
        <v>742</v>
      </c>
      <c r="P322" s="558" t="s">
        <v>685</v>
      </c>
      <c r="Q322" s="15" t="s">
        <v>282</v>
      </c>
      <c r="R322" s="15"/>
      <c r="S322" s="16" t="s">
        <v>44</v>
      </c>
      <c r="T322" s="16"/>
      <c r="U322" s="484"/>
      <c r="V322" s="485"/>
      <c r="W322" s="243"/>
      <c r="X322" s="478"/>
      <c r="Y322" s="7">
        <f t="shared" ref="Y322:Y385" si="10">W322*AE322</f>
        <v>0</v>
      </c>
      <c r="Z322" s="478"/>
      <c r="AA322" s="469"/>
      <c r="AB322" s="479" t="s">
        <v>5937</v>
      </c>
      <c r="AC322" s="501"/>
      <c r="AD322" s="540">
        <v>0</v>
      </c>
      <c r="AE322" s="540"/>
      <c r="AF322" s="9">
        <f t="shared" si="9"/>
        <v>0</v>
      </c>
      <c r="AG322" s="533" t="s">
        <v>677</v>
      </c>
      <c r="AH322" s="476"/>
      <c r="AI322" s="496"/>
      <c r="AJ322" s="10"/>
      <c r="AK322" s="59"/>
      <c r="AL322" s="10"/>
    </row>
    <row r="323" spans="1:38" ht="15" customHeight="1" x14ac:dyDescent="0.3">
      <c r="A323" s="575" t="s">
        <v>22</v>
      </c>
      <c r="B323" s="58" t="s">
        <v>105</v>
      </c>
      <c r="C323" s="58">
        <v>3</v>
      </c>
      <c r="D323" s="11" t="s">
        <v>5936</v>
      </c>
      <c r="E323" s="441">
        <v>37028</v>
      </c>
      <c r="F323" s="12">
        <v>2001</v>
      </c>
      <c r="G323" s="36" t="s">
        <v>743</v>
      </c>
      <c r="H323" s="142"/>
      <c r="I323" s="22" t="s">
        <v>264</v>
      </c>
      <c r="J323" s="32" t="s">
        <v>26</v>
      </c>
      <c r="K323" s="477" t="s">
        <v>392</v>
      </c>
      <c r="L323" s="477"/>
      <c r="M323" s="477"/>
      <c r="N323" s="477"/>
      <c r="O323" s="476" t="s">
        <v>744</v>
      </c>
      <c r="P323" s="496" t="s">
        <v>685</v>
      </c>
      <c r="Q323" s="15" t="s">
        <v>35</v>
      </c>
      <c r="R323" s="15"/>
      <c r="S323" s="16" t="s">
        <v>44</v>
      </c>
      <c r="T323" s="16"/>
      <c r="U323" s="484"/>
      <c r="V323" s="485"/>
      <c r="W323" s="243"/>
      <c r="X323" s="478"/>
      <c r="Y323" s="7">
        <f t="shared" si="10"/>
        <v>0</v>
      </c>
      <c r="Z323" s="478"/>
      <c r="AA323" s="469"/>
      <c r="AB323" s="479" t="s">
        <v>5937</v>
      </c>
      <c r="AC323" s="501"/>
      <c r="AD323" s="540">
        <v>0</v>
      </c>
      <c r="AE323" s="540"/>
      <c r="AF323" s="9">
        <f t="shared" ref="AF323:AF386" si="11">AD323+AE323</f>
        <v>0</v>
      </c>
      <c r="AG323" s="533" t="s">
        <v>677</v>
      </c>
      <c r="AH323" s="476" t="s">
        <v>745</v>
      </c>
      <c r="AI323" s="496"/>
      <c r="AJ323" s="10"/>
      <c r="AK323" s="59"/>
      <c r="AL323" s="10"/>
    </row>
    <row r="324" spans="1:38" ht="15" customHeight="1" x14ac:dyDescent="0.3">
      <c r="A324" s="531" t="s">
        <v>22</v>
      </c>
      <c r="B324" s="58" t="s">
        <v>23</v>
      </c>
      <c r="C324" s="58">
        <v>13</v>
      </c>
      <c r="D324" s="11" t="s">
        <v>24</v>
      </c>
      <c r="E324" s="443">
        <v>37018</v>
      </c>
      <c r="F324" s="12">
        <v>2001</v>
      </c>
      <c r="G324" s="36"/>
      <c r="H324" s="142"/>
      <c r="I324" s="14" t="s">
        <v>285</v>
      </c>
      <c r="J324" s="32" t="s">
        <v>26</v>
      </c>
      <c r="K324" s="477" t="s">
        <v>636</v>
      </c>
      <c r="L324" s="477"/>
      <c r="M324" s="477"/>
      <c r="N324" s="477"/>
      <c r="O324" s="476" t="s">
        <v>746</v>
      </c>
      <c r="P324" s="476" t="s">
        <v>685</v>
      </c>
      <c r="Q324" s="15"/>
      <c r="R324" s="15"/>
      <c r="S324" s="16"/>
      <c r="T324" s="16"/>
      <c r="U324" s="484"/>
      <c r="V324" s="485"/>
      <c r="W324" s="243"/>
      <c r="X324" s="478"/>
      <c r="Y324" s="7">
        <f t="shared" si="10"/>
        <v>0</v>
      </c>
      <c r="Z324" s="478"/>
      <c r="AA324" s="469"/>
      <c r="AB324" s="479" t="s">
        <v>586</v>
      </c>
      <c r="AC324" s="480"/>
      <c r="AD324" s="489">
        <v>0</v>
      </c>
      <c r="AE324" s="540"/>
      <c r="AF324" s="9">
        <f t="shared" si="11"/>
        <v>0</v>
      </c>
      <c r="AG324" s="539" t="s">
        <v>667</v>
      </c>
      <c r="AH324" s="476"/>
      <c r="AI324" s="496" t="s">
        <v>747</v>
      </c>
      <c r="AJ324" s="10"/>
      <c r="AK324" s="59"/>
      <c r="AL324" s="10"/>
    </row>
    <row r="325" spans="1:38" ht="15" customHeight="1" x14ac:dyDescent="0.3">
      <c r="A325" s="605" t="s">
        <v>22</v>
      </c>
      <c r="B325" s="29" t="s">
        <v>142</v>
      </c>
      <c r="C325" s="82">
        <v>4</v>
      </c>
      <c r="D325" s="11" t="s">
        <v>143</v>
      </c>
      <c r="E325" s="450">
        <v>37082</v>
      </c>
      <c r="F325" s="12">
        <v>2001</v>
      </c>
      <c r="G325" s="83"/>
      <c r="H325" s="142"/>
      <c r="I325" s="22" t="s">
        <v>264</v>
      </c>
      <c r="J325" s="32" t="s">
        <v>191</v>
      </c>
      <c r="K325" s="77" t="s">
        <v>631</v>
      </c>
      <c r="L325" s="477"/>
      <c r="M325" s="476"/>
      <c r="N325" s="476"/>
      <c r="O325" s="608" t="s">
        <v>653</v>
      </c>
      <c r="P325" s="483" t="s">
        <v>748</v>
      </c>
      <c r="Q325" s="15" t="s">
        <v>35</v>
      </c>
      <c r="R325" s="15"/>
      <c r="S325" s="16" t="s">
        <v>35</v>
      </c>
      <c r="T325" s="54"/>
      <c r="U325" s="560"/>
      <c r="V325" s="560"/>
      <c r="W325" s="243"/>
      <c r="X325" s="478"/>
      <c r="Y325" s="7">
        <f t="shared" si="10"/>
        <v>0</v>
      </c>
      <c r="Z325" s="478"/>
      <c r="AA325" s="469"/>
      <c r="AB325" s="579" t="s">
        <v>147</v>
      </c>
      <c r="AC325" s="580"/>
      <c r="AD325" s="618">
        <v>0</v>
      </c>
      <c r="AE325" s="618"/>
      <c r="AF325" s="9">
        <f t="shared" si="11"/>
        <v>0</v>
      </c>
      <c r="AG325" s="77"/>
      <c r="AH325" s="608" t="s">
        <v>654</v>
      </c>
      <c r="AI325" s="81"/>
      <c r="AJ325" s="77"/>
      <c r="AK325" s="77"/>
      <c r="AL325" s="77"/>
    </row>
    <row r="326" spans="1:38" ht="15" customHeight="1" x14ac:dyDescent="0.3">
      <c r="A326" s="568" t="s">
        <v>22</v>
      </c>
      <c r="B326" s="58" t="s">
        <v>345</v>
      </c>
      <c r="C326" s="57" t="s">
        <v>749</v>
      </c>
      <c r="D326" s="11" t="s">
        <v>225</v>
      </c>
      <c r="E326" s="440">
        <v>37113</v>
      </c>
      <c r="F326" s="12">
        <v>2001</v>
      </c>
      <c r="G326" s="24"/>
      <c r="H326" s="142"/>
      <c r="I326" s="22" t="s">
        <v>264</v>
      </c>
      <c r="J326" s="32" t="s">
        <v>26</v>
      </c>
      <c r="K326" s="477" t="s">
        <v>392</v>
      </c>
      <c r="L326" s="477"/>
      <c r="M326" s="477"/>
      <c r="N326" s="477"/>
      <c r="O326" s="476" t="s">
        <v>750</v>
      </c>
      <c r="P326" s="581" t="s">
        <v>685</v>
      </c>
      <c r="Q326" s="15" t="s">
        <v>282</v>
      </c>
      <c r="R326" s="15"/>
      <c r="S326" s="16" t="s">
        <v>44</v>
      </c>
      <c r="T326" s="16"/>
      <c r="U326" s="484"/>
      <c r="V326" s="485"/>
      <c r="W326" s="243"/>
      <c r="X326" s="478"/>
      <c r="Y326" s="7">
        <f t="shared" si="10"/>
        <v>0</v>
      </c>
      <c r="Z326" s="478"/>
      <c r="AA326" s="469"/>
      <c r="AB326" s="504" t="s">
        <v>6115</v>
      </c>
      <c r="AC326" s="138"/>
      <c r="AD326" s="489">
        <v>0</v>
      </c>
      <c r="AE326" s="489"/>
      <c r="AF326" s="9">
        <f t="shared" si="11"/>
        <v>0</v>
      </c>
      <c r="AG326" s="486"/>
      <c r="AH326" s="476" t="s">
        <v>751</v>
      </c>
      <c r="AI326" s="476"/>
      <c r="AJ326" s="10"/>
      <c r="AK326" s="59"/>
      <c r="AL326" s="10"/>
    </row>
    <row r="327" spans="1:38" ht="15" customHeight="1" x14ac:dyDescent="0.3">
      <c r="A327" s="568" t="s">
        <v>508</v>
      </c>
      <c r="B327" s="58" t="s">
        <v>197</v>
      </c>
      <c r="C327" s="73">
        <v>4</v>
      </c>
      <c r="D327" s="14" t="s">
        <v>190</v>
      </c>
      <c r="E327" s="122">
        <v>37609</v>
      </c>
      <c r="F327" s="12">
        <v>2002</v>
      </c>
      <c r="G327" s="24"/>
      <c r="H327" s="142"/>
      <c r="I327" s="22" t="s">
        <v>264</v>
      </c>
      <c r="J327" s="59" t="s">
        <v>516</v>
      </c>
      <c r="K327" s="477" t="s">
        <v>752</v>
      </c>
      <c r="L327" s="477"/>
      <c r="M327" s="477"/>
      <c r="N327" s="477"/>
      <c r="O327" s="476" t="s">
        <v>753</v>
      </c>
      <c r="P327" s="476" t="s">
        <v>754</v>
      </c>
      <c r="Q327" s="476"/>
      <c r="R327" s="476"/>
      <c r="S327" s="476"/>
      <c r="T327" s="476"/>
      <c r="U327" s="476"/>
      <c r="V327" s="477"/>
      <c r="W327" s="243"/>
      <c r="X327" s="478"/>
      <c r="Y327" s="7">
        <f t="shared" si="10"/>
        <v>0</v>
      </c>
      <c r="Z327" s="478"/>
      <c r="AA327" s="469"/>
      <c r="AB327" s="479" t="s">
        <v>755</v>
      </c>
      <c r="AC327" s="480"/>
      <c r="AD327" s="489">
        <v>0</v>
      </c>
      <c r="AE327" s="489"/>
      <c r="AF327" s="9">
        <f t="shared" si="11"/>
        <v>0</v>
      </c>
      <c r="AG327" s="486"/>
      <c r="AH327" s="476"/>
      <c r="AI327" s="476"/>
      <c r="AJ327" s="10"/>
      <c r="AK327" s="59"/>
      <c r="AL327" s="10"/>
    </row>
    <row r="328" spans="1:38" ht="15" customHeight="1" x14ac:dyDescent="0.3">
      <c r="A328" s="568" t="s">
        <v>508</v>
      </c>
      <c r="B328" s="56" t="s">
        <v>197</v>
      </c>
      <c r="C328" s="57">
        <v>2</v>
      </c>
      <c r="D328" s="14" t="s">
        <v>190</v>
      </c>
      <c r="E328" s="122">
        <v>36982</v>
      </c>
      <c r="F328" s="12">
        <v>2001</v>
      </c>
      <c r="G328" s="24"/>
      <c r="H328" s="142"/>
      <c r="I328" s="22" t="s">
        <v>264</v>
      </c>
      <c r="J328" s="59" t="s">
        <v>81</v>
      </c>
      <c r="K328" s="477" t="s">
        <v>705</v>
      </c>
      <c r="L328" s="477"/>
      <c r="M328" s="477"/>
      <c r="N328" s="477"/>
      <c r="O328" s="476" t="s">
        <v>756</v>
      </c>
      <c r="P328" s="476" t="s">
        <v>754</v>
      </c>
      <c r="Q328" s="476"/>
      <c r="R328" s="476"/>
      <c r="S328" s="476"/>
      <c r="T328" s="476"/>
      <c r="U328" s="476"/>
      <c r="V328" s="477"/>
      <c r="W328" s="243"/>
      <c r="X328" s="478"/>
      <c r="Y328" s="7">
        <f t="shared" si="10"/>
        <v>0</v>
      </c>
      <c r="Z328" s="478"/>
      <c r="AA328" s="469"/>
      <c r="AB328" s="479" t="s">
        <v>755</v>
      </c>
      <c r="AC328" s="480"/>
      <c r="AD328" s="489">
        <v>0</v>
      </c>
      <c r="AE328" s="489"/>
      <c r="AF328" s="9">
        <f t="shared" si="11"/>
        <v>0</v>
      </c>
      <c r="AG328" s="486"/>
      <c r="AH328" s="476"/>
      <c r="AI328" s="476"/>
      <c r="AJ328" s="10"/>
      <c r="AK328" s="59"/>
      <c r="AL328" s="10"/>
    </row>
    <row r="329" spans="1:38" ht="15" customHeight="1" x14ac:dyDescent="0.3">
      <c r="A329" s="575" t="s">
        <v>22</v>
      </c>
      <c r="B329" s="56" t="s">
        <v>5963</v>
      </c>
      <c r="C329" s="58">
        <v>3</v>
      </c>
      <c r="D329" s="14" t="s">
        <v>190</v>
      </c>
      <c r="E329" s="441">
        <v>36997</v>
      </c>
      <c r="F329" s="12">
        <v>2001</v>
      </c>
      <c r="G329" s="36"/>
      <c r="H329" s="142"/>
      <c r="I329" s="22" t="s">
        <v>264</v>
      </c>
      <c r="J329" s="32" t="s">
        <v>26</v>
      </c>
      <c r="K329" s="477" t="s">
        <v>392</v>
      </c>
      <c r="L329" s="477"/>
      <c r="M329" s="477"/>
      <c r="N329" s="477"/>
      <c r="O329" s="476"/>
      <c r="P329" s="581" t="s">
        <v>685</v>
      </c>
      <c r="Q329" s="15" t="s">
        <v>282</v>
      </c>
      <c r="R329" s="15"/>
      <c r="S329" s="16"/>
      <c r="T329" s="16"/>
      <c r="U329" s="484"/>
      <c r="V329" s="485"/>
      <c r="W329" s="243"/>
      <c r="X329" s="478"/>
      <c r="Y329" s="7">
        <f t="shared" si="10"/>
        <v>0</v>
      </c>
      <c r="Z329" s="577"/>
      <c r="AA329" s="469"/>
      <c r="AB329" s="537" t="s">
        <v>5959</v>
      </c>
      <c r="AC329" s="538"/>
      <c r="AD329" s="540">
        <v>0</v>
      </c>
      <c r="AE329" s="540"/>
      <c r="AF329" s="9">
        <f t="shared" si="11"/>
        <v>0</v>
      </c>
      <c r="AG329" s="539" t="s">
        <v>656</v>
      </c>
      <c r="AH329" s="476"/>
      <c r="AI329" s="496"/>
      <c r="AJ329" s="10"/>
      <c r="AK329" s="59"/>
      <c r="AL329" s="10"/>
    </row>
    <row r="330" spans="1:38" ht="15" customHeight="1" x14ac:dyDescent="0.3">
      <c r="A330" s="575" t="s">
        <v>22</v>
      </c>
      <c r="B330" s="58" t="s">
        <v>105</v>
      </c>
      <c r="C330" s="58">
        <v>1</v>
      </c>
      <c r="D330" s="11" t="s">
        <v>5936</v>
      </c>
      <c r="E330" s="441">
        <v>35827</v>
      </c>
      <c r="F330" s="12">
        <v>1998</v>
      </c>
      <c r="G330" s="36">
        <v>58295</v>
      </c>
      <c r="H330" s="142"/>
      <c r="I330" s="58" t="s">
        <v>285</v>
      </c>
      <c r="J330" s="532" t="s">
        <v>81</v>
      </c>
      <c r="K330" s="477" t="s">
        <v>640</v>
      </c>
      <c r="L330" s="477"/>
      <c r="M330" s="477"/>
      <c r="N330" s="477"/>
      <c r="O330" s="476"/>
      <c r="P330" s="581" t="s">
        <v>701</v>
      </c>
      <c r="Q330" s="15" t="s">
        <v>35</v>
      </c>
      <c r="R330" s="15"/>
      <c r="S330" s="16"/>
      <c r="T330" s="16"/>
      <c r="U330" s="484"/>
      <c r="V330" s="485"/>
      <c r="W330" s="243"/>
      <c r="X330" s="478"/>
      <c r="Y330" s="7">
        <f t="shared" si="10"/>
        <v>0</v>
      </c>
      <c r="Z330" s="478"/>
      <c r="AA330" s="469"/>
      <c r="AB330" s="479" t="s">
        <v>5946</v>
      </c>
      <c r="AC330" s="501"/>
      <c r="AD330" s="540">
        <v>0</v>
      </c>
      <c r="AE330" s="540"/>
      <c r="AF330" s="9">
        <f t="shared" si="11"/>
        <v>0</v>
      </c>
      <c r="AG330" s="539" t="s">
        <v>720</v>
      </c>
      <c r="AH330" s="476"/>
      <c r="AI330" s="496" t="s">
        <v>757</v>
      </c>
      <c r="AJ330" s="10"/>
      <c r="AK330" s="59"/>
      <c r="AL330" s="10"/>
    </row>
    <row r="331" spans="1:38" ht="15" customHeight="1" x14ac:dyDescent="0.3">
      <c r="A331" s="575" t="s">
        <v>22</v>
      </c>
      <c r="B331" s="58" t="s">
        <v>233</v>
      </c>
      <c r="C331" s="70"/>
      <c r="D331" s="14" t="s">
        <v>190</v>
      </c>
      <c r="E331" s="441">
        <v>37188</v>
      </c>
      <c r="F331" s="12">
        <v>2001</v>
      </c>
      <c r="G331" s="36"/>
      <c r="H331" s="142"/>
      <c r="I331" s="22" t="s">
        <v>264</v>
      </c>
      <c r="J331" s="32" t="s">
        <v>26</v>
      </c>
      <c r="K331" s="477" t="s">
        <v>636</v>
      </c>
      <c r="L331" s="477"/>
      <c r="M331" s="477"/>
      <c r="N331" s="477"/>
      <c r="O331" s="476" t="s">
        <v>758</v>
      </c>
      <c r="P331" s="496" t="s">
        <v>685</v>
      </c>
      <c r="Q331" s="15" t="s">
        <v>282</v>
      </c>
      <c r="R331" s="15"/>
      <c r="S331" s="16" t="s">
        <v>44</v>
      </c>
      <c r="T331" s="16"/>
      <c r="U331" s="484"/>
      <c r="V331" s="485"/>
      <c r="W331" s="243"/>
      <c r="X331" s="478"/>
      <c r="Y331" s="7">
        <f t="shared" si="10"/>
        <v>0</v>
      </c>
      <c r="Z331" s="577"/>
      <c r="AA331" s="469"/>
      <c r="AB331" s="500" t="s">
        <v>759</v>
      </c>
      <c r="AC331" s="501"/>
      <c r="AD331" s="540">
        <v>0</v>
      </c>
      <c r="AE331" s="540"/>
      <c r="AF331" s="9">
        <f t="shared" si="11"/>
        <v>0</v>
      </c>
      <c r="AG331" s="539"/>
      <c r="AH331" s="476" t="s">
        <v>760</v>
      </c>
      <c r="AI331" s="496" t="s">
        <v>761</v>
      </c>
      <c r="AJ331" s="10"/>
      <c r="AK331" s="59"/>
      <c r="AL331" s="10"/>
    </row>
    <row r="332" spans="1:38" ht="15" customHeight="1" x14ac:dyDescent="0.3">
      <c r="A332" s="575" t="s">
        <v>22</v>
      </c>
      <c r="B332" s="58" t="s">
        <v>23</v>
      </c>
      <c r="C332" s="58">
        <v>6</v>
      </c>
      <c r="D332" s="14" t="s">
        <v>190</v>
      </c>
      <c r="E332" s="441">
        <v>37176</v>
      </c>
      <c r="F332" s="12">
        <v>2001</v>
      </c>
      <c r="G332" s="36"/>
      <c r="H332" s="142"/>
      <c r="I332" s="22" t="s">
        <v>264</v>
      </c>
      <c r="J332" s="32" t="s">
        <v>26</v>
      </c>
      <c r="K332" s="477" t="s">
        <v>695</v>
      </c>
      <c r="L332" s="477"/>
      <c r="M332" s="477"/>
      <c r="N332" s="477"/>
      <c r="O332" s="476" t="s">
        <v>762</v>
      </c>
      <c r="P332" s="496" t="s">
        <v>763</v>
      </c>
      <c r="Q332" s="15" t="s">
        <v>282</v>
      </c>
      <c r="R332" s="15"/>
      <c r="S332" s="16" t="s">
        <v>44</v>
      </c>
      <c r="T332" s="16"/>
      <c r="U332" s="484"/>
      <c r="V332" s="485"/>
      <c r="W332" s="243"/>
      <c r="X332" s="478"/>
      <c r="Y332" s="7">
        <f t="shared" si="10"/>
        <v>0</v>
      </c>
      <c r="Z332" s="577"/>
      <c r="AA332" s="469"/>
      <c r="AB332" s="500" t="s">
        <v>586</v>
      </c>
      <c r="AC332" s="501"/>
      <c r="AD332" s="540">
        <v>0</v>
      </c>
      <c r="AE332" s="540"/>
      <c r="AF332" s="9">
        <f t="shared" si="11"/>
        <v>0</v>
      </c>
      <c r="AG332" s="539" t="s">
        <v>764</v>
      </c>
      <c r="AH332" s="476" t="s">
        <v>765</v>
      </c>
      <c r="AI332" s="496"/>
      <c r="AJ332" s="10"/>
      <c r="AK332" s="59"/>
      <c r="AL332" s="10"/>
    </row>
    <row r="333" spans="1:38" ht="15" customHeight="1" x14ac:dyDescent="0.3">
      <c r="A333" s="568" t="s">
        <v>22</v>
      </c>
      <c r="B333" s="58" t="s">
        <v>146</v>
      </c>
      <c r="C333" s="57">
        <v>3</v>
      </c>
      <c r="D333" s="11" t="s">
        <v>143</v>
      </c>
      <c r="E333" s="122">
        <v>36923</v>
      </c>
      <c r="F333" s="12">
        <v>2001</v>
      </c>
      <c r="G333" s="24" t="s">
        <v>766</v>
      </c>
      <c r="H333" s="142"/>
      <c r="I333" s="14" t="s">
        <v>767</v>
      </c>
      <c r="J333" s="32" t="s">
        <v>26</v>
      </c>
      <c r="K333" s="477" t="s">
        <v>695</v>
      </c>
      <c r="L333" s="477"/>
      <c r="M333" s="477"/>
      <c r="N333" s="477"/>
      <c r="O333" s="476" t="s">
        <v>768</v>
      </c>
      <c r="P333" s="476" t="s">
        <v>700</v>
      </c>
      <c r="Q333" s="15" t="s">
        <v>35</v>
      </c>
      <c r="R333" s="15"/>
      <c r="S333" s="16" t="s">
        <v>35</v>
      </c>
      <c r="T333" s="16"/>
      <c r="U333" s="484"/>
      <c r="V333" s="485"/>
      <c r="W333" s="243"/>
      <c r="X333" s="478"/>
      <c r="Y333" s="7">
        <f t="shared" si="10"/>
        <v>0</v>
      </c>
      <c r="Z333" s="478"/>
      <c r="AA333" s="469"/>
      <c r="AB333" s="479" t="s">
        <v>769</v>
      </c>
      <c r="AC333" s="480"/>
      <c r="AD333" s="489">
        <v>0</v>
      </c>
      <c r="AE333" s="489"/>
      <c r="AF333" s="9">
        <f t="shared" si="11"/>
        <v>0</v>
      </c>
      <c r="AG333" s="486"/>
      <c r="AH333" s="476"/>
      <c r="AI333" s="476" t="s">
        <v>770</v>
      </c>
      <c r="AJ333" s="10"/>
      <c r="AK333" s="59"/>
      <c r="AL333" s="10"/>
    </row>
    <row r="334" spans="1:38" ht="15" customHeight="1" x14ac:dyDescent="0.3">
      <c r="A334" s="568" t="s">
        <v>22</v>
      </c>
      <c r="B334" s="58" t="s">
        <v>145</v>
      </c>
      <c r="C334" s="57">
        <v>1</v>
      </c>
      <c r="D334" s="11" t="s">
        <v>143</v>
      </c>
      <c r="E334" s="122">
        <v>37173</v>
      </c>
      <c r="F334" s="12">
        <v>2001</v>
      </c>
      <c r="G334" s="24"/>
      <c r="H334" s="142"/>
      <c r="I334" s="22" t="s">
        <v>264</v>
      </c>
      <c r="J334" s="32" t="s">
        <v>26</v>
      </c>
      <c r="K334" s="477" t="s">
        <v>771</v>
      </c>
      <c r="L334" s="477"/>
      <c r="M334" s="477"/>
      <c r="N334" s="477"/>
      <c r="O334" s="476" t="s">
        <v>577</v>
      </c>
      <c r="P334" s="476" t="s">
        <v>685</v>
      </c>
      <c r="Q334" s="15" t="s">
        <v>35</v>
      </c>
      <c r="R334" s="15"/>
      <c r="S334" s="16" t="s">
        <v>35</v>
      </c>
      <c r="T334" s="16"/>
      <c r="U334" s="484" t="s">
        <v>772</v>
      </c>
      <c r="V334" s="485"/>
      <c r="W334" s="243"/>
      <c r="X334" s="478"/>
      <c r="Y334" s="7">
        <f t="shared" si="10"/>
        <v>0</v>
      </c>
      <c r="Z334" s="478"/>
      <c r="AA334" s="469"/>
      <c r="AB334" s="479" t="s">
        <v>5969</v>
      </c>
      <c r="AC334" s="480"/>
      <c r="AD334" s="489">
        <v>0</v>
      </c>
      <c r="AE334" s="489"/>
      <c r="AF334" s="9">
        <f t="shared" si="11"/>
        <v>0</v>
      </c>
      <c r="AG334" s="619" t="s">
        <v>681</v>
      </c>
      <c r="AH334" s="476" t="s">
        <v>773</v>
      </c>
      <c r="AI334" s="476"/>
      <c r="AJ334" s="10"/>
      <c r="AK334" s="59"/>
      <c r="AL334" s="10"/>
    </row>
    <row r="335" spans="1:38" ht="15" customHeight="1" x14ac:dyDescent="0.3">
      <c r="A335" s="568" t="s">
        <v>22</v>
      </c>
      <c r="B335" s="58" t="s">
        <v>142</v>
      </c>
      <c r="C335" s="57">
        <v>4</v>
      </c>
      <c r="D335" s="11" t="s">
        <v>143</v>
      </c>
      <c r="E335" s="440">
        <v>37082</v>
      </c>
      <c r="F335" s="12">
        <v>2001</v>
      </c>
      <c r="G335" s="24"/>
      <c r="H335" s="142"/>
      <c r="I335" s="22" t="s">
        <v>264</v>
      </c>
      <c r="J335" s="59" t="s">
        <v>630</v>
      </c>
      <c r="K335" s="477" t="s">
        <v>631</v>
      </c>
      <c r="L335" s="477"/>
      <c r="M335" s="477"/>
      <c r="N335" s="477"/>
      <c r="O335" s="476" t="s">
        <v>774</v>
      </c>
      <c r="P335" s="583" t="s">
        <v>685</v>
      </c>
      <c r="Q335" s="15" t="s">
        <v>282</v>
      </c>
      <c r="R335" s="15"/>
      <c r="S335" s="16" t="s">
        <v>44</v>
      </c>
      <c r="T335" s="16"/>
      <c r="U335" s="484"/>
      <c r="V335" s="485"/>
      <c r="W335" s="243"/>
      <c r="X335" s="478"/>
      <c r="Y335" s="7">
        <f t="shared" si="10"/>
        <v>0</v>
      </c>
      <c r="Z335" s="478"/>
      <c r="AA335" s="469"/>
      <c r="AB335" s="479" t="s">
        <v>147</v>
      </c>
      <c r="AC335" s="480"/>
      <c r="AD335" s="489">
        <v>0</v>
      </c>
      <c r="AE335" s="489"/>
      <c r="AF335" s="9">
        <f t="shared" si="11"/>
        <v>0</v>
      </c>
      <c r="AG335" s="486"/>
      <c r="AH335" s="476"/>
      <c r="AI335" s="476" t="s">
        <v>775</v>
      </c>
      <c r="AJ335" s="10"/>
      <c r="AK335" s="59"/>
      <c r="AL335" s="10"/>
    </row>
    <row r="336" spans="1:38" ht="15" customHeight="1" x14ac:dyDescent="0.3">
      <c r="A336" s="568" t="s">
        <v>22</v>
      </c>
      <c r="B336" s="58" t="s">
        <v>144</v>
      </c>
      <c r="C336" s="57">
        <v>5</v>
      </c>
      <c r="D336" s="11" t="s">
        <v>143</v>
      </c>
      <c r="E336" s="122">
        <v>35228</v>
      </c>
      <c r="F336" s="12">
        <v>1996</v>
      </c>
      <c r="G336" s="24"/>
      <c r="H336" s="142"/>
      <c r="I336" s="22" t="s">
        <v>264</v>
      </c>
      <c r="J336" s="32" t="s">
        <v>26</v>
      </c>
      <c r="K336" s="477" t="s">
        <v>392</v>
      </c>
      <c r="L336" s="477"/>
      <c r="M336" s="477"/>
      <c r="N336" s="477"/>
      <c r="O336" s="476" t="s">
        <v>776</v>
      </c>
      <c r="P336" s="476" t="s">
        <v>685</v>
      </c>
      <c r="Q336" s="15" t="s">
        <v>282</v>
      </c>
      <c r="R336" s="15"/>
      <c r="S336" s="16" t="s">
        <v>44</v>
      </c>
      <c r="T336" s="16"/>
      <c r="U336" s="484"/>
      <c r="V336" s="485"/>
      <c r="W336" s="243"/>
      <c r="X336" s="478"/>
      <c r="Y336" s="7">
        <f t="shared" si="10"/>
        <v>0</v>
      </c>
      <c r="Z336" s="478"/>
      <c r="AA336" s="469"/>
      <c r="AB336" s="479" t="s">
        <v>5961</v>
      </c>
      <c r="AC336" s="480"/>
      <c r="AD336" s="489">
        <v>0</v>
      </c>
      <c r="AE336" s="489"/>
      <c r="AF336" s="9">
        <f t="shared" si="11"/>
        <v>0</v>
      </c>
      <c r="AG336" s="486" t="s">
        <v>727</v>
      </c>
      <c r="AH336" s="476"/>
      <c r="AI336" s="476"/>
      <c r="AJ336" s="10"/>
      <c r="AK336" s="59"/>
      <c r="AL336" s="10"/>
    </row>
    <row r="337" spans="1:38" ht="15" customHeight="1" x14ac:dyDescent="0.3">
      <c r="A337" s="568" t="s">
        <v>22</v>
      </c>
      <c r="B337" s="58" t="s">
        <v>227</v>
      </c>
      <c r="C337" s="57">
        <v>4</v>
      </c>
      <c r="D337" s="11" t="s">
        <v>225</v>
      </c>
      <c r="E337" s="122">
        <v>36306</v>
      </c>
      <c r="F337" s="12">
        <v>1999</v>
      </c>
      <c r="G337" s="24"/>
      <c r="H337" s="142"/>
      <c r="I337" s="35" t="s">
        <v>285</v>
      </c>
      <c r="J337" s="32" t="s">
        <v>26</v>
      </c>
      <c r="K337" s="477" t="s">
        <v>392</v>
      </c>
      <c r="L337" s="477"/>
      <c r="M337" s="477"/>
      <c r="N337" s="477"/>
      <c r="O337" s="476" t="s">
        <v>777</v>
      </c>
      <c r="P337" s="583" t="s">
        <v>685</v>
      </c>
      <c r="Q337" s="15" t="s">
        <v>282</v>
      </c>
      <c r="R337" s="15"/>
      <c r="S337" s="16" t="s">
        <v>44</v>
      </c>
      <c r="T337" s="61"/>
      <c r="U337" s="484"/>
      <c r="V337" s="485"/>
      <c r="W337" s="243"/>
      <c r="X337" s="478"/>
      <c r="Y337" s="7">
        <f t="shared" si="10"/>
        <v>0</v>
      </c>
      <c r="Z337" s="478"/>
      <c r="AA337" s="469"/>
      <c r="AB337" s="504" t="s">
        <v>6115</v>
      </c>
      <c r="AC337" s="138"/>
      <c r="AD337" s="489">
        <v>0</v>
      </c>
      <c r="AE337" s="489"/>
      <c r="AF337" s="9">
        <f t="shared" si="11"/>
        <v>0</v>
      </c>
      <c r="AG337" s="490" t="s">
        <v>778</v>
      </c>
      <c r="AH337" s="476"/>
      <c r="AI337" s="476" t="s">
        <v>779</v>
      </c>
      <c r="AJ337" s="10"/>
      <c r="AK337" s="59"/>
      <c r="AL337" s="10"/>
    </row>
    <row r="338" spans="1:38" ht="15" customHeight="1" x14ac:dyDescent="0.3">
      <c r="A338" s="575" t="s">
        <v>22</v>
      </c>
      <c r="B338" s="58" t="s">
        <v>780</v>
      </c>
      <c r="C338" s="58">
        <v>2</v>
      </c>
      <c r="D338" s="14" t="s">
        <v>190</v>
      </c>
      <c r="E338" s="441">
        <v>36809</v>
      </c>
      <c r="F338" s="12">
        <v>2000</v>
      </c>
      <c r="G338" s="36">
        <v>2000099</v>
      </c>
      <c r="H338" s="142"/>
      <c r="I338" s="22" t="s">
        <v>264</v>
      </c>
      <c r="J338" s="32" t="s">
        <v>26</v>
      </c>
      <c r="K338" s="477" t="s">
        <v>392</v>
      </c>
      <c r="L338" s="477"/>
      <c r="M338" s="477"/>
      <c r="N338" s="477"/>
      <c r="O338" s="476" t="s">
        <v>781</v>
      </c>
      <c r="P338" s="496" t="s">
        <v>685</v>
      </c>
      <c r="Q338" s="15" t="s">
        <v>782</v>
      </c>
      <c r="R338" s="15"/>
      <c r="S338" s="16" t="s">
        <v>44</v>
      </c>
      <c r="T338" s="16"/>
      <c r="U338" s="484"/>
      <c r="V338" s="485"/>
      <c r="W338" s="243"/>
      <c r="X338" s="478"/>
      <c r="Y338" s="7">
        <f t="shared" si="10"/>
        <v>0</v>
      </c>
      <c r="Z338" s="577"/>
      <c r="AA338" s="469"/>
      <c r="AB338" s="500" t="s">
        <v>783</v>
      </c>
      <c r="AC338" s="501"/>
      <c r="AD338" s="540">
        <v>0</v>
      </c>
      <c r="AE338" s="540"/>
      <c r="AF338" s="9">
        <f t="shared" si="11"/>
        <v>0</v>
      </c>
      <c r="AG338" s="539" t="s">
        <v>681</v>
      </c>
      <c r="AH338" s="476"/>
      <c r="AI338" s="496"/>
      <c r="AJ338" s="10"/>
      <c r="AK338" s="59"/>
      <c r="AL338" s="10"/>
    </row>
    <row r="339" spans="1:38" ht="15" customHeight="1" x14ac:dyDescent="0.3">
      <c r="A339" s="575" t="s">
        <v>508</v>
      </c>
      <c r="B339" s="58" t="s">
        <v>23</v>
      </c>
      <c r="C339" s="58">
        <v>11</v>
      </c>
      <c r="D339" s="11" t="s">
        <v>24</v>
      </c>
      <c r="E339" s="441">
        <v>37438</v>
      </c>
      <c r="F339" s="12">
        <v>2002</v>
      </c>
      <c r="G339" s="36"/>
      <c r="H339" s="142"/>
      <c r="I339" s="22" t="s">
        <v>264</v>
      </c>
      <c r="J339" s="32" t="s">
        <v>26</v>
      </c>
      <c r="K339" s="477" t="s">
        <v>741</v>
      </c>
      <c r="L339" s="477"/>
      <c r="M339" s="477"/>
      <c r="N339" s="477"/>
      <c r="O339" s="476" t="s">
        <v>784</v>
      </c>
      <c r="P339" s="583" t="s">
        <v>785</v>
      </c>
      <c r="Q339" s="15" t="s">
        <v>282</v>
      </c>
      <c r="R339" s="84"/>
      <c r="S339" s="16" t="s">
        <v>35</v>
      </c>
      <c r="T339" s="85"/>
      <c r="U339" s="484"/>
      <c r="V339" s="485"/>
      <c r="W339" s="243">
        <v>21</v>
      </c>
      <c r="X339" s="478"/>
      <c r="Y339" s="7">
        <f t="shared" si="10"/>
        <v>0</v>
      </c>
      <c r="Z339" s="478"/>
      <c r="AA339" s="469"/>
      <c r="AB339" s="479" t="s">
        <v>586</v>
      </c>
      <c r="AC339" s="501"/>
      <c r="AD339" s="540">
        <v>0</v>
      </c>
      <c r="AE339" s="540"/>
      <c r="AF339" s="9">
        <f t="shared" si="11"/>
        <v>0</v>
      </c>
      <c r="AG339" s="539" t="s">
        <v>786</v>
      </c>
      <c r="AH339" s="93" t="s">
        <v>5970</v>
      </c>
      <c r="AI339" s="496"/>
      <c r="AJ339" s="10"/>
      <c r="AK339" s="59"/>
      <c r="AL339" s="10"/>
    </row>
    <row r="340" spans="1:38" ht="15" customHeight="1" x14ac:dyDescent="0.3">
      <c r="A340" s="568" t="s">
        <v>22</v>
      </c>
      <c r="B340" s="58" t="s">
        <v>23</v>
      </c>
      <c r="C340" s="57">
        <v>12</v>
      </c>
      <c r="D340" s="11" t="s">
        <v>24</v>
      </c>
      <c r="E340" s="440">
        <v>37035</v>
      </c>
      <c r="F340" s="12">
        <v>2001</v>
      </c>
      <c r="G340" s="24"/>
      <c r="H340" s="142"/>
      <c r="I340" s="22" t="s">
        <v>264</v>
      </c>
      <c r="J340" s="32" t="s">
        <v>26</v>
      </c>
      <c r="K340" s="477" t="s">
        <v>621</v>
      </c>
      <c r="L340" s="477"/>
      <c r="M340" s="477"/>
      <c r="N340" s="477"/>
      <c r="O340" s="476" t="s">
        <v>787</v>
      </c>
      <c r="P340" s="583" t="s">
        <v>685</v>
      </c>
      <c r="Q340" s="15" t="s">
        <v>282</v>
      </c>
      <c r="R340" s="15"/>
      <c r="S340" s="16"/>
      <c r="T340" s="16"/>
      <c r="U340" s="484"/>
      <c r="V340" s="485"/>
      <c r="W340" s="243"/>
      <c r="X340" s="478"/>
      <c r="Y340" s="7">
        <f t="shared" si="10"/>
        <v>0</v>
      </c>
      <c r="Z340" s="478"/>
      <c r="AA340" s="469"/>
      <c r="AB340" s="479" t="s">
        <v>318</v>
      </c>
      <c r="AC340" s="480"/>
      <c r="AD340" s="489">
        <v>0</v>
      </c>
      <c r="AE340" s="489"/>
      <c r="AF340" s="9">
        <f t="shared" si="11"/>
        <v>0</v>
      </c>
      <c r="AG340" s="486" t="s">
        <v>788</v>
      </c>
      <c r="AH340" s="476" t="s">
        <v>765</v>
      </c>
      <c r="AI340" s="476"/>
      <c r="AJ340" s="10"/>
      <c r="AK340" s="59"/>
      <c r="AL340" s="10"/>
    </row>
    <row r="341" spans="1:38" ht="15" customHeight="1" x14ac:dyDescent="0.3">
      <c r="A341" s="59" t="s">
        <v>22</v>
      </c>
      <c r="B341" s="58" t="s">
        <v>105</v>
      </c>
      <c r="C341" s="57">
        <v>16</v>
      </c>
      <c r="D341" s="11" t="s">
        <v>5936</v>
      </c>
      <c r="E341" s="440">
        <v>2001</v>
      </c>
      <c r="F341" s="12">
        <v>1905</v>
      </c>
      <c r="G341" s="24" t="s">
        <v>789</v>
      </c>
      <c r="H341" s="142"/>
      <c r="I341" s="22" t="s">
        <v>264</v>
      </c>
      <c r="J341" s="32" t="s">
        <v>26</v>
      </c>
      <c r="K341" s="477" t="s">
        <v>636</v>
      </c>
      <c r="L341" s="477"/>
      <c r="M341" s="477"/>
      <c r="N341" s="477"/>
      <c r="O341" s="476" t="s">
        <v>790</v>
      </c>
      <c r="P341" s="476" t="s">
        <v>791</v>
      </c>
      <c r="Q341" s="15" t="s">
        <v>35</v>
      </c>
      <c r="R341" s="15"/>
      <c r="S341" s="16" t="s">
        <v>44</v>
      </c>
      <c r="T341" s="16"/>
      <c r="U341" s="484"/>
      <c r="V341" s="485"/>
      <c r="W341" s="243"/>
      <c r="X341" s="478"/>
      <c r="Y341" s="7">
        <f t="shared" si="10"/>
        <v>0</v>
      </c>
      <c r="Z341" s="478"/>
      <c r="AA341" s="469"/>
      <c r="AB341" s="518" t="s">
        <v>732</v>
      </c>
      <c r="AC341" s="519"/>
      <c r="AD341" s="489">
        <v>0</v>
      </c>
      <c r="AE341" s="489"/>
      <c r="AF341" s="9">
        <f t="shared" si="11"/>
        <v>0</v>
      </c>
      <c r="AG341" s="490" t="s">
        <v>677</v>
      </c>
      <c r="AH341" s="476" t="s">
        <v>792</v>
      </c>
      <c r="AI341" s="476" t="s">
        <v>793</v>
      </c>
      <c r="AJ341" s="10"/>
      <c r="AK341" s="59"/>
      <c r="AL341" s="10"/>
    </row>
    <row r="342" spans="1:38" ht="15" customHeight="1" x14ac:dyDescent="0.3">
      <c r="A342" s="59" t="s">
        <v>22</v>
      </c>
      <c r="B342" s="58" t="s">
        <v>105</v>
      </c>
      <c r="C342" s="57">
        <v>13</v>
      </c>
      <c r="D342" s="11" t="s">
        <v>5936</v>
      </c>
      <c r="E342" s="440">
        <v>34905</v>
      </c>
      <c r="F342" s="12">
        <v>1995</v>
      </c>
      <c r="G342" s="13">
        <v>13865</v>
      </c>
      <c r="H342" s="142"/>
      <c r="I342" s="22" t="s">
        <v>264</v>
      </c>
      <c r="J342" s="32" t="s">
        <v>26</v>
      </c>
      <c r="K342" s="477" t="s">
        <v>695</v>
      </c>
      <c r="L342" s="477"/>
      <c r="M342" s="477"/>
      <c r="N342" s="477"/>
      <c r="O342" s="511"/>
      <c r="P342" s="476" t="s">
        <v>685</v>
      </c>
      <c r="Q342" s="15" t="s">
        <v>282</v>
      </c>
      <c r="R342" s="15"/>
      <c r="S342" s="16" t="s">
        <v>44</v>
      </c>
      <c r="T342" s="16"/>
      <c r="U342" s="484"/>
      <c r="V342" s="485"/>
      <c r="W342" s="243"/>
      <c r="X342" s="478"/>
      <c r="Y342" s="7">
        <f t="shared" si="10"/>
        <v>0</v>
      </c>
      <c r="Z342" s="478"/>
      <c r="AA342" s="469"/>
      <c r="AB342" s="518" t="s">
        <v>732</v>
      </c>
      <c r="AC342" s="519"/>
      <c r="AD342" s="489">
        <v>0</v>
      </c>
      <c r="AE342" s="489"/>
      <c r="AF342" s="9">
        <f t="shared" si="11"/>
        <v>0</v>
      </c>
      <c r="AG342" s="490" t="s">
        <v>677</v>
      </c>
      <c r="AH342" s="476" t="s">
        <v>273</v>
      </c>
      <c r="AI342" s="476"/>
      <c r="AJ342" s="10"/>
      <c r="AK342" s="59"/>
      <c r="AL342" s="10"/>
    </row>
    <row r="343" spans="1:38" ht="15" customHeight="1" x14ac:dyDescent="0.3">
      <c r="A343" s="520" t="s">
        <v>22</v>
      </c>
      <c r="B343" s="29" t="s">
        <v>23</v>
      </c>
      <c r="C343" s="6">
        <v>6</v>
      </c>
      <c r="D343" s="11" t="s">
        <v>24</v>
      </c>
      <c r="E343" s="431">
        <v>37721</v>
      </c>
      <c r="F343" s="12">
        <v>2003</v>
      </c>
      <c r="G343" s="13" t="s">
        <v>794</v>
      </c>
      <c r="H343" s="142"/>
      <c r="I343" s="14" t="s">
        <v>285</v>
      </c>
      <c r="J343" s="32" t="s">
        <v>26</v>
      </c>
      <c r="K343" s="474" t="s">
        <v>392</v>
      </c>
      <c r="L343" s="474"/>
      <c r="M343" s="474"/>
      <c r="N343" s="474"/>
      <c r="O343" s="475" t="s">
        <v>627</v>
      </c>
      <c r="P343" s="496" t="s">
        <v>685</v>
      </c>
      <c r="Q343" s="15" t="s">
        <v>282</v>
      </c>
      <c r="R343" s="84"/>
      <c r="S343" s="16" t="s">
        <v>44</v>
      </c>
      <c r="T343" s="86"/>
      <c r="U343" s="484"/>
      <c r="V343" s="485"/>
      <c r="W343" s="243"/>
      <c r="X343" s="478"/>
      <c r="Y343" s="7">
        <f t="shared" si="10"/>
        <v>0</v>
      </c>
      <c r="Z343" s="478"/>
      <c r="AA343" s="469"/>
      <c r="AB343" s="479" t="s">
        <v>49</v>
      </c>
      <c r="AC343" s="480"/>
      <c r="AD343" s="476">
        <v>0</v>
      </c>
      <c r="AE343" s="476"/>
      <c r="AF343" s="9">
        <f t="shared" si="11"/>
        <v>0</v>
      </c>
      <c r="AG343" s="476" t="s">
        <v>667</v>
      </c>
      <c r="AH343" s="476" t="s">
        <v>795</v>
      </c>
      <c r="AI343" s="490"/>
      <c r="AJ343" s="10"/>
      <c r="AK343" s="59"/>
      <c r="AL343" s="10"/>
    </row>
    <row r="344" spans="1:38" ht="15" customHeight="1" x14ac:dyDescent="0.3">
      <c r="A344" s="575" t="s">
        <v>22</v>
      </c>
      <c r="B344" s="58" t="s">
        <v>105</v>
      </c>
      <c r="C344" s="58">
        <v>15</v>
      </c>
      <c r="D344" s="11" t="s">
        <v>225</v>
      </c>
      <c r="E344" s="441">
        <v>36059</v>
      </c>
      <c r="F344" s="12">
        <v>1998</v>
      </c>
      <c r="G344" s="23" t="s">
        <v>796</v>
      </c>
      <c r="H344" s="142"/>
      <c r="I344" s="22" t="s">
        <v>264</v>
      </c>
      <c r="J344" s="32" t="s">
        <v>26</v>
      </c>
      <c r="K344" s="477" t="s">
        <v>392</v>
      </c>
      <c r="L344" s="477"/>
      <c r="M344" s="477"/>
      <c r="N344" s="477"/>
      <c r="O344" s="476" t="s">
        <v>797</v>
      </c>
      <c r="P344" s="496" t="s">
        <v>798</v>
      </c>
      <c r="Q344" s="15" t="s">
        <v>282</v>
      </c>
      <c r="R344" s="15"/>
      <c r="S344" s="16" t="s">
        <v>44</v>
      </c>
      <c r="T344" s="16"/>
      <c r="U344" s="484"/>
      <c r="V344" s="485"/>
      <c r="W344" s="243"/>
      <c r="X344" s="478"/>
      <c r="Y344" s="7">
        <f t="shared" si="10"/>
        <v>0</v>
      </c>
      <c r="Z344" s="577"/>
      <c r="AA344" s="469"/>
      <c r="AB344" s="500" t="s">
        <v>732</v>
      </c>
      <c r="AC344" s="501"/>
      <c r="AD344" s="620">
        <v>0</v>
      </c>
      <c r="AE344" s="620"/>
      <c r="AF344" s="9">
        <f t="shared" si="11"/>
        <v>0</v>
      </c>
      <c r="AG344" s="533" t="s">
        <v>677</v>
      </c>
      <c r="AH344" s="476"/>
      <c r="AI344" s="496" t="s">
        <v>799</v>
      </c>
      <c r="AJ344" s="10"/>
      <c r="AK344" s="59"/>
      <c r="AL344" s="10"/>
    </row>
    <row r="345" spans="1:38" ht="15" customHeight="1" x14ac:dyDescent="0.3">
      <c r="A345" s="59" t="s">
        <v>22</v>
      </c>
      <c r="B345" s="58" t="s">
        <v>188</v>
      </c>
      <c r="C345" s="57" t="s">
        <v>606</v>
      </c>
      <c r="D345" s="11" t="s">
        <v>143</v>
      </c>
      <c r="E345" s="440">
        <v>36647</v>
      </c>
      <c r="F345" s="12">
        <v>2000</v>
      </c>
      <c r="G345" s="24"/>
      <c r="H345" s="142"/>
      <c r="I345" s="22" t="s">
        <v>264</v>
      </c>
      <c r="J345" s="32" t="s">
        <v>191</v>
      </c>
      <c r="K345" s="477" t="s">
        <v>314</v>
      </c>
      <c r="L345" s="477"/>
      <c r="M345" s="477"/>
      <c r="N345" s="477"/>
      <c r="O345" s="476" t="s">
        <v>800</v>
      </c>
      <c r="P345" s="583" t="s">
        <v>700</v>
      </c>
      <c r="Q345" s="15" t="s">
        <v>282</v>
      </c>
      <c r="R345" s="15"/>
      <c r="S345" s="16" t="s">
        <v>35</v>
      </c>
      <c r="T345" s="16"/>
      <c r="U345" s="484"/>
      <c r="V345" s="485"/>
      <c r="W345" s="243">
        <v>50</v>
      </c>
      <c r="X345" s="478"/>
      <c r="Y345" s="7">
        <f t="shared" si="10"/>
        <v>0</v>
      </c>
      <c r="Z345" s="478"/>
      <c r="AA345" s="469"/>
      <c r="AB345" s="479" t="s">
        <v>147</v>
      </c>
      <c r="AC345" s="501"/>
      <c r="AD345" s="620">
        <v>0</v>
      </c>
      <c r="AE345" s="620"/>
      <c r="AF345" s="9">
        <f t="shared" si="11"/>
        <v>0</v>
      </c>
      <c r="AG345" s="486" t="s">
        <v>681</v>
      </c>
      <c r="AH345" s="476"/>
      <c r="AI345" s="476"/>
      <c r="AJ345" s="10"/>
      <c r="AK345" s="59"/>
      <c r="AL345" s="10"/>
    </row>
    <row r="346" spans="1:38" ht="15" customHeight="1" x14ac:dyDescent="0.3">
      <c r="A346" s="575" t="s">
        <v>508</v>
      </c>
      <c r="B346" s="58" t="s">
        <v>105</v>
      </c>
      <c r="C346" s="58">
        <v>14</v>
      </c>
      <c r="D346" s="11" t="s">
        <v>5936</v>
      </c>
      <c r="E346" s="443">
        <v>37712</v>
      </c>
      <c r="F346" s="12">
        <v>2003</v>
      </c>
      <c r="G346" s="36" t="s">
        <v>801</v>
      </c>
      <c r="H346" s="142"/>
      <c r="I346" s="22" t="s">
        <v>264</v>
      </c>
      <c r="J346" s="532" t="s">
        <v>516</v>
      </c>
      <c r="K346" s="477" t="s">
        <v>621</v>
      </c>
      <c r="L346" s="477"/>
      <c r="M346" s="477"/>
      <c r="N346" s="553" t="s">
        <v>122</v>
      </c>
      <c r="O346" s="602" t="s">
        <v>802</v>
      </c>
      <c r="P346" s="581" t="s">
        <v>803</v>
      </c>
      <c r="Q346" s="15" t="s">
        <v>282</v>
      </c>
      <c r="R346" s="15"/>
      <c r="S346" s="16" t="s">
        <v>44</v>
      </c>
      <c r="T346" s="16"/>
      <c r="U346" s="484"/>
      <c r="V346" s="485"/>
      <c r="W346" s="243"/>
      <c r="X346" s="478"/>
      <c r="Y346" s="7">
        <f t="shared" si="10"/>
        <v>0</v>
      </c>
      <c r="Z346" s="577"/>
      <c r="AA346" s="469"/>
      <c r="AB346" s="500" t="s">
        <v>732</v>
      </c>
      <c r="AC346" s="501"/>
      <c r="AD346" s="620">
        <v>0</v>
      </c>
      <c r="AE346" s="620"/>
      <c r="AF346" s="9">
        <f t="shared" si="11"/>
        <v>0</v>
      </c>
      <c r="AG346" s="539"/>
      <c r="AH346" s="476" t="s">
        <v>273</v>
      </c>
      <c r="AI346" s="496"/>
      <c r="AJ346" s="10"/>
      <c r="AK346" s="59"/>
      <c r="AL346" s="10"/>
    </row>
    <row r="347" spans="1:38" ht="15" customHeight="1" x14ac:dyDescent="0.3">
      <c r="A347" s="621" t="s">
        <v>22</v>
      </c>
      <c r="B347" s="88" t="s">
        <v>422</v>
      </c>
      <c r="C347" s="89"/>
      <c r="D347" s="12" t="s">
        <v>190</v>
      </c>
      <c r="E347" s="90">
        <v>37773</v>
      </c>
      <c r="F347" s="12">
        <v>2003</v>
      </c>
      <c r="G347" s="60"/>
      <c r="H347" s="142"/>
      <c r="I347" s="33" t="s">
        <v>33</v>
      </c>
      <c r="J347" s="32" t="s">
        <v>26</v>
      </c>
      <c r="K347" s="622" t="s">
        <v>392</v>
      </c>
      <c r="L347" s="137" t="s">
        <v>40</v>
      </c>
      <c r="M347" s="137" t="s">
        <v>804</v>
      </c>
      <c r="N347" s="137"/>
      <c r="O347" s="93" t="s">
        <v>805</v>
      </c>
      <c r="P347" s="146" t="s">
        <v>806</v>
      </c>
      <c r="Q347" s="15" t="s">
        <v>282</v>
      </c>
      <c r="R347" s="91"/>
      <c r="S347" s="16" t="s">
        <v>44</v>
      </c>
      <c r="T347" s="92"/>
      <c r="U347" s="623"/>
      <c r="V347" s="624"/>
      <c r="W347" s="243"/>
      <c r="X347" s="478"/>
      <c r="Y347" s="7">
        <f t="shared" si="10"/>
        <v>0</v>
      </c>
      <c r="Z347" s="577"/>
      <c r="AA347" s="469"/>
      <c r="AB347" s="513" t="s">
        <v>424</v>
      </c>
      <c r="AC347" s="563"/>
      <c r="AD347" s="620">
        <v>0</v>
      </c>
      <c r="AE347" s="620"/>
      <c r="AF347" s="9">
        <f t="shared" si="11"/>
        <v>0</v>
      </c>
      <c r="AG347" s="182"/>
      <c r="AH347" s="93"/>
      <c r="AI347" s="625"/>
      <c r="AJ347" s="181"/>
      <c r="AK347" s="30"/>
      <c r="AL347" s="93"/>
    </row>
    <row r="348" spans="1:38" ht="15" customHeight="1" x14ac:dyDescent="0.3">
      <c r="A348" s="575" t="s">
        <v>508</v>
      </c>
      <c r="B348" s="58" t="s">
        <v>211</v>
      </c>
      <c r="C348" s="58">
        <v>2</v>
      </c>
      <c r="D348" s="14" t="s">
        <v>190</v>
      </c>
      <c r="E348" s="441">
        <v>36761</v>
      </c>
      <c r="F348" s="12">
        <v>2000</v>
      </c>
      <c r="G348" s="36"/>
      <c r="H348" s="142"/>
      <c r="I348" s="22" t="s">
        <v>264</v>
      </c>
      <c r="J348" s="532" t="s">
        <v>81</v>
      </c>
      <c r="K348" s="477" t="s">
        <v>122</v>
      </c>
      <c r="L348" s="477"/>
      <c r="M348" s="477"/>
      <c r="N348" s="553" t="s">
        <v>122</v>
      </c>
      <c r="O348" s="476" t="s">
        <v>807</v>
      </c>
      <c r="P348" s="476" t="s">
        <v>700</v>
      </c>
      <c r="Q348" s="15" t="s">
        <v>35</v>
      </c>
      <c r="R348" s="44"/>
      <c r="S348" s="16" t="s">
        <v>35</v>
      </c>
      <c r="T348" s="16"/>
      <c r="U348" s="484"/>
      <c r="V348" s="485"/>
      <c r="W348" s="243">
        <v>60</v>
      </c>
      <c r="X348" s="478"/>
      <c r="Y348" s="7">
        <f t="shared" si="10"/>
        <v>0</v>
      </c>
      <c r="Z348" s="478"/>
      <c r="AA348" s="469"/>
      <c r="AB348" s="518" t="s">
        <v>808</v>
      </c>
      <c r="AC348" s="626"/>
      <c r="AD348" s="620">
        <v>0</v>
      </c>
      <c r="AE348" s="620"/>
      <c r="AF348" s="9">
        <f t="shared" si="11"/>
        <v>0</v>
      </c>
      <c r="AG348" s="533" t="s">
        <v>809</v>
      </c>
      <c r="AH348" s="476"/>
      <c r="AI348" s="496"/>
      <c r="AJ348" s="10"/>
      <c r="AK348" s="59"/>
      <c r="AL348" s="10"/>
    </row>
    <row r="349" spans="1:38" ht="15" customHeight="1" x14ac:dyDescent="0.3">
      <c r="A349" s="627" t="s">
        <v>22</v>
      </c>
      <c r="B349" s="58" t="s">
        <v>810</v>
      </c>
      <c r="C349" s="58">
        <v>20</v>
      </c>
      <c r="D349" s="11" t="s">
        <v>5936</v>
      </c>
      <c r="E349" s="441">
        <v>37653</v>
      </c>
      <c r="F349" s="12">
        <v>2003</v>
      </c>
      <c r="G349" s="51" t="s">
        <v>811</v>
      </c>
      <c r="H349" s="142"/>
      <c r="I349" s="22" t="s">
        <v>264</v>
      </c>
      <c r="J349" s="32" t="s">
        <v>26</v>
      </c>
      <c r="K349" s="477" t="s">
        <v>812</v>
      </c>
      <c r="L349" s="477"/>
      <c r="M349" s="477"/>
      <c r="N349" s="477"/>
      <c r="O349" s="476" t="s">
        <v>813</v>
      </c>
      <c r="P349" s="496" t="s">
        <v>814</v>
      </c>
      <c r="Q349" s="15" t="s">
        <v>6174</v>
      </c>
      <c r="R349" s="15"/>
      <c r="S349" s="16" t="s">
        <v>6174</v>
      </c>
      <c r="T349" s="16"/>
      <c r="U349" s="484"/>
      <c r="V349" s="485"/>
      <c r="W349" s="243"/>
      <c r="X349" s="478"/>
      <c r="Y349" s="7">
        <f t="shared" si="10"/>
        <v>0</v>
      </c>
      <c r="Z349" s="478"/>
      <c r="AA349" s="469"/>
      <c r="AB349" s="479" t="s">
        <v>732</v>
      </c>
      <c r="AC349" s="501"/>
      <c r="AD349" s="540">
        <v>0</v>
      </c>
      <c r="AE349" s="540"/>
      <c r="AF349" s="9">
        <f t="shared" si="11"/>
        <v>0</v>
      </c>
      <c r="AG349" s="539" t="s">
        <v>815</v>
      </c>
      <c r="AH349" s="476" t="s">
        <v>816</v>
      </c>
      <c r="AI349" s="532"/>
      <c r="AJ349" s="59"/>
      <c r="AK349" s="59"/>
      <c r="AL349" s="481"/>
    </row>
    <row r="350" spans="1:38" ht="15" customHeight="1" x14ac:dyDescent="0.3">
      <c r="A350" s="59" t="s">
        <v>22</v>
      </c>
      <c r="B350" s="58" t="s">
        <v>105</v>
      </c>
      <c r="C350" s="57">
        <v>10</v>
      </c>
      <c r="D350" s="11" t="s">
        <v>5936</v>
      </c>
      <c r="E350" s="122">
        <v>35356</v>
      </c>
      <c r="F350" s="12">
        <v>1996</v>
      </c>
      <c r="G350" s="13">
        <v>20804</v>
      </c>
      <c r="H350" s="142"/>
      <c r="I350" s="22" t="s">
        <v>264</v>
      </c>
      <c r="J350" s="32" t="s">
        <v>26</v>
      </c>
      <c r="K350" s="477" t="s">
        <v>392</v>
      </c>
      <c r="L350" s="477"/>
      <c r="M350" s="477"/>
      <c r="N350" s="477"/>
      <c r="O350" s="476" t="s">
        <v>817</v>
      </c>
      <c r="P350" s="476" t="s">
        <v>818</v>
      </c>
      <c r="Q350" s="15" t="s">
        <v>282</v>
      </c>
      <c r="R350" s="15"/>
      <c r="S350" s="16" t="s">
        <v>44</v>
      </c>
      <c r="T350" s="16"/>
      <c r="U350" s="484"/>
      <c r="V350" s="485"/>
      <c r="W350" s="243"/>
      <c r="X350" s="478"/>
      <c r="Y350" s="7">
        <f t="shared" si="10"/>
        <v>0</v>
      </c>
      <c r="Z350" s="478"/>
      <c r="AA350" s="469"/>
      <c r="AB350" s="518" t="s">
        <v>732</v>
      </c>
      <c r="AC350" s="519"/>
      <c r="AD350" s="489">
        <v>0</v>
      </c>
      <c r="AE350" s="489"/>
      <c r="AF350" s="9">
        <f t="shared" si="11"/>
        <v>0</v>
      </c>
      <c r="AG350" s="490" t="s">
        <v>677</v>
      </c>
      <c r="AH350" s="476" t="s">
        <v>305</v>
      </c>
      <c r="AI350" s="476"/>
      <c r="AJ350" s="10"/>
      <c r="AK350" s="59"/>
      <c r="AL350" s="10"/>
    </row>
    <row r="351" spans="1:38" ht="15" customHeight="1" x14ac:dyDescent="0.3">
      <c r="A351" s="568" t="s">
        <v>22</v>
      </c>
      <c r="B351" s="301" t="s">
        <v>819</v>
      </c>
      <c r="C351" s="57">
        <v>2</v>
      </c>
      <c r="D351" s="11" t="s">
        <v>225</v>
      </c>
      <c r="E351" s="122">
        <v>36335</v>
      </c>
      <c r="F351" s="12">
        <v>1999</v>
      </c>
      <c r="G351" s="24"/>
      <c r="H351" s="142"/>
      <c r="I351" s="22" t="s">
        <v>264</v>
      </c>
      <c r="J351" s="32" t="s">
        <v>26</v>
      </c>
      <c r="K351" s="477" t="s">
        <v>636</v>
      </c>
      <c r="L351" s="477"/>
      <c r="M351" s="477"/>
      <c r="N351" s="524"/>
      <c r="O351" s="496" t="s">
        <v>820</v>
      </c>
      <c r="P351" s="583" t="s">
        <v>685</v>
      </c>
      <c r="Q351" s="15" t="s">
        <v>35</v>
      </c>
      <c r="R351" s="15"/>
      <c r="S351" s="16" t="s">
        <v>44</v>
      </c>
      <c r="T351" s="16"/>
      <c r="U351" s="484"/>
      <c r="V351" s="485"/>
      <c r="W351" s="243"/>
      <c r="X351" s="478"/>
      <c r="Y351" s="7">
        <f t="shared" si="10"/>
        <v>0</v>
      </c>
      <c r="Z351" s="478"/>
      <c r="AA351" s="469"/>
      <c r="AB351" s="504" t="s">
        <v>6115</v>
      </c>
      <c r="AC351" s="138"/>
      <c r="AD351" s="489">
        <v>0</v>
      </c>
      <c r="AE351" s="489"/>
      <c r="AF351" s="9">
        <f t="shared" si="11"/>
        <v>0</v>
      </c>
      <c r="AG351" s="521">
        <v>1600000</v>
      </c>
      <c r="AH351" s="476" t="s">
        <v>821</v>
      </c>
      <c r="AI351" s="476" t="s">
        <v>822</v>
      </c>
      <c r="AJ351" s="10"/>
      <c r="AK351" s="59"/>
      <c r="AL351" s="10"/>
    </row>
    <row r="352" spans="1:38" ht="15" customHeight="1" x14ac:dyDescent="0.3">
      <c r="A352" s="628" t="s">
        <v>22</v>
      </c>
      <c r="B352" s="94" t="s">
        <v>227</v>
      </c>
      <c r="C352" s="95">
        <v>10</v>
      </c>
      <c r="D352" s="11" t="s">
        <v>225</v>
      </c>
      <c r="E352" s="451">
        <v>36460</v>
      </c>
      <c r="F352" s="12">
        <v>1999</v>
      </c>
      <c r="G352" s="96"/>
      <c r="H352" s="142"/>
      <c r="I352" s="22" t="s">
        <v>264</v>
      </c>
      <c r="J352" s="32" t="s">
        <v>191</v>
      </c>
      <c r="K352" s="629" t="s">
        <v>314</v>
      </c>
      <c r="L352" s="629"/>
      <c r="M352" s="629"/>
      <c r="N352" s="629"/>
      <c r="O352" s="630" t="s">
        <v>823</v>
      </c>
      <c r="P352" s="630" t="s">
        <v>824</v>
      </c>
      <c r="Q352" s="15" t="s">
        <v>35</v>
      </c>
      <c r="R352" s="97">
        <v>37319</v>
      </c>
      <c r="S352" s="16" t="s">
        <v>44</v>
      </c>
      <c r="T352" s="98">
        <v>37761</v>
      </c>
      <c r="U352" s="631" t="s">
        <v>282</v>
      </c>
      <c r="V352" s="632">
        <v>38196</v>
      </c>
      <c r="W352" s="243"/>
      <c r="X352" s="633"/>
      <c r="Y352" s="7">
        <f t="shared" si="10"/>
        <v>0</v>
      </c>
      <c r="Z352" s="633"/>
      <c r="AA352" s="469"/>
      <c r="AB352" s="504" t="s">
        <v>6115</v>
      </c>
      <c r="AC352" s="138"/>
      <c r="AD352" s="634">
        <v>0</v>
      </c>
      <c r="AE352" s="634"/>
      <c r="AF352" s="9">
        <f t="shared" si="11"/>
        <v>0</v>
      </c>
      <c r="AG352" s="635" t="s">
        <v>825</v>
      </c>
      <c r="AH352" s="476" t="s">
        <v>5967</v>
      </c>
      <c r="AI352" s="630"/>
      <c r="AJ352" s="99"/>
      <c r="AK352" s="628"/>
      <c r="AL352" s="100"/>
    </row>
    <row r="353" spans="1:38" ht="15" customHeight="1" x14ac:dyDescent="0.3">
      <c r="A353" s="531" t="s">
        <v>22</v>
      </c>
      <c r="B353" s="58" t="s">
        <v>23</v>
      </c>
      <c r="C353" s="58">
        <v>11</v>
      </c>
      <c r="D353" s="11" t="s">
        <v>24</v>
      </c>
      <c r="E353" s="441">
        <v>37915</v>
      </c>
      <c r="F353" s="12">
        <v>2003</v>
      </c>
      <c r="G353" s="51" t="s">
        <v>826</v>
      </c>
      <c r="H353" s="142"/>
      <c r="I353" s="14" t="s">
        <v>285</v>
      </c>
      <c r="J353" s="32" t="s">
        <v>26</v>
      </c>
      <c r="K353" s="477" t="s">
        <v>621</v>
      </c>
      <c r="L353" s="477"/>
      <c r="M353" s="477"/>
      <c r="N353" s="477"/>
      <c r="O353" s="602" t="s">
        <v>827</v>
      </c>
      <c r="P353" s="636" t="s">
        <v>701</v>
      </c>
      <c r="Q353" s="476"/>
      <c r="R353" s="476"/>
      <c r="S353" s="476"/>
      <c r="T353" s="476"/>
      <c r="U353" s="476"/>
      <c r="V353" s="477"/>
      <c r="W353" s="243"/>
      <c r="X353" s="478"/>
      <c r="Y353" s="7">
        <f t="shared" si="10"/>
        <v>0</v>
      </c>
      <c r="Z353" s="478"/>
      <c r="AA353" s="469"/>
      <c r="AB353" s="479" t="s">
        <v>49</v>
      </c>
      <c r="AC353" s="480"/>
      <c r="AD353" s="489">
        <v>0</v>
      </c>
      <c r="AE353" s="540"/>
      <c r="AF353" s="9">
        <f t="shared" si="11"/>
        <v>0</v>
      </c>
      <c r="AG353" s="539"/>
      <c r="AH353" s="476"/>
      <c r="AI353" s="496" t="s">
        <v>828</v>
      </c>
      <c r="AJ353" s="10"/>
      <c r="AK353" s="59"/>
      <c r="AL353" s="10"/>
    </row>
    <row r="354" spans="1:38" ht="15" customHeight="1" x14ac:dyDescent="0.3">
      <c r="A354" s="575" t="s">
        <v>22</v>
      </c>
      <c r="B354" s="58" t="s">
        <v>212</v>
      </c>
      <c r="C354" s="58">
        <v>1</v>
      </c>
      <c r="D354" s="14" t="s">
        <v>190</v>
      </c>
      <c r="E354" s="441">
        <v>37209</v>
      </c>
      <c r="F354" s="12">
        <v>2001</v>
      </c>
      <c r="G354" s="36"/>
      <c r="H354" s="142"/>
      <c r="I354" s="22" t="s">
        <v>767</v>
      </c>
      <c r="J354" s="32" t="s">
        <v>26</v>
      </c>
      <c r="K354" s="477" t="s">
        <v>392</v>
      </c>
      <c r="L354" s="477"/>
      <c r="M354" s="477"/>
      <c r="N354" s="477"/>
      <c r="O354" s="476" t="s">
        <v>829</v>
      </c>
      <c r="P354" s="496" t="s">
        <v>830</v>
      </c>
      <c r="Q354" s="15" t="s">
        <v>282</v>
      </c>
      <c r="R354" s="15"/>
      <c r="S354" s="16" t="s">
        <v>44</v>
      </c>
      <c r="T354" s="16"/>
      <c r="U354" s="484"/>
      <c r="V354" s="485"/>
      <c r="W354" s="243"/>
      <c r="X354" s="478"/>
      <c r="Y354" s="7">
        <f t="shared" si="10"/>
        <v>0</v>
      </c>
      <c r="Z354" s="478"/>
      <c r="AA354" s="469"/>
      <c r="AB354" s="518" t="s">
        <v>619</v>
      </c>
      <c r="AC354" s="626"/>
      <c r="AD354" s="540">
        <v>0</v>
      </c>
      <c r="AE354" s="540"/>
      <c r="AF354" s="9">
        <f t="shared" si="11"/>
        <v>0</v>
      </c>
      <c r="AG354" s="539"/>
      <c r="AH354" s="476" t="s">
        <v>831</v>
      </c>
      <c r="AI354" s="496"/>
      <c r="AJ354" s="10"/>
      <c r="AK354" s="59"/>
      <c r="AL354" s="10"/>
    </row>
    <row r="355" spans="1:38" ht="15" customHeight="1" x14ac:dyDescent="0.3">
      <c r="A355" s="59" t="s">
        <v>22</v>
      </c>
      <c r="B355" s="58" t="s">
        <v>211</v>
      </c>
      <c r="C355" s="57">
        <v>2</v>
      </c>
      <c r="D355" s="14" t="s">
        <v>190</v>
      </c>
      <c r="E355" s="440">
        <v>37585</v>
      </c>
      <c r="F355" s="12">
        <v>2002</v>
      </c>
      <c r="G355" s="13" t="s">
        <v>832</v>
      </c>
      <c r="H355" s="142"/>
      <c r="I355" s="57" t="s">
        <v>6176</v>
      </c>
      <c r="J355" s="59" t="s">
        <v>67</v>
      </c>
      <c r="K355" s="477" t="s">
        <v>833</v>
      </c>
      <c r="L355" s="477"/>
      <c r="M355" s="477"/>
      <c r="N355" s="477"/>
      <c r="O355" s="476" t="s">
        <v>834</v>
      </c>
      <c r="P355" s="581" t="s">
        <v>830</v>
      </c>
      <c r="Q355" s="15" t="s">
        <v>5971</v>
      </c>
      <c r="R355" s="15"/>
      <c r="S355" s="16" t="s">
        <v>835</v>
      </c>
      <c r="T355" s="16"/>
      <c r="U355" s="484"/>
      <c r="V355" s="485"/>
      <c r="W355" s="243"/>
      <c r="X355" s="478"/>
      <c r="Y355" s="7">
        <f t="shared" si="10"/>
        <v>0</v>
      </c>
      <c r="Z355" s="478"/>
      <c r="AA355" s="469"/>
      <c r="AB355" s="518" t="s">
        <v>5966</v>
      </c>
      <c r="AC355" s="519"/>
      <c r="AD355" s="489">
        <v>0</v>
      </c>
      <c r="AE355" s="489"/>
      <c r="AF355" s="9">
        <f t="shared" si="11"/>
        <v>0</v>
      </c>
      <c r="AG355" s="476"/>
      <c r="AH355" s="476"/>
      <c r="AI355" s="476"/>
      <c r="AJ355" s="10"/>
      <c r="AK355" s="59"/>
      <c r="AL355" s="10"/>
    </row>
    <row r="356" spans="1:38" ht="15" customHeight="1" x14ac:dyDescent="0.3">
      <c r="A356" s="59" t="s">
        <v>22</v>
      </c>
      <c r="B356" s="58" t="s">
        <v>836</v>
      </c>
      <c r="C356" s="57" t="s">
        <v>837</v>
      </c>
      <c r="D356" s="14" t="s">
        <v>190</v>
      </c>
      <c r="E356" s="452">
        <v>36767</v>
      </c>
      <c r="F356" s="12">
        <v>2000</v>
      </c>
      <c r="G356" s="24"/>
      <c r="H356" s="142"/>
      <c r="I356" s="57" t="s">
        <v>767</v>
      </c>
      <c r="J356" s="32" t="s">
        <v>26</v>
      </c>
      <c r="K356" s="477" t="s">
        <v>636</v>
      </c>
      <c r="L356" s="477"/>
      <c r="M356" s="477"/>
      <c r="N356" s="477"/>
      <c r="O356" s="476" t="s">
        <v>838</v>
      </c>
      <c r="P356" s="496" t="s">
        <v>839</v>
      </c>
      <c r="Q356" s="15" t="s">
        <v>282</v>
      </c>
      <c r="R356" s="15"/>
      <c r="S356" s="16" t="s">
        <v>44</v>
      </c>
      <c r="T356" s="16"/>
      <c r="U356" s="484"/>
      <c r="V356" s="485"/>
      <c r="W356" s="243"/>
      <c r="X356" s="478"/>
      <c r="Y356" s="7">
        <f t="shared" si="10"/>
        <v>0</v>
      </c>
      <c r="Z356" s="478"/>
      <c r="AA356" s="469"/>
      <c r="AB356" s="518" t="s">
        <v>840</v>
      </c>
      <c r="AC356" s="519"/>
      <c r="AD356" s="489">
        <v>0</v>
      </c>
      <c r="AE356" s="489"/>
      <c r="AF356" s="9">
        <f t="shared" si="11"/>
        <v>0</v>
      </c>
      <c r="AG356" s="486" t="s">
        <v>667</v>
      </c>
      <c r="AH356" s="476"/>
      <c r="AI356" s="476"/>
      <c r="AJ356" s="10"/>
      <c r="AK356" s="59"/>
      <c r="AL356" s="10"/>
    </row>
    <row r="357" spans="1:38" ht="15" customHeight="1" x14ac:dyDescent="0.3">
      <c r="A357" s="59" t="s">
        <v>22</v>
      </c>
      <c r="B357" s="58" t="s">
        <v>188</v>
      </c>
      <c r="C357" s="57">
        <v>2</v>
      </c>
      <c r="D357" s="11" t="s">
        <v>143</v>
      </c>
      <c r="E357" s="440">
        <v>36644</v>
      </c>
      <c r="F357" s="12">
        <v>2000</v>
      </c>
      <c r="G357" s="13"/>
      <c r="H357" s="142"/>
      <c r="I357" s="22" t="s">
        <v>264</v>
      </c>
      <c r="J357" s="32" t="s">
        <v>26</v>
      </c>
      <c r="K357" s="477" t="s">
        <v>636</v>
      </c>
      <c r="L357" s="477"/>
      <c r="M357" s="477"/>
      <c r="N357" s="477"/>
      <c r="O357" s="476" t="s">
        <v>841</v>
      </c>
      <c r="P357" s="583" t="s">
        <v>842</v>
      </c>
      <c r="Q357" s="15" t="s">
        <v>35</v>
      </c>
      <c r="R357" s="42"/>
      <c r="S357" s="16" t="s">
        <v>35</v>
      </c>
      <c r="T357" s="54"/>
      <c r="U357" s="485"/>
      <c r="V357" s="485"/>
      <c r="W357" s="243"/>
      <c r="X357" s="478"/>
      <c r="Y357" s="7">
        <f t="shared" si="10"/>
        <v>0</v>
      </c>
      <c r="Z357" s="478"/>
      <c r="AA357" s="469"/>
      <c r="AB357" s="479" t="s">
        <v>147</v>
      </c>
      <c r="AC357" s="480"/>
      <c r="AD357" s="489">
        <v>0</v>
      </c>
      <c r="AE357" s="489"/>
      <c r="AF357" s="9">
        <f t="shared" si="11"/>
        <v>0</v>
      </c>
      <c r="AG357" s="486" t="s">
        <v>681</v>
      </c>
      <c r="AH357" s="476" t="s">
        <v>342</v>
      </c>
      <c r="AI357" s="476" t="s">
        <v>843</v>
      </c>
      <c r="AJ357" s="10"/>
      <c r="AK357" s="59"/>
      <c r="AL357" s="10"/>
    </row>
    <row r="358" spans="1:38" ht="15" customHeight="1" x14ac:dyDescent="0.3">
      <c r="A358" s="568" t="s">
        <v>508</v>
      </c>
      <c r="B358" s="58" t="s">
        <v>195</v>
      </c>
      <c r="C358" s="57">
        <v>1</v>
      </c>
      <c r="D358" s="14" t="s">
        <v>190</v>
      </c>
      <c r="E358" s="122">
        <v>37057</v>
      </c>
      <c r="F358" s="12">
        <v>2001</v>
      </c>
      <c r="G358" s="13" t="s">
        <v>844</v>
      </c>
      <c r="H358" s="142"/>
      <c r="I358" s="22" t="s">
        <v>264</v>
      </c>
      <c r="J358" s="59" t="s">
        <v>516</v>
      </c>
      <c r="K358" s="477" t="s">
        <v>705</v>
      </c>
      <c r="L358" s="477"/>
      <c r="M358" s="477"/>
      <c r="N358" s="477"/>
      <c r="O358" s="476" t="s">
        <v>706</v>
      </c>
      <c r="P358" s="583" t="s">
        <v>839</v>
      </c>
      <c r="Q358" s="15" t="s">
        <v>282</v>
      </c>
      <c r="R358" s="15"/>
      <c r="S358" s="16" t="s">
        <v>44</v>
      </c>
      <c r="T358" s="16"/>
      <c r="U358" s="484"/>
      <c r="V358" s="485"/>
      <c r="W358" s="243"/>
      <c r="X358" s="478"/>
      <c r="Y358" s="7">
        <f t="shared" si="10"/>
        <v>0</v>
      </c>
      <c r="Z358" s="577"/>
      <c r="AA358" s="469"/>
      <c r="AB358" s="604" t="s">
        <v>6081</v>
      </c>
      <c r="AC358" s="163"/>
      <c r="AD358" s="489">
        <v>0</v>
      </c>
      <c r="AE358" s="540"/>
      <c r="AF358" s="9">
        <f t="shared" si="11"/>
        <v>0</v>
      </c>
      <c r="AG358" s="539"/>
      <c r="AH358" s="476" t="s">
        <v>707</v>
      </c>
      <c r="AI358" s="476"/>
      <c r="AJ358" s="10"/>
      <c r="AK358" s="59"/>
      <c r="AL358" s="10"/>
    </row>
    <row r="359" spans="1:38" ht="15" customHeight="1" x14ac:dyDescent="0.3">
      <c r="A359" s="568" t="s">
        <v>22</v>
      </c>
      <c r="B359" s="58" t="s">
        <v>148</v>
      </c>
      <c r="C359" s="57">
        <v>5</v>
      </c>
      <c r="D359" s="11" t="s">
        <v>143</v>
      </c>
      <c r="E359" s="122">
        <v>34088</v>
      </c>
      <c r="F359" s="12">
        <v>1993</v>
      </c>
      <c r="G359" s="24"/>
      <c r="H359" s="142"/>
      <c r="I359" s="22" t="s">
        <v>264</v>
      </c>
      <c r="J359" s="32" t="s">
        <v>26</v>
      </c>
      <c r="K359" s="477" t="s">
        <v>695</v>
      </c>
      <c r="L359" s="477"/>
      <c r="M359" s="477"/>
      <c r="N359" s="477"/>
      <c r="O359" s="476" t="s">
        <v>845</v>
      </c>
      <c r="P359" s="476" t="s">
        <v>429</v>
      </c>
      <c r="Q359" s="15" t="s">
        <v>282</v>
      </c>
      <c r="R359" s="15"/>
      <c r="S359" s="16" t="s">
        <v>44</v>
      </c>
      <c r="T359" s="16"/>
      <c r="U359" s="484"/>
      <c r="V359" s="485"/>
      <c r="W359" s="243"/>
      <c r="X359" s="478"/>
      <c r="Y359" s="7">
        <f t="shared" si="10"/>
        <v>0</v>
      </c>
      <c r="Z359" s="478"/>
      <c r="AA359" s="469"/>
      <c r="AB359" s="518" t="s">
        <v>5972</v>
      </c>
      <c r="AC359" s="519"/>
      <c r="AD359" s="489">
        <v>0</v>
      </c>
      <c r="AE359" s="489"/>
      <c r="AF359" s="9">
        <f t="shared" si="11"/>
        <v>0</v>
      </c>
      <c r="AG359" s="486" t="s">
        <v>846</v>
      </c>
      <c r="AH359" s="476"/>
      <c r="AI359" s="476"/>
      <c r="AJ359" s="10"/>
      <c r="AK359" s="59"/>
      <c r="AL359" s="10"/>
    </row>
    <row r="360" spans="1:38" ht="15" customHeight="1" thickBot="1" x14ac:dyDescent="0.35">
      <c r="A360" s="637" t="s">
        <v>508</v>
      </c>
      <c r="B360" s="58" t="s">
        <v>195</v>
      </c>
      <c r="C360" s="101">
        <v>1</v>
      </c>
      <c r="D360" s="14" t="s">
        <v>190</v>
      </c>
      <c r="E360" s="453">
        <v>37102</v>
      </c>
      <c r="F360" s="12">
        <v>2001</v>
      </c>
      <c r="G360" s="102"/>
      <c r="H360" s="142"/>
      <c r="I360" s="22" t="s">
        <v>264</v>
      </c>
      <c r="J360" s="59" t="s">
        <v>516</v>
      </c>
      <c r="K360" s="477" t="s">
        <v>705</v>
      </c>
      <c r="L360" s="477"/>
      <c r="M360" s="477"/>
      <c r="N360" s="477"/>
      <c r="O360" s="476" t="s">
        <v>847</v>
      </c>
      <c r="P360" s="581" t="s">
        <v>839</v>
      </c>
      <c r="Q360" s="15" t="s">
        <v>282</v>
      </c>
      <c r="R360" s="15"/>
      <c r="S360" s="16" t="s">
        <v>44</v>
      </c>
      <c r="T360" s="16"/>
      <c r="U360" s="484"/>
      <c r="V360" s="485"/>
      <c r="W360" s="243"/>
      <c r="X360" s="478"/>
      <c r="Y360" s="7">
        <f t="shared" si="10"/>
        <v>0</v>
      </c>
      <c r="Z360" s="478"/>
      <c r="AA360" s="469"/>
      <c r="AB360" s="604" t="s">
        <v>6081</v>
      </c>
      <c r="AC360" s="88"/>
      <c r="AD360" s="638">
        <v>0</v>
      </c>
      <c r="AE360" s="540"/>
      <c r="AF360" s="9">
        <f t="shared" si="11"/>
        <v>0</v>
      </c>
      <c r="AG360" s="539"/>
      <c r="AH360" s="476" t="s">
        <v>848</v>
      </c>
      <c r="AI360" s="527"/>
      <c r="AJ360" s="10"/>
      <c r="AK360" s="59"/>
      <c r="AL360" s="10"/>
    </row>
    <row r="361" spans="1:38" ht="15" customHeight="1" x14ac:dyDescent="0.3">
      <c r="A361" s="568" t="s">
        <v>508</v>
      </c>
      <c r="B361" s="58" t="s">
        <v>195</v>
      </c>
      <c r="C361" s="57">
        <v>1</v>
      </c>
      <c r="D361" s="14" t="s">
        <v>190</v>
      </c>
      <c r="E361" s="122">
        <v>37134</v>
      </c>
      <c r="F361" s="12">
        <v>2001</v>
      </c>
      <c r="G361" s="24"/>
      <c r="H361" s="142"/>
      <c r="I361" s="22" t="s">
        <v>264</v>
      </c>
      <c r="J361" s="59" t="s">
        <v>516</v>
      </c>
      <c r="K361" s="477" t="s">
        <v>705</v>
      </c>
      <c r="L361" s="477"/>
      <c r="M361" s="477"/>
      <c r="N361" s="524"/>
      <c r="O361" s="496" t="s">
        <v>849</v>
      </c>
      <c r="P361" s="583" t="s">
        <v>839</v>
      </c>
      <c r="Q361" s="15" t="s">
        <v>282</v>
      </c>
      <c r="R361" s="15"/>
      <c r="S361" s="16" t="s">
        <v>44</v>
      </c>
      <c r="T361" s="16"/>
      <c r="U361" s="484"/>
      <c r="V361" s="485"/>
      <c r="W361" s="243"/>
      <c r="X361" s="478"/>
      <c r="Y361" s="7">
        <f t="shared" si="10"/>
        <v>0</v>
      </c>
      <c r="Z361" s="478"/>
      <c r="AA361" s="469"/>
      <c r="AB361" s="604" t="s">
        <v>6081</v>
      </c>
      <c r="AC361" s="163"/>
      <c r="AD361" s="489">
        <v>0</v>
      </c>
      <c r="AE361" s="489"/>
      <c r="AF361" s="9">
        <f t="shared" si="11"/>
        <v>0</v>
      </c>
      <c r="AG361" s="486" t="s">
        <v>677</v>
      </c>
      <c r="AH361" s="476"/>
      <c r="AI361" s="476"/>
      <c r="AJ361" s="10"/>
      <c r="AK361" s="59"/>
      <c r="AL361" s="10"/>
    </row>
    <row r="362" spans="1:38" ht="15" customHeight="1" x14ac:dyDescent="0.3">
      <c r="A362" s="568" t="s">
        <v>22</v>
      </c>
      <c r="B362" s="58" t="s">
        <v>105</v>
      </c>
      <c r="C362" s="57">
        <v>17</v>
      </c>
      <c r="D362" s="11" t="s">
        <v>5936</v>
      </c>
      <c r="E362" s="122">
        <v>37328</v>
      </c>
      <c r="F362" s="12">
        <v>2002</v>
      </c>
      <c r="G362" s="24">
        <v>83</v>
      </c>
      <c r="H362" s="142"/>
      <c r="I362" s="22" t="s">
        <v>264</v>
      </c>
      <c r="J362" s="32" t="s">
        <v>26</v>
      </c>
      <c r="K362" s="477" t="s">
        <v>526</v>
      </c>
      <c r="L362" s="477"/>
      <c r="M362" s="477"/>
      <c r="N362" s="477"/>
      <c r="O362" s="476" t="s">
        <v>850</v>
      </c>
      <c r="P362" s="476" t="s">
        <v>839</v>
      </c>
      <c r="Q362" s="15" t="s">
        <v>282</v>
      </c>
      <c r="R362" s="15"/>
      <c r="S362" s="16" t="s">
        <v>44</v>
      </c>
      <c r="T362" s="16"/>
      <c r="U362" s="484"/>
      <c r="V362" s="485"/>
      <c r="W362" s="243"/>
      <c r="X362" s="478"/>
      <c r="Y362" s="7">
        <f t="shared" si="10"/>
        <v>0</v>
      </c>
      <c r="Z362" s="478"/>
      <c r="AA362" s="469"/>
      <c r="AB362" s="518" t="s">
        <v>732</v>
      </c>
      <c r="AC362" s="519"/>
      <c r="AD362" s="489">
        <v>0</v>
      </c>
      <c r="AE362" s="489"/>
      <c r="AF362" s="9">
        <f t="shared" si="11"/>
        <v>0</v>
      </c>
      <c r="AG362" s="490" t="s">
        <v>677</v>
      </c>
      <c r="AH362" s="476" t="s">
        <v>851</v>
      </c>
      <c r="AI362" s="476"/>
      <c r="AJ362" s="10"/>
      <c r="AK362" s="59"/>
      <c r="AL362" s="10"/>
    </row>
    <row r="363" spans="1:38" ht="15" customHeight="1" x14ac:dyDescent="0.3">
      <c r="A363" s="575" t="s">
        <v>22</v>
      </c>
      <c r="B363" s="58" t="s">
        <v>105</v>
      </c>
      <c r="C363" s="58">
        <v>13</v>
      </c>
      <c r="D363" s="11" t="s">
        <v>5936</v>
      </c>
      <c r="E363" s="443">
        <v>36376</v>
      </c>
      <c r="F363" s="12">
        <v>1999</v>
      </c>
      <c r="G363" s="23">
        <v>990481</v>
      </c>
      <c r="H363" s="142"/>
      <c r="I363" s="22" t="s">
        <v>264</v>
      </c>
      <c r="J363" s="32" t="s">
        <v>26</v>
      </c>
      <c r="K363" s="477" t="s">
        <v>636</v>
      </c>
      <c r="L363" s="477"/>
      <c r="M363" s="477"/>
      <c r="N363" s="477"/>
      <c r="O363" s="476" t="s">
        <v>852</v>
      </c>
      <c r="P363" s="496" t="s">
        <v>839</v>
      </c>
      <c r="Q363" s="15" t="s">
        <v>282</v>
      </c>
      <c r="R363" s="15"/>
      <c r="S363" s="16" t="s">
        <v>44</v>
      </c>
      <c r="T363" s="16"/>
      <c r="U363" s="484" t="s">
        <v>839</v>
      </c>
      <c r="V363" s="485"/>
      <c r="W363" s="243"/>
      <c r="X363" s="478"/>
      <c r="Y363" s="7">
        <f t="shared" si="10"/>
        <v>0</v>
      </c>
      <c r="Z363" s="478"/>
      <c r="AA363" s="469"/>
      <c r="AB363" s="518" t="s">
        <v>732</v>
      </c>
      <c r="AC363" s="626"/>
      <c r="AD363" s="540">
        <v>0</v>
      </c>
      <c r="AE363" s="540"/>
      <c r="AF363" s="9">
        <f t="shared" si="11"/>
        <v>0</v>
      </c>
      <c r="AG363" s="533" t="s">
        <v>677</v>
      </c>
      <c r="AH363" s="476"/>
      <c r="AI363" s="496"/>
      <c r="AJ363" s="10"/>
      <c r="AK363" s="59"/>
      <c r="AL363" s="10"/>
    </row>
    <row r="364" spans="1:38" ht="15" customHeight="1" x14ac:dyDescent="0.3">
      <c r="A364" s="59" t="s">
        <v>22</v>
      </c>
      <c r="B364" s="58" t="s">
        <v>23</v>
      </c>
      <c r="C364" s="57">
        <v>12</v>
      </c>
      <c r="D364" s="14" t="s">
        <v>190</v>
      </c>
      <c r="E364" s="122">
        <v>37069</v>
      </c>
      <c r="F364" s="12">
        <v>2001</v>
      </c>
      <c r="G364" s="24"/>
      <c r="H364" s="142"/>
      <c r="I364" s="22" t="s">
        <v>264</v>
      </c>
      <c r="J364" s="32" t="s">
        <v>26</v>
      </c>
      <c r="K364" s="477" t="s">
        <v>636</v>
      </c>
      <c r="L364" s="477"/>
      <c r="M364" s="477"/>
      <c r="N364" s="477"/>
      <c r="O364" s="476" t="s">
        <v>853</v>
      </c>
      <c r="P364" s="583" t="s">
        <v>839</v>
      </c>
      <c r="Q364" s="15" t="s">
        <v>282</v>
      </c>
      <c r="R364" s="15"/>
      <c r="S364" s="16" t="s">
        <v>44</v>
      </c>
      <c r="T364" s="16"/>
      <c r="U364" s="484"/>
      <c r="V364" s="485"/>
      <c r="W364" s="243"/>
      <c r="X364" s="478"/>
      <c r="Y364" s="7">
        <f t="shared" si="10"/>
        <v>0</v>
      </c>
      <c r="Z364" s="478"/>
      <c r="AA364" s="469"/>
      <c r="AB364" s="479" t="s">
        <v>318</v>
      </c>
      <c r="AC364" s="480"/>
      <c r="AD364" s="489">
        <v>0</v>
      </c>
      <c r="AE364" s="489"/>
      <c r="AF364" s="9">
        <f t="shared" si="11"/>
        <v>0</v>
      </c>
      <c r="AG364" s="486" t="s">
        <v>788</v>
      </c>
      <c r="AH364" s="476" t="s">
        <v>765</v>
      </c>
      <c r="AI364" s="476" t="s">
        <v>854</v>
      </c>
      <c r="AJ364" s="10"/>
      <c r="AK364" s="59"/>
      <c r="AL364" s="10"/>
    </row>
    <row r="365" spans="1:38" ht="15" customHeight="1" x14ac:dyDescent="0.3">
      <c r="A365" s="59" t="s">
        <v>22</v>
      </c>
      <c r="B365" s="58" t="s">
        <v>105</v>
      </c>
      <c r="C365" s="57">
        <v>10</v>
      </c>
      <c r="D365" s="11" t="s">
        <v>5936</v>
      </c>
      <c r="E365" s="440">
        <v>36423</v>
      </c>
      <c r="F365" s="12">
        <v>1999</v>
      </c>
      <c r="G365" s="13" t="s">
        <v>855</v>
      </c>
      <c r="H365" s="142"/>
      <c r="I365" s="22" t="s">
        <v>264</v>
      </c>
      <c r="J365" s="32" t="s">
        <v>26</v>
      </c>
      <c r="K365" s="477" t="s">
        <v>621</v>
      </c>
      <c r="L365" s="477"/>
      <c r="M365" s="477"/>
      <c r="N365" s="477"/>
      <c r="O365" s="476" t="s">
        <v>856</v>
      </c>
      <c r="P365" s="476" t="s">
        <v>839</v>
      </c>
      <c r="Q365" s="15" t="s">
        <v>282</v>
      </c>
      <c r="R365" s="15"/>
      <c r="S365" s="16" t="s">
        <v>44</v>
      </c>
      <c r="T365" s="16"/>
      <c r="U365" s="484"/>
      <c r="V365" s="485"/>
      <c r="W365" s="243"/>
      <c r="X365" s="478"/>
      <c r="Y365" s="7">
        <f t="shared" si="10"/>
        <v>0</v>
      </c>
      <c r="Z365" s="478"/>
      <c r="AA365" s="469"/>
      <c r="AB365" s="518" t="s">
        <v>732</v>
      </c>
      <c r="AC365" s="519"/>
      <c r="AD365" s="489">
        <v>0</v>
      </c>
      <c r="AE365" s="489"/>
      <c r="AF365" s="9">
        <f t="shared" si="11"/>
        <v>0</v>
      </c>
      <c r="AG365" s="490" t="s">
        <v>677</v>
      </c>
      <c r="AH365" s="476"/>
      <c r="AI365" s="476" t="s">
        <v>857</v>
      </c>
      <c r="AJ365" s="10"/>
      <c r="AK365" s="59"/>
      <c r="AL365" s="10"/>
    </row>
    <row r="366" spans="1:38" ht="15" customHeight="1" x14ac:dyDescent="0.3">
      <c r="A366" s="59" t="s">
        <v>858</v>
      </c>
      <c r="B366" s="58" t="s">
        <v>145</v>
      </c>
      <c r="C366" s="57">
        <v>2</v>
      </c>
      <c r="D366" s="11" t="s">
        <v>143</v>
      </c>
      <c r="E366" s="122">
        <v>38200</v>
      </c>
      <c r="F366" s="12">
        <v>2004</v>
      </c>
      <c r="G366" s="24"/>
      <c r="H366" s="142"/>
      <c r="I366" s="14"/>
      <c r="J366" s="77" t="s">
        <v>81</v>
      </c>
      <c r="K366" s="477" t="s">
        <v>859</v>
      </c>
      <c r="L366" s="104"/>
      <c r="M366" s="104"/>
      <c r="N366" s="104"/>
      <c r="O366" s="476"/>
      <c r="P366" s="476" t="s">
        <v>860</v>
      </c>
      <c r="Q366" s="15" t="s">
        <v>35</v>
      </c>
      <c r="R366" s="15"/>
      <c r="S366" s="16"/>
      <c r="T366" s="16"/>
      <c r="U366" s="484"/>
      <c r="V366" s="485"/>
      <c r="W366" s="243"/>
      <c r="X366" s="478"/>
      <c r="Y366" s="7">
        <f t="shared" si="10"/>
        <v>0</v>
      </c>
      <c r="Z366" s="478"/>
      <c r="AA366" s="469"/>
      <c r="AB366" s="518" t="s">
        <v>147</v>
      </c>
      <c r="AC366" s="519"/>
      <c r="AD366" s="489">
        <v>0</v>
      </c>
      <c r="AE366" s="489"/>
      <c r="AF366" s="9">
        <f t="shared" si="11"/>
        <v>0</v>
      </c>
      <c r="AG366" s="486"/>
      <c r="AH366" s="476"/>
      <c r="AI366" s="476"/>
      <c r="AJ366" s="10"/>
      <c r="AK366" s="59"/>
      <c r="AL366" s="10"/>
    </row>
    <row r="367" spans="1:38" ht="15" customHeight="1" x14ac:dyDescent="0.3">
      <c r="A367" s="531" t="s">
        <v>22</v>
      </c>
      <c r="B367" s="58" t="s">
        <v>105</v>
      </c>
      <c r="C367" s="58">
        <v>10</v>
      </c>
      <c r="D367" s="11" t="s">
        <v>5936</v>
      </c>
      <c r="E367" s="443">
        <v>33949</v>
      </c>
      <c r="F367" s="12">
        <v>1992</v>
      </c>
      <c r="G367" s="23" t="s">
        <v>861</v>
      </c>
      <c r="H367" s="142"/>
      <c r="I367" s="22" t="s">
        <v>264</v>
      </c>
      <c r="J367" s="32" t="s">
        <v>26</v>
      </c>
      <c r="K367" s="477" t="s">
        <v>695</v>
      </c>
      <c r="L367" s="477"/>
      <c r="M367" s="477"/>
      <c r="N367" s="477"/>
      <c r="O367" s="476" t="s">
        <v>862</v>
      </c>
      <c r="P367" s="476" t="s">
        <v>839</v>
      </c>
      <c r="Q367" s="15" t="s">
        <v>282</v>
      </c>
      <c r="R367" s="15"/>
      <c r="S367" s="16" t="s">
        <v>44</v>
      </c>
      <c r="T367" s="105"/>
      <c r="U367" s="484"/>
      <c r="V367" s="485"/>
      <c r="W367" s="243"/>
      <c r="X367" s="478"/>
      <c r="Y367" s="7">
        <f t="shared" si="10"/>
        <v>0</v>
      </c>
      <c r="Z367" s="478"/>
      <c r="AA367" s="469"/>
      <c r="AB367" s="579" t="s">
        <v>5973</v>
      </c>
      <c r="AC367" s="538"/>
      <c r="AD367" s="540">
        <v>0</v>
      </c>
      <c r="AE367" s="540"/>
      <c r="AF367" s="9">
        <f t="shared" si="11"/>
        <v>0</v>
      </c>
      <c r="AG367" s="533" t="s">
        <v>677</v>
      </c>
      <c r="AH367" s="476"/>
      <c r="AI367" s="496" t="s">
        <v>863</v>
      </c>
      <c r="AJ367" s="10"/>
      <c r="AK367" s="59"/>
      <c r="AL367" s="10"/>
    </row>
    <row r="368" spans="1:38" ht="15" customHeight="1" x14ac:dyDescent="0.3">
      <c r="A368" s="59" t="s">
        <v>22</v>
      </c>
      <c r="B368" s="58" t="s">
        <v>105</v>
      </c>
      <c r="C368" s="57">
        <v>13</v>
      </c>
      <c r="D368" s="11" t="s">
        <v>5936</v>
      </c>
      <c r="E368" s="440">
        <v>35320</v>
      </c>
      <c r="F368" s="12">
        <v>1996</v>
      </c>
      <c r="G368" s="13">
        <v>14983</v>
      </c>
      <c r="H368" s="142"/>
      <c r="I368" s="22" t="s">
        <v>264</v>
      </c>
      <c r="J368" s="32" t="s">
        <v>26</v>
      </c>
      <c r="K368" s="477" t="s">
        <v>864</v>
      </c>
      <c r="L368" s="477"/>
      <c r="M368" s="477"/>
      <c r="N368" s="477"/>
      <c r="O368" s="476" t="s">
        <v>865</v>
      </c>
      <c r="P368" s="476" t="s">
        <v>839</v>
      </c>
      <c r="Q368" s="15" t="s">
        <v>282</v>
      </c>
      <c r="R368" s="15"/>
      <c r="S368" s="16" t="s">
        <v>44</v>
      </c>
      <c r="T368" s="16"/>
      <c r="U368" s="484" t="s">
        <v>866</v>
      </c>
      <c r="V368" s="485"/>
      <c r="W368" s="243"/>
      <c r="X368" s="478"/>
      <c r="Y368" s="7">
        <f t="shared" si="10"/>
        <v>0</v>
      </c>
      <c r="Z368" s="478"/>
      <c r="AA368" s="469"/>
      <c r="AB368" s="479" t="s">
        <v>732</v>
      </c>
      <c r="AC368" s="480"/>
      <c r="AD368" s="489">
        <v>0</v>
      </c>
      <c r="AE368" s="489"/>
      <c r="AF368" s="9">
        <f t="shared" si="11"/>
        <v>0</v>
      </c>
      <c r="AG368" s="490" t="s">
        <v>677</v>
      </c>
      <c r="AH368" s="476" t="s">
        <v>867</v>
      </c>
      <c r="AI368" s="476"/>
      <c r="AJ368" s="10"/>
      <c r="AK368" s="59"/>
      <c r="AL368" s="10"/>
    </row>
    <row r="369" spans="1:38" ht="15" customHeight="1" x14ac:dyDescent="0.3">
      <c r="A369" s="568" t="s">
        <v>22</v>
      </c>
      <c r="B369" s="58" t="s">
        <v>5944</v>
      </c>
      <c r="C369" s="73"/>
      <c r="D369" s="11" t="s">
        <v>143</v>
      </c>
      <c r="E369" s="122">
        <v>2001</v>
      </c>
      <c r="F369" s="12">
        <v>1905</v>
      </c>
      <c r="G369" s="24"/>
      <c r="H369" s="142"/>
      <c r="I369" s="22" t="s">
        <v>264</v>
      </c>
      <c r="J369" s="32" t="s">
        <v>26</v>
      </c>
      <c r="K369" s="477" t="s">
        <v>868</v>
      </c>
      <c r="L369" s="477"/>
      <c r="M369" s="477"/>
      <c r="N369" s="477"/>
      <c r="O369" s="511"/>
      <c r="P369" s="476" t="s">
        <v>869</v>
      </c>
      <c r="Q369" s="476"/>
      <c r="R369" s="476"/>
      <c r="S369" s="476"/>
      <c r="T369" s="476"/>
      <c r="U369" s="476"/>
      <c r="V369" s="477"/>
      <c r="W369" s="243"/>
      <c r="X369" s="478"/>
      <c r="Y369" s="7">
        <f t="shared" si="10"/>
        <v>0</v>
      </c>
      <c r="Z369" s="478"/>
      <c r="AA369" s="469"/>
      <c r="AB369" s="518" t="s">
        <v>5972</v>
      </c>
      <c r="AC369" s="519"/>
      <c r="AD369" s="489">
        <v>0</v>
      </c>
      <c r="AE369" s="489"/>
      <c r="AF369" s="9">
        <f t="shared" si="11"/>
        <v>0</v>
      </c>
      <c r="AG369" s="486"/>
      <c r="AH369" s="476"/>
      <c r="AI369" s="476" t="s">
        <v>870</v>
      </c>
      <c r="AJ369" s="10"/>
      <c r="AK369" s="59"/>
      <c r="AL369" s="10"/>
    </row>
    <row r="370" spans="1:38" ht="15" customHeight="1" x14ac:dyDescent="0.3">
      <c r="A370" s="30" t="s">
        <v>22</v>
      </c>
      <c r="B370" s="88" t="s">
        <v>148</v>
      </c>
      <c r="C370" s="107">
        <v>4</v>
      </c>
      <c r="D370" s="11" t="s">
        <v>143</v>
      </c>
      <c r="E370" s="108">
        <v>36873</v>
      </c>
      <c r="F370" s="12">
        <v>2000</v>
      </c>
      <c r="G370" s="103" t="s">
        <v>871</v>
      </c>
      <c r="H370" s="142"/>
      <c r="I370" s="33" t="s">
        <v>33</v>
      </c>
      <c r="J370" s="30" t="s">
        <v>630</v>
      </c>
      <c r="K370" s="622" t="s">
        <v>631</v>
      </c>
      <c r="L370" s="137" t="s">
        <v>40</v>
      </c>
      <c r="M370" s="137" t="s">
        <v>804</v>
      </c>
      <c r="N370" s="137"/>
      <c r="O370" s="93" t="s">
        <v>872</v>
      </c>
      <c r="P370" s="93" t="s">
        <v>873</v>
      </c>
      <c r="Q370" s="15" t="s">
        <v>35</v>
      </c>
      <c r="R370" s="91"/>
      <c r="S370" s="16" t="s">
        <v>35</v>
      </c>
      <c r="T370" s="92"/>
      <c r="U370" s="623"/>
      <c r="V370" s="624"/>
      <c r="W370" s="243"/>
      <c r="X370" s="185"/>
      <c r="Y370" s="7">
        <f t="shared" si="10"/>
        <v>0</v>
      </c>
      <c r="Z370" s="185"/>
      <c r="AA370" s="469"/>
      <c r="AB370" s="518" t="s">
        <v>5972</v>
      </c>
      <c r="AC370" s="519"/>
      <c r="AD370" s="639">
        <v>0</v>
      </c>
      <c r="AE370" s="639"/>
      <c r="AF370" s="9">
        <f t="shared" si="11"/>
        <v>0</v>
      </c>
      <c r="AG370" s="183">
        <v>10</v>
      </c>
      <c r="AH370" s="93" t="s">
        <v>5974</v>
      </c>
      <c r="AI370" s="640"/>
      <c r="AJ370" s="93"/>
      <c r="AK370" s="30"/>
      <c r="AL370" s="10"/>
    </row>
    <row r="371" spans="1:38" ht="15" customHeight="1" x14ac:dyDescent="0.3">
      <c r="A371" s="617" t="s">
        <v>22</v>
      </c>
      <c r="B371" s="58" t="s">
        <v>105</v>
      </c>
      <c r="C371" s="58">
        <v>15</v>
      </c>
      <c r="D371" s="11" t="s">
        <v>5936</v>
      </c>
      <c r="E371" s="441">
        <v>35998</v>
      </c>
      <c r="F371" s="12">
        <v>1998</v>
      </c>
      <c r="G371" s="36" t="s">
        <v>874</v>
      </c>
      <c r="H371" s="142"/>
      <c r="I371" s="22" t="s">
        <v>264</v>
      </c>
      <c r="J371" s="32" t="s">
        <v>26</v>
      </c>
      <c r="K371" s="477" t="s">
        <v>636</v>
      </c>
      <c r="L371" s="477"/>
      <c r="M371" s="477"/>
      <c r="N371" s="477"/>
      <c r="O371" s="477" t="s">
        <v>875</v>
      </c>
      <c r="P371" s="523" t="s">
        <v>839</v>
      </c>
      <c r="Q371" s="15" t="s">
        <v>282</v>
      </c>
      <c r="R371" s="15"/>
      <c r="S371" s="16" t="s">
        <v>6174</v>
      </c>
      <c r="T371" s="16"/>
      <c r="U371" s="484" t="s">
        <v>839</v>
      </c>
      <c r="V371" s="485"/>
      <c r="W371" s="243"/>
      <c r="X371" s="478"/>
      <c r="Y371" s="7">
        <f t="shared" si="10"/>
        <v>0</v>
      </c>
      <c r="Z371" s="478"/>
      <c r="AA371" s="469"/>
      <c r="AB371" s="479" t="s">
        <v>732</v>
      </c>
      <c r="AC371" s="501"/>
      <c r="AD371" s="540">
        <v>0</v>
      </c>
      <c r="AE371" s="540"/>
      <c r="AF371" s="9">
        <f t="shared" si="11"/>
        <v>0</v>
      </c>
      <c r="AG371" s="533" t="s">
        <v>677</v>
      </c>
      <c r="AH371" s="476"/>
      <c r="AI371" s="496"/>
      <c r="AJ371" s="10"/>
      <c r="AK371" s="59"/>
      <c r="AL371" s="10"/>
    </row>
    <row r="372" spans="1:38" ht="15" customHeight="1" x14ac:dyDescent="0.3">
      <c r="A372" s="575" t="s">
        <v>22</v>
      </c>
      <c r="B372" s="58" t="s">
        <v>876</v>
      </c>
      <c r="C372" s="58"/>
      <c r="D372" s="11" t="s">
        <v>143</v>
      </c>
      <c r="E372" s="441">
        <v>37742</v>
      </c>
      <c r="F372" s="12">
        <v>2003</v>
      </c>
      <c r="G372" s="58"/>
      <c r="H372" s="142"/>
      <c r="I372" s="22" t="s">
        <v>285</v>
      </c>
      <c r="J372" s="32" t="s">
        <v>26</v>
      </c>
      <c r="K372" s="477" t="s">
        <v>469</v>
      </c>
      <c r="L372" s="477"/>
      <c r="M372" s="477"/>
      <c r="N372" s="477"/>
      <c r="O372" s="477" t="s">
        <v>877</v>
      </c>
      <c r="P372" s="523" t="s">
        <v>839</v>
      </c>
      <c r="Q372" s="15" t="s">
        <v>282</v>
      </c>
      <c r="R372" s="15"/>
      <c r="S372" s="16" t="s">
        <v>44</v>
      </c>
      <c r="T372" s="16"/>
      <c r="U372" s="484"/>
      <c r="V372" s="485"/>
      <c r="W372" s="243"/>
      <c r="X372" s="478"/>
      <c r="Y372" s="7">
        <f t="shared" si="10"/>
        <v>0</v>
      </c>
      <c r="Z372" s="478"/>
      <c r="AA372" s="469"/>
      <c r="AB372" s="579" t="s">
        <v>5975</v>
      </c>
      <c r="AC372" s="538"/>
      <c r="AD372" s="540">
        <v>0</v>
      </c>
      <c r="AE372" s="540"/>
      <c r="AF372" s="9">
        <f t="shared" si="11"/>
        <v>0</v>
      </c>
      <c r="AG372" s="539"/>
      <c r="AH372" s="476"/>
      <c r="AI372" s="496"/>
      <c r="AJ372" s="77"/>
      <c r="AK372" s="77"/>
      <c r="AL372" s="10"/>
    </row>
    <row r="373" spans="1:38" ht="15" customHeight="1" x14ac:dyDescent="0.3">
      <c r="A373" s="568" t="s">
        <v>22</v>
      </c>
      <c r="B373" s="58" t="s">
        <v>810</v>
      </c>
      <c r="C373" s="57">
        <v>14</v>
      </c>
      <c r="D373" s="11" t="s">
        <v>5936</v>
      </c>
      <c r="E373" s="441">
        <v>37742</v>
      </c>
      <c r="F373" s="12">
        <v>2003</v>
      </c>
      <c r="G373" s="57" t="s">
        <v>878</v>
      </c>
      <c r="H373" s="142"/>
      <c r="I373" s="22" t="s">
        <v>264</v>
      </c>
      <c r="J373" s="32" t="s">
        <v>26</v>
      </c>
      <c r="K373" s="477" t="s">
        <v>392</v>
      </c>
      <c r="L373" s="477"/>
      <c r="M373" s="477"/>
      <c r="N373" s="477"/>
      <c r="O373" s="602"/>
      <c r="P373" s="602" t="s">
        <v>839</v>
      </c>
      <c r="Q373" s="15" t="s">
        <v>282</v>
      </c>
      <c r="R373" s="15"/>
      <c r="S373" s="16" t="s">
        <v>44</v>
      </c>
      <c r="T373" s="16"/>
      <c r="U373" s="484"/>
      <c r="V373" s="485"/>
      <c r="W373" s="243"/>
      <c r="X373" s="478"/>
      <c r="Y373" s="7">
        <f t="shared" si="10"/>
        <v>0</v>
      </c>
      <c r="Z373" s="478"/>
      <c r="AA373" s="469"/>
      <c r="AB373" s="479" t="s">
        <v>732</v>
      </c>
      <c r="AC373" s="480"/>
      <c r="AD373" s="489">
        <v>0</v>
      </c>
      <c r="AE373" s="489"/>
      <c r="AF373" s="9">
        <f t="shared" si="11"/>
        <v>0</v>
      </c>
      <c r="AG373" s="486"/>
      <c r="AH373" s="476"/>
      <c r="AI373" s="476"/>
      <c r="AJ373" s="77"/>
      <c r="AK373" s="59"/>
      <c r="AL373" s="10"/>
    </row>
    <row r="374" spans="1:38" ht="15" customHeight="1" x14ac:dyDescent="0.3">
      <c r="A374" s="30" t="s">
        <v>22</v>
      </c>
      <c r="B374" s="109" t="s">
        <v>23</v>
      </c>
      <c r="C374" s="107">
        <v>13</v>
      </c>
      <c r="D374" s="11" t="s">
        <v>24</v>
      </c>
      <c r="E374" s="108">
        <v>38200</v>
      </c>
      <c r="F374" s="12">
        <v>2004</v>
      </c>
      <c r="G374" s="103" t="s">
        <v>879</v>
      </c>
      <c r="H374" s="142"/>
      <c r="I374" s="22" t="s">
        <v>264</v>
      </c>
      <c r="J374" s="32" t="s">
        <v>26</v>
      </c>
      <c r="K374" s="622" t="s">
        <v>636</v>
      </c>
      <c r="L374" s="137" t="s">
        <v>40</v>
      </c>
      <c r="M374" s="137" t="s">
        <v>804</v>
      </c>
      <c r="N374" s="137"/>
      <c r="O374" s="93" t="s">
        <v>880</v>
      </c>
      <c r="P374" s="93" t="s">
        <v>881</v>
      </c>
      <c r="Q374" s="93"/>
      <c r="R374" s="93"/>
      <c r="S374" s="93"/>
      <c r="T374" s="93"/>
      <c r="U374" s="93"/>
      <c r="V374" s="137"/>
      <c r="W374" s="243"/>
      <c r="X374" s="185"/>
      <c r="Y374" s="7">
        <f t="shared" si="10"/>
        <v>0</v>
      </c>
      <c r="Z374" s="7"/>
      <c r="AA374" s="469"/>
      <c r="AB374" s="479" t="s">
        <v>49</v>
      </c>
      <c r="AC374" s="480"/>
      <c r="AD374" s="639">
        <v>0</v>
      </c>
      <c r="AE374" s="639"/>
      <c r="AF374" s="9">
        <f t="shared" si="11"/>
        <v>0</v>
      </c>
      <c r="AG374" s="30"/>
      <c r="AH374" s="183"/>
      <c r="AI374" s="640" t="s">
        <v>882</v>
      </c>
      <c r="AJ374" s="93"/>
      <c r="AK374" s="93"/>
      <c r="AL374" s="10"/>
    </row>
    <row r="375" spans="1:38" ht="15" customHeight="1" x14ac:dyDescent="0.3">
      <c r="A375" s="59" t="s">
        <v>883</v>
      </c>
      <c r="B375" s="110" t="s">
        <v>422</v>
      </c>
      <c r="C375" s="57"/>
      <c r="D375" s="14" t="s">
        <v>190</v>
      </c>
      <c r="E375" s="122">
        <v>37834</v>
      </c>
      <c r="F375" s="12">
        <v>2003</v>
      </c>
      <c r="G375" s="24"/>
      <c r="H375" s="142"/>
      <c r="I375" s="22" t="s">
        <v>264</v>
      </c>
      <c r="J375" s="32" t="s">
        <v>26</v>
      </c>
      <c r="K375" s="477" t="s">
        <v>392</v>
      </c>
      <c r="L375" s="477"/>
      <c r="M375" s="477"/>
      <c r="N375" s="477"/>
      <c r="O375" s="476" t="s">
        <v>805</v>
      </c>
      <c r="P375" s="476" t="s">
        <v>839</v>
      </c>
      <c r="Q375" s="15" t="s">
        <v>282</v>
      </c>
      <c r="R375" s="15"/>
      <c r="S375" s="16" t="s">
        <v>6174</v>
      </c>
      <c r="T375" s="16"/>
      <c r="U375" s="484"/>
      <c r="V375" s="485"/>
      <c r="W375" s="243"/>
      <c r="X375" s="478"/>
      <c r="Y375" s="7">
        <f t="shared" si="10"/>
        <v>0</v>
      </c>
      <c r="Z375" s="521"/>
      <c r="AA375" s="469"/>
      <c r="AB375" s="513" t="s">
        <v>424</v>
      </c>
      <c r="AC375" s="147"/>
      <c r="AD375" s="489">
        <v>0</v>
      </c>
      <c r="AE375" s="489"/>
      <c r="AF375" s="9">
        <f t="shared" si="11"/>
        <v>0</v>
      </c>
      <c r="AG375" s="486"/>
      <c r="AH375" s="476"/>
      <c r="AI375" s="476"/>
      <c r="AJ375" s="77"/>
      <c r="AK375" s="59"/>
      <c r="AL375" s="10"/>
    </row>
    <row r="376" spans="1:38" ht="15" customHeight="1" x14ac:dyDescent="0.3">
      <c r="A376" s="641" t="s">
        <v>884</v>
      </c>
      <c r="B376" s="58" t="s">
        <v>810</v>
      </c>
      <c r="C376" s="57">
        <v>20</v>
      </c>
      <c r="D376" s="11" t="s">
        <v>5936</v>
      </c>
      <c r="E376" s="122">
        <v>37844</v>
      </c>
      <c r="F376" s="12">
        <v>2003</v>
      </c>
      <c r="G376" s="57" t="s">
        <v>885</v>
      </c>
      <c r="H376" s="142"/>
      <c r="I376" s="22" t="s">
        <v>264</v>
      </c>
      <c r="J376" s="32" t="s">
        <v>26</v>
      </c>
      <c r="K376" s="477" t="s">
        <v>636</v>
      </c>
      <c r="L376" s="477"/>
      <c r="M376" s="477"/>
      <c r="N376" s="477"/>
      <c r="O376" s="602" t="s">
        <v>886</v>
      </c>
      <c r="P376" s="476" t="s">
        <v>887</v>
      </c>
      <c r="Q376" s="476"/>
      <c r="R376" s="476"/>
      <c r="S376" s="16" t="s">
        <v>44</v>
      </c>
      <c r="T376" s="476"/>
      <c r="U376" s="476"/>
      <c r="V376" s="477"/>
      <c r="W376" s="243"/>
      <c r="X376" s="478"/>
      <c r="Y376" s="7">
        <f t="shared" si="10"/>
        <v>0</v>
      </c>
      <c r="Z376" s="521"/>
      <c r="AA376" s="469"/>
      <c r="AB376" s="479" t="s">
        <v>732</v>
      </c>
      <c r="AC376" s="480"/>
      <c r="AD376" s="489">
        <v>0</v>
      </c>
      <c r="AE376" s="489"/>
      <c r="AF376" s="9">
        <f t="shared" si="11"/>
        <v>0</v>
      </c>
      <c r="AG376" s="486" t="s">
        <v>815</v>
      </c>
      <c r="AH376" s="476" t="s">
        <v>888</v>
      </c>
      <c r="AI376" s="476"/>
      <c r="AJ376" s="10"/>
      <c r="AK376" s="59"/>
      <c r="AL376" s="10"/>
    </row>
    <row r="377" spans="1:38" ht="15" customHeight="1" x14ac:dyDescent="0.3">
      <c r="A377" s="59" t="s">
        <v>634</v>
      </c>
      <c r="B377" s="58" t="s">
        <v>105</v>
      </c>
      <c r="C377" s="57">
        <v>7</v>
      </c>
      <c r="D377" s="11" t="s">
        <v>5936</v>
      </c>
      <c r="E377" s="440">
        <v>2003</v>
      </c>
      <c r="F377" s="12">
        <v>1905</v>
      </c>
      <c r="G377" s="13"/>
      <c r="H377" s="142"/>
      <c r="I377" s="22" t="s">
        <v>264</v>
      </c>
      <c r="J377" s="32" t="s">
        <v>191</v>
      </c>
      <c r="K377" s="477" t="s">
        <v>889</v>
      </c>
      <c r="L377" s="477"/>
      <c r="M377" s="582"/>
      <c r="N377" s="582"/>
      <c r="O377" s="476" t="s">
        <v>890</v>
      </c>
      <c r="P377" s="476" t="s">
        <v>891</v>
      </c>
      <c r="Q377" s="15" t="s">
        <v>35</v>
      </c>
      <c r="R377" s="15"/>
      <c r="S377" s="16" t="s">
        <v>35</v>
      </c>
      <c r="T377" s="16"/>
      <c r="U377" s="484"/>
      <c r="V377" s="485"/>
      <c r="W377" s="243"/>
      <c r="X377" s="478"/>
      <c r="Y377" s="7">
        <f t="shared" si="10"/>
        <v>0</v>
      </c>
      <c r="Z377" s="478"/>
      <c r="AA377" s="469"/>
      <c r="AB377" s="479" t="s">
        <v>732</v>
      </c>
      <c r="AC377" s="480"/>
      <c r="AD377" s="489">
        <v>0</v>
      </c>
      <c r="AE377" s="489"/>
      <c r="AF377" s="9">
        <f t="shared" si="11"/>
        <v>0</v>
      </c>
      <c r="AG377" s="490"/>
      <c r="AH377" s="476"/>
      <c r="AI377" s="476"/>
      <c r="AJ377" s="10"/>
      <c r="AK377" s="59"/>
      <c r="AL377" s="481"/>
    </row>
    <row r="378" spans="1:38" ht="15" customHeight="1" x14ac:dyDescent="0.3">
      <c r="A378" s="531" t="s">
        <v>22</v>
      </c>
      <c r="B378" s="58" t="s">
        <v>836</v>
      </c>
      <c r="C378" s="58" t="s">
        <v>892</v>
      </c>
      <c r="D378" s="22" t="s">
        <v>190</v>
      </c>
      <c r="E378" s="454">
        <v>36717</v>
      </c>
      <c r="F378" s="12">
        <v>2000</v>
      </c>
      <c r="G378" s="36"/>
      <c r="H378" s="142"/>
      <c r="I378" s="57" t="s">
        <v>285</v>
      </c>
      <c r="J378" s="32" t="s">
        <v>26</v>
      </c>
      <c r="K378" s="477" t="s">
        <v>636</v>
      </c>
      <c r="L378" s="477"/>
      <c r="M378" s="477"/>
      <c r="N378" s="477"/>
      <c r="O378" s="477" t="s">
        <v>893</v>
      </c>
      <c r="P378" s="476" t="s">
        <v>839</v>
      </c>
      <c r="Q378" s="15" t="s">
        <v>282</v>
      </c>
      <c r="R378" s="15"/>
      <c r="S378" s="16" t="s">
        <v>44</v>
      </c>
      <c r="T378" s="16"/>
      <c r="U378" s="484"/>
      <c r="V378" s="485"/>
      <c r="W378" s="243"/>
      <c r="X378" s="478"/>
      <c r="Y378" s="7">
        <f t="shared" si="10"/>
        <v>0</v>
      </c>
      <c r="Z378" s="478"/>
      <c r="AA378" s="469"/>
      <c r="AB378" s="479" t="s">
        <v>840</v>
      </c>
      <c r="AC378" s="480"/>
      <c r="AD378" s="489">
        <v>0</v>
      </c>
      <c r="AE378" s="540"/>
      <c r="AF378" s="9">
        <f t="shared" si="11"/>
        <v>0</v>
      </c>
      <c r="AG378" s="539" t="s">
        <v>667</v>
      </c>
      <c r="AH378" s="476"/>
      <c r="AI378" s="496"/>
      <c r="AJ378" s="10"/>
      <c r="AK378" s="59"/>
      <c r="AL378" s="10"/>
    </row>
    <row r="379" spans="1:38" ht="15" customHeight="1" x14ac:dyDescent="0.3">
      <c r="A379" s="531" t="s">
        <v>22</v>
      </c>
      <c r="B379" s="58" t="s">
        <v>836</v>
      </c>
      <c r="C379" s="58" t="s">
        <v>837</v>
      </c>
      <c r="D379" s="22" t="s">
        <v>190</v>
      </c>
      <c r="E379" s="455">
        <v>36767</v>
      </c>
      <c r="F379" s="12">
        <v>2000</v>
      </c>
      <c r="G379" s="36"/>
      <c r="H379" s="142"/>
      <c r="I379" s="57" t="s">
        <v>767</v>
      </c>
      <c r="J379" s="32" t="s">
        <v>26</v>
      </c>
      <c r="K379" s="477" t="s">
        <v>636</v>
      </c>
      <c r="L379" s="477"/>
      <c r="M379" s="477"/>
      <c r="N379" s="477"/>
      <c r="O379" s="476" t="s">
        <v>838</v>
      </c>
      <c r="P379" s="496" t="s">
        <v>839</v>
      </c>
      <c r="Q379" s="15" t="s">
        <v>282</v>
      </c>
      <c r="R379" s="15"/>
      <c r="S379" s="16" t="s">
        <v>44</v>
      </c>
      <c r="T379" s="16"/>
      <c r="U379" s="484"/>
      <c r="V379" s="485"/>
      <c r="W379" s="243"/>
      <c r="X379" s="478"/>
      <c r="Y379" s="7">
        <f t="shared" si="10"/>
        <v>0</v>
      </c>
      <c r="Z379" s="478"/>
      <c r="AA379" s="469"/>
      <c r="AB379" s="479" t="s">
        <v>840</v>
      </c>
      <c r="AC379" s="480"/>
      <c r="AD379" s="489">
        <v>0</v>
      </c>
      <c r="AE379" s="540"/>
      <c r="AF379" s="9">
        <f t="shared" si="11"/>
        <v>0</v>
      </c>
      <c r="AG379" s="539" t="s">
        <v>667</v>
      </c>
      <c r="AH379" s="476"/>
      <c r="AI379" s="496" t="s">
        <v>894</v>
      </c>
      <c r="AJ379" s="10"/>
      <c r="AK379" s="59"/>
      <c r="AL379" s="10"/>
    </row>
    <row r="380" spans="1:38" ht="15" customHeight="1" x14ac:dyDescent="0.3">
      <c r="A380" s="59" t="s">
        <v>22</v>
      </c>
      <c r="B380" s="58" t="s">
        <v>105</v>
      </c>
      <c r="C380" s="57">
        <v>9</v>
      </c>
      <c r="D380" s="11" t="s">
        <v>5936</v>
      </c>
      <c r="E380" s="122">
        <v>35618</v>
      </c>
      <c r="F380" s="12">
        <v>1997</v>
      </c>
      <c r="G380" s="13" t="s">
        <v>895</v>
      </c>
      <c r="H380" s="142"/>
      <c r="I380" s="14" t="s">
        <v>285</v>
      </c>
      <c r="J380" s="32" t="s">
        <v>26</v>
      </c>
      <c r="K380" s="477" t="s">
        <v>695</v>
      </c>
      <c r="L380" s="477"/>
      <c r="M380" s="477"/>
      <c r="N380" s="477"/>
      <c r="O380" s="476" t="s">
        <v>896</v>
      </c>
      <c r="P380" s="483" t="s">
        <v>839</v>
      </c>
      <c r="Q380" s="15" t="s">
        <v>282</v>
      </c>
      <c r="R380" s="15"/>
      <c r="S380" s="16" t="s">
        <v>44</v>
      </c>
      <c r="T380" s="16"/>
      <c r="U380" s="484"/>
      <c r="V380" s="485"/>
      <c r="W380" s="243"/>
      <c r="X380" s="478"/>
      <c r="Y380" s="7">
        <f t="shared" si="10"/>
        <v>0</v>
      </c>
      <c r="Z380" s="478"/>
      <c r="AA380" s="469"/>
      <c r="AB380" s="479"/>
      <c r="AC380" s="480"/>
      <c r="AD380" s="489">
        <v>0</v>
      </c>
      <c r="AE380" s="489"/>
      <c r="AF380" s="9">
        <f t="shared" si="11"/>
        <v>0</v>
      </c>
      <c r="AG380" s="486" t="s">
        <v>720</v>
      </c>
      <c r="AH380" s="476"/>
      <c r="AI380" s="476"/>
      <c r="AJ380" s="10"/>
      <c r="AK380" s="59"/>
      <c r="AL380" s="10"/>
    </row>
    <row r="381" spans="1:38" ht="15" customHeight="1" x14ac:dyDescent="0.3">
      <c r="A381" s="59" t="s">
        <v>22</v>
      </c>
      <c r="B381" s="58" t="s">
        <v>345</v>
      </c>
      <c r="C381" s="57">
        <v>1</v>
      </c>
      <c r="D381" s="11" t="s">
        <v>225</v>
      </c>
      <c r="E381" s="122">
        <v>36557</v>
      </c>
      <c r="F381" s="12">
        <v>2000</v>
      </c>
      <c r="G381" s="24"/>
      <c r="H381" s="142"/>
      <c r="I381" s="22" t="s">
        <v>264</v>
      </c>
      <c r="J381" s="32" t="s">
        <v>26</v>
      </c>
      <c r="K381" s="477" t="s">
        <v>636</v>
      </c>
      <c r="L381" s="477"/>
      <c r="M381" s="477"/>
      <c r="N381" s="477"/>
      <c r="O381" s="476" t="s">
        <v>897</v>
      </c>
      <c r="P381" s="583" t="s">
        <v>839</v>
      </c>
      <c r="Q381" s="15" t="s">
        <v>282</v>
      </c>
      <c r="R381" s="15"/>
      <c r="S381" s="16" t="s">
        <v>44</v>
      </c>
      <c r="T381" s="16"/>
      <c r="U381" s="484"/>
      <c r="V381" s="485"/>
      <c r="W381" s="243"/>
      <c r="X381" s="478"/>
      <c r="Y381" s="7">
        <f t="shared" si="10"/>
        <v>0</v>
      </c>
      <c r="Z381" s="577"/>
      <c r="AA381" s="469"/>
      <c r="AB381" s="504" t="s">
        <v>6115</v>
      </c>
      <c r="AC381" s="138"/>
      <c r="AD381" s="489">
        <v>0</v>
      </c>
      <c r="AE381" s="489"/>
      <c r="AF381" s="9">
        <f t="shared" si="11"/>
        <v>0</v>
      </c>
      <c r="AG381" s="486"/>
      <c r="AH381" s="476"/>
      <c r="AI381" s="476" t="s">
        <v>898</v>
      </c>
      <c r="AJ381" s="10"/>
      <c r="AK381" s="59"/>
      <c r="AL381" s="10"/>
    </row>
    <row r="382" spans="1:38" ht="15" customHeight="1" x14ac:dyDescent="0.3">
      <c r="A382" s="77" t="s">
        <v>22</v>
      </c>
      <c r="B382" s="78" t="s">
        <v>148</v>
      </c>
      <c r="C382" s="79">
        <v>8</v>
      </c>
      <c r="D382" s="11" t="s">
        <v>143</v>
      </c>
      <c r="E382" s="450">
        <v>2003</v>
      </c>
      <c r="F382" s="12">
        <v>1905</v>
      </c>
      <c r="G382" s="83"/>
      <c r="H382" s="142"/>
      <c r="I382" s="22" t="s">
        <v>264</v>
      </c>
      <c r="J382" s="32" t="s">
        <v>26</v>
      </c>
      <c r="K382" s="610" t="s">
        <v>636</v>
      </c>
      <c r="L382" s="477"/>
      <c r="M382" s="477"/>
      <c r="N382" s="477"/>
      <c r="O382" s="483" t="s">
        <v>899</v>
      </c>
      <c r="P382" s="483" t="s">
        <v>839</v>
      </c>
      <c r="Q382" s="15" t="s">
        <v>282</v>
      </c>
      <c r="R382" s="15"/>
      <c r="S382" s="16" t="s">
        <v>44</v>
      </c>
      <c r="T382" s="16"/>
      <c r="U382" s="642"/>
      <c r="V382" s="560"/>
      <c r="W382" s="243"/>
      <c r="X382" s="478"/>
      <c r="Y382" s="7">
        <f t="shared" si="10"/>
        <v>0</v>
      </c>
      <c r="Z382" s="478"/>
      <c r="AA382" s="469"/>
      <c r="AB382" s="518" t="s">
        <v>5972</v>
      </c>
      <c r="AC382" s="519"/>
      <c r="AD382" s="618">
        <v>0</v>
      </c>
      <c r="AE382" s="618"/>
      <c r="AF382" s="9">
        <f t="shared" si="11"/>
        <v>0</v>
      </c>
      <c r="AG382" s="77"/>
      <c r="AH382" s="483"/>
      <c r="AI382" s="81"/>
      <c r="AJ382" s="77"/>
      <c r="AK382" s="77"/>
      <c r="AL382" s="77"/>
    </row>
    <row r="383" spans="1:38" ht="15" customHeight="1" x14ac:dyDescent="0.3">
      <c r="A383" s="59" t="s">
        <v>22</v>
      </c>
      <c r="B383" s="58" t="s">
        <v>105</v>
      </c>
      <c r="C383" s="57">
        <v>20</v>
      </c>
      <c r="D383" s="11" t="s">
        <v>5936</v>
      </c>
      <c r="E383" s="122">
        <v>36878</v>
      </c>
      <c r="F383" s="12">
        <v>2000</v>
      </c>
      <c r="G383" s="24" t="s">
        <v>900</v>
      </c>
      <c r="H383" s="142"/>
      <c r="I383" s="22" t="s">
        <v>264</v>
      </c>
      <c r="J383" s="32" t="s">
        <v>26</v>
      </c>
      <c r="K383" s="477" t="s">
        <v>392</v>
      </c>
      <c r="L383" s="477"/>
      <c r="M383" s="477"/>
      <c r="N383" s="477"/>
      <c r="O383" s="476" t="s">
        <v>901</v>
      </c>
      <c r="P383" s="476" t="s">
        <v>839</v>
      </c>
      <c r="Q383" s="15" t="s">
        <v>282</v>
      </c>
      <c r="R383" s="15"/>
      <c r="S383" s="16" t="s">
        <v>44</v>
      </c>
      <c r="T383" s="16"/>
      <c r="U383" s="484"/>
      <c r="V383" s="485"/>
      <c r="W383" s="243"/>
      <c r="X383" s="478"/>
      <c r="Y383" s="7">
        <f t="shared" si="10"/>
        <v>0</v>
      </c>
      <c r="Z383" s="478"/>
      <c r="AA383" s="469"/>
      <c r="AB383" s="479" t="s">
        <v>732</v>
      </c>
      <c r="AC383" s="480"/>
      <c r="AD383" s="489">
        <v>0</v>
      </c>
      <c r="AE383" s="489"/>
      <c r="AF383" s="9">
        <f t="shared" si="11"/>
        <v>0</v>
      </c>
      <c r="AG383" s="486" t="s">
        <v>677</v>
      </c>
      <c r="AH383" s="476"/>
      <c r="AI383" s="476" t="s">
        <v>902</v>
      </c>
      <c r="AJ383" s="10"/>
      <c r="AK383" s="59"/>
      <c r="AL383" s="10"/>
    </row>
    <row r="384" spans="1:38" ht="15" customHeight="1" x14ac:dyDescent="0.3">
      <c r="A384" s="59" t="s">
        <v>22</v>
      </c>
      <c r="B384" s="58" t="s">
        <v>23</v>
      </c>
      <c r="C384" s="57">
        <v>13</v>
      </c>
      <c r="D384" s="11" t="s">
        <v>24</v>
      </c>
      <c r="E384" s="122">
        <v>37004</v>
      </c>
      <c r="F384" s="12">
        <v>2001</v>
      </c>
      <c r="G384" s="24" t="s">
        <v>903</v>
      </c>
      <c r="H384" s="142"/>
      <c r="I384" s="35" t="s">
        <v>285</v>
      </c>
      <c r="J384" s="32" t="s">
        <v>26</v>
      </c>
      <c r="K384" s="477" t="s">
        <v>636</v>
      </c>
      <c r="L384" s="477"/>
      <c r="M384" s="477"/>
      <c r="N384" s="477"/>
      <c r="O384" s="476" t="s">
        <v>904</v>
      </c>
      <c r="P384" s="583" t="s">
        <v>839</v>
      </c>
      <c r="Q384" s="15" t="s">
        <v>282</v>
      </c>
      <c r="R384" s="15"/>
      <c r="S384" s="16" t="s">
        <v>44</v>
      </c>
      <c r="T384" s="16"/>
      <c r="U384" s="484"/>
      <c r="V384" s="485"/>
      <c r="W384" s="243"/>
      <c r="X384" s="478"/>
      <c r="Y384" s="7">
        <f t="shared" si="10"/>
        <v>0</v>
      </c>
      <c r="Z384" s="478"/>
      <c r="AA384" s="469"/>
      <c r="AB384" s="513" t="s">
        <v>5976</v>
      </c>
      <c r="AC384" s="147"/>
      <c r="AD384" s="489">
        <v>0</v>
      </c>
      <c r="AE384" s="489"/>
      <c r="AF384" s="9">
        <f t="shared" si="11"/>
        <v>0</v>
      </c>
      <c r="AG384" s="486" t="s">
        <v>788</v>
      </c>
      <c r="AH384" s="476"/>
      <c r="AI384" s="476"/>
      <c r="AJ384" s="10"/>
      <c r="AK384" s="59"/>
      <c r="AL384" s="10"/>
    </row>
    <row r="385" spans="1:38" ht="15" customHeight="1" x14ac:dyDescent="0.3">
      <c r="A385" s="59" t="s">
        <v>22</v>
      </c>
      <c r="B385" s="301" t="s">
        <v>819</v>
      </c>
      <c r="C385" s="57">
        <v>2</v>
      </c>
      <c r="D385" s="11" t="s">
        <v>225</v>
      </c>
      <c r="E385" s="122">
        <v>38125</v>
      </c>
      <c r="F385" s="12">
        <v>2004</v>
      </c>
      <c r="G385" s="24" t="s">
        <v>905</v>
      </c>
      <c r="H385" s="643"/>
      <c r="I385" s="22" t="s">
        <v>264</v>
      </c>
      <c r="J385" s="32" t="s">
        <v>191</v>
      </c>
      <c r="K385" s="477" t="s">
        <v>314</v>
      </c>
      <c r="L385" s="477"/>
      <c r="M385" s="477"/>
      <c r="N385" s="644"/>
      <c r="O385" s="644" t="s">
        <v>906</v>
      </c>
      <c r="P385" s="496" t="s">
        <v>839</v>
      </c>
      <c r="Q385" s="15" t="s">
        <v>282</v>
      </c>
      <c r="R385" s="15"/>
      <c r="S385" s="16"/>
      <c r="T385" s="16"/>
      <c r="U385" s="484"/>
      <c r="V385" s="485"/>
      <c r="W385" s="243"/>
      <c r="X385" s="478"/>
      <c r="Y385" s="7">
        <f t="shared" si="10"/>
        <v>0</v>
      </c>
      <c r="Z385" s="478"/>
      <c r="AA385" s="469"/>
      <c r="AB385" s="500" t="s">
        <v>5953</v>
      </c>
      <c r="AC385" s="501"/>
      <c r="AD385" s="489">
        <v>0</v>
      </c>
      <c r="AE385" s="489"/>
      <c r="AF385" s="9">
        <f t="shared" si="11"/>
        <v>0</v>
      </c>
      <c r="AG385" s="486"/>
      <c r="AH385" s="476"/>
      <c r="AI385" s="476"/>
      <c r="AJ385" s="10"/>
      <c r="AK385" s="59"/>
      <c r="AL385" s="10"/>
    </row>
    <row r="386" spans="1:38" ht="15" customHeight="1" x14ac:dyDescent="0.3">
      <c r="A386" s="59" t="s">
        <v>22</v>
      </c>
      <c r="B386" s="58" t="s">
        <v>188</v>
      </c>
      <c r="C386" s="57" t="s">
        <v>606</v>
      </c>
      <c r="D386" s="11" t="s">
        <v>143</v>
      </c>
      <c r="E386" s="122">
        <v>36734</v>
      </c>
      <c r="F386" s="12">
        <v>2000</v>
      </c>
      <c r="G386" s="24"/>
      <c r="H386" s="142"/>
      <c r="I386" s="22" t="s">
        <v>264</v>
      </c>
      <c r="J386" s="32" t="s">
        <v>26</v>
      </c>
      <c r="K386" s="477" t="s">
        <v>636</v>
      </c>
      <c r="L386" s="477"/>
      <c r="M386" s="477"/>
      <c r="N386" s="477"/>
      <c r="O386" s="476" t="s">
        <v>907</v>
      </c>
      <c r="P386" s="583" t="s">
        <v>839</v>
      </c>
      <c r="Q386" s="15" t="s">
        <v>282</v>
      </c>
      <c r="R386" s="15"/>
      <c r="S386" s="16" t="s">
        <v>44</v>
      </c>
      <c r="T386" s="16"/>
      <c r="U386" s="484"/>
      <c r="V386" s="485"/>
      <c r="W386" s="243"/>
      <c r="X386" s="478"/>
      <c r="Y386" s="7">
        <f t="shared" ref="Y386:Y449" si="12">W386*AE386</f>
        <v>0</v>
      </c>
      <c r="Z386" s="478"/>
      <c r="AA386" s="469"/>
      <c r="AB386" s="518" t="s">
        <v>147</v>
      </c>
      <c r="AC386" s="519"/>
      <c r="AD386" s="489">
        <v>0</v>
      </c>
      <c r="AE386" s="489"/>
      <c r="AF386" s="9">
        <f t="shared" si="11"/>
        <v>0</v>
      </c>
      <c r="AG386" s="486" t="s">
        <v>681</v>
      </c>
      <c r="AH386" s="476" t="s">
        <v>908</v>
      </c>
      <c r="AI386" s="476" t="s">
        <v>909</v>
      </c>
      <c r="AJ386" s="10"/>
      <c r="AK386" s="59"/>
      <c r="AL386" s="10"/>
    </row>
    <row r="387" spans="1:38" ht="15" customHeight="1" x14ac:dyDescent="0.3">
      <c r="A387" s="59" t="s">
        <v>22</v>
      </c>
      <c r="B387" s="110" t="s">
        <v>142</v>
      </c>
      <c r="C387" s="57">
        <v>3</v>
      </c>
      <c r="D387" s="11" t="s">
        <v>143</v>
      </c>
      <c r="E387" s="122">
        <v>36807</v>
      </c>
      <c r="F387" s="12">
        <v>2000</v>
      </c>
      <c r="G387" s="24"/>
      <c r="H387" s="142"/>
      <c r="I387" s="22" t="s">
        <v>264</v>
      </c>
      <c r="J387" s="59" t="s">
        <v>630</v>
      </c>
      <c r="K387" s="477" t="s">
        <v>631</v>
      </c>
      <c r="L387" s="477"/>
      <c r="M387" s="477"/>
      <c r="N387" s="477"/>
      <c r="O387" s="476" t="s">
        <v>910</v>
      </c>
      <c r="P387" s="583" t="s">
        <v>633</v>
      </c>
      <c r="Q387" s="15" t="s">
        <v>35</v>
      </c>
      <c r="R387" s="15"/>
      <c r="S387" s="16"/>
      <c r="T387" s="16"/>
      <c r="U387" s="484"/>
      <c r="V387" s="485"/>
      <c r="W387" s="243"/>
      <c r="X387" s="478"/>
      <c r="Y387" s="7">
        <f t="shared" si="12"/>
        <v>0</v>
      </c>
      <c r="Z387" s="478"/>
      <c r="AA387" s="469"/>
      <c r="AB387" s="518" t="s">
        <v>147</v>
      </c>
      <c r="AC387" s="519"/>
      <c r="AD387" s="489">
        <v>0</v>
      </c>
      <c r="AE387" s="489"/>
      <c r="AF387" s="9">
        <f t="shared" ref="AF387:AF450" si="13">AD387+AE387</f>
        <v>0</v>
      </c>
      <c r="AG387" s="486" t="s">
        <v>681</v>
      </c>
      <c r="AH387" s="476" t="s">
        <v>911</v>
      </c>
      <c r="AI387" s="476"/>
      <c r="AJ387" s="10"/>
      <c r="AK387" s="59"/>
      <c r="AL387" s="10"/>
    </row>
    <row r="388" spans="1:38" ht="15" customHeight="1" x14ac:dyDescent="0.3">
      <c r="A388" s="59" t="s">
        <v>22</v>
      </c>
      <c r="B388" s="58" t="s">
        <v>142</v>
      </c>
      <c r="C388" s="57">
        <v>2</v>
      </c>
      <c r="D388" s="11" t="s">
        <v>143</v>
      </c>
      <c r="E388" s="122">
        <v>37286</v>
      </c>
      <c r="F388" s="12">
        <v>2002</v>
      </c>
      <c r="G388" s="24"/>
      <c r="H388" s="142"/>
      <c r="I388" s="14" t="s">
        <v>285</v>
      </c>
      <c r="J388" s="32" t="s">
        <v>26</v>
      </c>
      <c r="K388" s="477" t="s">
        <v>392</v>
      </c>
      <c r="L388" s="477"/>
      <c r="M388" s="477"/>
      <c r="N388" s="477"/>
      <c r="O388" s="476" t="s">
        <v>912</v>
      </c>
      <c r="P388" s="583" t="s">
        <v>839</v>
      </c>
      <c r="Q388" s="15" t="s">
        <v>282</v>
      </c>
      <c r="R388" s="15"/>
      <c r="S388" s="16" t="s">
        <v>44</v>
      </c>
      <c r="T388" s="16"/>
      <c r="U388" s="484"/>
      <c r="V388" s="485"/>
      <c r="W388" s="243"/>
      <c r="X388" s="478"/>
      <c r="Y388" s="7">
        <f t="shared" si="12"/>
        <v>0</v>
      </c>
      <c r="Z388" s="478"/>
      <c r="AA388" s="469"/>
      <c r="AB388" s="479" t="s">
        <v>147</v>
      </c>
      <c r="AC388" s="480"/>
      <c r="AD388" s="489">
        <v>0</v>
      </c>
      <c r="AE388" s="489"/>
      <c r="AF388" s="9">
        <f t="shared" si="13"/>
        <v>0</v>
      </c>
      <c r="AG388" s="486"/>
      <c r="AH388" s="476" t="s">
        <v>913</v>
      </c>
      <c r="AI388" s="476"/>
      <c r="AJ388" s="10"/>
      <c r="AK388" s="59"/>
      <c r="AL388" s="10"/>
    </row>
    <row r="389" spans="1:38" ht="15" customHeight="1" x14ac:dyDescent="0.3">
      <c r="A389" s="617" t="s">
        <v>22</v>
      </c>
      <c r="B389" s="58" t="s">
        <v>105</v>
      </c>
      <c r="C389" s="58">
        <v>17</v>
      </c>
      <c r="D389" s="11" t="s">
        <v>5936</v>
      </c>
      <c r="E389" s="443">
        <v>36399</v>
      </c>
      <c r="F389" s="12">
        <v>1999</v>
      </c>
      <c r="G389" s="23" t="s">
        <v>914</v>
      </c>
      <c r="H389" s="142"/>
      <c r="I389" s="22" t="s">
        <v>264</v>
      </c>
      <c r="J389" s="32" t="s">
        <v>191</v>
      </c>
      <c r="K389" s="477" t="s">
        <v>915</v>
      </c>
      <c r="L389" s="477"/>
      <c r="M389" s="477"/>
      <c r="N389" s="477"/>
      <c r="O389" s="476" t="s">
        <v>916</v>
      </c>
      <c r="P389" s="558" t="s">
        <v>839</v>
      </c>
      <c r="Q389" s="15" t="s">
        <v>282</v>
      </c>
      <c r="R389" s="15"/>
      <c r="S389" s="16" t="s">
        <v>44</v>
      </c>
      <c r="T389" s="16"/>
      <c r="U389" s="484"/>
      <c r="V389" s="485"/>
      <c r="W389" s="243"/>
      <c r="X389" s="478"/>
      <c r="Y389" s="7">
        <f t="shared" si="12"/>
        <v>0</v>
      </c>
      <c r="Z389" s="577"/>
      <c r="AA389" s="469"/>
      <c r="AB389" s="500" t="s">
        <v>732</v>
      </c>
      <c r="AC389" s="501"/>
      <c r="AD389" s="540">
        <v>0</v>
      </c>
      <c r="AE389" s="540"/>
      <c r="AF389" s="9">
        <f t="shared" si="13"/>
        <v>0</v>
      </c>
      <c r="AG389" s="533" t="s">
        <v>677</v>
      </c>
      <c r="AH389" s="476" t="s">
        <v>851</v>
      </c>
      <c r="AI389" s="496"/>
      <c r="AJ389" s="10"/>
      <c r="AK389" s="59"/>
      <c r="AL389" s="10"/>
    </row>
    <row r="390" spans="1:38" ht="15" customHeight="1" x14ac:dyDescent="0.3">
      <c r="A390" s="520" t="s">
        <v>883</v>
      </c>
      <c r="B390" s="2" t="s">
        <v>223</v>
      </c>
      <c r="C390" s="6">
        <v>1</v>
      </c>
      <c r="D390" s="11" t="s">
        <v>190</v>
      </c>
      <c r="E390" s="430">
        <v>37773</v>
      </c>
      <c r="F390" s="12">
        <v>2003</v>
      </c>
      <c r="G390" s="111" t="s">
        <v>917</v>
      </c>
      <c r="H390" s="142"/>
      <c r="I390" s="22" t="s">
        <v>264</v>
      </c>
      <c r="J390" s="32" t="s">
        <v>26</v>
      </c>
      <c r="K390" s="474" t="s">
        <v>918</v>
      </c>
      <c r="L390" s="474"/>
      <c r="M390" s="474"/>
      <c r="N390" s="474"/>
      <c r="O390" s="475" t="s">
        <v>919</v>
      </c>
      <c r="P390" s="476" t="s">
        <v>839</v>
      </c>
      <c r="Q390" s="15" t="s">
        <v>282</v>
      </c>
      <c r="R390" s="15"/>
      <c r="S390" s="16" t="s">
        <v>44</v>
      </c>
      <c r="T390" s="16"/>
      <c r="U390" s="484"/>
      <c r="V390" s="485"/>
      <c r="W390" s="243"/>
      <c r="X390" s="478"/>
      <c r="Y390" s="7">
        <f t="shared" si="12"/>
        <v>0</v>
      </c>
      <c r="Z390" s="478"/>
      <c r="AA390" s="469"/>
      <c r="AB390" s="518" t="s">
        <v>783</v>
      </c>
      <c r="AC390" s="519"/>
      <c r="AD390" s="476">
        <v>0</v>
      </c>
      <c r="AE390" s="476"/>
      <c r="AF390" s="9">
        <f t="shared" si="13"/>
        <v>0</v>
      </c>
      <c r="AG390" s="476"/>
      <c r="AH390" s="475"/>
      <c r="AI390" s="476"/>
      <c r="AJ390" s="10"/>
      <c r="AK390" s="481"/>
      <c r="AL390" s="481"/>
    </row>
    <row r="391" spans="1:38" ht="15" customHeight="1" x14ac:dyDescent="0.3">
      <c r="A391" s="59" t="s">
        <v>920</v>
      </c>
      <c r="B391" s="58" t="s">
        <v>23</v>
      </c>
      <c r="C391" s="57">
        <v>6</v>
      </c>
      <c r="D391" s="11" t="s">
        <v>24</v>
      </c>
      <c r="E391" s="122">
        <v>37895</v>
      </c>
      <c r="F391" s="12">
        <v>2003</v>
      </c>
      <c r="G391" s="57" t="s">
        <v>921</v>
      </c>
      <c r="H391" s="142"/>
      <c r="I391" s="22" t="s">
        <v>264</v>
      </c>
      <c r="J391" s="59" t="s">
        <v>516</v>
      </c>
      <c r="K391" s="477" t="s">
        <v>922</v>
      </c>
      <c r="L391" s="477"/>
      <c r="M391" s="477"/>
      <c r="N391" s="477"/>
      <c r="O391" s="602" t="s">
        <v>923</v>
      </c>
      <c r="P391" s="602" t="s">
        <v>839</v>
      </c>
      <c r="Q391" s="15" t="s">
        <v>282</v>
      </c>
      <c r="R391" s="15"/>
      <c r="S391" s="16"/>
      <c r="T391" s="16"/>
      <c r="U391" s="484"/>
      <c r="V391" s="485"/>
      <c r="W391" s="243"/>
      <c r="X391" s="478"/>
      <c r="Y391" s="7">
        <f t="shared" si="12"/>
        <v>0</v>
      </c>
      <c r="Z391" s="478"/>
      <c r="AA391" s="469"/>
      <c r="AB391" s="479" t="s">
        <v>586</v>
      </c>
      <c r="AC391" s="480"/>
      <c r="AD391" s="489">
        <v>0</v>
      </c>
      <c r="AE391" s="489"/>
      <c r="AF391" s="9">
        <f t="shared" si="13"/>
        <v>0</v>
      </c>
      <c r="AG391" s="486"/>
      <c r="AH391" s="476"/>
      <c r="AI391" s="476"/>
      <c r="AJ391" s="77"/>
      <c r="AK391" s="59"/>
      <c r="AL391" s="10"/>
    </row>
    <row r="392" spans="1:38" ht="15" customHeight="1" x14ac:dyDescent="0.3">
      <c r="A392" s="59" t="s">
        <v>22</v>
      </c>
      <c r="B392" s="58" t="s">
        <v>924</v>
      </c>
      <c r="C392" s="58">
        <v>1</v>
      </c>
      <c r="D392" s="11" t="s">
        <v>143</v>
      </c>
      <c r="E392" s="441">
        <v>37032</v>
      </c>
      <c r="F392" s="12">
        <v>2001</v>
      </c>
      <c r="G392" s="36"/>
      <c r="H392" s="142"/>
      <c r="I392" s="22" t="s">
        <v>264</v>
      </c>
      <c r="J392" s="32" t="s">
        <v>26</v>
      </c>
      <c r="K392" s="477" t="s">
        <v>392</v>
      </c>
      <c r="L392" s="477"/>
      <c r="M392" s="477"/>
      <c r="N392" s="477"/>
      <c r="O392" s="476" t="s">
        <v>925</v>
      </c>
      <c r="P392" s="645" t="s">
        <v>839</v>
      </c>
      <c r="Q392" s="15" t="s">
        <v>282</v>
      </c>
      <c r="R392" s="44"/>
      <c r="S392" s="16" t="s">
        <v>44</v>
      </c>
      <c r="T392" s="16"/>
      <c r="U392" s="484"/>
      <c r="V392" s="485"/>
      <c r="W392" s="243"/>
      <c r="X392" s="478"/>
      <c r="Y392" s="7">
        <f t="shared" si="12"/>
        <v>0</v>
      </c>
      <c r="Z392" s="478"/>
      <c r="AA392" s="469"/>
      <c r="AB392" s="564" t="s">
        <v>578</v>
      </c>
      <c r="AC392" s="565"/>
      <c r="AD392" s="540">
        <v>0</v>
      </c>
      <c r="AE392" s="540"/>
      <c r="AF392" s="9">
        <f t="shared" si="13"/>
        <v>0</v>
      </c>
      <c r="AG392" s="539"/>
      <c r="AH392" s="476"/>
      <c r="AI392" s="496" t="s">
        <v>926</v>
      </c>
      <c r="AJ392" s="10"/>
      <c r="AK392" s="59"/>
      <c r="AL392" s="10"/>
    </row>
    <row r="393" spans="1:38" ht="15" customHeight="1" x14ac:dyDescent="0.3">
      <c r="A393" s="59" t="s">
        <v>22</v>
      </c>
      <c r="B393" s="110" t="s">
        <v>422</v>
      </c>
      <c r="C393" s="57">
        <v>4</v>
      </c>
      <c r="D393" s="14" t="s">
        <v>190</v>
      </c>
      <c r="E393" s="456">
        <v>36739</v>
      </c>
      <c r="F393" s="12">
        <v>2000</v>
      </c>
      <c r="G393" s="24" t="s">
        <v>927</v>
      </c>
      <c r="H393" s="142"/>
      <c r="I393" s="22" t="s">
        <v>264</v>
      </c>
      <c r="J393" s="59" t="s">
        <v>81</v>
      </c>
      <c r="K393" s="477" t="s">
        <v>640</v>
      </c>
      <c r="L393" s="477"/>
      <c r="M393" s="477"/>
      <c r="N393" s="477"/>
      <c r="O393" s="476" t="s">
        <v>928</v>
      </c>
      <c r="P393" s="476" t="s">
        <v>929</v>
      </c>
      <c r="Q393" s="15" t="s">
        <v>282</v>
      </c>
      <c r="R393" s="15"/>
      <c r="S393" s="16" t="s">
        <v>35</v>
      </c>
      <c r="T393" s="16"/>
      <c r="U393" s="484"/>
      <c r="V393" s="485"/>
      <c r="W393" s="243">
        <v>42595848</v>
      </c>
      <c r="X393" s="478"/>
      <c r="Y393" s="7">
        <f t="shared" si="12"/>
        <v>0</v>
      </c>
      <c r="Z393" s="478"/>
      <c r="AA393" s="469"/>
      <c r="AB393" s="513" t="s">
        <v>424</v>
      </c>
      <c r="AC393" s="147"/>
      <c r="AD393" s="489">
        <v>0</v>
      </c>
      <c r="AE393" s="489"/>
      <c r="AF393" s="9">
        <f t="shared" si="13"/>
        <v>0</v>
      </c>
      <c r="AG393" s="486" t="s">
        <v>681</v>
      </c>
      <c r="AH393" s="476" t="s">
        <v>682</v>
      </c>
      <c r="AI393" s="476"/>
      <c r="AJ393" s="10"/>
      <c r="AK393" s="59"/>
      <c r="AL393" s="10"/>
    </row>
    <row r="394" spans="1:38" ht="15" customHeight="1" x14ac:dyDescent="0.3">
      <c r="A394" s="59" t="s">
        <v>22</v>
      </c>
      <c r="B394" s="58" t="s">
        <v>23</v>
      </c>
      <c r="C394" s="57">
        <v>13</v>
      </c>
      <c r="D394" s="11" t="s">
        <v>24</v>
      </c>
      <c r="E394" s="122">
        <v>38018</v>
      </c>
      <c r="F394" s="12">
        <v>2004</v>
      </c>
      <c r="G394" s="57" t="s">
        <v>930</v>
      </c>
      <c r="H394" s="142"/>
      <c r="I394" s="14" t="s">
        <v>285</v>
      </c>
      <c r="J394" s="32" t="s">
        <v>26</v>
      </c>
      <c r="K394" s="477" t="s">
        <v>931</v>
      </c>
      <c r="L394" s="477"/>
      <c r="M394" s="477"/>
      <c r="N394" s="477"/>
      <c r="O394" s="476" t="s">
        <v>932</v>
      </c>
      <c r="P394" s="476" t="s">
        <v>839</v>
      </c>
      <c r="Q394" s="15" t="s">
        <v>282</v>
      </c>
      <c r="R394" s="15"/>
      <c r="S394" s="16" t="s">
        <v>44</v>
      </c>
      <c r="T394" s="16"/>
      <c r="U394" s="484"/>
      <c r="V394" s="485"/>
      <c r="W394" s="243"/>
      <c r="X394" s="478"/>
      <c r="Y394" s="7">
        <f t="shared" si="12"/>
        <v>0</v>
      </c>
      <c r="Z394" s="478"/>
      <c r="AA394" s="469"/>
      <c r="AB394" s="518" t="s">
        <v>933</v>
      </c>
      <c r="AC394" s="519"/>
      <c r="AD394" s="489">
        <v>0</v>
      </c>
      <c r="AE394" s="489"/>
      <c r="AF394" s="9">
        <f t="shared" si="13"/>
        <v>0</v>
      </c>
      <c r="AG394" s="486" t="s">
        <v>788</v>
      </c>
      <c r="AH394" s="476"/>
      <c r="AI394" s="476"/>
      <c r="AJ394" s="10"/>
      <c r="AK394" s="59"/>
      <c r="AL394" s="10"/>
    </row>
    <row r="395" spans="1:38" ht="15" customHeight="1" x14ac:dyDescent="0.3">
      <c r="A395" s="646" t="s">
        <v>22</v>
      </c>
      <c r="B395" s="112" t="s">
        <v>105</v>
      </c>
      <c r="C395" s="107">
        <v>12</v>
      </c>
      <c r="D395" s="11" t="s">
        <v>5936</v>
      </c>
      <c r="E395" s="108">
        <v>36658</v>
      </c>
      <c r="F395" s="12">
        <v>2000</v>
      </c>
      <c r="G395" s="103" t="s">
        <v>934</v>
      </c>
      <c r="H395" s="142"/>
      <c r="I395" s="33" t="s">
        <v>33</v>
      </c>
      <c r="J395" s="32" t="s">
        <v>26</v>
      </c>
      <c r="K395" s="622" t="s">
        <v>392</v>
      </c>
      <c r="L395" s="137" t="s">
        <v>40</v>
      </c>
      <c r="M395" s="137" t="s">
        <v>804</v>
      </c>
      <c r="N395" s="137"/>
      <c r="O395" s="93" t="s">
        <v>935</v>
      </c>
      <c r="P395" s="647" t="s">
        <v>839</v>
      </c>
      <c r="Q395" s="15" t="s">
        <v>282</v>
      </c>
      <c r="R395" s="91"/>
      <c r="S395" s="16" t="s">
        <v>44</v>
      </c>
      <c r="T395" s="92"/>
      <c r="U395" s="623"/>
      <c r="V395" s="624"/>
      <c r="W395" s="243"/>
      <c r="X395" s="185"/>
      <c r="Y395" s="7">
        <f t="shared" si="12"/>
        <v>0</v>
      </c>
      <c r="Z395" s="185"/>
      <c r="AA395" s="469"/>
      <c r="AB395" s="513" t="s">
        <v>732</v>
      </c>
      <c r="AC395" s="147"/>
      <c r="AD395" s="639">
        <v>0</v>
      </c>
      <c r="AE395" s="639"/>
      <c r="AF395" s="9">
        <f t="shared" si="13"/>
        <v>0</v>
      </c>
      <c r="AG395" s="183">
        <v>6.5</v>
      </c>
      <c r="AH395" s="476" t="s">
        <v>851</v>
      </c>
      <c r="AI395" s="640" t="s">
        <v>936</v>
      </c>
      <c r="AJ395" s="93"/>
      <c r="AK395" s="30"/>
      <c r="AL395" s="93"/>
    </row>
    <row r="396" spans="1:38" ht="15" customHeight="1" x14ac:dyDescent="0.3">
      <c r="A396" s="30" t="s">
        <v>22</v>
      </c>
      <c r="B396" s="113" t="s">
        <v>227</v>
      </c>
      <c r="C396" s="107" t="s">
        <v>937</v>
      </c>
      <c r="D396" s="11" t="s">
        <v>225</v>
      </c>
      <c r="E396" s="114">
        <v>37151</v>
      </c>
      <c r="F396" s="12">
        <v>2001</v>
      </c>
      <c r="G396" s="103">
        <v>1201043501</v>
      </c>
      <c r="H396" s="142"/>
      <c r="I396" s="12" t="s">
        <v>938</v>
      </c>
      <c r="J396" s="32" t="s">
        <v>26</v>
      </c>
      <c r="K396" s="622" t="s">
        <v>636</v>
      </c>
      <c r="L396" s="137"/>
      <c r="M396" s="648"/>
      <c r="N396" s="648"/>
      <c r="O396" s="93" t="s">
        <v>939</v>
      </c>
      <c r="P396" s="93" t="s">
        <v>839</v>
      </c>
      <c r="Q396" s="93"/>
      <c r="R396" s="93"/>
      <c r="S396" s="649" t="s">
        <v>44</v>
      </c>
      <c r="T396" s="93"/>
      <c r="U396" s="93"/>
      <c r="V396" s="137"/>
      <c r="W396" s="243"/>
      <c r="X396" s="185"/>
      <c r="Y396" s="7">
        <f t="shared" si="12"/>
        <v>0</v>
      </c>
      <c r="Z396" s="185"/>
      <c r="AA396" s="469"/>
      <c r="AB396" s="650" t="s">
        <v>5977</v>
      </c>
      <c r="AC396" s="651"/>
      <c r="AD396" s="639">
        <v>0</v>
      </c>
      <c r="AE396" s="639"/>
      <c r="AF396" s="9">
        <f t="shared" si="13"/>
        <v>0</v>
      </c>
      <c r="AG396" s="183"/>
      <c r="AH396" s="93"/>
      <c r="AI396" s="640"/>
      <c r="AJ396" s="93"/>
      <c r="AK396" s="30"/>
      <c r="AL396" s="93"/>
    </row>
    <row r="397" spans="1:38" ht="15" customHeight="1" x14ac:dyDescent="0.3">
      <c r="A397" s="652" t="s">
        <v>22</v>
      </c>
      <c r="B397" s="112" t="s">
        <v>144</v>
      </c>
      <c r="C397" s="107">
        <v>6</v>
      </c>
      <c r="D397" s="11" t="s">
        <v>143</v>
      </c>
      <c r="E397" s="108">
        <v>36501</v>
      </c>
      <c r="F397" s="12">
        <v>1999</v>
      </c>
      <c r="G397" s="103">
        <v>12943</v>
      </c>
      <c r="H397" s="142"/>
      <c r="I397" s="12" t="s">
        <v>25</v>
      </c>
      <c r="J397" s="32" t="s">
        <v>26</v>
      </c>
      <c r="K397" s="622" t="s">
        <v>621</v>
      </c>
      <c r="L397" s="137" t="s">
        <v>40</v>
      </c>
      <c r="M397" s="137" t="s">
        <v>804</v>
      </c>
      <c r="N397" s="137"/>
      <c r="O397" s="93" t="s">
        <v>940</v>
      </c>
      <c r="P397" s="93" t="s">
        <v>839</v>
      </c>
      <c r="Q397" s="15" t="s">
        <v>35</v>
      </c>
      <c r="R397" s="91"/>
      <c r="S397" s="16" t="s">
        <v>44</v>
      </c>
      <c r="T397" s="92"/>
      <c r="U397" s="623"/>
      <c r="V397" s="624"/>
      <c r="W397" s="243"/>
      <c r="X397" s="185"/>
      <c r="Y397" s="7">
        <f t="shared" si="12"/>
        <v>0</v>
      </c>
      <c r="Z397" s="185"/>
      <c r="AA397" s="469"/>
      <c r="AB397" s="503" t="s">
        <v>6055</v>
      </c>
      <c r="AC397" s="222"/>
      <c r="AD397" s="639">
        <v>0</v>
      </c>
      <c r="AE397" s="639"/>
      <c r="AF397" s="9">
        <f t="shared" si="13"/>
        <v>0</v>
      </c>
      <c r="AG397" s="183">
        <v>10</v>
      </c>
      <c r="AH397" s="93"/>
      <c r="AI397" s="640"/>
      <c r="AJ397" s="93"/>
      <c r="AK397" s="30"/>
      <c r="AL397" s="93"/>
    </row>
    <row r="398" spans="1:38" ht="15" customHeight="1" x14ac:dyDescent="0.3">
      <c r="A398" s="30" t="s">
        <v>22</v>
      </c>
      <c r="B398" s="88" t="s">
        <v>422</v>
      </c>
      <c r="C398" s="107">
        <v>4</v>
      </c>
      <c r="D398" s="12" t="s">
        <v>190</v>
      </c>
      <c r="E398" s="108">
        <v>36739</v>
      </c>
      <c r="F398" s="12">
        <v>2000</v>
      </c>
      <c r="G398" s="103" t="s">
        <v>927</v>
      </c>
      <c r="H398" s="142"/>
      <c r="I398" s="33" t="s">
        <v>33</v>
      </c>
      <c r="J398" s="30" t="s">
        <v>81</v>
      </c>
      <c r="K398" s="622" t="s">
        <v>640</v>
      </c>
      <c r="L398" s="137" t="s">
        <v>40</v>
      </c>
      <c r="M398" s="137" t="s">
        <v>804</v>
      </c>
      <c r="N398" s="137"/>
      <c r="O398" s="93" t="s">
        <v>928</v>
      </c>
      <c r="P398" s="93" t="s">
        <v>929</v>
      </c>
      <c r="Q398" s="15" t="s">
        <v>282</v>
      </c>
      <c r="R398" s="91"/>
      <c r="S398" s="16" t="s">
        <v>35</v>
      </c>
      <c r="T398" s="92"/>
      <c r="U398" s="623"/>
      <c r="V398" s="624"/>
      <c r="W398" s="243">
        <v>44295848</v>
      </c>
      <c r="X398" s="185"/>
      <c r="Y398" s="7">
        <f t="shared" si="12"/>
        <v>0</v>
      </c>
      <c r="Z398" s="185"/>
      <c r="AA398" s="469"/>
      <c r="AB398" s="513" t="s">
        <v>424</v>
      </c>
      <c r="AC398" s="147"/>
      <c r="AD398" s="639">
        <v>0</v>
      </c>
      <c r="AE398" s="639"/>
      <c r="AF398" s="9">
        <f t="shared" si="13"/>
        <v>0</v>
      </c>
      <c r="AG398" s="183">
        <v>7</v>
      </c>
      <c r="AH398" s="93" t="s">
        <v>682</v>
      </c>
      <c r="AI398" s="640"/>
      <c r="AJ398" s="93"/>
      <c r="AK398" s="30"/>
      <c r="AL398" s="93"/>
    </row>
    <row r="399" spans="1:38" ht="15" customHeight="1" x14ac:dyDescent="0.3">
      <c r="A399" s="568" t="s">
        <v>22</v>
      </c>
      <c r="B399" s="58" t="s">
        <v>105</v>
      </c>
      <c r="C399" s="57">
        <v>7</v>
      </c>
      <c r="D399" s="11" t="s">
        <v>5936</v>
      </c>
      <c r="E399" s="440">
        <v>36475</v>
      </c>
      <c r="F399" s="12">
        <v>1999</v>
      </c>
      <c r="G399" s="13" t="s">
        <v>941</v>
      </c>
      <c r="H399" s="142"/>
      <c r="I399" s="22" t="s">
        <v>264</v>
      </c>
      <c r="J399" s="32" t="s">
        <v>191</v>
      </c>
      <c r="K399" s="477" t="s">
        <v>314</v>
      </c>
      <c r="L399" s="477"/>
      <c r="M399" s="477"/>
      <c r="N399" s="477"/>
      <c r="O399" s="476" t="s">
        <v>942</v>
      </c>
      <c r="P399" s="476" t="s">
        <v>943</v>
      </c>
      <c r="Q399" s="15" t="s">
        <v>282</v>
      </c>
      <c r="R399" s="15"/>
      <c r="S399" s="16" t="s">
        <v>44</v>
      </c>
      <c r="T399" s="16"/>
      <c r="U399" s="484" t="s">
        <v>943</v>
      </c>
      <c r="V399" s="485"/>
      <c r="W399" s="243"/>
      <c r="X399" s="478"/>
      <c r="Y399" s="7">
        <f t="shared" si="12"/>
        <v>0</v>
      </c>
      <c r="Z399" s="478"/>
      <c r="AA399" s="469"/>
      <c r="AB399" s="479" t="s">
        <v>732</v>
      </c>
      <c r="AC399" s="480"/>
      <c r="AD399" s="489">
        <v>0</v>
      </c>
      <c r="AE399" s="489"/>
      <c r="AF399" s="9">
        <f t="shared" si="13"/>
        <v>0</v>
      </c>
      <c r="AG399" s="490" t="s">
        <v>677</v>
      </c>
      <c r="AH399" s="476"/>
      <c r="AI399" s="476"/>
      <c r="AJ399" s="10"/>
      <c r="AK399" s="59"/>
      <c r="AL399" s="10"/>
    </row>
    <row r="400" spans="1:38" ht="15" customHeight="1" x14ac:dyDescent="0.3">
      <c r="A400" s="568" t="s">
        <v>22</v>
      </c>
      <c r="B400" s="58" t="s">
        <v>5963</v>
      </c>
      <c r="C400" s="57">
        <v>2</v>
      </c>
      <c r="D400" s="14" t="s">
        <v>190</v>
      </c>
      <c r="E400" s="440">
        <v>36411</v>
      </c>
      <c r="F400" s="12">
        <v>1999</v>
      </c>
      <c r="G400" s="13"/>
      <c r="H400" s="142"/>
      <c r="I400" s="22" t="s">
        <v>264</v>
      </c>
      <c r="J400" s="32" t="s">
        <v>26</v>
      </c>
      <c r="K400" s="477" t="s">
        <v>695</v>
      </c>
      <c r="L400" s="477"/>
      <c r="M400" s="477"/>
      <c r="N400" s="477"/>
      <c r="O400" s="476" t="s">
        <v>944</v>
      </c>
      <c r="P400" s="476" t="s">
        <v>929</v>
      </c>
      <c r="Q400" s="15" t="s">
        <v>35</v>
      </c>
      <c r="R400" s="15"/>
      <c r="S400" s="16" t="s">
        <v>35</v>
      </c>
      <c r="T400" s="16"/>
      <c r="U400" s="484" t="s">
        <v>945</v>
      </c>
      <c r="V400" s="485"/>
      <c r="W400" s="243"/>
      <c r="X400" s="478"/>
      <c r="Y400" s="7">
        <f t="shared" si="12"/>
        <v>0</v>
      </c>
      <c r="Z400" s="478"/>
      <c r="AA400" s="469"/>
      <c r="AB400" s="479" t="s">
        <v>732</v>
      </c>
      <c r="AC400" s="480"/>
      <c r="AD400" s="489">
        <v>0</v>
      </c>
      <c r="AE400" s="489"/>
      <c r="AF400" s="9">
        <f t="shared" si="13"/>
        <v>0</v>
      </c>
      <c r="AG400" s="486">
        <v>1500000</v>
      </c>
      <c r="AH400" s="476"/>
      <c r="AI400" s="476" t="s">
        <v>946</v>
      </c>
      <c r="AJ400" s="10"/>
      <c r="AK400" s="59"/>
      <c r="AL400" s="10"/>
    </row>
    <row r="401" spans="1:38" ht="15" customHeight="1" x14ac:dyDescent="0.3">
      <c r="A401" s="568" t="s">
        <v>883</v>
      </c>
      <c r="B401" s="110" t="s">
        <v>422</v>
      </c>
      <c r="C401" s="57"/>
      <c r="D401" s="14" t="s">
        <v>190</v>
      </c>
      <c r="E401" s="122">
        <v>37712</v>
      </c>
      <c r="F401" s="12">
        <v>2003</v>
      </c>
      <c r="G401" s="24"/>
      <c r="H401" s="142"/>
      <c r="I401" s="22" t="s">
        <v>264</v>
      </c>
      <c r="J401" s="32" t="s">
        <v>26</v>
      </c>
      <c r="K401" s="477" t="s">
        <v>392</v>
      </c>
      <c r="L401" s="477"/>
      <c r="M401" s="477"/>
      <c r="N401" s="477"/>
      <c r="O401" s="476" t="s">
        <v>805</v>
      </c>
      <c r="P401" s="476" t="s">
        <v>943</v>
      </c>
      <c r="Q401" s="15" t="s">
        <v>282</v>
      </c>
      <c r="R401" s="15"/>
      <c r="S401" s="16" t="s">
        <v>44</v>
      </c>
      <c r="T401" s="16"/>
      <c r="U401" s="484"/>
      <c r="V401" s="485"/>
      <c r="W401" s="243"/>
      <c r="X401" s="478"/>
      <c r="Y401" s="7">
        <f t="shared" si="12"/>
        <v>0</v>
      </c>
      <c r="Z401" s="478"/>
      <c r="AA401" s="469"/>
      <c r="AB401" s="513" t="s">
        <v>424</v>
      </c>
      <c r="AC401" s="147"/>
      <c r="AD401" s="489">
        <v>0</v>
      </c>
      <c r="AE401" s="489"/>
      <c r="AF401" s="9">
        <f t="shared" si="13"/>
        <v>0</v>
      </c>
      <c r="AG401" s="486"/>
      <c r="AH401" s="476"/>
      <c r="AI401" s="476"/>
      <c r="AJ401" s="77"/>
      <c r="AK401" s="59"/>
      <c r="AL401" s="30"/>
    </row>
    <row r="402" spans="1:38" ht="15" customHeight="1" x14ac:dyDescent="0.3">
      <c r="A402" s="568" t="s">
        <v>508</v>
      </c>
      <c r="B402" s="58" t="s">
        <v>23</v>
      </c>
      <c r="C402" s="57">
        <v>7</v>
      </c>
      <c r="D402" s="11" t="s">
        <v>24</v>
      </c>
      <c r="E402" s="122">
        <v>37547</v>
      </c>
      <c r="F402" s="12">
        <v>2002</v>
      </c>
      <c r="G402" s="24" t="s">
        <v>947</v>
      </c>
      <c r="H402" s="142"/>
      <c r="I402" s="22" t="s">
        <v>264</v>
      </c>
      <c r="J402" s="59" t="s">
        <v>516</v>
      </c>
      <c r="K402" s="477" t="s">
        <v>741</v>
      </c>
      <c r="L402" s="477"/>
      <c r="M402" s="477"/>
      <c r="N402" s="477"/>
      <c r="O402" s="476" t="s">
        <v>948</v>
      </c>
      <c r="P402" s="583" t="s">
        <v>943</v>
      </c>
      <c r="Q402" s="15" t="s">
        <v>282</v>
      </c>
      <c r="R402" s="15"/>
      <c r="S402" s="16" t="s">
        <v>44</v>
      </c>
      <c r="T402" s="16"/>
      <c r="U402" s="484"/>
      <c r="V402" s="485"/>
      <c r="W402" s="243"/>
      <c r="X402" s="478"/>
      <c r="Y402" s="7">
        <f t="shared" si="12"/>
        <v>0</v>
      </c>
      <c r="Z402" s="478"/>
      <c r="AA402" s="469"/>
      <c r="AB402" s="479" t="s">
        <v>49</v>
      </c>
      <c r="AC402" s="480"/>
      <c r="AD402" s="489">
        <v>0</v>
      </c>
      <c r="AE402" s="489"/>
      <c r="AF402" s="9">
        <f t="shared" si="13"/>
        <v>0</v>
      </c>
      <c r="AG402" s="486"/>
      <c r="AH402" s="476" t="s">
        <v>765</v>
      </c>
      <c r="AI402" s="476"/>
      <c r="AJ402" s="10"/>
      <c r="AK402" s="59"/>
      <c r="AL402" s="30"/>
    </row>
    <row r="403" spans="1:38" ht="15" customHeight="1" x14ac:dyDescent="0.3">
      <c r="A403" s="646" t="s">
        <v>22</v>
      </c>
      <c r="B403" s="109" t="s">
        <v>949</v>
      </c>
      <c r="C403" s="107" t="s">
        <v>950</v>
      </c>
      <c r="D403" s="11" t="s">
        <v>24</v>
      </c>
      <c r="E403" s="108">
        <v>37734</v>
      </c>
      <c r="F403" s="12">
        <v>2003</v>
      </c>
      <c r="G403" s="103" t="s">
        <v>951</v>
      </c>
      <c r="H403" s="142"/>
      <c r="I403" s="57" t="s">
        <v>6176</v>
      </c>
      <c r="J403" s="30" t="s">
        <v>67</v>
      </c>
      <c r="K403" s="622" t="s">
        <v>392</v>
      </c>
      <c r="L403" s="137" t="s">
        <v>952</v>
      </c>
      <c r="M403" s="137" t="s">
        <v>953</v>
      </c>
      <c r="N403" s="137"/>
      <c r="O403" s="93" t="s">
        <v>954</v>
      </c>
      <c r="P403" s="93" t="s">
        <v>943</v>
      </c>
      <c r="Q403" s="93"/>
      <c r="R403" s="93"/>
      <c r="S403" s="93"/>
      <c r="T403" s="93"/>
      <c r="U403" s="93"/>
      <c r="V403" s="137"/>
      <c r="W403" s="243"/>
      <c r="X403" s="185"/>
      <c r="Y403" s="7">
        <f t="shared" si="12"/>
        <v>0</v>
      </c>
      <c r="Z403" s="185"/>
      <c r="AA403" s="469"/>
      <c r="AB403" s="479" t="s">
        <v>49</v>
      </c>
      <c r="AC403" s="480"/>
      <c r="AD403" s="653">
        <v>0</v>
      </c>
      <c r="AE403" s="653"/>
      <c r="AF403" s="9">
        <f t="shared" si="13"/>
        <v>0</v>
      </c>
      <c r="AG403" s="30"/>
      <c r="AH403" s="183"/>
      <c r="AI403" s="640"/>
      <c r="AJ403" s="93"/>
      <c r="AK403" s="181"/>
      <c r="AL403" s="30"/>
    </row>
    <row r="404" spans="1:38" ht="15" customHeight="1" x14ac:dyDescent="0.3">
      <c r="A404" s="654" t="s">
        <v>22</v>
      </c>
      <c r="B404" s="109" t="s">
        <v>949</v>
      </c>
      <c r="C404" s="107" t="s">
        <v>950</v>
      </c>
      <c r="D404" s="11" t="s">
        <v>24</v>
      </c>
      <c r="E404" s="108">
        <v>37734</v>
      </c>
      <c r="F404" s="12">
        <v>2003</v>
      </c>
      <c r="G404" s="103" t="s">
        <v>951</v>
      </c>
      <c r="H404" s="142"/>
      <c r="I404" s="57" t="s">
        <v>6176</v>
      </c>
      <c r="J404" s="30" t="s">
        <v>67</v>
      </c>
      <c r="K404" s="655" t="s">
        <v>392</v>
      </c>
      <c r="L404" s="137" t="s">
        <v>952</v>
      </c>
      <c r="M404" s="137" t="s">
        <v>953</v>
      </c>
      <c r="N404" s="137"/>
      <c r="O404" s="93" t="s">
        <v>954</v>
      </c>
      <c r="P404" s="93" t="s">
        <v>943</v>
      </c>
      <c r="Q404" s="93"/>
      <c r="R404" s="93"/>
      <c r="S404" s="93"/>
      <c r="T404" s="93"/>
      <c r="U404" s="93"/>
      <c r="V404" s="137"/>
      <c r="W404" s="243"/>
      <c r="X404" s="185"/>
      <c r="Y404" s="7">
        <f t="shared" si="12"/>
        <v>0</v>
      </c>
      <c r="Z404" s="185"/>
      <c r="AA404" s="469"/>
      <c r="AB404" s="479" t="s">
        <v>49</v>
      </c>
      <c r="AC404" s="480"/>
      <c r="AD404" s="653">
        <v>0</v>
      </c>
      <c r="AE404" s="653"/>
      <c r="AF404" s="9">
        <f t="shared" si="13"/>
        <v>0</v>
      </c>
      <c r="AG404" s="30"/>
      <c r="AH404" s="656"/>
      <c r="AI404" s="657"/>
      <c r="AJ404" s="93"/>
      <c r="AK404" s="93"/>
      <c r="AL404" s="30"/>
    </row>
    <row r="405" spans="1:38" ht="15" customHeight="1" x14ac:dyDescent="0.3">
      <c r="A405" s="654" t="s">
        <v>22</v>
      </c>
      <c r="B405" s="109" t="s">
        <v>949</v>
      </c>
      <c r="C405" s="107" t="s">
        <v>950</v>
      </c>
      <c r="D405" s="11" t="s">
        <v>24</v>
      </c>
      <c r="E405" s="108">
        <v>37950</v>
      </c>
      <c r="F405" s="12">
        <v>2003</v>
      </c>
      <c r="G405" s="115" t="s">
        <v>955</v>
      </c>
      <c r="H405" s="142"/>
      <c r="I405" s="57" t="s">
        <v>6176</v>
      </c>
      <c r="J405" s="30" t="s">
        <v>67</v>
      </c>
      <c r="K405" s="622" t="s">
        <v>392</v>
      </c>
      <c r="L405" s="137" t="s">
        <v>952</v>
      </c>
      <c r="M405" s="137" t="s">
        <v>953</v>
      </c>
      <c r="N405" s="137"/>
      <c r="O405" s="93" t="s">
        <v>954</v>
      </c>
      <c r="P405" s="93" t="s">
        <v>943</v>
      </c>
      <c r="Q405" s="15" t="s">
        <v>282</v>
      </c>
      <c r="R405" s="91"/>
      <c r="S405" s="92"/>
      <c r="T405" s="92"/>
      <c r="U405" s="623"/>
      <c r="V405" s="624"/>
      <c r="W405" s="243"/>
      <c r="X405" s="185"/>
      <c r="Y405" s="7">
        <f t="shared" si="12"/>
        <v>0</v>
      </c>
      <c r="Z405" s="185"/>
      <c r="AA405" s="469"/>
      <c r="AB405" s="479" t="s">
        <v>49</v>
      </c>
      <c r="AC405" s="480"/>
      <c r="AD405" s="653">
        <v>0</v>
      </c>
      <c r="AE405" s="653"/>
      <c r="AF405" s="9">
        <f t="shared" si="13"/>
        <v>0</v>
      </c>
      <c r="AG405" s="30"/>
      <c r="AH405" s="656"/>
      <c r="AI405" s="657"/>
      <c r="AJ405" s="93"/>
      <c r="AK405" s="93"/>
      <c r="AL405" s="30"/>
    </row>
    <row r="406" spans="1:38" ht="15" customHeight="1" x14ac:dyDescent="0.3">
      <c r="A406" s="654" t="s">
        <v>22</v>
      </c>
      <c r="B406" s="109" t="s">
        <v>949</v>
      </c>
      <c r="C406" s="107" t="s">
        <v>950</v>
      </c>
      <c r="D406" s="11" t="s">
        <v>24</v>
      </c>
      <c r="E406" s="108">
        <v>37950</v>
      </c>
      <c r="F406" s="12">
        <v>2003</v>
      </c>
      <c r="G406" s="115" t="s">
        <v>956</v>
      </c>
      <c r="H406" s="142"/>
      <c r="I406" s="57" t="s">
        <v>6176</v>
      </c>
      <c r="J406" s="30" t="s">
        <v>67</v>
      </c>
      <c r="K406" s="622" t="s">
        <v>392</v>
      </c>
      <c r="L406" s="137" t="s">
        <v>952</v>
      </c>
      <c r="M406" s="137" t="s">
        <v>953</v>
      </c>
      <c r="N406" s="137"/>
      <c r="O406" s="93" t="s">
        <v>954</v>
      </c>
      <c r="P406" s="93" t="s">
        <v>943</v>
      </c>
      <c r="Q406" s="15" t="s">
        <v>282</v>
      </c>
      <c r="R406" s="91"/>
      <c r="S406" s="92"/>
      <c r="T406" s="92"/>
      <c r="U406" s="623"/>
      <c r="V406" s="624"/>
      <c r="W406" s="243"/>
      <c r="X406" s="185"/>
      <c r="Y406" s="7">
        <f t="shared" si="12"/>
        <v>0</v>
      </c>
      <c r="Z406" s="185"/>
      <c r="AA406" s="469"/>
      <c r="AB406" s="479" t="s">
        <v>49</v>
      </c>
      <c r="AC406" s="480"/>
      <c r="AD406" s="653">
        <v>0</v>
      </c>
      <c r="AE406" s="653"/>
      <c r="AF406" s="9">
        <f t="shared" si="13"/>
        <v>0</v>
      </c>
      <c r="AG406" s="30"/>
      <c r="AH406" s="656"/>
      <c r="AI406" s="657"/>
      <c r="AJ406" s="93"/>
      <c r="AK406" s="93"/>
      <c r="AL406" s="30"/>
    </row>
    <row r="407" spans="1:38" ht="15" customHeight="1" x14ac:dyDescent="0.3">
      <c r="A407" s="654" t="s">
        <v>22</v>
      </c>
      <c r="B407" s="109" t="s">
        <v>949</v>
      </c>
      <c r="C407" s="107" t="s">
        <v>950</v>
      </c>
      <c r="D407" s="11" t="s">
        <v>24</v>
      </c>
      <c r="E407" s="108">
        <v>37950</v>
      </c>
      <c r="F407" s="12">
        <v>2003</v>
      </c>
      <c r="G407" s="115" t="s">
        <v>956</v>
      </c>
      <c r="H407" s="142"/>
      <c r="I407" s="57" t="s">
        <v>6176</v>
      </c>
      <c r="J407" s="30" t="s">
        <v>67</v>
      </c>
      <c r="K407" s="622" t="s">
        <v>392</v>
      </c>
      <c r="L407" s="137" t="s">
        <v>952</v>
      </c>
      <c r="M407" s="137" t="s">
        <v>953</v>
      </c>
      <c r="N407" s="137"/>
      <c r="O407" s="93" t="s">
        <v>954</v>
      </c>
      <c r="P407" s="93" t="s">
        <v>943</v>
      </c>
      <c r="Q407" s="15" t="s">
        <v>282</v>
      </c>
      <c r="R407" s="91"/>
      <c r="S407" s="92"/>
      <c r="T407" s="92"/>
      <c r="U407" s="623"/>
      <c r="V407" s="624"/>
      <c r="W407" s="243"/>
      <c r="X407" s="185"/>
      <c r="Y407" s="7">
        <f t="shared" si="12"/>
        <v>0</v>
      </c>
      <c r="Z407" s="185"/>
      <c r="AA407" s="469"/>
      <c r="AB407" s="479" t="s">
        <v>49</v>
      </c>
      <c r="AC407" s="480"/>
      <c r="AD407" s="653">
        <v>0</v>
      </c>
      <c r="AE407" s="653"/>
      <c r="AF407" s="9">
        <f t="shared" si="13"/>
        <v>0</v>
      </c>
      <c r="AG407" s="30"/>
      <c r="AH407" s="656"/>
      <c r="AI407" s="657"/>
      <c r="AJ407" s="93"/>
      <c r="AK407" s="93"/>
      <c r="AL407" s="30"/>
    </row>
    <row r="408" spans="1:38" ht="15" customHeight="1" x14ac:dyDescent="0.3">
      <c r="A408" s="654" t="s">
        <v>22</v>
      </c>
      <c r="B408" s="109" t="s">
        <v>949</v>
      </c>
      <c r="C408" s="107" t="s">
        <v>950</v>
      </c>
      <c r="D408" s="11" t="s">
        <v>24</v>
      </c>
      <c r="E408" s="108">
        <v>37950</v>
      </c>
      <c r="F408" s="12">
        <v>2003</v>
      </c>
      <c r="G408" s="115" t="s">
        <v>956</v>
      </c>
      <c r="H408" s="142"/>
      <c r="I408" s="57" t="s">
        <v>6176</v>
      </c>
      <c r="J408" s="30" t="s">
        <v>67</v>
      </c>
      <c r="K408" s="622" t="s">
        <v>392</v>
      </c>
      <c r="L408" s="137" t="s">
        <v>952</v>
      </c>
      <c r="M408" s="137" t="s">
        <v>953</v>
      </c>
      <c r="N408" s="137"/>
      <c r="O408" s="93" t="s">
        <v>954</v>
      </c>
      <c r="P408" s="93" t="s">
        <v>943</v>
      </c>
      <c r="Q408" s="15" t="s">
        <v>282</v>
      </c>
      <c r="R408" s="91"/>
      <c r="S408" s="92"/>
      <c r="T408" s="92"/>
      <c r="U408" s="623"/>
      <c r="V408" s="624"/>
      <c r="W408" s="243"/>
      <c r="X408" s="185"/>
      <c r="Y408" s="7">
        <f t="shared" si="12"/>
        <v>0</v>
      </c>
      <c r="Z408" s="185"/>
      <c r="AA408" s="469"/>
      <c r="AB408" s="479" t="s">
        <v>49</v>
      </c>
      <c r="AC408" s="480"/>
      <c r="AD408" s="653">
        <v>0</v>
      </c>
      <c r="AE408" s="653"/>
      <c r="AF408" s="9">
        <f t="shared" si="13"/>
        <v>0</v>
      </c>
      <c r="AG408" s="30"/>
      <c r="AH408" s="656"/>
      <c r="AI408" s="657"/>
      <c r="AJ408" s="93"/>
      <c r="AK408" s="93"/>
      <c r="AL408" s="30"/>
    </row>
    <row r="409" spans="1:38" ht="15" customHeight="1" x14ac:dyDescent="0.3">
      <c r="A409" s="658" t="s">
        <v>22</v>
      </c>
      <c r="B409" s="109" t="s">
        <v>949</v>
      </c>
      <c r="C409" s="107" t="s">
        <v>950</v>
      </c>
      <c r="D409" s="11" t="s">
        <v>24</v>
      </c>
      <c r="E409" s="108">
        <v>37950</v>
      </c>
      <c r="F409" s="12">
        <v>2003</v>
      </c>
      <c r="G409" s="115" t="s">
        <v>956</v>
      </c>
      <c r="H409" s="142"/>
      <c r="I409" s="57" t="s">
        <v>6176</v>
      </c>
      <c r="J409" s="30" t="s">
        <v>67</v>
      </c>
      <c r="K409" s="622" t="s">
        <v>392</v>
      </c>
      <c r="L409" s="137" t="s">
        <v>952</v>
      </c>
      <c r="M409" s="137" t="s">
        <v>953</v>
      </c>
      <c r="N409" s="137"/>
      <c r="O409" s="93" t="s">
        <v>954</v>
      </c>
      <c r="P409" s="93" t="s">
        <v>943</v>
      </c>
      <c r="Q409" s="15" t="s">
        <v>282</v>
      </c>
      <c r="R409" s="91"/>
      <c r="S409" s="92"/>
      <c r="T409" s="92"/>
      <c r="U409" s="623"/>
      <c r="V409" s="624"/>
      <c r="W409" s="243"/>
      <c r="X409" s="185"/>
      <c r="Y409" s="7">
        <f t="shared" si="12"/>
        <v>0</v>
      </c>
      <c r="Z409" s="185"/>
      <c r="AA409" s="469"/>
      <c r="AB409" s="479" t="s">
        <v>49</v>
      </c>
      <c r="AC409" s="480"/>
      <c r="AD409" s="653">
        <v>0</v>
      </c>
      <c r="AE409" s="653"/>
      <c r="AF409" s="9">
        <f t="shared" si="13"/>
        <v>0</v>
      </c>
      <c r="AG409" s="30"/>
      <c r="AH409" s="656"/>
      <c r="AI409" s="657"/>
      <c r="AJ409" s="93"/>
      <c r="AK409" s="93"/>
      <c r="AL409" s="30"/>
    </row>
    <row r="410" spans="1:38" ht="15" customHeight="1" x14ac:dyDescent="0.3">
      <c r="A410" s="658" t="s">
        <v>22</v>
      </c>
      <c r="B410" s="109" t="s">
        <v>949</v>
      </c>
      <c r="C410" s="107" t="s">
        <v>950</v>
      </c>
      <c r="D410" s="11" t="s">
        <v>24</v>
      </c>
      <c r="E410" s="108">
        <v>37950</v>
      </c>
      <c r="F410" s="12">
        <v>2003</v>
      </c>
      <c r="G410" s="115" t="s">
        <v>956</v>
      </c>
      <c r="H410" s="142"/>
      <c r="I410" s="57" t="s">
        <v>6176</v>
      </c>
      <c r="J410" s="30" t="s">
        <v>67</v>
      </c>
      <c r="K410" s="622" t="s">
        <v>392</v>
      </c>
      <c r="L410" s="137" t="s">
        <v>952</v>
      </c>
      <c r="M410" s="137" t="s">
        <v>953</v>
      </c>
      <c r="N410" s="137"/>
      <c r="O410" s="93" t="s">
        <v>954</v>
      </c>
      <c r="P410" s="93" t="s">
        <v>943</v>
      </c>
      <c r="Q410" s="15" t="s">
        <v>282</v>
      </c>
      <c r="R410" s="91"/>
      <c r="S410" s="92"/>
      <c r="T410" s="92"/>
      <c r="U410" s="623"/>
      <c r="V410" s="624"/>
      <c r="W410" s="243"/>
      <c r="X410" s="185"/>
      <c r="Y410" s="7">
        <f t="shared" si="12"/>
        <v>0</v>
      </c>
      <c r="Z410" s="185"/>
      <c r="AA410" s="469"/>
      <c r="AB410" s="479" t="s">
        <v>49</v>
      </c>
      <c r="AC410" s="480"/>
      <c r="AD410" s="653">
        <v>0</v>
      </c>
      <c r="AE410" s="653"/>
      <c r="AF410" s="9">
        <f t="shared" si="13"/>
        <v>0</v>
      </c>
      <c r="AG410" s="30"/>
      <c r="AH410" s="656"/>
      <c r="AI410" s="657"/>
      <c r="AJ410" s="93"/>
      <c r="AK410" s="93"/>
      <c r="AL410" s="30"/>
    </row>
    <row r="411" spans="1:38" ht="15" customHeight="1" x14ac:dyDescent="0.3">
      <c r="A411" s="658" t="s">
        <v>22</v>
      </c>
      <c r="B411" s="109" t="s">
        <v>949</v>
      </c>
      <c r="C411" s="107" t="s">
        <v>950</v>
      </c>
      <c r="D411" s="11" t="s">
        <v>24</v>
      </c>
      <c r="E411" s="108">
        <v>37950</v>
      </c>
      <c r="F411" s="12">
        <v>2003</v>
      </c>
      <c r="G411" s="115" t="s">
        <v>956</v>
      </c>
      <c r="H411" s="142"/>
      <c r="I411" s="57" t="s">
        <v>6176</v>
      </c>
      <c r="J411" s="30" t="s">
        <v>67</v>
      </c>
      <c r="K411" s="622" t="s">
        <v>392</v>
      </c>
      <c r="L411" s="137" t="s">
        <v>952</v>
      </c>
      <c r="M411" s="137" t="s">
        <v>953</v>
      </c>
      <c r="N411" s="137"/>
      <c r="O411" s="137" t="s">
        <v>954</v>
      </c>
      <c r="P411" s="93" t="s">
        <v>943</v>
      </c>
      <c r="Q411" s="15" t="s">
        <v>282</v>
      </c>
      <c r="R411" s="91"/>
      <c r="S411" s="92"/>
      <c r="T411" s="92"/>
      <c r="U411" s="623"/>
      <c r="V411" s="624"/>
      <c r="W411" s="243"/>
      <c r="X411" s="185"/>
      <c r="Y411" s="7">
        <f t="shared" si="12"/>
        <v>0</v>
      </c>
      <c r="Z411" s="185"/>
      <c r="AA411" s="469"/>
      <c r="AB411" s="479" t="s">
        <v>49</v>
      </c>
      <c r="AC411" s="480"/>
      <c r="AD411" s="653">
        <v>0</v>
      </c>
      <c r="AE411" s="653"/>
      <c r="AF411" s="9">
        <f t="shared" si="13"/>
        <v>0</v>
      </c>
      <c r="AG411" s="30"/>
      <c r="AH411" s="656"/>
      <c r="AI411" s="657"/>
      <c r="AJ411" s="93"/>
      <c r="AK411" s="93"/>
      <c r="AL411" s="30"/>
    </row>
    <row r="412" spans="1:38" ht="15" customHeight="1" x14ac:dyDescent="0.3">
      <c r="A412" s="654" t="s">
        <v>22</v>
      </c>
      <c r="B412" s="109" t="s">
        <v>949</v>
      </c>
      <c r="C412" s="107" t="s">
        <v>950</v>
      </c>
      <c r="D412" s="11" t="s">
        <v>24</v>
      </c>
      <c r="E412" s="108">
        <v>37950</v>
      </c>
      <c r="F412" s="12">
        <v>2003</v>
      </c>
      <c r="G412" s="115" t="s">
        <v>956</v>
      </c>
      <c r="H412" s="142"/>
      <c r="I412" s="57" t="s">
        <v>6176</v>
      </c>
      <c r="J412" s="30" t="s">
        <v>67</v>
      </c>
      <c r="K412" s="622" t="s">
        <v>392</v>
      </c>
      <c r="L412" s="137" t="s">
        <v>952</v>
      </c>
      <c r="M412" s="137" t="s">
        <v>953</v>
      </c>
      <c r="N412" s="137"/>
      <c r="O412" s="93" t="s">
        <v>954</v>
      </c>
      <c r="P412" s="93" t="s">
        <v>943</v>
      </c>
      <c r="Q412" s="15" t="s">
        <v>282</v>
      </c>
      <c r="R412" s="91"/>
      <c r="S412" s="92"/>
      <c r="T412" s="92"/>
      <c r="U412" s="623"/>
      <c r="V412" s="624"/>
      <c r="W412" s="243"/>
      <c r="X412" s="185"/>
      <c r="Y412" s="7">
        <f t="shared" si="12"/>
        <v>0</v>
      </c>
      <c r="Z412" s="185"/>
      <c r="AA412" s="469"/>
      <c r="AB412" s="479" t="s">
        <v>49</v>
      </c>
      <c r="AC412" s="480"/>
      <c r="AD412" s="653">
        <v>0</v>
      </c>
      <c r="AE412" s="653"/>
      <c r="AF412" s="9">
        <f t="shared" si="13"/>
        <v>0</v>
      </c>
      <c r="AG412" s="30"/>
      <c r="AH412" s="656"/>
      <c r="AI412" s="657"/>
      <c r="AJ412" s="93"/>
      <c r="AK412" s="93"/>
      <c r="AL412" s="30"/>
    </row>
    <row r="413" spans="1:38" ht="15" customHeight="1" x14ac:dyDescent="0.3">
      <c r="A413" s="654" t="s">
        <v>22</v>
      </c>
      <c r="B413" s="109" t="s">
        <v>949</v>
      </c>
      <c r="C413" s="107" t="s">
        <v>950</v>
      </c>
      <c r="D413" s="11" t="s">
        <v>24</v>
      </c>
      <c r="E413" s="108">
        <v>37950</v>
      </c>
      <c r="F413" s="12">
        <v>2003</v>
      </c>
      <c r="G413" s="115" t="s">
        <v>957</v>
      </c>
      <c r="H413" s="142"/>
      <c r="I413" s="57" t="s">
        <v>6176</v>
      </c>
      <c r="J413" s="30" t="s">
        <v>67</v>
      </c>
      <c r="K413" s="622" t="s">
        <v>392</v>
      </c>
      <c r="L413" s="137" t="s">
        <v>952</v>
      </c>
      <c r="M413" s="137" t="s">
        <v>953</v>
      </c>
      <c r="N413" s="137"/>
      <c r="O413" s="93" t="s">
        <v>954</v>
      </c>
      <c r="P413" s="93" t="s">
        <v>943</v>
      </c>
      <c r="Q413" s="15" t="s">
        <v>282</v>
      </c>
      <c r="R413" s="91"/>
      <c r="S413" s="92"/>
      <c r="T413" s="92"/>
      <c r="U413" s="623"/>
      <c r="V413" s="624"/>
      <c r="W413" s="243"/>
      <c r="X413" s="185"/>
      <c r="Y413" s="7">
        <f t="shared" si="12"/>
        <v>0</v>
      </c>
      <c r="Z413" s="185"/>
      <c r="AA413" s="469"/>
      <c r="AB413" s="479" t="s">
        <v>49</v>
      </c>
      <c r="AC413" s="480"/>
      <c r="AD413" s="653">
        <v>0</v>
      </c>
      <c r="AE413" s="653"/>
      <c r="AF413" s="9">
        <f t="shared" si="13"/>
        <v>0</v>
      </c>
      <c r="AG413" s="30"/>
      <c r="AH413" s="656"/>
      <c r="AI413" s="657"/>
      <c r="AJ413" s="93"/>
      <c r="AK413" s="93"/>
      <c r="AL413" s="30"/>
    </row>
    <row r="414" spans="1:38" ht="15" customHeight="1" x14ac:dyDescent="0.3">
      <c r="A414" s="654" t="s">
        <v>22</v>
      </c>
      <c r="B414" s="109" t="s">
        <v>949</v>
      </c>
      <c r="C414" s="107" t="s">
        <v>950</v>
      </c>
      <c r="D414" s="11" t="s">
        <v>24</v>
      </c>
      <c r="E414" s="108">
        <v>37950</v>
      </c>
      <c r="F414" s="12">
        <v>2003</v>
      </c>
      <c r="G414" s="115" t="s">
        <v>957</v>
      </c>
      <c r="H414" s="142"/>
      <c r="I414" s="57" t="s">
        <v>6176</v>
      </c>
      <c r="J414" s="30" t="s">
        <v>67</v>
      </c>
      <c r="K414" s="622" t="s">
        <v>392</v>
      </c>
      <c r="L414" s="137" t="s">
        <v>952</v>
      </c>
      <c r="M414" s="137" t="s">
        <v>953</v>
      </c>
      <c r="N414" s="137"/>
      <c r="O414" s="93" t="s">
        <v>954</v>
      </c>
      <c r="P414" s="93" t="s">
        <v>943</v>
      </c>
      <c r="Q414" s="15" t="s">
        <v>282</v>
      </c>
      <c r="R414" s="91"/>
      <c r="S414" s="92"/>
      <c r="T414" s="92"/>
      <c r="U414" s="623"/>
      <c r="V414" s="624"/>
      <c r="W414" s="243"/>
      <c r="X414" s="185"/>
      <c r="Y414" s="7">
        <f t="shared" si="12"/>
        <v>0</v>
      </c>
      <c r="Z414" s="185"/>
      <c r="AA414" s="469"/>
      <c r="AB414" s="479" t="s">
        <v>49</v>
      </c>
      <c r="AC414" s="480"/>
      <c r="AD414" s="653">
        <v>0</v>
      </c>
      <c r="AE414" s="653"/>
      <c r="AF414" s="9">
        <f t="shared" si="13"/>
        <v>0</v>
      </c>
      <c r="AG414" s="30"/>
      <c r="AH414" s="656"/>
      <c r="AI414" s="657"/>
      <c r="AJ414" s="93"/>
      <c r="AK414" s="93"/>
      <c r="AL414" s="30"/>
    </row>
    <row r="415" spans="1:38" ht="15" customHeight="1" x14ac:dyDescent="0.3">
      <c r="A415" s="654" t="s">
        <v>22</v>
      </c>
      <c r="B415" s="109" t="s">
        <v>949</v>
      </c>
      <c r="C415" s="107" t="s">
        <v>950</v>
      </c>
      <c r="D415" s="11" t="s">
        <v>24</v>
      </c>
      <c r="E415" s="108">
        <v>37950</v>
      </c>
      <c r="F415" s="12">
        <v>2003</v>
      </c>
      <c r="G415" s="115" t="s">
        <v>957</v>
      </c>
      <c r="H415" s="142"/>
      <c r="I415" s="57" t="s">
        <v>6176</v>
      </c>
      <c r="J415" s="30" t="s">
        <v>67</v>
      </c>
      <c r="K415" s="622" t="s">
        <v>392</v>
      </c>
      <c r="L415" s="137" t="s">
        <v>952</v>
      </c>
      <c r="M415" s="137" t="s">
        <v>953</v>
      </c>
      <c r="N415" s="137"/>
      <c r="O415" s="93" t="s">
        <v>954</v>
      </c>
      <c r="P415" s="93" t="s">
        <v>943</v>
      </c>
      <c r="Q415" s="15" t="s">
        <v>282</v>
      </c>
      <c r="R415" s="91"/>
      <c r="S415" s="92"/>
      <c r="T415" s="92"/>
      <c r="U415" s="623"/>
      <c r="V415" s="624"/>
      <c r="W415" s="243"/>
      <c r="X415" s="185"/>
      <c r="Y415" s="7">
        <f t="shared" si="12"/>
        <v>0</v>
      </c>
      <c r="Z415" s="185"/>
      <c r="AA415" s="469"/>
      <c r="AB415" s="479" t="s">
        <v>49</v>
      </c>
      <c r="AC415" s="480"/>
      <c r="AD415" s="653">
        <v>0</v>
      </c>
      <c r="AE415" s="653"/>
      <c r="AF415" s="9">
        <f t="shared" si="13"/>
        <v>0</v>
      </c>
      <c r="AG415" s="30"/>
      <c r="AH415" s="656"/>
      <c r="AI415" s="657"/>
      <c r="AJ415" s="93"/>
      <c r="AK415" s="93"/>
      <c r="AL415" s="30"/>
    </row>
    <row r="416" spans="1:38" ht="15" customHeight="1" x14ac:dyDescent="0.3">
      <c r="A416" s="654" t="s">
        <v>22</v>
      </c>
      <c r="B416" s="109" t="s">
        <v>949</v>
      </c>
      <c r="C416" s="107" t="s">
        <v>950</v>
      </c>
      <c r="D416" s="11" t="s">
        <v>24</v>
      </c>
      <c r="E416" s="108">
        <v>37950</v>
      </c>
      <c r="F416" s="12">
        <v>2003</v>
      </c>
      <c r="G416" s="115" t="s">
        <v>957</v>
      </c>
      <c r="H416" s="142"/>
      <c r="I416" s="57" t="s">
        <v>6176</v>
      </c>
      <c r="J416" s="30" t="s">
        <v>67</v>
      </c>
      <c r="K416" s="622" t="s">
        <v>392</v>
      </c>
      <c r="L416" s="137" t="s">
        <v>952</v>
      </c>
      <c r="M416" s="137" t="s">
        <v>953</v>
      </c>
      <c r="N416" s="137"/>
      <c r="O416" s="93" t="s">
        <v>954</v>
      </c>
      <c r="P416" s="93" t="s">
        <v>943</v>
      </c>
      <c r="Q416" s="15" t="s">
        <v>282</v>
      </c>
      <c r="R416" s="91"/>
      <c r="S416" s="92"/>
      <c r="T416" s="92"/>
      <c r="U416" s="623"/>
      <c r="V416" s="624"/>
      <c r="W416" s="243"/>
      <c r="X416" s="185"/>
      <c r="Y416" s="7">
        <f t="shared" si="12"/>
        <v>0</v>
      </c>
      <c r="Z416" s="185"/>
      <c r="AA416" s="469"/>
      <c r="AB416" s="479" t="s">
        <v>49</v>
      </c>
      <c r="AC416" s="480"/>
      <c r="AD416" s="653">
        <v>0</v>
      </c>
      <c r="AE416" s="653"/>
      <c r="AF416" s="9">
        <f t="shared" si="13"/>
        <v>0</v>
      </c>
      <c r="AG416" s="30"/>
      <c r="AH416" s="656"/>
      <c r="AI416" s="657"/>
      <c r="AJ416" s="93"/>
      <c r="AK416" s="93"/>
      <c r="AL416" s="30"/>
    </row>
    <row r="417" spans="1:38" ht="15" customHeight="1" x14ac:dyDescent="0.3">
      <c r="A417" s="654" t="s">
        <v>22</v>
      </c>
      <c r="B417" s="109" t="s">
        <v>949</v>
      </c>
      <c r="C417" s="107" t="s">
        <v>950</v>
      </c>
      <c r="D417" s="11" t="s">
        <v>24</v>
      </c>
      <c r="E417" s="108">
        <v>37950</v>
      </c>
      <c r="F417" s="12">
        <v>2003</v>
      </c>
      <c r="G417" s="115" t="s">
        <v>957</v>
      </c>
      <c r="H417" s="142"/>
      <c r="I417" s="57" t="s">
        <v>6176</v>
      </c>
      <c r="J417" s="30" t="s">
        <v>67</v>
      </c>
      <c r="K417" s="622" t="s">
        <v>392</v>
      </c>
      <c r="L417" s="137" t="s">
        <v>952</v>
      </c>
      <c r="M417" s="137" t="s">
        <v>953</v>
      </c>
      <c r="N417" s="137"/>
      <c r="O417" s="93" t="s">
        <v>954</v>
      </c>
      <c r="P417" s="93" t="s">
        <v>943</v>
      </c>
      <c r="Q417" s="15" t="s">
        <v>282</v>
      </c>
      <c r="R417" s="91"/>
      <c r="S417" s="92"/>
      <c r="T417" s="92"/>
      <c r="U417" s="623"/>
      <c r="V417" s="624"/>
      <c r="W417" s="243"/>
      <c r="X417" s="185"/>
      <c r="Y417" s="7">
        <f t="shared" si="12"/>
        <v>0</v>
      </c>
      <c r="Z417" s="185"/>
      <c r="AA417" s="469"/>
      <c r="AB417" s="479" t="s">
        <v>49</v>
      </c>
      <c r="AC417" s="480"/>
      <c r="AD417" s="653">
        <v>0</v>
      </c>
      <c r="AE417" s="653"/>
      <c r="AF417" s="9">
        <f t="shared" si="13"/>
        <v>0</v>
      </c>
      <c r="AG417" s="30"/>
      <c r="AH417" s="656"/>
      <c r="AI417" s="657"/>
      <c r="AJ417" s="93"/>
      <c r="AK417" s="93"/>
      <c r="AL417" s="30"/>
    </row>
    <row r="418" spans="1:38" ht="15" customHeight="1" x14ac:dyDescent="0.3">
      <c r="A418" s="654" t="s">
        <v>22</v>
      </c>
      <c r="B418" s="109" t="s">
        <v>949</v>
      </c>
      <c r="C418" s="107" t="s">
        <v>950</v>
      </c>
      <c r="D418" s="11" t="s">
        <v>24</v>
      </c>
      <c r="E418" s="108">
        <v>37950</v>
      </c>
      <c r="F418" s="12">
        <v>2003</v>
      </c>
      <c r="G418" s="115" t="s">
        <v>957</v>
      </c>
      <c r="H418" s="142"/>
      <c r="I418" s="57" t="s">
        <v>6176</v>
      </c>
      <c r="J418" s="30" t="s">
        <v>67</v>
      </c>
      <c r="K418" s="622" t="s">
        <v>392</v>
      </c>
      <c r="L418" s="137" t="s">
        <v>952</v>
      </c>
      <c r="M418" s="137" t="s">
        <v>953</v>
      </c>
      <c r="N418" s="137"/>
      <c r="O418" s="93" t="s">
        <v>954</v>
      </c>
      <c r="P418" s="93" t="s">
        <v>943</v>
      </c>
      <c r="Q418" s="15" t="s">
        <v>282</v>
      </c>
      <c r="R418" s="91"/>
      <c r="S418" s="92"/>
      <c r="T418" s="92"/>
      <c r="U418" s="623"/>
      <c r="V418" s="624"/>
      <c r="W418" s="243"/>
      <c r="X418" s="185"/>
      <c r="Y418" s="7">
        <f t="shared" si="12"/>
        <v>0</v>
      </c>
      <c r="Z418" s="185"/>
      <c r="AA418" s="469"/>
      <c r="AB418" s="479" t="s">
        <v>49</v>
      </c>
      <c r="AC418" s="480"/>
      <c r="AD418" s="653">
        <v>0</v>
      </c>
      <c r="AE418" s="653"/>
      <c r="AF418" s="9">
        <f t="shared" si="13"/>
        <v>0</v>
      </c>
      <c r="AG418" s="30"/>
      <c r="AH418" s="656"/>
      <c r="AI418" s="657"/>
      <c r="AJ418" s="93"/>
      <c r="AK418" s="93"/>
      <c r="AL418" s="30"/>
    </row>
    <row r="419" spans="1:38" ht="15" customHeight="1" x14ac:dyDescent="0.3">
      <c r="A419" s="654" t="s">
        <v>22</v>
      </c>
      <c r="B419" s="109" t="s">
        <v>949</v>
      </c>
      <c r="C419" s="107" t="s">
        <v>950</v>
      </c>
      <c r="D419" s="11" t="s">
        <v>24</v>
      </c>
      <c r="E419" s="108">
        <v>37950</v>
      </c>
      <c r="F419" s="12">
        <v>2003</v>
      </c>
      <c r="G419" s="115" t="s">
        <v>955</v>
      </c>
      <c r="H419" s="142"/>
      <c r="I419" s="57" t="s">
        <v>6176</v>
      </c>
      <c r="J419" s="30" t="s">
        <v>67</v>
      </c>
      <c r="K419" s="622" t="s">
        <v>392</v>
      </c>
      <c r="L419" s="137" t="s">
        <v>952</v>
      </c>
      <c r="M419" s="137" t="s">
        <v>953</v>
      </c>
      <c r="N419" s="137"/>
      <c r="O419" s="93" t="s">
        <v>954</v>
      </c>
      <c r="P419" s="93" t="s">
        <v>943</v>
      </c>
      <c r="Q419" s="15" t="s">
        <v>282</v>
      </c>
      <c r="R419" s="91"/>
      <c r="S419" s="92"/>
      <c r="T419" s="92"/>
      <c r="U419" s="623"/>
      <c r="V419" s="624"/>
      <c r="W419" s="243"/>
      <c r="X419" s="185"/>
      <c r="Y419" s="7">
        <f t="shared" si="12"/>
        <v>0</v>
      </c>
      <c r="Z419" s="185"/>
      <c r="AA419" s="469"/>
      <c r="AB419" s="479" t="s">
        <v>49</v>
      </c>
      <c r="AC419" s="480"/>
      <c r="AD419" s="653">
        <v>0</v>
      </c>
      <c r="AE419" s="653"/>
      <c r="AF419" s="9">
        <f t="shared" si="13"/>
        <v>0</v>
      </c>
      <c r="AG419" s="30"/>
      <c r="AH419" s="656"/>
      <c r="AI419" s="657"/>
      <c r="AJ419" s="93"/>
      <c r="AK419" s="93"/>
      <c r="AL419" s="30"/>
    </row>
    <row r="420" spans="1:38" ht="15" customHeight="1" x14ac:dyDescent="0.3">
      <c r="A420" s="654" t="s">
        <v>22</v>
      </c>
      <c r="B420" s="109" t="s">
        <v>949</v>
      </c>
      <c r="C420" s="107" t="s">
        <v>950</v>
      </c>
      <c r="D420" s="11" t="s">
        <v>24</v>
      </c>
      <c r="E420" s="108">
        <v>37950</v>
      </c>
      <c r="F420" s="12">
        <v>2003</v>
      </c>
      <c r="G420" s="115" t="s">
        <v>955</v>
      </c>
      <c r="H420" s="142"/>
      <c r="I420" s="57" t="s">
        <v>6176</v>
      </c>
      <c r="J420" s="30" t="s">
        <v>67</v>
      </c>
      <c r="K420" s="622" t="s">
        <v>392</v>
      </c>
      <c r="L420" s="137" t="s">
        <v>952</v>
      </c>
      <c r="M420" s="137" t="s">
        <v>953</v>
      </c>
      <c r="N420" s="137"/>
      <c r="O420" s="93" t="s">
        <v>954</v>
      </c>
      <c r="P420" s="93" t="s">
        <v>943</v>
      </c>
      <c r="Q420" s="15" t="s">
        <v>282</v>
      </c>
      <c r="R420" s="91"/>
      <c r="S420" s="92"/>
      <c r="T420" s="92"/>
      <c r="U420" s="623"/>
      <c r="V420" s="624"/>
      <c r="W420" s="243"/>
      <c r="X420" s="185"/>
      <c r="Y420" s="7">
        <f t="shared" si="12"/>
        <v>0</v>
      </c>
      <c r="Z420" s="185"/>
      <c r="AA420" s="469"/>
      <c r="AB420" s="479" t="s">
        <v>49</v>
      </c>
      <c r="AC420" s="480"/>
      <c r="AD420" s="653">
        <v>0</v>
      </c>
      <c r="AE420" s="653"/>
      <c r="AF420" s="9">
        <f t="shared" si="13"/>
        <v>0</v>
      </c>
      <c r="AG420" s="30"/>
      <c r="AH420" s="656"/>
      <c r="AI420" s="657"/>
      <c r="AJ420" s="93"/>
      <c r="AK420" s="93"/>
      <c r="AL420" s="30"/>
    </row>
    <row r="421" spans="1:38" ht="15" customHeight="1" x14ac:dyDescent="0.3">
      <c r="A421" s="659" t="s">
        <v>22</v>
      </c>
      <c r="B421" s="109" t="s">
        <v>949</v>
      </c>
      <c r="C421" s="109" t="s">
        <v>950</v>
      </c>
      <c r="D421" s="11" t="s">
        <v>24</v>
      </c>
      <c r="E421" s="108">
        <v>37950</v>
      </c>
      <c r="F421" s="12">
        <v>2003</v>
      </c>
      <c r="G421" s="116" t="s">
        <v>955</v>
      </c>
      <c r="H421" s="142"/>
      <c r="I421" s="57" t="s">
        <v>6176</v>
      </c>
      <c r="J421" s="660" t="s">
        <v>67</v>
      </c>
      <c r="K421" s="622" t="s">
        <v>392</v>
      </c>
      <c r="L421" s="137" t="s">
        <v>952</v>
      </c>
      <c r="M421" s="137" t="s">
        <v>953</v>
      </c>
      <c r="N421" s="137"/>
      <c r="O421" s="93" t="s">
        <v>954</v>
      </c>
      <c r="P421" s="93" t="s">
        <v>943</v>
      </c>
      <c r="Q421" s="15" t="s">
        <v>282</v>
      </c>
      <c r="R421" s="91"/>
      <c r="S421" s="92"/>
      <c r="T421" s="92"/>
      <c r="U421" s="623"/>
      <c r="V421" s="624"/>
      <c r="W421" s="243"/>
      <c r="X421" s="185"/>
      <c r="Y421" s="7">
        <f t="shared" si="12"/>
        <v>0</v>
      </c>
      <c r="Z421" s="185"/>
      <c r="AA421" s="469"/>
      <c r="AB421" s="479" t="s">
        <v>49</v>
      </c>
      <c r="AC421" s="501"/>
      <c r="AD421" s="661">
        <v>0</v>
      </c>
      <c r="AE421" s="661"/>
      <c r="AF421" s="9">
        <f t="shared" si="13"/>
        <v>0</v>
      </c>
      <c r="AG421" s="30"/>
      <c r="AH421" s="662"/>
      <c r="AI421" s="657"/>
      <c r="AJ421" s="146"/>
      <c r="AK421" s="93"/>
      <c r="AL421" s="30"/>
    </row>
    <row r="422" spans="1:38" ht="15" customHeight="1" x14ac:dyDescent="0.3">
      <c r="A422" s="659" t="s">
        <v>22</v>
      </c>
      <c r="B422" s="109" t="s">
        <v>949</v>
      </c>
      <c r="C422" s="109" t="s">
        <v>950</v>
      </c>
      <c r="D422" s="11" t="s">
        <v>24</v>
      </c>
      <c r="E422" s="108">
        <v>37950</v>
      </c>
      <c r="F422" s="12">
        <v>2003</v>
      </c>
      <c r="G422" s="116" t="s">
        <v>955</v>
      </c>
      <c r="H422" s="142"/>
      <c r="I422" s="57" t="s">
        <v>6176</v>
      </c>
      <c r="J422" s="30" t="s">
        <v>67</v>
      </c>
      <c r="K422" s="622" t="s">
        <v>392</v>
      </c>
      <c r="L422" s="137" t="s">
        <v>952</v>
      </c>
      <c r="M422" s="137" t="s">
        <v>953</v>
      </c>
      <c r="N422" s="137"/>
      <c r="O422" s="93" t="s">
        <v>954</v>
      </c>
      <c r="P422" s="93" t="s">
        <v>943</v>
      </c>
      <c r="Q422" s="15" t="s">
        <v>282</v>
      </c>
      <c r="R422" s="91"/>
      <c r="S422" s="92"/>
      <c r="T422" s="92"/>
      <c r="U422" s="623"/>
      <c r="V422" s="624"/>
      <c r="W422" s="243"/>
      <c r="X422" s="185"/>
      <c r="Y422" s="7">
        <f t="shared" si="12"/>
        <v>0</v>
      </c>
      <c r="Z422" s="185"/>
      <c r="AA422" s="469"/>
      <c r="AB422" s="479" t="s">
        <v>49</v>
      </c>
      <c r="AC422" s="501"/>
      <c r="AD422" s="661">
        <v>0</v>
      </c>
      <c r="AE422" s="661"/>
      <c r="AF422" s="9">
        <f t="shared" si="13"/>
        <v>0</v>
      </c>
      <c r="AG422" s="30"/>
      <c r="AH422" s="662"/>
      <c r="AI422" s="657"/>
      <c r="AJ422" s="146"/>
      <c r="AK422" s="93"/>
      <c r="AL422" s="30"/>
    </row>
    <row r="423" spans="1:38" ht="15" customHeight="1" x14ac:dyDescent="0.3">
      <c r="A423" s="659" t="s">
        <v>22</v>
      </c>
      <c r="B423" s="109" t="s">
        <v>949</v>
      </c>
      <c r="C423" s="109" t="s">
        <v>950</v>
      </c>
      <c r="D423" s="11" t="s">
        <v>24</v>
      </c>
      <c r="E423" s="108">
        <v>37950</v>
      </c>
      <c r="F423" s="12">
        <v>2003</v>
      </c>
      <c r="G423" s="116" t="s">
        <v>955</v>
      </c>
      <c r="H423" s="142"/>
      <c r="I423" s="57" t="s">
        <v>6176</v>
      </c>
      <c r="J423" s="30" t="s">
        <v>67</v>
      </c>
      <c r="K423" s="622" t="s">
        <v>392</v>
      </c>
      <c r="L423" s="137" t="s">
        <v>952</v>
      </c>
      <c r="M423" s="137" t="s">
        <v>953</v>
      </c>
      <c r="N423" s="137"/>
      <c r="O423" s="93" t="s">
        <v>954</v>
      </c>
      <c r="P423" s="93" t="s">
        <v>943</v>
      </c>
      <c r="Q423" s="15" t="s">
        <v>282</v>
      </c>
      <c r="R423" s="91"/>
      <c r="S423" s="92"/>
      <c r="T423" s="92"/>
      <c r="U423" s="623"/>
      <c r="V423" s="624"/>
      <c r="W423" s="243"/>
      <c r="X423" s="185"/>
      <c r="Y423" s="7">
        <f t="shared" si="12"/>
        <v>0</v>
      </c>
      <c r="Z423" s="185"/>
      <c r="AA423" s="469"/>
      <c r="AB423" s="479" t="s">
        <v>49</v>
      </c>
      <c r="AC423" s="501"/>
      <c r="AD423" s="661">
        <v>0</v>
      </c>
      <c r="AE423" s="661"/>
      <c r="AF423" s="9">
        <f t="shared" si="13"/>
        <v>0</v>
      </c>
      <c r="AG423" s="30"/>
      <c r="AH423" s="662"/>
      <c r="AI423" s="657"/>
      <c r="AJ423" s="146"/>
      <c r="AK423" s="93"/>
      <c r="AL423" s="30"/>
    </row>
    <row r="424" spans="1:38" ht="15" customHeight="1" x14ac:dyDescent="0.3">
      <c r="A424" s="654" t="s">
        <v>22</v>
      </c>
      <c r="B424" s="109" t="s">
        <v>949</v>
      </c>
      <c r="C424" s="107" t="s">
        <v>950</v>
      </c>
      <c r="D424" s="11" t="s">
        <v>24</v>
      </c>
      <c r="E424" s="108">
        <v>37950</v>
      </c>
      <c r="F424" s="12">
        <v>2003</v>
      </c>
      <c r="G424" s="115" t="s">
        <v>955</v>
      </c>
      <c r="H424" s="142"/>
      <c r="I424" s="57" t="s">
        <v>6176</v>
      </c>
      <c r="J424" s="30" t="s">
        <v>67</v>
      </c>
      <c r="K424" s="622" t="s">
        <v>392</v>
      </c>
      <c r="L424" s="137" t="s">
        <v>952</v>
      </c>
      <c r="M424" s="137" t="s">
        <v>953</v>
      </c>
      <c r="N424" s="137"/>
      <c r="O424" s="93" t="s">
        <v>954</v>
      </c>
      <c r="P424" s="93" t="s">
        <v>943</v>
      </c>
      <c r="Q424" s="15" t="s">
        <v>282</v>
      </c>
      <c r="R424" s="91"/>
      <c r="S424" s="92"/>
      <c r="T424" s="92"/>
      <c r="U424" s="623"/>
      <c r="V424" s="624"/>
      <c r="W424" s="243"/>
      <c r="X424" s="185"/>
      <c r="Y424" s="7">
        <f t="shared" si="12"/>
        <v>0</v>
      </c>
      <c r="Z424" s="185"/>
      <c r="AA424" s="469"/>
      <c r="AB424" s="479" t="s">
        <v>49</v>
      </c>
      <c r="AC424" s="480"/>
      <c r="AD424" s="653">
        <v>0</v>
      </c>
      <c r="AE424" s="653"/>
      <c r="AF424" s="9">
        <f t="shared" si="13"/>
        <v>0</v>
      </c>
      <c r="AG424" s="30"/>
      <c r="AH424" s="656"/>
      <c r="AI424" s="657"/>
      <c r="AJ424" s="93"/>
      <c r="AK424" s="93"/>
      <c r="AL424" s="30"/>
    </row>
    <row r="425" spans="1:38" ht="15" customHeight="1" x14ac:dyDescent="0.3">
      <c r="A425" s="654" t="s">
        <v>22</v>
      </c>
      <c r="B425" s="109" t="s">
        <v>949</v>
      </c>
      <c r="C425" s="107" t="s">
        <v>950</v>
      </c>
      <c r="D425" s="11" t="s">
        <v>24</v>
      </c>
      <c r="E425" s="108">
        <v>37950</v>
      </c>
      <c r="F425" s="12">
        <v>2003</v>
      </c>
      <c r="G425" s="115" t="s">
        <v>955</v>
      </c>
      <c r="H425" s="142"/>
      <c r="I425" s="57" t="s">
        <v>6176</v>
      </c>
      <c r="J425" s="30" t="s">
        <v>67</v>
      </c>
      <c r="K425" s="622" t="s">
        <v>392</v>
      </c>
      <c r="L425" s="137" t="s">
        <v>952</v>
      </c>
      <c r="M425" s="137" t="s">
        <v>953</v>
      </c>
      <c r="N425" s="137"/>
      <c r="O425" s="93" t="s">
        <v>954</v>
      </c>
      <c r="P425" s="93" t="s">
        <v>943</v>
      </c>
      <c r="Q425" s="15" t="s">
        <v>282</v>
      </c>
      <c r="R425" s="91"/>
      <c r="S425" s="92"/>
      <c r="T425" s="92"/>
      <c r="U425" s="623"/>
      <c r="V425" s="624"/>
      <c r="W425" s="243"/>
      <c r="X425" s="185"/>
      <c r="Y425" s="7">
        <f t="shared" si="12"/>
        <v>0</v>
      </c>
      <c r="Z425" s="185"/>
      <c r="AA425" s="469"/>
      <c r="AB425" s="479" t="s">
        <v>49</v>
      </c>
      <c r="AC425" s="480"/>
      <c r="AD425" s="653">
        <v>0</v>
      </c>
      <c r="AE425" s="653"/>
      <c r="AF425" s="9">
        <f t="shared" si="13"/>
        <v>0</v>
      </c>
      <c r="AG425" s="30"/>
      <c r="AH425" s="656"/>
      <c r="AI425" s="657"/>
      <c r="AJ425" s="93"/>
      <c r="AK425" s="93"/>
      <c r="AL425" s="30"/>
    </row>
    <row r="426" spans="1:38" ht="15" customHeight="1" x14ac:dyDescent="0.3">
      <c r="A426" s="654" t="s">
        <v>22</v>
      </c>
      <c r="B426" s="109" t="s">
        <v>949</v>
      </c>
      <c r="C426" s="107" t="s">
        <v>950</v>
      </c>
      <c r="D426" s="11" t="s">
        <v>24</v>
      </c>
      <c r="E426" s="108">
        <v>37950</v>
      </c>
      <c r="F426" s="12">
        <v>2003</v>
      </c>
      <c r="G426" s="115" t="s">
        <v>955</v>
      </c>
      <c r="H426" s="142"/>
      <c r="I426" s="57" t="s">
        <v>6176</v>
      </c>
      <c r="J426" s="30" t="s">
        <v>67</v>
      </c>
      <c r="K426" s="622" t="s">
        <v>392</v>
      </c>
      <c r="L426" s="137" t="s">
        <v>952</v>
      </c>
      <c r="M426" s="137" t="s">
        <v>953</v>
      </c>
      <c r="N426" s="137"/>
      <c r="O426" s="93" t="s">
        <v>954</v>
      </c>
      <c r="P426" s="93" t="s">
        <v>943</v>
      </c>
      <c r="Q426" s="15" t="s">
        <v>282</v>
      </c>
      <c r="R426" s="91"/>
      <c r="S426" s="92"/>
      <c r="T426" s="92"/>
      <c r="U426" s="623"/>
      <c r="V426" s="624"/>
      <c r="W426" s="243"/>
      <c r="X426" s="185"/>
      <c r="Y426" s="7">
        <f t="shared" si="12"/>
        <v>0</v>
      </c>
      <c r="Z426" s="185"/>
      <c r="AA426" s="469"/>
      <c r="AB426" s="479" t="s">
        <v>49</v>
      </c>
      <c r="AC426" s="480"/>
      <c r="AD426" s="653">
        <v>0</v>
      </c>
      <c r="AE426" s="653"/>
      <c r="AF426" s="9">
        <f t="shared" si="13"/>
        <v>0</v>
      </c>
      <c r="AG426" s="30"/>
      <c r="AH426" s="656"/>
      <c r="AI426" s="657"/>
      <c r="AJ426" s="93"/>
      <c r="AK426" s="93"/>
      <c r="AL426" s="30"/>
    </row>
    <row r="427" spans="1:38" ht="15" customHeight="1" x14ac:dyDescent="0.3">
      <c r="A427" s="654" t="s">
        <v>22</v>
      </c>
      <c r="B427" s="109" t="s">
        <v>949</v>
      </c>
      <c r="C427" s="107" t="s">
        <v>950</v>
      </c>
      <c r="D427" s="11" t="s">
        <v>24</v>
      </c>
      <c r="E427" s="108">
        <v>37950</v>
      </c>
      <c r="F427" s="12">
        <v>2003</v>
      </c>
      <c r="G427" s="115" t="s">
        <v>955</v>
      </c>
      <c r="H427" s="142"/>
      <c r="I427" s="57" t="s">
        <v>6176</v>
      </c>
      <c r="J427" s="30" t="s">
        <v>67</v>
      </c>
      <c r="K427" s="622" t="s">
        <v>392</v>
      </c>
      <c r="L427" s="137" t="s">
        <v>952</v>
      </c>
      <c r="M427" s="137" t="s">
        <v>953</v>
      </c>
      <c r="N427" s="137"/>
      <c r="O427" s="93" t="s">
        <v>954</v>
      </c>
      <c r="P427" s="93" t="s">
        <v>943</v>
      </c>
      <c r="Q427" s="15" t="s">
        <v>282</v>
      </c>
      <c r="R427" s="117"/>
      <c r="S427" s="118"/>
      <c r="T427" s="118"/>
      <c r="U427" s="623"/>
      <c r="V427" s="624"/>
      <c r="W427" s="243"/>
      <c r="X427" s="185"/>
      <c r="Y427" s="7">
        <f t="shared" si="12"/>
        <v>0</v>
      </c>
      <c r="Z427" s="185"/>
      <c r="AA427" s="469"/>
      <c r="AB427" s="479" t="s">
        <v>49</v>
      </c>
      <c r="AC427" s="480"/>
      <c r="AD427" s="653">
        <v>0</v>
      </c>
      <c r="AE427" s="653"/>
      <c r="AF427" s="9">
        <f t="shared" si="13"/>
        <v>0</v>
      </c>
      <c r="AG427" s="30"/>
      <c r="AH427" s="656"/>
      <c r="AI427" s="657"/>
      <c r="AJ427" s="93"/>
      <c r="AK427" s="93"/>
      <c r="AL427" s="30"/>
    </row>
    <row r="428" spans="1:38" ht="15" customHeight="1" x14ac:dyDescent="0.3">
      <c r="A428" s="658" t="s">
        <v>22</v>
      </c>
      <c r="B428" s="109" t="s">
        <v>949</v>
      </c>
      <c r="C428" s="107" t="s">
        <v>950</v>
      </c>
      <c r="D428" s="11" t="s">
        <v>24</v>
      </c>
      <c r="E428" s="108">
        <v>37950</v>
      </c>
      <c r="F428" s="12">
        <v>2003</v>
      </c>
      <c r="G428" s="115" t="s">
        <v>955</v>
      </c>
      <c r="H428" s="142"/>
      <c r="I428" s="57" t="s">
        <v>6176</v>
      </c>
      <c r="J428" s="30" t="s">
        <v>67</v>
      </c>
      <c r="K428" s="622" t="s">
        <v>392</v>
      </c>
      <c r="L428" s="137" t="s">
        <v>952</v>
      </c>
      <c r="M428" s="137" t="s">
        <v>953</v>
      </c>
      <c r="N428" s="137"/>
      <c r="O428" s="93" t="s">
        <v>954</v>
      </c>
      <c r="P428" s="93" t="s">
        <v>943</v>
      </c>
      <c r="Q428" s="15" t="s">
        <v>282</v>
      </c>
      <c r="R428" s="91"/>
      <c r="S428" s="92"/>
      <c r="T428" s="92"/>
      <c r="U428" s="623"/>
      <c r="V428" s="624"/>
      <c r="W428" s="243"/>
      <c r="X428" s="185"/>
      <c r="Y428" s="7">
        <f t="shared" si="12"/>
        <v>0</v>
      </c>
      <c r="Z428" s="185"/>
      <c r="AA428" s="469"/>
      <c r="AB428" s="479" t="s">
        <v>49</v>
      </c>
      <c r="AC428" s="480"/>
      <c r="AD428" s="653">
        <v>0</v>
      </c>
      <c r="AE428" s="653"/>
      <c r="AF428" s="9">
        <f t="shared" si="13"/>
        <v>0</v>
      </c>
      <c r="AG428" s="30"/>
      <c r="AH428" s="656"/>
      <c r="AI428" s="657"/>
      <c r="AJ428" s="93"/>
      <c r="AK428" s="93"/>
      <c r="AL428" s="181"/>
    </row>
    <row r="429" spans="1:38" ht="15" customHeight="1" x14ac:dyDescent="0.3">
      <c r="A429" s="30" t="s">
        <v>22</v>
      </c>
      <c r="B429" s="119" t="s">
        <v>228</v>
      </c>
      <c r="C429" s="107">
        <v>2</v>
      </c>
      <c r="D429" s="11" t="s">
        <v>225</v>
      </c>
      <c r="E429" s="114">
        <v>38558</v>
      </c>
      <c r="F429" s="12">
        <v>2005</v>
      </c>
      <c r="G429" s="103" t="s">
        <v>958</v>
      </c>
      <c r="H429" s="142"/>
      <c r="I429" s="33" t="s">
        <v>33</v>
      </c>
      <c r="J429" s="32" t="s">
        <v>26</v>
      </c>
      <c r="K429" s="622" t="s">
        <v>392</v>
      </c>
      <c r="L429" s="137"/>
      <c r="M429" s="137"/>
      <c r="N429" s="137"/>
      <c r="O429" s="93"/>
      <c r="P429" s="93" t="s">
        <v>943</v>
      </c>
      <c r="Q429" s="93"/>
      <c r="R429" s="93"/>
      <c r="S429" s="93"/>
      <c r="T429" s="93"/>
      <c r="U429" s="93"/>
      <c r="V429" s="137"/>
      <c r="W429" s="243"/>
      <c r="X429" s="185"/>
      <c r="Y429" s="7">
        <f t="shared" si="12"/>
        <v>0</v>
      </c>
      <c r="Z429" s="185"/>
      <c r="AA429" s="469"/>
      <c r="AB429" s="479" t="s">
        <v>49</v>
      </c>
      <c r="AC429" s="480"/>
      <c r="AD429" s="639">
        <v>0</v>
      </c>
      <c r="AE429" s="639"/>
      <c r="AF429" s="9">
        <f t="shared" si="13"/>
        <v>0</v>
      </c>
      <c r="AG429" s="30"/>
      <c r="AH429" s="183"/>
      <c r="AI429" s="640"/>
      <c r="AJ429" s="93"/>
      <c r="AK429" s="93"/>
      <c r="AL429" s="30"/>
    </row>
    <row r="430" spans="1:38" ht="15" customHeight="1" x14ac:dyDescent="0.3">
      <c r="A430" s="30" t="s">
        <v>22</v>
      </c>
      <c r="B430" s="120" t="s">
        <v>228</v>
      </c>
      <c r="C430" s="107">
        <v>1</v>
      </c>
      <c r="D430" s="11" t="s">
        <v>225</v>
      </c>
      <c r="E430" s="108">
        <v>37176</v>
      </c>
      <c r="F430" s="12">
        <v>2001</v>
      </c>
      <c r="G430" s="103"/>
      <c r="H430" s="142"/>
      <c r="I430" s="22" t="s">
        <v>264</v>
      </c>
      <c r="J430" s="30" t="s">
        <v>81</v>
      </c>
      <c r="K430" s="622" t="s">
        <v>640</v>
      </c>
      <c r="L430" s="137" t="s">
        <v>40</v>
      </c>
      <c r="M430" s="137" t="s">
        <v>804</v>
      </c>
      <c r="N430" s="137"/>
      <c r="O430" s="93" t="s">
        <v>959</v>
      </c>
      <c r="P430" s="93" t="s">
        <v>943</v>
      </c>
      <c r="Q430" s="15" t="s">
        <v>282</v>
      </c>
      <c r="R430" s="91"/>
      <c r="S430" s="16" t="s">
        <v>44</v>
      </c>
      <c r="T430" s="92"/>
      <c r="U430" s="623"/>
      <c r="V430" s="624"/>
      <c r="W430" s="243"/>
      <c r="X430" s="185"/>
      <c r="Y430" s="7">
        <f t="shared" si="12"/>
        <v>0</v>
      </c>
      <c r="Z430" s="185"/>
      <c r="AA430" s="469"/>
      <c r="AB430" s="504" t="s">
        <v>6115</v>
      </c>
      <c r="AC430" s="138"/>
      <c r="AD430" s="639">
        <v>0</v>
      </c>
      <c r="AE430" s="639"/>
      <c r="AF430" s="9">
        <f t="shared" si="13"/>
        <v>0</v>
      </c>
      <c r="AG430" s="183"/>
      <c r="AH430" s="93" t="s">
        <v>960</v>
      </c>
      <c r="AI430" s="640"/>
      <c r="AJ430" s="93"/>
      <c r="AK430" s="30"/>
      <c r="AL430" s="30"/>
    </row>
    <row r="431" spans="1:38" ht="15" customHeight="1" x14ac:dyDescent="0.3">
      <c r="A431" s="663" t="s">
        <v>22</v>
      </c>
      <c r="B431" s="112" t="s">
        <v>6169</v>
      </c>
      <c r="C431" s="107" t="s">
        <v>962</v>
      </c>
      <c r="D431" s="11" t="s">
        <v>5936</v>
      </c>
      <c r="E431" s="108">
        <v>37276</v>
      </c>
      <c r="F431" s="12">
        <v>2002</v>
      </c>
      <c r="G431" s="103" t="s">
        <v>963</v>
      </c>
      <c r="H431" s="142"/>
      <c r="I431" s="33" t="s">
        <v>33</v>
      </c>
      <c r="J431" s="32" t="s">
        <v>26</v>
      </c>
      <c r="K431" s="622" t="s">
        <v>636</v>
      </c>
      <c r="L431" s="137" t="s">
        <v>40</v>
      </c>
      <c r="M431" s="137" t="s">
        <v>804</v>
      </c>
      <c r="N431" s="137"/>
      <c r="O431" s="93" t="s">
        <v>964</v>
      </c>
      <c r="P431" s="93" t="s">
        <v>943</v>
      </c>
      <c r="Q431" s="15" t="s">
        <v>282</v>
      </c>
      <c r="R431" s="91"/>
      <c r="S431" s="16" t="s">
        <v>44</v>
      </c>
      <c r="T431" s="121"/>
      <c r="U431" s="623"/>
      <c r="V431" s="624"/>
      <c r="W431" s="243"/>
      <c r="X431" s="185"/>
      <c r="Y431" s="7">
        <f t="shared" si="12"/>
        <v>0</v>
      </c>
      <c r="Z431" s="185"/>
      <c r="AA431" s="469"/>
      <c r="AB431" s="604" t="s">
        <v>6081</v>
      </c>
      <c r="AC431" s="163"/>
      <c r="AD431" s="639">
        <v>0</v>
      </c>
      <c r="AE431" s="639"/>
      <c r="AF431" s="9">
        <f t="shared" si="13"/>
        <v>0</v>
      </c>
      <c r="AG431" s="183">
        <v>9</v>
      </c>
      <c r="AH431" s="93"/>
      <c r="AI431" s="640"/>
      <c r="AJ431" s="93"/>
      <c r="AK431" s="30"/>
      <c r="AL431" s="93"/>
    </row>
    <row r="432" spans="1:38" ht="15" customHeight="1" x14ac:dyDescent="0.3">
      <c r="A432" s="531" t="s">
        <v>883</v>
      </c>
      <c r="B432" s="58" t="s">
        <v>199</v>
      </c>
      <c r="C432" s="58">
        <v>2</v>
      </c>
      <c r="D432" s="22" t="s">
        <v>190</v>
      </c>
      <c r="E432" s="122">
        <v>37602</v>
      </c>
      <c r="F432" s="12">
        <v>2002</v>
      </c>
      <c r="G432" s="36" t="s">
        <v>965</v>
      </c>
      <c r="H432" s="142"/>
      <c r="I432" s="14" t="s">
        <v>285</v>
      </c>
      <c r="J432" s="32" t="s">
        <v>26</v>
      </c>
      <c r="K432" s="477" t="s">
        <v>636</v>
      </c>
      <c r="L432" s="477" t="s">
        <v>40</v>
      </c>
      <c r="M432" s="137" t="s">
        <v>804</v>
      </c>
      <c r="N432" s="477"/>
      <c r="O432" s="476" t="s">
        <v>966</v>
      </c>
      <c r="P432" s="93" t="s">
        <v>943</v>
      </c>
      <c r="Q432" s="15" t="s">
        <v>282</v>
      </c>
      <c r="R432" s="15"/>
      <c r="S432" s="16" t="s">
        <v>44</v>
      </c>
      <c r="T432" s="16"/>
      <c r="U432" s="484"/>
      <c r="V432" s="485"/>
      <c r="W432" s="243"/>
      <c r="X432" s="478"/>
      <c r="Y432" s="7">
        <f t="shared" si="12"/>
        <v>0</v>
      </c>
      <c r="Z432" s="478"/>
      <c r="AA432" s="469"/>
      <c r="AB432" s="479" t="s">
        <v>200</v>
      </c>
      <c r="AC432" s="501"/>
      <c r="AD432" s="540">
        <v>0</v>
      </c>
      <c r="AE432" s="540"/>
      <c r="AF432" s="9">
        <f t="shared" si="13"/>
        <v>0</v>
      </c>
      <c r="AG432" s="539" t="s">
        <v>967</v>
      </c>
      <c r="AH432" s="476" t="s">
        <v>968</v>
      </c>
      <c r="AI432" s="496"/>
      <c r="AJ432" s="10"/>
      <c r="AK432" s="59"/>
      <c r="AL432" s="93"/>
    </row>
    <row r="433" spans="1:38" ht="15" customHeight="1" x14ac:dyDescent="0.3">
      <c r="A433" s="59" t="s">
        <v>22</v>
      </c>
      <c r="B433" s="58" t="s">
        <v>188</v>
      </c>
      <c r="C433" s="57" t="s">
        <v>340</v>
      </c>
      <c r="D433" s="11" t="s">
        <v>143</v>
      </c>
      <c r="E433" s="440">
        <v>36424</v>
      </c>
      <c r="F433" s="12">
        <v>1999</v>
      </c>
      <c r="G433" s="13"/>
      <c r="H433" s="142"/>
      <c r="I433" s="22" t="s">
        <v>264</v>
      </c>
      <c r="J433" s="32" t="s">
        <v>26</v>
      </c>
      <c r="K433" s="477" t="s">
        <v>636</v>
      </c>
      <c r="L433" s="477"/>
      <c r="M433" s="477"/>
      <c r="N433" s="477"/>
      <c r="O433" s="476" t="s">
        <v>969</v>
      </c>
      <c r="P433" s="476" t="s">
        <v>929</v>
      </c>
      <c r="Q433" s="15" t="s">
        <v>35</v>
      </c>
      <c r="R433" s="42"/>
      <c r="S433" s="16" t="s">
        <v>35</v>
      </c>
      <c r="T433" s="54"/>
      <c r="U433" s="485" t="s">
        <v>638</v>
      </c>
      <c r="V433" s="485"/>
      <c r="W433" s="243">
        <v>12750</v>
      </c>
      <c r="X433" s="478"/>
      <c r="Y433" s="7">
        <f t="shared" si="12"/>
        <v>0</v>
      </c>
      <c r="Z433" s="478"/>
      <c r="AA433" s="469"/>
      <c r="AB433" s="479" t="s">
        <v>5978</v>
      </c>
      <c r="AC433" s="480"/>
      <c r="AD433" s="489">
        <v>0</v>
      </c>
      <c r="AE433" s="489"/>
      <c r="AF433" s="9">
        <f t="shared" si="13"/>
        <v>0</v>
      </c>
      <c r="AG433" s="486" t="s">
        <v>727</v>
      </c>
      <c r="AH433" s="476"/>
      <c r="AI433" s="476"/>
      <c r="AJ433" s="10"/>
      <c r="AK433" s="59"/>
      <c r="AL433" s="10"/>
    </row>
    <row r="434" spans="1:38" ht="15" customHeight="1" x14ac:dyDescent="0.3">
      <c r="A434" s="520" t="s">
        <v>883</v>
      </c>
      <c r="B434" s="2"/>
      <c r="C434" s="6"/>
      <c r="D434" s="11"/>
      <c r="E434" s="430"/>
      <c r="F434" s="12"/>
      <c r="G434" s="111"/>
      <c r="H434" s="142"/>
      <c r="I434" s="14"/>
      <c r="J434" s="32"/>
      <c r="K434" s="474"/>
      <c r="L434" s="474"/>
      <c r="M434" s="474"/>
      <c r="N434" s="474"/>
      <c r="O434" s="475"/>
      <c r="P434" s="476" t="s">
        <v>970</v>
      </c>
      <c r="Q434" s="476"/>
      <c r="R434" s="476"/>
      <c r="S434" s="476"/>
      <c r="T434" s="476"/>
      <c r="U434" s="476"/>
      <c r="V434" s="477"/>
      <c r="W434" s="243">
        <v>11469000</v>
      </c>
      <c r="X434" s="478"/>
      <c r="Y434" s="7">
        <f t="shared" si="12"/>
        <v>0</v>
      </c>
      <c r="Z434" s="478"/>
      <c r="AA434" s="469"/>
      <c r="AB434" s="479"/>
      <c r="AC434" s="480"/>
      <c r="AD434" s="476">
        <v>0</v>
      </c>
      <c r="AE434" s="476"/>
      <c r="AF434" s="9">
        <f t="shared" si="13"/>
        <v>0</v>
      </c>
      <c r="AG434" s="476"/>
      <c r="AH434" s="475"/>
      <c r="AI434" s="476"/>
      <c r="AJ434" s="10"/>
      <c r="AK434" s="481"/>
      <c r="AL434" s="481"/>
    </row>
    <row r="435" spans="1:38" ht="15" customHeight="1" x14ac:dyDescent="0.3">
      <c r="A435" s="520" t="s">
        <v>883</v>
      </c>
      <c r="B435" s="2"/>
      <c r="C435" s="6"/>
      <c r="D435" s="11"/>
      <c r="E435" s="430"/>
      <c r="F435" s="12"/>
      <c r="G435" s="111"/>
      <c r="H435" s="142"/>
      <c r="I435" s="14"/>
      <c r="J435" s="32"/>
      <c r="K435" s="474"/>
      <c r="L435" s="474"/>
      <c r="M435" s="474"/>
      <c r="N435" s="474"/>
      <c r="O435" s="475"/>
      <c r="P435" s="476" t="s">
        <v>970</v>
      </c>
      <c r="Q435" s="476"/>
      <c r="R435" s="476"/>
      <c r="S435" s="476"/>
      <c r="T435" s="476"/>
      <c r="U435" s="476"/>
      <c r="V435" s="477"/>
      <c r="W435" s="243">
        <v>18265000</v>
      </c>
      <c r="X435" s="478"/>
      <c r="Y435" s="7">
        <f t="shared" si="12"/>
        <v>0</v>
      </c>
      <c r="Z435" s="478"/>
      <c r="AA435" s="469"/>
      <c r="AB435" s="479"/>
      <c r="AC435" s="480"/>
      <c r="AD435" s="476">
        <v>0</v>
      </c>
      <c r="AE435" s="476"/>
      <c r="AF435" s="9">
        <f t="shared" si="13"/>
        <v>0</v>
      </c>
      <c r="AG435" s="476"/>
      <c r="AH435" s="475"/>
      <c r="AI435" s="476"/>
      <c r="AJ435" s="10"/>
      <c r="AK435" s="481"/>
      <c r="AL435" s="481"/>
    </row>
    <row r="436" spans="1:38" ht="15" customHeight="1" x14ac:dyDescent="0.3">
      <c r="A436" s="520" t="s">
        <v>883</v>
      </c>
      <c r="B436" s="2"/>
      <c r="C436" s="6"/>
      <c r="D436" s="11"/>
      <c r="E436" s="430"/>
      <c r="F436" s="12"/>
      <c r="G436" s="111"/>
      <c r="H436" s="142"/>
      <c r="I436" s="14"/>
      <c r="J436" s="32"/>
      <c r="K436" s="474"/>
      <c r="L436" s="474"/>
      <c r="M436" s="474"/>
      <c r="N436" s="474"/>
      <c r="O436" s="475"/>
      <c r="P436" s="476" t="s">
        <v>970</v>
      </c>
      <c r="Q436" s="476"/>
      <c r="R436" s="476"/>
      <c r="S436" s="476"/>
      <c r="T436" s="476"/>
      <c r="U436" s="476"/>
      <c r="V436" s="477"/>
      <c r="W436" s="243">
        <v>21471000</v>
      </c>
      <c r="X436" s="478"/>
      <c r="Y436" s="7">
        <f t="shared" si="12"/>
        <v>0</v>
      </c>
      <c r="Z436" s="478"/>
      <c r="AA436" s="469"/>
      <c r="AB436" s="479"/>
      <c r="AC436" s="480"/>
      <c r="AD436" s="476">
        <v>0</v>
      </c>
      <c r="AE436" s="476"/>
      <c r="AF436" s="9">
        <f t="shared" si="13"/>
        <v>0</v>
      </c>
      <c r="AG436" s="476"/>
      <c r="AH436" s="475"/>
      <c r="AI436" s="476"/>
      <c r="AJ436" s="10"/>
      <c r="AK436" s="481"/>
      <c r="AL436" s="481"/>
    </row>
    <row r="437" spans="1:38" ht="15" customHeight="1" x14ac:dyDescent="0.3">
      <c r="A437" s="520" t="s">
        <v>883</v>
      </c>
      <c r="B437" s="2"/>
      <c r="C437" s="6"/>
      <c r="D437" s="11"/>
      <c r="E437" s="430"/>
      <c r="F437" s="12"/>
      <c r="G437" s="111"/>
      <c r="H437" s="142"/>
      <c r="I437" s="14"/>
      <c r="J437" s="32"/>
      <c r="K437" s="474"/>
      <c r="L437" s="474"/>
      <c r="M437" s="474"/>
      <c r="N437" s="474"/>
      <c r="O437" s="475"/>
      <c r="P437" s="476" t="s">
        <v>970</v>
      </c>
      <c r="Q437" s="476"/>
      <c r="R437" s="476"/>
      <c r="S437" s="476"/>
      <c r="T437" s="476"/>
      <c r="U437" s="476"/>
      <c r="V437" s="477"/>
      <c r="W437" s="243">
        <v>21471000</v>
      </c>
      <c r="X437" s="478"/>
      <c r="Y437" s="7">
        <f t="shared" si="12"/>
        <v>0</v>
      </c>
      <c r="Z437" s="478"/>
      <c r="AA437" s="469"/>
      <c r="AB437" s="479"/>
      <c r="AC437" s="480"/>
      <c r="AD437" s="476">
        <v>0</v>
      </c>
      <c r="AE437" s="476"/>
      <c r="AF437" s="9">
        <f t="shared" si="13"/>
        <v>0</v>
      </c>
      <c r="AG437" s="476"/>
      <c r="AH437" s="475"/>
      <c r="AI437" s="476"/>
      <c r="AJ437" s="10"/>
      <c r="AK437" s="481"/>
      <c r="AL437" s="481"/>
    </row>
    <row r="438" spans="1:38" ht="15" customHeight="1" x14ac:dyDescent="0.3">
      <c r="A438" s="520" t="s">
        <v>883</v>
      </c>
      <c r="B438" s="2"/>
      <c r="C438" s="6"/>
      <c r="D438" s="11"/>
      <c r="E438" s="430"/>
      <c r="F438" s="12"/>
      <c r="G438" s="111"/>
      <c r="H438" s="142"/>
      <c r="I438" s="14"/>
      <c r="J438" s="32"/>
      <c r="K438" s="474"/>
      <c r="L438" s="474"/>
      <c r="M438" s="474"/>
      <c r="N438" s="474"/>
      <c r="O438" s="475"/>
      <c r="P438" s="476" t="s">
        <v>970</v>
      </c>
      <c r="Q438" s="476"/>
      <c r="R438" s="476"/>
      <c r="S438" s="476"/>
      <c r="T438" s="476"/>
      <c r="U438" s="476"/>
      <c r="V438" s="477"/>
      <c r="W438" s="243">
        <v>21041000</v>
      </c>
      <c r="X438" s="478"/>
      <c r="Y438" s="7">
        <f t="shared" si="12"/>
        <v>0</v>
      </c>
      <c r="Z438" s="478"/>
      <c r="AA438" s="469"/>
      <c r="AB438" s="479"/>
      <c r="AC438" s="480"/>
      <c r="AD438" s="476">
        <v>0</v>
      </c>
      <c r="AE438" s="476"/>
      <c r="AF438" s="9">
        <f t="shared" si="13"/>
        <v>0</v>
      </c>
      <c r="AG438" s="476"/>
      <c r="AH438" s="475"/>
      <c r="AI438" s="476"/>
      <c r="AJ438" s="10"/>
      <c r="AK438" s="481"/>
      <c r="AL438" s="481"/>
    </row>
    <row r="439" spans="1:38" ht="15" customHeight="1" x14ac:dyDescent="0.3">
      <c r="A439" s="520" t="s">
        <v>883</v>
      </c>
      <c r="B439" s="2"/>
      <c r="C439" s="6"/>
      <c r="D439" s="11"/>
      <c r="E439" s="430"/>
      <c r="F439" s="12"/>
      <c r="G439" s="111"/>
      <c r="H439" s="142"/>
      <c r="I439" s="14"/>
      <c r="J439" s="32"/>
      <c r="K439" s="474"/>
      <c r="L439" s="474"/>
      <c r="M439" s="474"/>
      <c r="N439" s="474"/>
      <c r="O439" s="475"/>
      <c r="P439" s="476" t="s">
        <v>970</v>
      </c>
      <c r="Q439" s="476"/>
      <c r="R439" s="476"/>
      <c r="S439" s="476"/>
      <c r="T439" s="476"/>
      <c r="U439" s="476"/>
      <c r="V439" s="477"/>
      <c r="W439" s="243">
        <v>21889000</v>
      </c>
      <c r="X439" s="478"/>
      <c r="Y439" s="7">
        <f t="shared" si="12"/>
        <v>0</v>
      </c>
      <c r="Z439" s="478"/>
      <c r="AA439" s="469"/>
      <c r="AB439" s="479"/>
      <c r="AC439" s="480"/>
      <c r="AD439" s="476">
        <v>0</v>
      </c>
      <c r="AE439" s="476"/>
      <c r="AF439" s="9">
        <f t="shared" si="13"/>
        <v>0</v>
      </c>
      <c r="AG439" s="476"/>
      <c r="AH439" s="475"/>
      <c r="AI439" s="476"/>
      <c r="AJ439" s="10"/>
      <c r="AK439" s="481"/>
      <c r="AL439" s="481"/>
    </row>
    <row r="440" spans="1:38" ht="15" customHeight="1" x14ac:dyDescent="0.3">
      <c r="A440" s="520" t="s">
        <v>883</v>
      </c>
      <c r="B440" s="2"/>
      <c r="C440" s="6"/>
      <c r="D440" s="11"/>
      <c r="E440" s="430"/>
      <c r="F440" s="12"/>
      <c r="G440" s="111"/>
      <c r="H440" s="142"/>
      <c r="I440" s="14"/>
      <c r="J440" s="32"/>
      <c r="K440" s="474"/>
      <c r="L440" s="474"/>
      <c r="M440" s="474"/>
      <c r="N440" s="474"/>
      <c r="O440" s="475"/>
      <c r="P440" s="476" t="s">
        <v>970</v>
      </c>
      <c r="Q440" s="476"/>
      <c r="R440" s="476"/>
      <c r="S440" s="476"/>
      <c r="T440" s="476"/>
      <c r="U440" s="476"/>
      <c r="V440" s="477"/>
      <c r="W440" s="243">
        <v>22295000</v>
      </c>
      <c r="X440" s="478"/>
      <c r="Y440" s="7">
        <f t="shared" si="12"/>
        <v>0</v>
      </c>
      <c r="Z440" s="478"/>
      <c r="AA440" s="469"/>
      <c r="AB440" s="479"/>
      <c r="AC440" s="480"/>
      <c r="AD440" s="476">
        <v>0</v>
      </c>
      <c r="AE440" s="476"/>
      <c r="AF440" s="9">
        <f t="shared" si="13"/>
        <v>0</v>
      </c>
      <c r="AG440" s="476"/>
      <c r="AH440" s="475"/>
      <c r="AI440" s="476"/>
      <c r="AJ440" s="10"/>
      <c r="AK440" s="481"/>
      <c r="AL440" s="481"/>
    </row>
    <row r="441" spans="1:38" ht="15" customHeight="1" x14ac:dyDescent="0.3">
      <c r="A441" s="520" t="s">
        <v>883</v>
      </c>
      <c r="B441" s="2"/>
      <c r="C441" s="6"/>
      <c r="D441" s="11"/>
      <c r="E441" s="430"/>
      <c r="F441" s="12"/>
      <c r="G441" s="111"/>
      <c r="H441" s="142"/>
      <c r="I441" s="14"/>
      <c r="J441" s="32"/>
      <c r="K441" s="474"/>
      <c r="L441" s="474"/>
      <c r="M441" s="474"/>
      <c r="N441" s="474"/>
      <c r="O441" s="475"/>
      <c r="P441" s="476" t="s">
        <v>970</v>
      </c>
      <c r="Q441" s="476"/>
      <c r="R441" s="476"/>
      <c r="S441" s="476"/>
      <c r="T441" s="476"/>
      <c r="U441" s="476"/>
      <c r="V441" s="477"/>
      <c r="W441" s="243">
        <v>23436000</v>
      </c>
      <c r="X441" s="478"/>
      <c r="Y441" s="7">
        <f t="shared" si="12"/>
        <v>0</v>
      </c>
      <c r="Z441" s="478"/>
      <c r="AA441" s="469"/>
      <c r="AB441" s="479"/>
      <c r="AC441" s="480"/>
      <c r="AD441" s="476">
        <v>0</v>
      </c>
      <c r="AE441" s="476"/>
      <c r="AF441" s="9">
        <f t="shared" si="13"/>
        <v>0</v>
      </c>
      <c r="AG441" s="476"/>
      <c r="AH441" s="475"/>
      <c r="AI441" s="476"/>
      <c r="AJ441" s="10"/>
      <c r="AK441" s="481"/>
      <c r="AL441" s="481"/>
    </row>
    <row r="442" spans="1:38" ht="15" customHeight="1" x14ac:dyDescent="0.3">
      <c r="A442" s="520" t="s">
        <v>883</v>
      </c>
      <c r="B442" s="2"/>
      <c r="C442" s="6"/>
      <c r="D442" s="11"/>
      <c r="E442" s="430"/>
      <c r="F442" s="12"/>
      <c r="G442" s="111"/>
      <c r="H442" s="142"/>
      <c r="I442" s="14"/>
      <c r="J442" s="32"/>
      <c r="K442" s="474"/>
      <c r="L442" s="474"/>
      <c r="M442" s="474"/>
      <c r="N442" s="474"/>
      <c r="O442" s="475"/>
      <c r="P442" s="476" t="s">
        <v>970</v>
      </c>
      <c r="Q442" s="476"/>
      <c r="R442" s="476"/>
      <c r="S442" s="476"/>
      <c r="T442" s="476"/>
      <c r="U442" s="476"/>
      <c r="V442" s="477"/>
      <c r="W442" s="243">
        <v>23436000</v>
      </c>
      <c r="X442" s="478"/>
      <c r="Y442" s="7">
        <f t="shared" si="12"/>
        <v>0</v>
      </c>
      <c r="Z442" s="478"/>
      <c r="AA442" s="469"/>
      <c r="AB442" s="479"/>
      <c r="AC442" s="480"/>
      <c r="AD442" s="476">
        <v>0</v>
      </c>
      <c r="AE442" s="476"/>
      <c r="AF442" s="9">
        <f t="shared" si="13"/>
        <v>0</v>
      </c>
      <c r="AG442" s="476"/>
      <c r="AH442" s="475"/>
      <c r="AI442" s="476"/>
      <c r="AJ442" s="10"/>
      <c r="AK442" s="481"/>
      <c r="AL442" s="481"/>
    </row>
    <row r="443" spans="1:38" ht="15" customHeight="1" x14ac:dyDescent="0.3">
      <c r="A443" s="520" t="s">
        <v>883</v>
      </c>
      <c r="B443" s="2"/>
      <c r="C443" s="6"/>
      <c r="D443" s="11"/>
      <c r="E443" s="430"/>
      <c r="F443" s="12"/>
      <c r="G443" s="111"/>
      <c r="H443" s="142"/>
      <c r="I443" s="14"/>
      <c r="J443" s="32"/>
      <c r="K443" s="474"/>
      <c r="L443" s="474"/>
      <c r="M443" s="474"/>
      <c r="N443" s="474"/>
      <c r="O443" s="475"/>
      <c r="P443" s="476" t="s">
        <v>970</v>
      </c>
      <c r="Q443" s="476"/>
      <c r="R443" s="476"/>
      <c r="S443" s="476"/>
      <c r="T443" s="476"/>
      <c r="U443" s="476"/>
      <c r="V443" s="477"/>
      <c r="W443" s="243">
        <v>24787000</v>
      </c>
      <c r="X443" s="478"/>
      <c r="Y443" s="7">
        <f t="shared" si="12"/>
        <v>0</v>
      </c>
      <c r="Z443" s="478"/>
      <c r="AA443" s="469"/>
      <c r="AB443" s="479"/>
      <c r="AC443" s="480"/>
      <c r="AD443" s="476">
        <v>0</v>
      </c>
      <c r="AE443" s="476"/>
      <c r="AF443" s="9">
        <f t="shared" si="13"/>
        <v>0</v>
      </c>
      <c r="AG443" s="476"/>
      <c r="AH443" s="475"/>
      <c r="AI443" s="476"/>
      <c r="AJ443" s="10"/>
      <c r="AK443" s="481"/>
      <c r="AL443" s="481"/>
    </row>
    <row r="444" spans="1:38" ht="15" customHeight="1" x14ac:dyDescent="0.3">
      <c r="A444" s="520" t="s">
        <v>883</v>
      </c>
      <c r="B444" s="2"/>
      <c r="C444" s="6"/>
      <c r="D444" s="11"/>
      <c r="E444" s="430"/>
      <c r="F444" s="12"/>
      <c r="G444" s="111"/>
      <c r="H444" s="142"/>
      <c r="I444" s="14"/>
      <c r="J444" s="32"/>
      <c r="K444" s="474"/>
      <c r="L444" s="474"/>
      <c r="M444" s="474"/>
      <c r="N444" s="474"/>
      <c r="O444" s="475"/>
      <c r="P444" s="476" t="s">
        <v>970</v>
      </c>
      <c r="Q444" s="476"/>
      <c r="R444" s="476"/>
      <c r="S444" s="476"/>
      <c r="T444" s="476"/>
      <c r="U444" s="476"/>
      <c r="V444" s="477"/>
      <c r="W444" s="243">
        <v>25673000</v>
      </c>
      <c r="X444" s="478"/>
      <c r="Y444" s="7">
        <f t="shared" si="12"/>
        <v>0</v>
      </c>
      <c r="Z444" s="478"/>
      <c r="AA444" s="469"/>
      <c r="AB444" s="479"/>
      <c r="AC444" s="480"/>
      <c r="AD444" s="476">
        <v>0</v>
      </c>
      <c r="AE444" s="476"/>
      <c r="AF444" s="9">
        <f t="shared" si="13"/>
        <v>0</v>
      </c>
      <c r="AG444" s="476"/>
      <c r="AH444" s="475"/>
      <c r="AI444" s="476"/>
      <c r="AJ444" s="10"/>
      <c r="AK444" s="481"/>
      <c r="AL444" s="481"/>
    </row>
    <row r="445" spans="1:38" ht="15" customHeight="1" x14ac:dyDescent="0.3">
      <c r="A445" s="520" t="s">
        <v>883</v>
      </c>
      <c r="B445" s="2"/>
      <c r="C445" s="6"/>
      <c r="D445" s="11"/>
      <c r="E445" s="430"/>
      <c r="F445" s="12"/>
      <c r="G445" s="111"/>
      <c r="H445" s="142"/>
      <c r="I445" s="14"/>
      <c r="J445" s="32"/>
      <c r="K445" s="474"/>
      <c r="L445" s="474"/>
      <c r="M445" s="474"/>
      <c r="N445" s="474"/>
      <c r="O445" s="475"/>
      <c r="P445" s="476" t="s">
        <v>970</v>
      </c>
      <c r="Q445" s="476"/>
      <c r="R445" s="476"/>
      <c r="S445" s="476"/>
      <c r="T445" s="476"/>
      <c r="U445" s="476"/>
      <c r="V445" s="477"/>
      <c r="W445" s="243">
        <v>21041000</v>
      </c>
      <c r="X445" s="478"/>
      <c r="Y445" s="7">
        <f t="shared" si="12"/>
        <v>0</v>
      </c>
      <c r="Z445" s="478"/>
      <c r="AA445" s="469"/>
      <c r="AB445" s="479"/>
      <c r="AC445" s="480"/>
      <c r="AD445" s="476">
        <v>0</v>
      </c>
      <c r="AE445" s="476"/>
      <c r="AF445" s="9">
        <f t="shared" si="13"/>
        <v>0</v>
      </c>
      <c r="AG445" s="476"/>
      <c r="AH445" s="475"/>
      <c r="AI445" s="476"/>
      <c r="AJ445" s="10"/>
      <c r="AK445" s="481"/>
      <c r="AL445" s="481"/>
    </row>
    <row r="446" spans="1:38" ht="15" customHeight="1" x14ac:dyDescent="0.3">
      <c r="A446" s="520" t="s">
        <v>883</v>
      </c>
      <c r="B446" s="2"/>
      <c r="C446" s="6"/>
      <c r="D446" s="11"/>
      <c r="E446" s="430"/>
      <c r="F446" s="12"/>
      <c r="G446" s="111"/>
      <c r="H446" s="142"/>
      <c r="I446" s="14"/>
      <c r="J446" s="32"/>
      <c r="K446" s="474"/>
      <c r="L446" s="474"/>
      <c r="M446" s="474"/>
      <c r="N446" s="474"/>
      <c r="O446" s="475"/>
      <c r="P446" s="476" t="s">
        <v>970</v>
      </c>
      <c r="Q446" s="476"/>
      <c r="R446" s="476"/>
      <c r="S446" s="476"/>
      <c r="T446" s="476"/>
      <c r="U446" s="476"/>
      <c r="V446" s="477"/>
      <c r="W446" s="243">
        <v>10907000</v>
      </c>
      <c r="X446" s="478"/>
      <c r="Y446" s="7">
        <f t="shared" si="12"/>
        <v>0</v>
      </c>
      <c r="Z446" s="478"/>
      <c r="AA446" s="469"/>
      <c r="AB446" s="479"/>
      <c r="AC446" s="480"/>
      <c r="AD446" s="476">
        <v>0</v>
      </c>
      <c r="AE446" s="476"/>
      <c r="AF446" s="9">
        <f t="shared" si="13"/>
        <v>0</v>
      </c>
      <c r="AG446" s="476"/>
      <c r="AH446" s="475"/>
      <c r="AI446" s="476"/>
      <c r="AJ446" s="10"/>
      <c r="AK446" s="481"/>
      <c r="AL446" s="481"/>
    </row>
    <row r="447" spans="1:38" ht="15" customHeight="1" x14ac:dyDescent="0.3">
      <c r="A447" s="520" t="s">
        <v>883</v>
      </c>
      <c r="B447" s="2"/>
      <c r="C447" s="6"/>
      <c r="D447" s="11"/>
      <c r="E447" s="430"/>
      <c r="F447" s="12"/>
      <c r="G447" s="111"/>
      <c r="H447" s="142"/>
      <c r="I447" s="14"/>
      <c r="J447" s="32"/>
      <c r="K447" s="474"/>
      <c r="L447" s="474"/>
      <c r="M447" s="474"/>
      <c r="N447" s="474"/>
      <c r="O447" s="475"/>
      <c r="P447" s="476" t="s">
        <v>970</v>
      </c>
      <c r="Q447" s="476"/>
      <c r="R447" s="476"/>
      <c r="S447" s="476"/>
      <c r="T447" s="476"/>
      <c r="U447" s="476"/>
      <c r="V447" s="477"/>
      <c r="W447" s="243">
        <v>22506000</v>
      </c>
      <c r="X447" s="478"/>
      <c r="Y447" s="7">
        <f t="shared" si="12"/>
        <v>0</v>
      </c>
      <c r="Z447" s="478"/>
      <c r="AA447" s="469"/>
      <c r="AB447" s="479"/>
      <c r="AC447" s="480"/>
      <c r="AD447" s="476">
        <v>0</v>
      </c>
      <c r="AE447" s="476"/>
      <c r="AF447" s="9">
        <f t="shared" si="13"/>
        <v>0</v>
      </c>
      <c r="AG447" s="476"/>
      <c r="AH447" s="475"/>
      <c r="AI447" s="476"/>
      <c r="AJ447" s="10"/>
      <c r="AK447" s="481"/>
      <c r="AL447" s="481"/>
    </row>
    <row r="448" spans="1:38" ht="15" customHeight="1" x14ac:dyDescent="0.3">
      <c r="A448" s="520" t="s">
        <v>883</v>
      </c>
      <c r="B448" s="2"/>
      <c r="C448" s="6"/>
      <c r="D448" s="11"/>
      <c r="E448" s="430"/>
      <c r="F448" s="12"/>
      <c r="G448" s="111"/>
      <c r="H448" s="142"/>
      <c r="I448" s="14"/>
      <c r="J448" s="32"/>
      <c r="K448" s="474"/>
      <c r="L448" s="474"/>
      <c r="M448" s="474"/>
      <c r="N448" s="474"/>
      <c r="O448" s="475"/>
      <c r="P448" s="476" t="s">
        <v>970</v>
      </c>
      <c r="Q448" s="476"/>
      <c r="R448" s="476"/>
      <c r="S448" s="476"/>
      <c r="T448" s="476"/>
      <c r="U448" s="476"/>
      <c r="V448" s="477"/>
      <c r="W448" s="243">
        <v>13343000</v>
      </c>
      <c r="X448" s="478"/>
      <c r="Y448" s="7">
        <f t="shared" si="12"/>
        <v>0</v>
      </c>
      <c r="Z448" s="478"/>
      <c r="AA448" s="469"/>
      <c r="AB448" s="479"/>
      <c r="AC448" s="480"/>
      <c r="AD448" s="476">
        <v>0</v>
      </c>
      <c r="AE448" s="476"/>
      <c r="AF448" s="9">
        <f t="shared" si="13"/>
        <v>0</v>
      </c>
      <c r="AG448" s="476"/>
      <c r="AH448" s="475"/>
      <c r="AI448" s="476"/>
      <c r="AJ448" s="10"/>
      <c r="AK448" s="481"/>
      <c r="AL448" s="481"/>
    </row>
    <row r="449" spans="1:38" ht="15" customHeight="1" x14ac:dyDescent="0.3">
      <c r="A449" s="520" t="s">
        <v>883</v>
      </c>
      <c r="B449" s="2"/>
      <c r="C449" s="6"/>
      <c r="D449" s="11"/>
      <c r="E449" s="430"/>
      <c r="F449" s="12"/>
      <c r="G449" s="111"/>
      <c r="H449" s="142"/>
      <c r="I449" s="14"/>
      <c r="J449" s="32"/>
      <c r="K449" s="474"/>
      <c r="L449" s="474"/>
      <c r="M449" s="474"/>
      <c r="N449" s="474"/>
      <c r="O449" s="475"/>
      <c r="P449" s="476" t="s">
        <v>970</v>
      </c>
      <c r="Q449" s="476"/>
      <c r="R449" s="476"/>
      <c r="S449" s="476"/>
      <c r="T449" s="476"/>
      <c r="U449" s="476"/>
      <c r="V449" s="477"/>
      <c r="W449" s="243">
        <v>17238000</v>
      </c>
      <c r="X449" s="478"/>
      <c r="Y449" s="7">
        <f t="shared" si="12"/>
        <v>0</v>
      </c>
      <c r="Z449" s="478"/>
      <c r="AA449" s="469"/>
      <c r="AB449" s="479"/>
      <c r="AC449" s="480"/>
      <c r="AD449" s="476">
        <v>0</v>
      </c>
      <c r="AE449" s="476"/>
      <c r="AF449" s="9">
        <f t="shared" si="13"/>
        <v>0</v>
      </c>
      <c r="AG449" s="476"/>
      <c r="AH449" s="475"/>
      <c r="AI449" s="476"/>
      <c r="AJ449" s="10"/>
      <c r="AK449" s="481"/>
      <c r="AL449" s="481"/>
    </row>
    <row r="450" spans="1:38" ht="15" customHeight="1" x14ac:dyDescent="0.3">
      <c r="A450" s="520" t="s">
        <v>883</v>
      </c>
      <c r="B450" s="2"/>
      <c r="C450" s="6"/>
      <c r="D450" s="11"/>
      <c r="E450" s="430"/>
      <c r="F450" s="12"/>
      <c r="G450" s="111"/>
      <c r="H450" s="142"/>
      <c r="I450" s="14"/>
      <c r="J450" s="32"/>
      <c r="K450" s="474"/>
      <c r="L450" s="474"/>
      <c r="M450" s="474"/>
      <c r="N450" s="474"/>
      <c r="O450" s="475"/>
      <c r="P450" s="476" t="s">
        <v>970</v>
      </c>
      <c r="Q450" s="476"/>
      <c r="R450" s="476"/>
      <c r="S450" s="476"/>
      <c r="T450" s="476"/>
      <c r="U450" s="476"/>
      <c r="V450" s="477"/>
      <c r="W450" s="243">
        <v>25094000</v>
      </c>
      <c r="X450" s="478"/>
      <c r="Y450" s="7">
        <f t="shared" ref="Y450:Y513" si="14">W450*AE450</f>
        <v>0</v>
      </c>
      <c r="Z450" s="478"/>
      <c r="AA450" s="469"/>
      <c r="AB450" s="479"/>
      <c r="AC450" s="480"/>
      <c r="AD450" s="476">
        <v>0</v>
      </c>
      <c r="AE450" s="476"/>
      <c r="AF450" s="9">
        <f t="shared" si="13"/>
        <v>0</v>
      </c>
      <c r="AG450" s="476"/>
      <c r="AH450" s="475"/>
      <c r="AI450" s="476"/>
      <c r="AJ450" s="10"/>
      <c r="AK450" s="481"/>
      <c r="AL450" s="481"/>
    </row>
    <row r="451" spans="1:38" ht="15" customHeight="1" x14ac:dyDescent="0.3">
      <c r="A451" s="520" t="s">
        <v>883</v>
      </c>
      <c r="B451" s="2"/>
      <c r="C451" s="6"/>
      <c r="D451" s="11"/>
      <c r="E451" s="430"/>
      <c r="F451" s="12"/>
      <c r="G451" s="111"/>
      <c r="H451" s="142"/>
      <c r="I451" s="14"/>
      <c r="J451" s="32"/>
      <c r="K451" s="474"/>
      <c r="L451" s="474"/>
      <c r="M451" s="474"/>
      <c r="N451" s="474"/>
      <c r="O451" s="475"/>
      <c r="P451" s="476" t="s">
        <v>970</v>
      </c>
      <c r="Q451" s="476"/>
      <c r="R451" s="476"/>
      <c r="S451" s="476"/>
      <c r="T451" s="476"/>
      <c r="U451" s="476"/>
      <c r="V451" s="477"/>
      <c r="W451" s="243">
        <v>26204000</v>
      </c>
      <c r="X451" s="478"/>
      <c r="Y451" s="7">
        <f t="shared" si="14"/>
        <v>0</v>
      </c>
      <c r="Z451" s="478"/>
      <c r="AA451" s="469"/>
      <c r="AB451" s="479"/>
      <c r="AC451" s="480"/>
      <c r="AD451" s="476">
        <v>0</v>
      </c>
      <c r="AE451" s="476"/>
      <c r="AF451" s="9">
        <f t="shared" ref="AF451:AF514" si="15">AD451+AE451</f>
        <v>0</v>
      </c>
      <c r="AG451" s="476"/>
      <c r="AH451" s="475"/>
      <c r="AI451" s="476"/>
      <c r="AJ451" s="10"/>
      <c r="AK451" s="481"/>
      <c r="AL451" s="481"/>
    </row>
    <row r="452" spans="1:38" ht="15" customHeight="1" x14ac:dyDescent="0.3">
      <c r="A452" s="520" t="s">
        <v>883</v>
      </c>
      <c r="B452" s="2"/>
      <c r="C452" s="6"/>
      <c r="D452" s="11"/>
      <c r="E452" s="430"/>
      <c r="F452" s="12"/>
      <c r="G452" s="111"/>
      <c r="H452" s="142"/>
      <c r="I452" s="14"/>
      <c r="J452" s="32"/>
      <c r="K452" s="474"/>
      <c r="L452" s="474"/>
      <c r="M452" s="474"/>
      <c r="N452" s="474"/>
      <c r="O452" s="475"/>
      <c r="P452" s="476" t="s">
        <v>970</v>
      </c>
      <c r="Q452" s="476"/>
      <c r="R452" s="476"/>
      <c r="S452" s="476"/>
      <c r="T452" s="476"/>
      <c r="U452" s="476"/>
      <c r="V452" s="477"/>
      <c r="W452" s="243">
        <v>23957000</v>
      </c>
      <c r="X452" s="478"/>
      <c r="Y452" s="7">
        <f t="shared" si="14"/>
        <v>0</v>
      </c>
      <c r="Z452" s="478"/>
      <c r="AA452" s="469"/>
      <c r="AB452" s="479"/>
      <c r="AC452" s="480"/>
      <c r="AD452" s="476">
        <v>0</v>
      </c>
      <c r="AE452" s="476"/>
      <c r="AF452" s="9">
        <f t="shared" si="15"/>
        <v>0</v>
      </c>
      <c r="AG452" s="476"/>
      <c r="AH452" s="475"/>
      <c r="AI452" s="476"/>
      <c r="AJ452" s="10"/>
      <c r="AK452" s="481"/>
      <c r="AL452" s="481"/>
    </row>
    <row r="453" spans="1:38" ht="15" customHeight="1" x14ac:dyDescent="0.3">
      <c r="A453" s="520" t="s">
        <v>883</v>
      </c>
      <c r="B453" s="2"/>
      <c r="C453" s="6"/>
      <c r="D453" s="11"/>
      <c r="E453" s="430"/>
      <c r="F453" s="12"/>
      <c r="G453" s="111"/>
      <c r="H453" s="142"/>
      <c r="I453" s="14"/>
      <c r="J453" s="32"/>
      <c r="K453" s="474"/>
      <c r="L453" s="474"/>
      <c r="M453" s="474"/>
      <c r="N453" s="474"/>
      <c r="O453" s="475"/>
      <c r="P453" s="476" t="s">
        <v>970</v>
      </c>
      <c r="Q453" s="476"/>
      <c r="R453" s="476"/>
      <c r="S453" s="476"/>
      <c r="T453" s="476"/>
      <c r="U453" s="476"/>
      <c r="V453" s="477"/>
      <c r="W453" s="243">
        <v>21561000</v>
      </c>
      <c r="X453" s="478"/>
      <c r="Y453" s="7">
        <f t="shared" si="14"/>
        <v>0</v>
      </c>
      <c r="Z453" s="478"/>
      <c r="AA453" s="469"/>
      <c r="AB453" s="479"/>
      <c r="AC453" s="480"/>
      <c r="AD453" s="476">
        <v>0</v>
      </c>
      <c r="AE453" s="476"/>
      <c r="AF453" s="9">
        <f t="shared" si="15"/>
        <v>0</v>
      </c>
      <c r="AG453" s="476"/>
      <c r="AH453" s="475"/>
      <c r="AI453" s="476"/>
      <c r="AJ453" s="10"/>
      <c r="AK453" s="481"/>
      <c r="AL453" s="481"/>
    </row>
    <row r="454" spans="1:38" ht="15" customHeight="1" x14ac:dyDescent="0.3">
      <c r="A454" s="520" t="s">
        <v>883</v>
      </c>
      <c r="B454" s="2"/>
      <c r="C454" s="6"/>
      <c r="D454" s="11"/>
      <c r="E454" s="430"/>
      <c r="F454" s="12"/>
      <c r="G454" s="111"/>
      <c r="H454" s="142"/>
      <c r="I454" s="14"/>
      <c r="J454" s="32"/>
      <c r="K454" s="474"/>
      <c r="L454" s="474"/>
      <c r="M454" s="474"/>
      <c r="N454" s="474"/>
      <c r="O454" s="475"/>
      <c r="P454" s="476" t="s">
        <v>970</v>
      </c>
      <c r="Q454" s="476"/>
      <c r="R454" s="476"/>
      <c r="S454" s="476"/>
      <c r="T454" s="476"/>
      <c r="U454" s="476"/>
      <c r="V454" s="477"/>
      <c r="W454" s="243">
        <v>24468000</v>
      </c>
      <c r="X454" s="478"/>
      <c r="Y454" s="7">
        <f t="shared" si="14"/>
        <v>0</v>
      </c>
      <c r="Z454" s="478"/>
      <c r="AA454" s="469"/>
      <c r="AB454" s="479"/>
      <c r="AC454" s="480"/>
      <c r="AD454" s="476">
        <v>0</v>
      </c>
      <c r="AE454" s="476"/>
      <c r="AF454" s="9">
        <f t="shared" si="15"/>
        <v>0</v>
      </c>
      <c r="AG454" s="476"/>
      <c r="AH454" s="475"/>
      <c r="AI454" s="476"/>
      <c r="AJ454" s="10"/>
      <c r="AK454" s="481"/>
      <c r="AL454" s="481"/>
    </row>
    <row r="455" spans="1:38" ht="15" customHeight="1" x14ac:dyDescent="0.3">
      <c r="A455" s="520" t="s">
        <v>883</v>
      </c>
      <c r="B455" s="2"/>
      <c r="C455" s="6"/>
      <c r="D455" s="11"/>
      <c r="E455" s="430"/>
      <c r="F455" s="12"/>
      <c r="G455" s="111"/>
      <c r="H455" s="142"/>
      <c r="I455" s="14"/>
      <c r="J455" s="32"/>
      <c r="K455" s="474"/>
      <c r="L455" s="474"/>
      <c r="M455" s="474"/>
      <c r="N455" s="474"/>
      <c r="O455" s="475"/>
      <c r="P455" s="476" t="s">
        <v>970</v>
      </c>
      <c r="Q455" s="476"/>
      <c r="R455" s="476"/>
      <c r="S455" s="476"/>
      <c r="T455" s="476"/>
      <c r="U455" s="476"/>
      <c r="V455" s="477"/>
      <c r="W455" s="243">
        <v>26435000</v>
      </c>
      <c r="X455" s="478"/>
      <c r="Y455" s="7">
        <f t="shared" si="14"/>
        <v>0</v>
      </c>
      <c r="Z455" s="478"/>
      <c r="AA455" s="469"/>
      <c r="AB455" s="479"/>
      <c r="AC455" s="480"/>
      <c r="AD455" s="476">
        <v>0</v>
      </c>
      <c r="AE455" s="476"/>
      <c r="AF455" s="9">
        <f t="shared" si="15"/>
        <v>0</v>
      </c>
      <c r="AG455" s="476"/>
      <c r="AH455" s="475"/>
      <c r="AI455" s="476"/>
      <c r="AJ455" s="10"/>
      <c r="AK455" s="481"/>
      <c r="AL455" s="481"/>
    </row>
    <row r="456" spans="1:38" ht="15" customHeight="1" x14ac:dyDescent="0.3">
      <c r="A456" s="520" t="s">
        <v>883</v>
      </c>
      <c r="B456" s="2"/>
      <c r="C456" s="6"/>
      <c r="D456" s="11"/>
      <c r="E456" s="430"/>
      <c r="F456" s="12"/>
      <c r="G456" s="111"/>
      <c r="H456" s="142"/>
      <c r="I456" s="14"/>
      <c r="J456" s="32"/>
      <c r="K456" s="474"/>
      <c r="L456" s="474"/>
      <c r="M456" s="474"/>
      <c r="N456" s="474"/>
      <c r="O456" s="475"/>
      <c r="P456" s="476" t="s">
        <v>970</v>
      </c>
      <c r="Q456" s="476"/>
      <c r="R456" s="476"/>
      <c r="S456" s="476"/>
      <c r="T456" s="476"/>
      <c r="U456" s="476"/>
      <c r="V456" s="477"/>
      <c r="W456" s="243">
        <v>25094000</v>
      </c>
      <c r="X456" s="478"/>
      <c r="Y456" s="7">
        <f t="shared" si="14"/>
        <v>0</v>
      </c>
      <c r="Z456" s="478"/>
      <c r="AA456" s="469"/>
      <c r="AB456" s="479"/>
      <c r="AC456" s="480"/>
      <c r="AD456" s="476">
        <v>0</v>
      </c>
      <c r="AE456" s="476"/>
      <c r="AF456" s="9">
        <f t="shared" si="15"/>
        <v>0</v>
      </c>
      <c r="AG456" s="476"/>
      <c r="AH456" s="475"/>
      <c r="AI456" s="476"/>
      <c r="AJ456" s="10"/>
      <c r="AK456" s="481"/>
      <c r="AL456" s="481"/>
    </row>
    <row r="457" spans="1:38" ht="15" customHeight="1" x14ac:dyDescent="0.3">
      <c r="A457" s="520" t="s">
        <v>883</v>
      </c>
      <c r="B457" s="2"/>
      <c r="C457" s="6"/>
      <c r="D457" s="11"/>
      <c r="E457" s="430"/>
      <c r="F457" s="12"/>
      <c r="G457" s="111"/>
      <c r="H457" s="142"/>
      <c r="I457" s="14"/>
      <c r="J457" s="32"/>
      <c r="K457" s="474"/>
      <c r="L457" s="474"/>
      <c r="M457" s="474"/>
      <c r="N457" s="474"/>
      <c r="O457" s="475"/>
      <c r="P457" s="476" t="s">
        <v>970</v>
      </c>
      <c r="Q457" s="476"/>
      <c r="R457" s="476"/>
      <c r="S457" s="476"/>
      <c r="T457" s="476"/>
      <c r="U457" s="476"/>
      <c r="V457" s="477"/>
      <c r="W457" s="243">
        <v>24787000</v>
      </c>
      <c r="X457" s="478"/>
      <c r="Y457" s="7">
        <f t="shared" si="14"/>
        <v>0</v>
      </c>
      <c r="Z457" s="478"/>
      <c r="AA457" s="469"/>
      <c r="AB457" s="479"/>
      <c r="AC457" s="480"/>
      <c r="AD457" s="476">
        <v>0</v>
      </c>
      <c r="AE457" s="476"/>
      <c r="AF457" s="9">
        <f t="shared" si="15"/>
        <v>0</v>
      </c>
      <c r="AG457" s="476"/>
      <c r="AH457" s="475"/>
      <c r="AI457" s="476"/>
      <c r="AJ457" s="10"/>
      <c r="AK457" s="481"/>
      <c r="AL457" s="481"/>
    </row>
    <row r="458" spans="1:38" ht="15" customHeight="1" x14ac:dyDescent="0.3">
      <c r="A458" s="520" t="s">
        <v>971</v>
      </c>
      <c r="B458" s="2"/>
      <c r="C458" s="6"/>
      <c r="D458" s="11"/>
      <c r="E458" s="430"/>
      <c r="F458" s="12"/>
      <c r="G458" s="111"/>
      <c r="H458" s="142"/>
      <c r="I458" s="14"/>
      <c r="J458" s="32"/>
      <c r="K458" s="474"/>
      <c r="L458" s="474"/>
      <c r="M458" s="474"/>
      <c r="N458" s="474"/>
      <c r="O458" s="475"/>
      <c r="P458" s="476" t="s">
        <v>970</v>
      </c>
      <c r="Q458" s="476"/>
      <c r="R458" s="476"/>
      <c r="S458" s="476"/>
      <c r="T458" s="476"/>
      <c r="U458" s="476"/>
      <c r="V458" s="477"/>
      <c r="W458" s="243">
        <v>22789000</v>
      </c>
      <c r="X458" s="478"/>
      <c r="Y458" s="7">
        <f t="shared" si="14"/>
        <v>0</v>
      </c>
      <c r="Z458" s="478"/>
      <c r="AA458" s="469"/>
      <c r="AB458" s="479"/>
      <c r="AC458" s="480"/>
      <c r="AD458" s="476">
        <v>0</v>
      </c>
      <c r="AE458" s="476"/>
      <c r="AF458" s="9">
        <f t="shared" si="15"/>
        <v>0</v>
      </c>
      <c r="AG458" s="476"/>
      <c r="AH458" s="475"/>
      <c r="AI458" s="476"/>
      <c r="AJ458" s="10"/>
      <c r="AK458" s="481"/>
      <c r="AL458" s="481"/>
    </row>
    <row r="459" spans="1:38" ht="15" customHeight="1" x14ac:dyDescent="0.3">
      <c r="A459" s="520" t="s">
        <v>971</v>
      </c>
      <c r="B459" s="2"/>
      <c r="C459" s="6"/>
      <c r="D459" s="11"/>
      <c r="E459" s="430"/>
      <c r="F459" s="12"/>
      <c r="G459" s="111"/>
      <c r="H459" s="142"/>
      <c r="I459" s="14"/>
      <c r="J459" s="32"/>
      <c r="K459" s="474"/>
      <c r="L459" s="474"/>
      <c r="M459" s="474"/>
      <c r="N459" s="474"/>
      <c r="O459" s="475"/>
      <c r="P459" s="476" t="s">
        <v>970</v>
      </c>
      <c r="Q459" s="476"/>
      <c r="R459" s="476"/>
      <c r="S459" s="476"/>
      <c r="T459" s="476"/>
      <c r="U459" s="476"/>
      <c r="V459" s="477"/>
      <c r="W459" s="243">
        <v>23957000</v>
      </c>
      <c r="X459" s="478"/>
      <c r="Y459" s="7">
        <f t="shared" si="14"/>
        <v>0</v>
      </c>
      <c r="Z459" s="478"/>
      <c r="AA459" s="469"/>
      <c r="AB459" s="479"/>
      <c r="AC459" s="480"/>
      <c r="AD459" s="476">
        <v>0</v>
      </c>
      <c r="AE459" s="476"/>
      <c r="AF459" s="9">
        <f t="shared" si="15"/>
        <v>0</v>
      </c>
      <c r="AG459" s="476"/>
      <c r="AH459" s="475"/>
      <c r="AI459" s="476"/>
      <c r="AJ459" s="10"/>
      <c r="AK459" s="481"/>
      <c r="AL459" s="481"/>
    </row>
    <row r="460" spans="1:38" ht="15" customHeight="1" x14ac:dyDescent="0.3">
      <c r="A460" s="520" t="s">
        <v>971</v>
      </c>
      <c r="B460" s="2"/>
      <c r="C460" s="6"/>
      <c r="D460" s="11"/>
      <c r="E460" s="430"/>
      <c r="F460" s="12"/>
      <c r="G460" s="111"/>
      <c r="H460" s="142"/>
      <c r="I460" s="14"/>
      <c r="J460" s="32"/>
      <c r="K460" s="474"/>
      <c r="L460" s="474"/>
      <c r="M460" s="474"/>
      <c r="N460" s="474"/>
      <c r="O460" s="475"/>
      <c r="P460" s="476" t="s">
        <v>970</v>
      </c>
      <c r="Q460" s="476"/>
      <c r="R460" s="476"/>
      <c r="S460" s="476"/>
      <c r="T460" s="476"/>
      <c r="U460" s="476"/>
      <c r="V460" s="477"/>
      <c r="W460" s="243">
        <v>25944000</v>
      </c>
      <c r="X460" s="478"/>
      <c r="Y460" s="7">
        <f t="shared" si="14"/>
        <v>0</v>
      </c>
      <c r="Z460" s="478"/>
      <c r="AA460" s="469"/>
      <c r="AB460" s="479"/>
      <c r="AC460" s="480"/>
      <c r="AD460" s="476">
        <v>0</v>
      </c>
      <c r="AE460" s="476"/>
      <c r="AF460" s="9">
        <f t="shared" si="15"/>
        <v>0</v>
      </c>
      <c r="AG460" s="476"/>
      <c r="AH460" s="475"/>
      <c r="AI460" s="476"/>
      <c r="AJ460" s="10"/>
      <c r="AK460" s="481"/>
      <c r="AL460" s="481"/>
    </row>
    <row r="461" spans="1:38" ht="15" customHeight="1" x14ac:dyDescent="0.3">
      <c r="A461" s="520" t="s">
        <v>971</v>
      </c>
      <c r="B461" s="2"/>
      <c r="C461" s="6"/>
      <c r="D461" s="11"/>
      <c r="E461" s="430"/>
      <c r="F461" s="12"/>
      <c r="G461" s="111"/>
      <c r="H461" s="142"/>
      <c r="I461" s="14"/>
      <c r="J461" s="32"/>
      <c r="K461" s="474"/>
      <c r="L461" s="474"/>
      <c r="M461" s="474"/>
      <c r="N461" s="474"/>
      <c r="O461" s="475"/>
      <c r="P461" s="476" t="s">
        <v>970</v>
      </c>
      <c r="Q461" s="476"/>
      <c r="R461" s="476"/>
      <c r="S461" s="476"/>
      <c r="T461" s="476"/>
      <c r="U461" s="476"/>
      <c r="V461" s="477"/>
      <c r="W461" s="243">
        <v>20600000</v>
      </c>
      <c r="X461" s="478"/>
      <c r="Y461" s="7">
        <f t="shared" si="14"/>
        <v>0</v>
      </c>
      <c r="Z461" s="478"/>
      <c r="AA461" s="469"/>
      <c r="AB461" s="479"/>
      <c r="AC461" s="480"/>
      <c r="AD461" s="476">
        <v>0</v>
      </c>
      <c r="AE461" s="476"/>
      <c r="AF461" s="9">
        <f t="shared" si="15"/>
        <v>0</v>
      </c>
      <c r="AG461" s="476"/>
      <c r="AH461" s="475"/>
      <c r="AI461" s="476"/>
      <c r="AJ461" s="10"/>
      <c r="AK461" s="481"/>
      <c r="AL461" s="481"/>
    </row>
    <row r="462" spans="1:38" ht="15" customHeight="1" x14ac:dyDescent="0.3">
      <c r="A462" s="520" t="s">
        <v>971</v>
      </c>
      <c r="B462" s="2"/>
      <c r="C462" s="6"/>
      <c r="D462" s="11"/>
      <c r="E462" s="430"/>
      <c r="F462" s="12"/>
      <c r="G462" s="111"/>
      <c r="H462" s="142"/>
      <c r="I462" s="14"/>
      <c r="J462" s="32"/>
      <c r="K462" s="474"/>
      <c r="L462" s="474"/>
      <c r="M462" s="474"/>
      <c r="N462" s="474"/>
      <c r="O462" s="475"/>
      <c r="P462" s="476" t="s">
        <v>970</v>
      </c>
      <c r="Q462" s="476"/>
      <c r="R462" s="476"/>
      <c r="S462" s="476"/>
      <c r="T462" s="476"/>
      <c r="U462" s="476"/>
      <c r="V462" s="477"/>
      <c r="W462" s="243">
        <v>26453000</v>
      </c>
      <c r="X462" s="478"/>
      <c r="Y462" s="7">
        <f t="shared" si="14"/>
        <v>0</v>
      </c>
      <c r="Z462" s="478"/>
      <c r="AA462" s="469"/>
      <c r="AB462" s="479"/>
      <c r="AC462" s="480"/>
      <c r="AD462" s="476">
        <v>0</v>
      </c>
      <c r="AE462" s="476"/>
      <c r="AF462" s="9">
        <f t="shared" si="15"/>
        <v>0</v>
      </c>
      <c r="AG462" s="476"/>
      <c r="AH462" s="475"/>
      <c r="AI462" s="476"/>
      <c r="AJ462" s="10"/>
      <c r="AK462" s="481"/>
      <c r="AL462" s="481"/>
    </row>
    <row r="463" spans="1:38" ht="15" customHeight="1" x14ac:dyDescent="0.3">
      <c r="A463" s="59" t="s">
        <v>883</v>
      </c>
      <c r="B463" s="58" t="s">
        <v>949</v>
      </c>
      <c r="C463" s="123" t="s">
        <v>972</v>
      </c>
      <c r="D463" s="11" t="s">
        <v>24</v>
      </c>
      <c r="E463" s="440">
        <v>35388</v>
      </c>
      <c r="F463" s="12">
        <v>1996</v>
      </c>
      <c r="G463" s="13">
        <v>888</v>
      </c>
      <c r="H463" s="142"/>
      <c r="I463" s="22" t="s">
        <v>264</v>
      </c>
      <c r="J463" s="32" t="s">
        <v>26</v>
      </c>
      <c r="K463" s="477" t="s">
        <v>392</v>
      </c>
      <c r="L463" s="477"/>
      <c r="M463" s="477"/>
      <c r="N463" s="477"/>
      <c r="O463" s="476" t="s">
        <v>973</v>
      </c>
      <c r="P463" s="476" t="s">
        <v>685</v>
      </c>
      <c r="Q463" s="15" t="s">
        <v>974</v>
      </c>
      <c r="R463" s="15"/>
      <c r="S463" s="16" t="s">
        <v>44</v>
      </c>
      <c r="T463" s="16"/>
      <c r="U463" s="484"/>
      <c r="V463" s="485"/>
      <c r="W463" s="243"/>
      <c r="X463" s="478"/>
      <c r="Y463" s="7">
        <f t="shared" si="14"/>
        <v>0</v>
      </c>
      <c r="Z463" s="478"/>
      <c r="AA463" s="469"/>
      <c r="AB463" s="479" t="s">
        <v>49</v>
      </c>
      <c r="AC463" s="480"/>
      <c r="AD463" s="489">
        <v>0</v>
      </c>
      <c r="AE463" s="489"/>
      <c r="AF463" s="9">
        <f t="shared" si="15"/>
        <v>0</v>
      </c>
      <c r="AG463" s="486" t="s">
        <v>975</v>
      </c>
      <c r="AH463" s="476" t="s">
        <v>976</v>
      </c>
      <c r="AI463" s="476"/>
      <c r="AJ463" s="10"/>
      <c r="AK463" s="59"/>
      <c r="AL463" s="10"/>
    </row>
    <row r="464" spans="1:38" ht="15" customHeight="1" x14ac:dyDescent="0.3">
      <c r="A464" s="59" t="s">
        <v>883</v>
      </c>
      <c r="B464" s="57" t="s">
        <v>949</v>
      </c>
      <c r="C464" s="123" t="s">
        <v>972</v>
      </c>
      <c r="D464" s="11" t="s">
        <v>24</v>
      </c>
      <c r="E464" s="440">
        <v>35415</v>
      </c>
      <c r="F464" s="12">
        <v>1996</v>
      </c>
      <c r="G464" s="13">
        <v>890</v>
      </c>
      <c r="H464" s="142"/>
      <c r="I464" s="22" t="s">
        <v>264</v>
      </c>
      <c r="J464" s="32" t="s">
        <v>26</v>
      </c>
      <c r="K464" s="477" t="s">
        <v>392</v>
      </c>
      <c r="L464" s="477"/>
      <c r="M464" s="477"/>
      <c r="N464" s="477"/>
      <c r="O464" s="476" t="s">
        <v>977</v>
      </c>
      <c r="P464" s="476" t="s">
        <v>685</v>
      </c>
      <c r="Q464" s="15" t="s">
        <v>974</v>
      </c>
      <c r="R464" s="15"/>
      <c r="S464" s="16" t="s">
        <v>44</v>
      </c>
      <c r="T464" s="16"/>
      <c r="U464" s="484"/>
      <c r="V464" s="485"/>
      <c r="W464" s="243"/>
      <c r="X464" s="478"/>
      <c r="Y464" s="7">
        <f t="shared" si="14"/>
        <v>0</v>
      </c>
      <c r="Z464" s="478"/>
      <c r="AA464" s="469"/>
      <c r="AB464" s="479" t="s">
        <v>49</v>
      </c>
      <c r="AC464" s="480"/>
      <c r="AD464" s="489">
        <v>0</v>
      </c>
      <c r="AE464" s="489"/>
      <c r="AF464" s="9">
        <f t="shared" si="15"/>
        <v>0</v>
      </c>
      <c r="AG464" s="486" t="s">
        <v>975</v>
      </c>
      <c r="AH464" s="476" t="s">
        <v>976</v>
      </c>
      <c r="AI464" s="476"/>
      <c r="AJ464" s="10"/>
      <c r="AK464" s="59"/>
      <c r="AL464" s="10"/>
    </row>
    <row r="465" spans="1:38" ht="15" customHeight="1" x14ac:dyDescent="0.3">
      <c r="A465" s="59" t="s">
        <v>883</v>
      </c>
      <c r="B465" s="58" t="s">
        <v>949</v>
      </c>
      <c r="C465" s="123" t="s">
        <v>972</v>
      </c>
      <c r="D465" s="11" t="s">
        <v>24</v>
      </c>
      <c r="E465" s="440">
        <v>35415</v>
      </c>
      <c r="F465" s="12">
        <v>1996</v>
      </c>
      <c r="G465" s="13">
        <v>892</v>
      </c>
      <c r="H465" s="142"/>
      <c r="I465" s="22" t="s">
        <v>264</v>
      </c>
      <c r="J465" s="32" t="s">
        <v>26</v>
      </c>
      <c r="K465" s="477" t="s">
        <v>392</v>
      </c>
      <c r="L465" s="477"/>
      <c r="M465" s="477"/>
      <c r="N465" s="477"/>
      <c r="O465" s="476" t="s">
        <v>973</v>
      </c>
      <c r="P465" s="476" t="s">
        <v>685</v>
      </c>
      <c r="Q465" s="15" t="s">
        <v>974</v>
      </c>
      <c r="R465" s="15"/>
      <c r="S465" s="16" t="s">
        <v>44</v>
      </c>
      <c r="T465" s="16"/>
      <c r="U465" s="484"/>
      <c r="V465" s="485"/>
      <c r="W465" s="243"/>
      <c r="X465" s="478"/>
      <c r="Y465" s="7">
        <f t="shared" si="14"/>
        <v>0</v>
      </c>
      <c r="Z465" s="478"/>
      <c r="AA465" s="469"/>
      <c r="AB465" s="479" t="s">
        <v>49</v>
      </c>
      <c r="AC465" s="480"/>
      <c r="AD465" s="489">
        <v>0</v>
      </c>
      <c r="AE465" s="489"/>
      <c r="AF465" s="9">
        <f t="shared" si="15"/>
        <v>0</v>
      </c>
      <c r="AG465" s="486" t="s">
        <v>975</v>
      </c>
      <c r="AH465" s="476" t="s">
        <v>976</v>
      </c>
      <c r="AI465" s="476"/>
      <c r="AJ465" s="10"/>
      <c r="AK465" s="59"/>
      <c r="AL465" s="10"/>
    </row>
    <row r="466" spans="1:38" ht="15" customHeight="1" x14ac:dyDescent="0.3">
      <c r="A466" s="59" t="s">
        <v>883</v>
      </c>
      <c r="B466" s="58" t="s">
        <v>949</v>
      </c>
      <c r="C466" s="123" t="s">
        <v>972</v>
      </c>
      <c r="D466" s="11" t="s">
        <v>24</v>
      </c>
      <c r="E466" s="440">
        <v>35754</v>
      </c>
      <c r="F466" s="12">
        <v>1997</v>
      </c>
      <c r="G466" s="13">
        <v>980</v>
      </c>
      <c r="H466" s="142"/>
      <c r="I466" s="22" t="s">
        <v>264</v>
      </c>
      <c r="J466" s="32" t="s">
        <v>26</v>
      </c>
      <c r="K466" s="477" t="s">
        <v>392</v>
      </c>
      <c r="L466" s="477"/>
      <c r="M466" s="477"/>
      <c r="N466" s="477"/>
      <c r="O466" s="476" t="s">
        <v>973</v>
      </c>
      <c r="P466" s="476" t="s">
        <v>685</v>
      </c>
      <c r="Q466" s="15" t="s">
        <v>974</v>
      </c>
      <c r="R466" s="15"/>
      <c r="S466" s="16" t="s">
        <v>44</v>
      </c>
      <c r="T466" s="16"/>
      <c r="U466" s="484"/>
      <c r="V466" s="485"/>
      <c r="W466" s="243"/>
      <c r="X466" s="478"/>
      <c r="Y466" s="7">
        <f t="shared" si="14"/>
        <v>0</v>
      </c>
      <c r="Z466" s="478"/>
      <c r="AA466" s="469"/>
      <c r="AB466" s="479" t="s">
        <v>49</v>
      </c>
      <c r="AC466" s="480"/>
      <c r="AD466" s="489">
        <v>0</v>
      </c>
      <c r="AE466" s="489"/>
      <c r="AF466" s="9">
        <f t="shared" si="15"/>
        <v>0</v>
      </c>
      <c r="AG466" s="486" t="s">
        <v>975</v>
      </c>
      <c r="AH466" s="476" t="s">
        <v>976</v>
      </c>
      <c r="AI466" s="476"/>
      <c r="AJ466" s="10"/>
      <c r="AK466" s="59"/>
      <c r="AL466" s="10"/>
    </row>
    <row r="467" spans="1:38" ht="15" customHeight="1" x14ac:dyDescent="0.3">
      <c r="A467" s="59" t="s">
        <v>883</v>
      </c>
      <c r="B467" s="58" t="s">
        <v>949</v>
      </c>
      <c r="C467" s="123" t="s">
        <v>972</v>
      </c>
      <c r="D467" s="11" t="s">
        <v>24</v>
      </c>
      <c r="E467" s="440">
        <v>35780</v>
      </c>
      <c r="F467" s="12">
        <v>1997</v>
      </c>
      <c r="G467" s="13">
        <v>967</v>
      </c>
      <c r="H467" s="142"/>
      <c r="I467" s="22" t="s">
        <v>264</v>
      </c>
      <c r="J467" s="32" t="s">
        <v>26</v>
      </c>
      <c r="K467" s="477" t="s">
        <v>392</v>
      </c>
      <c r="L467" s="477"/>
      <c r="M467" s="477"/>
      <c r="N467" s="477"/>
      <c r="O467" s="476" t="s">
        <v>973</v>
      </c>
      <c r="P467" s="476" t="s">
        <v>685</v>
      </c>
      <c r="Q467" s="15" t="s">
        <v>974</v>
      </c>
      <c r="R467" s="15"/>
      <c r="S467" s="16" t="s">
        <v>44</v>
      </c>
      <c r="T467" s="16"/>
      <c r="U467" s="484"/>
      <c r="V467" s="485"/>
      <c r="W467" s="243"/>
      <c r="X467" s="478"/>
      <c r="Y467" s="7">
        <f t="shared" si="14"/>
        <v>0</v>
      </c>
      <c r="Z467" s="478"/>
      <c r="AA467" s="469"/>
      <c r="AB467" s="479" t="s">
        <v>49</v>
      </c>
      <c r="AC467" s="480"/>
      <c r="AD467" s="489">
        <v>0</v>
      </c>
      <c r="AE467" s="489"/>
      <c r="AF467" s="9">
        <f t="shared" si="15"/>
        <v>0</v>
      </c>
      <c r="AG467" s="486" t="s">
        <v>975</v>
      </c>
      <c r="AH467" s="476" t="s">
        <v>976</v>
      </c>
      <c r="AI467" s="476"/>
      <c r="AJ467" s="10"/>
      <c r="AK467" s="59"/>
      <c r="AL467" s="10"/>
    </row>
    <row r="468" spans="1:38" ht="15" customHeight="1" x14ac:dyDescent="0.3">
      <c r="A468" s="531" t="s">
        <v>22</v>
      </c>
      <c r="B468" s="110" t="s">
        <v>422</v>
      </c>
      <c r="C468" s="58">
        <v>2</v>
      </c>
      <c r="D468" s="22" t="s">
        <v>190</v>
      </c>
      <c r="E468" s="454">
        <v>36739</v>
      </c>
      <c r="F468" s="12">
        <v>2000</v>
      </c>
      <c r="G468" s="36" t="s">
        <v>978</v>
      </c>
      <c r="H468" s="142"/>
      <c r="I468" s="22" t="s">
        <v>264</v>
      </c>
      <c r="J468" s="59" t="s">
        <v>81</v>
      </c>
      <c r="K468" s="477" t="s">
        <v>640</v>
      </c>
      <c r="L468" s="477"/>
      <c r="M468" s="477"/>
      <c r="N468" s="477"/>
      <c r="O468" s="476" t="s">
        <v>928</v>
      </c>
      <c r="P468" s="483" t="s">
        <v>929</v>
      </c>
      <c r="Q468" s="15" t="s">
        <v>282</v>
      </c>
      <c r="R468" s="15"/>
      <c r="S468" s="16" t="s">
        <v>35</v>
      </c>
      <c r="T468" s="16"/>
      <c r="U468" s="484"/>
      <c r="V468" s="485"/>
      <c r="W468" s="243">
        <v>30998333</v>
      </c>
      <c r="X468" s="478"/>
      <c r="Y468" s="7">
        <f t="shared" si="14"/>
        <v>0</v>
      </c>
      <c r="Z468" s="478"/>
      <c r="AA468" s="469"/>
      <c r="AB468" s="513" t="s">
        <v>424</v>
      </c>
      <c r="AC468" s="147"/>
      <c r="AD468" s="489">
        <v>0</v>
      </c>
      <c r="AE468" s="540"/>
      <c r="AF468" s="9">
        <f t="shared" si="15"/>
        <v>0</v>
      </c>
      <c r="AG468" s="539" t="s">
        <v>681</v>
      </c>
      <c r="AH468" s="476" t="s">
        <v>682</v>
      </c>
      <c r="AI468" s="496"/>
      <c r="AJ468" s="10"/>
      <c r="AK468" s="59"/>
      <c r="AL468" s="10"/>
    </row>
    <row r="469" spans="1:38" ht="15" customHeight="1" x14ac:dyDescent="0.3">
      <c r="A469" s="531" t="s">
        <v>508</v>
      </c>
      <c r="B469" s="58" t="s">
        <v>23</v>
      </c>
      <c r="C469" s="58">
        <v>8</v>
      </c>
      <c r="D469" s="22" t="s">
        <v>190</v>
      </c>
      <c r="E469" s="441">
        <v>37566</v>
      </c>
      <c r="F469" s="12">
        <v>2002</v>
      </c>
      <c r="G469" s="36" t="s">
        <v>979</v>
      </c>
      <c r="H469" s="142"/>
      <c r="I469" s="57" t="s">
        <v>285</v>
      </c>
      <c r="J469" s="59" t="s">
        <v>516</v>
      </c>
      <c r="K469" s="477" t="s">
        <v>741</v>
      </c>
      <c r="L469" s="477"/>
      <c r="M469" s="477"/>
      <c r="N469" s="477"/>
      <c r="O469" s="476" t="s">
        <v>980</v>
      </c>
      <c r="P469" s="476" t="s">
        <v>981</v>
      </c>
      <c r="Q469" s="476"/>
      <c r="R469" s="476"/>
      <c r="S469" s="476"/>
      <c r="T469" s="476"/>
      <c r="U469" s="476"/>
      <c r="V469" s="477"/>
      <c r="W469" s="243"/>
      <c r="X469" s="478"/>
      <c r="Y469" s="7">
        <f t="shared" si="14"/>
        <v>0</v>
      </c>
      <c r="Z469" s="478"/>
      <c r="AA469" s="469"/>
      <c r="AB469" s="479" t="s">
        <v>586</v>
      </c>
      <c r="AC469" s="480"/>
      <c r="AD469" s="489">
        <v>0</v>
      </c>
      <c r="AE469" s="489"/>
      <c r="AF469" s="9">
        <f t="shared" si="15"/>
        <v>0</v>
      </c>
      <c r="AG469" s="486" t="s">
        <v>786</v>
      </c>
      <c r="AH469" s="476"/>
      <c r="AI469" s="496"/>
      <c r="AJ469" s="10"/>
      <c r="AK469" s="59"/>
      <c r="AL469" s="10"/>
    </row>
    <row r="470" spans="1:38" ht="15" customHeight="1" x14ac:dyDescent="0.3">
      <c r="A470" s="59" t="s">
        <v>22</v>
      </c>
      <c r="B470" s="58" t="s">
        <v>23</v>
      </c>
      <c r="C470" s="57">
        <v>1</v>
      </c>
      <c r="D470" s="11" t="s">
        <v>24</v>
      </c>
      <c r="E470" s="122">
        <v>37744</v>
      </c>
      <c r="F470" s="12">
        <v>2003</v>
      </c>
      <c r="G470" s="24" t="s">
        <v>982</v>
      </c>
      <c r="H470" s="142"/>
      <c r="I470" s="14" t="s">
        <v>285</v>
      </c>
      <c r="J470" s="32" t="s">
        <v>26</v>
      </c>
      <c r="K470" s="477" t="s">
        <v>392</v>
      </c>
      <c r="L470" s="477"/>
      <c r="M470" s="477"/>
      <c r="N470" s="477"/>
      <c r="O470" s="476" t="s">
        <v>983</v>
      </c>
      <c r="P470" s="476" t="s">
        <v>981</v>
      </c>
      <c r="Q470" s="476"/>
      <c r="R470" s="476"/>
      <c r="S470" s="476"/>
      <c r="T470" s="476"/>
      <c r="U470" s="476"/>
      <c r="V470" s="477"/>
      <c r="W470" s="243"/>
      <c r="X470" s="478"/>
      <c r="Y470" s="7">
        <f t="shared" si="14"/>
        <v>0</v>
      </c>
      <c r="Z470" s="478"/>
      <c r="AA470" s="469"/>
      <c r="AB470" s="518" t="s">
        <v>933</v>
      </c>
      <c r="AC470" s="519"/>
      <c r="AD470" s="489">
        <v>0</v>
      </c>
      <c r="AE470" s="489"/>
      <c r="AF470" s="9">
        <f t="shared" si="15"/>
        <v>0</v>
      </c>
      <c r="AG470" s="486" t="s">
        <v>788</v>
      </c>
      <c r="AH470" s="476"/>
      <c r="AI470" s="476"/>
      <c r="AJ470" s="10"/>
      <c r="AK470" s="59"/>
      <c r="AL470" s="10"/>
    </row>
    <row r="471" spans="1:38" ht="15" customHeight="1" x14ac:dyDescent="0.3">
      <c r="A471" s="664" t="s">
        <v>22</v>
      </c>
      <c r="B471" s="112" t="s">
        <v>105</v>
      </c>
      <c r="C471" s="109">
        <v>10</v>
      </c>
      <c r="D471" s="11" t="s">
        <v>5936</v>
      </c>
      <c r="E471" s="90">
        <v>35859</v>
      </c>
      <c r="F471" s="12">
        <v>1998</v>
      </c>
      <c r="G471" s="60">
        <v>21784</v>
      </c>
      <c r="H471" s="142"/>
      <c r="I471" s="33" t="s">
        <v>33</v>
      </c>
      <c r="J471" s="32" t="s">
        <v>26</v>
      </c>
      <c r="K471" s="622" t="s">
        <v>636</v>
      </c>
      <c r="L471" s="137" t="s">
        <v>40</v>
      </c>
      <c r="M471" s="137" t="s">
        <v>804</v>
      </c>
      <c r="N471" s="137"/>
      <c r="O471" s="93" t="s">
        <v>984</v>
      </c>
      <c r="P471" s="93" t="s">
        <v>943</v>
      </c>
      <c r="Q471" s="15" t="s">
        <v>282</v>
      </c>
      <c r="R471" s="91"/>
      <c r="S471" s="16" t="s">
        <v>44</v>
      </c>
      <c r="T471" s="92"/>
      <c r="U471" s="623"/>
      <c r="V471" s="624"/>
      <c r="W471" s="243"/>
      <c r="X471" s="185"/>
      <c r="Y471" s="7">
        <f t="shared" si="14"/>
        <v>0</v>
      </c>
      <c r="Z471" s="185"/>
      <c r="AA471" s="469"/>
      <c r="AB471" s="513" t="s">
        <v>732</v>
      </c>
      <c r="AC471" s="563"/>
      <c r="AD471" s="665">
        <v>0</v>
      </c>
      <c r="AE471" s="665"/>
      <c r="AF471" s="9">
        <f t="shared" si="15"/>
        <v>0</v>
      </c>
      <c r="AG471" s="182">
        <v>6.5</v>
      </c>
      <c r="AH471" s="93"/>
      <c r="AI471" s="625"/>
      <c r="AJ471" s="93"/>
      <c r="AK471" s="30"/>
      <c r="AL471" s="10"/>
    </row>
    <row r="472" spans="1:38" ht="15" customHeight="1" x14ac:dyDescent="0.3">
      <c r="A472" s="666" t="s">
        <v>22</v>
      </c>
      <c r="B472" s="112" t="s">
        <v>6169</v>
      </c>
      <c r="C472" s="109" t="s">
        <v>962</v>
      </c>
      <c r="D472" s="11" t="s">
        <v>5936</v>
      </c>
      <c r="E472" s="90">
        <v>37276</v>
      </c>
      <c r="F472" s="12">
        <v>2002</v>
      </c>
      <c r="G472" s="60"/>
      <c r="H472" s="142"/>
      <c r="I472" s="33" t="s">
        <v>33</v>
      </c>
      <c r="J472" s="32" t="s">
        <v>26</v>
      </c>
      <c r="K472" s="622" t="s">
        <v>636</v>
      </c>
      <c r="L472" s="137" t="s">
        <v>40</v>
      </c>
      <c r="M472" s="137" t="s">
        <v>804</v>
      </c>
      <c r="N472" s="137"/>
      <c r="O472" s="93" t="s">
        <v>964</v>
      </c>
      <c r="P472" s="146" t="s">
        <v>943</v>
      </c>
      <c r="Q472" s="15" t="s">
        <v>35</v>
      </c>
      <c r="R472" s="91"/>
      <c r="S472" s="16" t="s">
        <v>6174</v>
      </c>
      <c r="T472" s="92"/>
      <c r="U472" s="623"/>
      <c r="V472" s="624"/>
      <c r="W472" s="243"/>
      <c r="X472" s="185"/>
      <c r="Y472" s="7">
        <f t="shared" si="14"/>
        <v>0</v>
      </c>
      <c r="Z472" s="185"/>
      <c r="AA472" s="469"/>
      <c r="AB472" s="604" t="s">
        <v>6081</v>
      </c>
      <c r="AC472" s="163"/>
      <c r="AD472" s="639">
        <v>0</v>
      </c>
      <c r="AE472" s="665"/>
      <c r="AF472" s="9">
        <f t="shared" si="15"/>
        <v>0</v>
      </c>
      <c r="AG472" s="182">
        <v>9</v>
      </c>
      <c r="AH472" s="93"/>
      <c r="AI472" s="625"/>
      <c r="AJ472" s="93"/>
      <c r="AK472" s="30"/>
      <c r="AL472" s="10"/>
    </row>
    <row r="473" spans="1:38" ht="15" customHeight="1" x14ac:dyDescent="0.3">
      <c r="A473" s="127" t="s">
        <v>22</v>
      </c>
      <c r="B473" s="124" t="s">
        <v>189</v>
      </c>
      <c r="C473" s="125">
        <v>3</v>
      </c>
      <c r="D473" s="667" t="s">
        <v>190</v>
      </c>
      <c r="E473" s="108">
        <v>37622</v>
      </c>
      <c r="F473" s="12">
        <v>2003</v>
      </c>
      <c r="G473" s="126"/>
      <c r="H473" s="142"/>
      <c r="I473" s="57" t="s">
        <v>6176</v>
      </c>
      <c r="J473" s="32" t="s">
        <v>26</v>
      </c>
      <c r="K473" s="622" t="s">
        <v>392</v>
      </c>
      <c r="L473" s="137" t="s">
        <v>40</v>
      </c>
      <c r="M473" s="137" t="s">
        <v>804</v>
      </c>
      <c r="N473" s="137"/>
      <c r="O473" s="131" t="s">
        <v>985</v>
      </c>
      <c r="P473" s="93" t="s">
        <v>943</v>
      </c>
      <c r="Q473" s="15" t="s">
        <v>282</v>
      </c>
      <c r="R473" s="128"/>
      <c r="S473" s="16" t="s">
        <v>44</v>
      </c>
      <c r="T473" s="129"/>
      <c r="U473" s="668"/>
      <c r="V473" s="669"/>
      <c r="W473" s="243"/>
      <c r="X473" s="185"/>
      <c r="Y473" s="7">
        <f t="shared" si="14"/>
        <v>0</v>
      </c>
      <c r="Z473" s="185"/>
      <c r="AA473" s="469"/>
      <c r="AB473" s="513" t="s">
        <v>5979</v>
      </c>
      <c r="AC473" s="147"/>
      <c r="AD473" s="639">
        <v>0</v>
      </c>
      <c r="AE473" s="639"/>
      <c r="AF473" s="9">
        <f t="shared" si="15"/>
        <v>0</v>
      </c>
      <c r="AG473" s="130"/>
      <c r="AH473" s="131" t="s">
        <v>986</v>
      </c>
      <c r="AI473" s="670"/>
      <c r="AJ473" s="93"/>
      <c r="AK473" s="127"/>
      <c r="AL473" s="10"/>
    </row>
    <row r="474" spans="1:38" ht="15" customHeight="1" x14ac:dyDescent="0.3">
      <c r="A474" s="671" t="s">
        <v>22</v>
      </c>
      <c r="B474" s="112" t="s">
        <v>6169</v>
      </c>
      <c r="C474" s="109" t="s">
        <v>962</v>
      </c>
      <c r="D474" s="11" t="s">
        <v>5936</v>
      </c>
      <c r="E474" s="90">
        <v>37276</v>
      </c>
      <c r="F474" s="12">
        <v>2002</v>
      </c>
      <c r="G474" s="60" t="s">
        <v>987</v>
      </c>
      <c r="H474" s="142"/>
      <c r="I474" s="33" t="s">
        <v>33</v>
      </c>
      <c r="J474" s="32" t="s">
        <v>26</v>
      </c>
      <c r="K474" s="622" t="s">
        <v>636</v>
      </c>
      <c r="L474" s="137" t="s">
        <v>40</v>
      </c>
      <c r="M474" s="137" t="s">
        <v>804</v>
      </c>
      <c r="N474" s="137"/>
      <c r="O474" s="93" t="s">
        <v>964</v>
      </c>
      <c r="P474" s="93" t="s">
        <v>943</v>
      </c>
      <c r="Q474" s="15" t="s">
        <v>282</v>
      </c>
      <c r="R474" s="91"/>
      <c r="S474" s="16" t="s">
        <v>44</v>
      </c>
      <c r="T474" s="92"/>
      <c r="U474" s="623"/>
      <c r="V474" s="624"/>
      <c r="W474" s="243"/>
      <c r="X474" s="185"/>
      <c r="Y474" s="7">
        <f t="shared" si="14"/>
        <v>0</v>
      </c>
      <c r="Z474" s="185"/>
      <c r="AA474" s="469"/>
      <c r="AB474" s="604" t="s">
        <v>6081</v>
      </c>
      <c r="AC474" s="163"/>
      <c r="AD474" s="639">
        <v>0</v>
      </c>
      <c r="AE474" s="665"/>
      <c r="AF474" s="9">
        <f t="shared" si="15"/>
        <v>0</v>
      </c>
      <c r="AG474" s="182">
        <v>9</v>
      </c>
      <c r="AH474" s="93"/>
      <c r="AI474" s="625"/>
      <c r="AJ474" s="93"/>
      <c r="AK474" s="30"/>
      <c r="AL474" s="476"/>
    </row>
    <row r="475" spans="1:38" ht="15" customHeight="1" x14ac:dyDescent="0.3">
      <c r="A475" s="77" t="s">
        <v>22</v>
      </c>
      <c r="B475" s="78" t="s">
        <v>148</v>
      </c>
      <c r="C475" s="79">
        <v>7</v>
      </c>
      <c r="D475" s="11" t="s">
        <v>143</v>
      </c>
      <c r="E475" s="450">
        <v>2003</v>
      </c>
      <c r="F475" s="12">
        <v>1905</v>
      </c>
      <c r="G475" s="83"/>
      <c r="H475" s="142"/>
      <c r="I475" s="49" t="s">
        <v>285</v>
      </c>
      <c r="J475" s="32" t="s">
        <v>26</v>
      </c>
      <c r="K475" s="610" t="s">
        <v>695</v>
      </c>
      <c r="L475" s="477"/>
      <c r="M475" s="477"/>
      <c r="N475" s="477"/>
      <c r="O475" s="483" t="s">
        <v>988</v>
      </c>
      <c r="P475" s="483" t="s">
        <v>989</v>
      </c>
      <c r="Q475" s="483"/>
      <c r="R475" s="483"/>
      <c r="S475" s="672"/>
      <c r="T475" s="672"/>
      <c r="U475" s="672"/>
      <c r="V475" s="613"/>
      <c r="W475" s="243"/>
      <c r="X475" s="478"/>
      <c r="Y475" s="7">
        <f t="shared" si="14"/>
        <v>0</v>
      </c>
      <c r="Z475" s="478"/>
      <c r="AA475" s="469"/>
      <c r="AB475" s="479" t="s">
        <v>147</v>
      </c>
      <c r="AC475" s="480"/>
      <c r="AD475" s="618">
        <v>0</v>
      </c>
      <c r="AE475" s="618"/>
      <c r="AF475" s="9">
        <f t="shared" si="15"/>
        <v>0</v>
      </c>
      <c r="AG475" s="483"/>
      <c r="AH475" s="483"/>
      <c r="AI475" s="81" t="s">
        <v>990</v>
      </c>
      <c r="AJ475" s="77"/>
      <c r="AK475" s="77"/>
      <c r="AL475" s="77"/>
    </row>
    <row r="476" spans="1:38" ht="15" customHeight="1" x14ac:dyDescent="0.3">
      <c r="A476" s="621" t="s">
        <v>22</v>
      </c>
      <c r="B476" s="112" t="s">
        <v>189</v>
      </c>
      <c r="C476" s="109">
        <v>5</v>
      </c>
      <c r="D476" s="12" t="s">
        <v>190</v>
      </c>
      <c r="E476" s="108">
        <v>37232</v>
      </c>
      <c r="F476" s="12">
        <v>2001</v>
      </c>
      <c r="G476" s="60"/>
      <c r="H476" s="142"/>
      <c r="I476" s="33" t="s">
        <v>33</v>
      </c>
      <c r="J476" s="32" t="s">
        <v>26</v>
      </c>
      <c r="K476" s="622" t="s">
        <v>392</v>
      </c>
      <c r="L476" s="137" t="s">
        <v>40</v>
      </c>
      <c r="M476" s="137" t="s">
        <v>804</v>
      </c>
      <c r="N476" s="137"/>
      <c r="O476" s="93" t="s">
        <v>991</v>
      </c>
      <c r="P476" s="93" t="s">
        <v>943</v>
      </c>
      <c r="Q476" s="15" t="s">
        <v>282</v>
      </c>
      <c r="R476" s="91"/>
      <c r="S476" s="16" t="s">
        <v>6174</v>
      </c>
      <c r="T476" s="92"/>
      <c r="U476" s="623"/>
      <c r="V476" s="624"/>
      <c r="W476" s="243"/>
      <c r="X476" s="185"/>
      <c r="Y476" s="7">
        <f t="shared" si="14"/>
        <v>0</v>
      </c>
      <c r="Z476" s="185"/>
      <c r="AA476" s="469"/>
      <c r="AB476" s="513" t="s">
        <v>5979</v>
      </c>
      <c r="AC476" s="563"/>
      <c r="AD476" s="665">
        <v>0</v>
      </c>
      <c r="AE476" s="665"/>
      <c r="AF476" s="9">
        <f t="shared" si="15"/>
        <v>0</v>
      </c>
      <c r="AG476" s="182"/>
      <c r="AH476" s="93" t="s">
        <v>709</v>
      </c>
      <c r="AI476" s="625"/>
      <c r="AJ476" s="93"/>
      <c r="AK476" s="30"/>
      <c r="AL476" s="93"/>
    </row>
    <row r="477" spans="1:38" ht="15" customHeight="1" x14ac:dyDescent="0.3">
      <c r="A477" s="664" t="s">
        <v>22</v>
      </c>
      <c r="B477" s="88" t="s">
        <v>422</v>
      </c>
      <c r="C477" s="109">
        <v>2</v>
      </c>
      <c r="D477" s="33" t="s">
        <v>190</v>
      </c>
      <c r="E477" s="108">
        <v>37319</v>
      </c>
      <c r="F477" s="12">
        <v>2002</v>
      </c>
      <c r="G477" s="60">
        <v>51</v>
      </c>
      <c r="H477" s="142"/>
      <c r="I477" s="33" t="s">
        <v>33</v>
      </c>
      <c r="J477" s="32" t="s">
        <v>26</v>
      </c>
      <c r="K477" s="622" t="s">
        <v>392</v>
      </c>
      <c r="L477" s="137" t="s">
        <v>40</v>
      </c>
      <c r="M477" s="137" t="s">
        <v>804</v>
      </c>
      <c r="N477" s="137"/>
      <c r="O477" s="93" t="s">
        <v>992</v>
      </c>
      <c r="P477" s="93" t="s">
        <v>943</v>
      </c>
      <c r="Q477" s="15" t="s">
        <v>282</v>
      </c>
      <c r="R477" s="91"/>
      <c r="S477" s="16" t="s">
        <v>44</v>
      </c>
      <c r="T477" s="92"/>
      <c r="U477" s="623" t="s">
        <v>993</v>
      </c>
      <c r="V477" s="624"/>
      <c r="W477" s="243"/>
      <c r="X477" s="185"/>
      <c r="Y477" s="7">
        <f t="shared" si="14"/>
        <v>0</v>
      </c>
      <c r="Z477" s="185"/>
      <c r="AA477" s="469"/>
      <c r="AB477" s="513" t="s">
        <v>424</v>
      </c>
      <c r="AC477" s="563"/>
      <c r="AD477" s="665">
        <v>0</v>
      </c>
      <c r="AE477" s="665"/>
      <c r="AF477" s="9">
        <f t="shared" si="15"/>
        <v>0</v>
      </c>
      <c r="AG477" s="182"/>
      <c r="AH477" s="93" t="s">
        <v>994</v>
      </c>
      <c r="AI477" s="625"/>
      <c r="AJ477" s="93"/>
      <c r="AK477" s="30"/>
      <c r="AL477" s="93"/>
    </row>
    <row r="478" spans="1:38" ht="15" customHeight="1" x14ac:dyDescent="0.3">
      <c r="A478" s="568" t="s">
        <v>508</v>
      </c>
      <c r="B478" s="58" t="s">
        <v>105</v>
      </c>
      <c r="C478" s="57">
        <v>15</v>
      </c>
      <c r="D478" s="11" t="s">
        <v>5936</v>
      </c>
      <c r="E478" s="122">
        <v>37316</v>
      </c>
      <c r="F478" s="12">
        <v>2002</v>
      </c>
      <c r="G478" s="24" t="s">
        <v>995</v>
      </c>
      <c r="H478" s="142"/>
      <c r="I478" s="22" t="s">
        <v>264</v>
      </c>
      <c r="J478" s="59" t="s">
        <v>516</v>
      </c>
      <c r="K478" s="477" t="s">
        <v>122</v>
      </c>
      <c r="L478" s="477"/>
      <c r="M478" s="477"/>
      <c r="N478" s="477"/>
      <c r="O478" s="476" t="s">
        <v>996</v>
      </c>
      <c r="P478" s="508" t="s">
        <v>981</v>
      </c>
      <c r="Q478" s="15" t="s">
        <v>282</v>
      </c>
      <c r="R478" s="15"/>
      <c r="S478" s="16" t="s">
        <v>44</v>
      </c>
      <c r="T478" s="16"/>
      <c r="U478" s="484"/>
      <c r="V478" s="485"/>
      <c r="W478" s="243"/>
      <c r="X478" s="478"/>
      <c r="Y478" s="7">
        <f t="shared" si="14"/>
        <v>0</v>
      </c>
      <c r="Z478" s="478"/>
      <c r="AA478" s="469"/>
      <c r="AB478" s="479" t="s">
        <v>732</v>
      </c>
      <c r="AC478" s="480"/>
      <c r="AD478" s="489">
        <v>0</v>
      </c>
      <c r="AE478" s="489"/>
      <c r="AF478" s="9">
        <f t="shared" si="15"/>
        <v>0</v>
      </c>
      <c r="AG478" s="486" t="s">
        <v>677</v>
      </c>
      <c r="AH478" s="476"/>
      <c r="AI478" s="476"/>
      <c r="AJ478" s="10"/>
      <c r="AK478" s="59"/>
      <c r="AL478" s="10"/>
    </row>
    <row r="479" spans="1:38" ht="15" customHeight="1" x14ac:dyDescent="0.3">
      <c r="A479" s="621" t="s">
        <v>22</v>
      </c>
      <c r="B479" s="88" t="s">
        <v>422</v>
      </c>
      <c r="C479" s="89"/>
      <c r="D479" s="12" t="s">
        <v>190</v>
      </c>
      <c r="E479" s="108">
        <v>37377</v>
      </c>
      <c r="F479" s="12">
        <v>2002</v>
      </c>
      <c r="G479" s="60"/>
      <c r="H479" s="142"/>
      <c r="I479" s="33" t="s">
        <v>33</v>
      </c>
      <c r="J479" s="32" t="s">
        <v>26</v>
      </c>
      <c r="K479" s="197" t="s">
        <v>392</v>
      </c>
      <c r="L479" s="137" t="s">
        <v>40</v>
      </c>
      <c r="M479" s="137" t="s">
        <v>804</v>
      </c>
      <c r="N479" s="137"/>
      <c r="O479" s="93" t="s">
        <v>997</v>
      </c>
      <c r="P479" s="93" t="s">
        <v>943</v>
      </c>
      <c r="Q479" s="15" t="s">
        <v>282</v>
      </c>
      <c r="R479" s="91"/>
      <c r="S479" s="16" t="s">
        <v>44</v>
      </c>
      <c r="T479" s="92"/>
      <c r="U479" s="623" t="s">
        <v>998</v>
      </c>
      <c r="V479" s="624"/>
      <c r="W479" s="243"/>
      <c r="X479" s="185"/>
      <c r="Y479" s="7">
        <f t="shared" si="14"/>
        <v>0</v>
      </c>
      <c r="Z479" s="185"/>
      <c r="AA479" s="469"/>
      <c r="AB479" s="513" t="s">
        <v>424</v>
      </c>
      <c r="AC479" s="563"/>
      <c r="AD479" s="665">
        <v>0</v>
      </c>
      <c r="AE479" s="665"/>
      <c r="AF479" s="9">
        <f t="shared" si="15"/>
        <v>0</v>
      </c>
      <c r="AG479" s="182"/>
      <c r="AH479" s="93"/>
      <c r="AI479" s="625"/>
      <c r="AJ479" s="93"/>
      <c r="AK479" s="30"/>
      <c r="AL479" s="93"/>
    </row>
    <row r="480" spans="1:38" ht="15" customHeight="1" x14ac:dyDescent="0.3">
      <c r="A480" s="671" t="s">
        <v>22</v>
      </c>
      <c r="B480" s="112" t="s">
        <v>105</v>
      </c>
      <c r="C480" s="109">
        <v>19</v>
      </c>
      <c r="D480" s="11" t="s">
        <v>5936</v>
      </c>
      <c r="E480" s="108">
        <v>36432</v>
      </c>
      <c r="F480" s="12">
        <v>1999</v>
      </c>
      <c r="G480" s="41" t="s">
        <v>999</v>
      </c>
      <c r="H480" s="142"/>
      <c r="I480" s="33" t="s">
        <v>33</v>
      </c>
      <c r="J480" s="32" t="s">
        <v>26</v>
      </c>
      <c r="K480" s="197" t="s">
        <v>636</v>
      </c>
      <c r="L480" s="137" t="s">
        <v>40</v>
      </c>
      <c r="M480" s="137" t="s">
        <v>804</v>
      </c>
      <c r="N480" s="137"/>
      <c r="O480" s="93" t="s">
        <v>1000</v>
      </c>
      <c r="P480" s="93" t="s">
        <v>943</v>
      </c>
      <c r="Q480" s="15" t="s">
        <v>282</v>
      </c>
      <c r="R480" s="91"/>
      <c r="S480" s="16" t="s">
        <v>6174</v>
      </c>
      <c r="T480" s="92"/>
      <c r="U480" s="623"/>
      <c r="V480" s="624"/>
      <c r="W480" s="243"/>
      <c r="X480" s="185"/>
      <c r="Y480" s="7">
        <f t="shared" si="14"/>
        <v>0</v>
      </c>
      <c r="Z480" s="185"/>
      <c r="AA480" s="469"/>
      <c r="AB480" s="513" t="s">
        <v>732</v>
      </c>
      <c r="AC480" s="563"/>
      <c r="AD480" s="665">
        <v>0</v>
      </c>
      <c r="AE480" s="665"/>
      <c r="AF480" s="9">
        <f t="shared" si="15"/>
        <v>0</v>
      </c>
      <c r="AG480" s="182">
        <v>6.5</v>
      </c>
      <c r="AH480" s="93"/>
      <c r="AI480" s="625"/>
      <c r="AJ480" s="93"/>
      <c r="AK480" s="30"/>
      <c r="AL480" s="93"/>
    </row>
    <row r="481" spans="1:38" ht="15" customHeight="1" x14ac:dyDescent="0.3">
      <c r="A481" s="664" t="s">
        <v>22</v>
      </c>
      <c r="B481" s="112" t="s">
        <v>105</v>
      </c>
      <c r="C481" s="109">
        <v>2</v>
      </c>
      <c r="D481" s="11" t="s">
        <v>5936</v>
      </c>
      <c r="E481" s="108">
        <v>37126</v>
      </c>
      <c r="F481" s="12">
        <v>2001</v>
      </c>
      <c r="G481" s="60">
        <v>446</v>
      </c>
      <c r="H481" s="142"/>
      <c r="I481" s="33" t="s">
        <v>33</v>
      </c>
      <c r="J481" s="32" t="s">
        <v>26</v>
      </c>
      <c r="K481" s="197" t="s">
        <v>636</v>
      </c>
      <c r="L481" s="137" t="s">
        <v>40</v>
      </c>
      <c r="M481" s="137" t="s">
        <v>804</v>
      </c>
      <c r="N481" s="137"/>
      <c r="O481" s="93" t="s">
        <v>1001</v>
      </c>
      <c r="P481" s="93" t="s">
        <v>943</v>
      </c>
      <c r="Q481" s="15" t="s">
        <v>282</v>
      </c>
      <c r="R481" s="91"/>
      <c r="S481" s="16" t="s">
        <v>6174</v>
      </c>
      <c r="T481" s="92"/>
      <c r="U481" s="623"/>
      <c r="V481" s="624"/>
      <c r="W481" s="243"/>
      <c r="X481" s="185"/>
      <c r="Y481" s="7">
        <f t="shared" si="14"/>
        <v>0</v>
      </c>
      <c r="Z481" s="185"/>
      <c r="AA481" s="469"/>
      <c r="AB481" s="513" t="s">
        <v>732</v>
      </c>
      <c r="AC481" s="563"/>
      <c r="AD481" s="665">
        <v>0</v>
      </c>
      <c r="AE481" s="665"/>
      <c r="AF481" s="9">
        <f t="shared" si="15"/>
        <v>0</v>
      </c>
      <c r="AG481" s="182">
        <v>6.5</v>
      </c>
      <c r="AH481" s="93"/>
      <c r="AI481" s="625"/>
      <c r="AJ481" s="93"/>
      <c r="AK481" s="30"/>
      <c r="AL481" s="93"/>
    </row>
    <row r="482" spans="1:38" ht="15" customHeight="1" x14ac:dyDescent="0.3">
      <c r="A482" s="664" t="s">
        <v>22</v>
      </c>
      <c r="B482" s="113" t="s">
        <v>105</v>
      </c>
      <c r="C482" s="109" t="s">
        <v>1002</v>
      </c>
      <c r="D482" s="11" t="s">
        <v>5936</v>
      </c>
      <c r="E482" s="114">
        <v>37201</v>
      </c>
      <c r="F482" s="12">
        <v>2001</v>
      </c>
      <c r="G482" s="60" t="s">
        <v>1003</v>
      </c>
      <c r="H482" s="142"/>
      <c r="I482" s="12" t="s">
        <v>938</v>
      </c>
      <c r="J482" s="32" t="s">
        <v>26</v>
      </c>
      <c r="K482" s="197" t="s">
        <v>636</v>
      </c>
      <c r="L482" s="137"/>
      <c r="M482" s="648"/>
      <c r="N482" s="648"/>
      <c r="O482" s="93" t="s">
        <v>1004</v>
      </c>
      <c r="P482" s="93" t="s">
        <v>943</v>
      </c>
      <c r="Q482" s="15" t="s">
        <v>282</v>
      </c>
      <c r="R482" s="91"/>
      <c r="S482" s="16" t="s">
        <v>44</v>
      </c>
      <c r="T482" s="92"/>
      <c r="U482" s="623"/>
      <c r="V482" s="624"/>
      <c r="W482" s="243"/>
      <c r="X482" s="185"/>
      <c r="Y482" s="7">
        <f t="shared" si="14"/>
        <v>0</v>
      </c>
      <c r="Z482" s="185"/>
      <c r="AA482" s="469"/>
      <c r="AB482" s="513" t="s">
        <v>5980</v>
      </c>
      <c r="AC482" s="563"/>
      <c r="AD482" s="665">
        <v>0</v>
      </c>
      <c r="AE482" s="665"/>
      <c r="AF482" s="9">
        <f t="shared" si="15"/>
        <v>0</v>
      </c>
      <c r="AG482" s="182"/>
      <c r="AH482" s="93"/>
      <c r="AI482" s="625"/>
      <c r="AJ482" s="93"/>
      <c r="AK482" s="30"/>
      <c r="AL482" s="93"/>
    </row>
    <row r="483" spans="1:38" ht="15" customHeight="1" x14ac:dyDescent="0.3">
      <c r="A483" s="646" t="s">
        <v>22</v>
      </c>
      <c r="B483" s="112" t="s">
        <v>197</v>
      </c>
      <c r="C483" s="107">
        <v>4</v>
      </c>
      <c r="D483" s="12" t="s">
        <v>190</v>
      </c>
      <c r="E483" s="108">
        <v>36526</v>
      </c>
      <c r="F483" s="12">
        <v>2000</v>
      </c>
      <c r="G483" s="103">
        <v>2001025200</v>
      </c>
      <c r="H483" s="142"/>
      <c r="I483" s="57" t="s">
        <v>6176</v>
      </c>
      <c r="J483" s="30" t="s">
        <v>67</v>
      </c>
      <c r="K483" s="197" t="s">
        <v>833</v>
      </c>
      <c r="L483" s="137" t="s">
        <v>40</v>
      </c>
      <c r="M483" s="137" t="s">
        <v>804</v>
      </c>
      <c r="N483" s="137"/>
      <c r="O483" s="93" t="s">
        <v>1005</v>
      </c>
      <c r="P483" s="93" t="s">
        <v>943</v>
      </c>
      <c r="Q483" s="15" t="s">
        <v>282</v>
      </c>
      <c r="R483" s="91"/>
      <c r="S483" s="16" t="s">
        <v>44</v>
      </c>
      <c r="T483" s="92"/>
      <c r="U483" s="623"/>
      <c r="V483" s="624"/>
      <c r="W483" s="243"/>
      <c r="X483" s="185"/>
      <c r="Y483" s="7">
        <f t="shared" si="14"/>
        <v>0</v>
      </c>
      <c r="Z483" s="185"/>
      <c r="AA483" s="469"/>
      <c r="AB483" s="513" t="s">
        <v>1006</v>
      </c>
      <c r="AC483" s="147"/>
      <c r="AD483" s="639">
        <v>0</v>
      </c>
      <c r="AE483" s="639"/>
      <c r="AF483" s="9">
        <f t="shared" si="15"/>
        <v>0</v>
      </c>
      <c r="AG483" s="183"/>
      <c r="AH483" s="93"/>
      <c r="AI483" s="640"/>
      <c r="AJ483" s="93"/>
      <c r="AK483" s="30"/>
      <c r="AL483" s="93"/>
    </row>
    <row r="484" spans="1:38" ht="15" customHeight="1" x14ac:dyDescent="0.3">
      <c r="A484" s="646" t="s">
        <v>22</v>
      </c>
      <c r="B484" s="113" t="s">
        <v>23</v>
      </c>
      <c r="C484" s="107" t="s">
        <v>1007</v>
      </c>
      <c r="D484" s="11" t="s">
        <v>24</v>
      </c>
      <c r="E484" s="114">
        <v>37497</v>
      </c>
      <c r="F484" s="12">
        <v>2002</v>
      </c>
      <c r="G484" s="103" t="s">
        <v>1008</v>
      </c>
      <c r="H484" s="142"/>
      <c r="I484" s="12" t="s">
        <v>938</v>
      </c>
      <c r="J484" s="32" t="s">
        <v>26</v>
      </c>
      <c r="K484" s="197" t="s">
        <v>636</v>
      </c>
      <c r="L484" s="137" t="s">
        <v>1009</v>
      </c>
      <c r="M484" s="137" t="s">
        <v>804</v>
      </c>
      <c r="N484" s="137"/>
      <c r="O484" s="93" t="s">
        <v>1010</v>
      </c>
      <c r="P484" s="93" t="s">
        <v>943</v>
      </c>
      <c r="Q484" s="15" t="s">
        <v>282</v>
      </c>
      <c r="R484" s="91"/>
      <c r="S484" s="16" t="s">
        <v>44</v>
      </c>
      <c r="T484" s="92"/>
      <c r="U484" s="623"/>
      <c r="V484" s="624"/>
      <c r="W484" s="243"/>
      <c r="X484" s="185"/>
      <c r="Y484" s="7">
        <f t="shared" si="14"/>
        <v>0</v>
      </c>
      <c r="Z484" s="185"/>
      <c r="AA484" s="469"/>
      <c r="AB484" s="513" t="s">
        <v>5981</v>
      </c>
      <c r="AC484" s="147"/>
      <c r="AD484" s="639">
        <v>0</v>
      </c>
      <c r="AE484" s="639"/>
      <c r="AF484" s="9">
        <f t="shared" si="15"/>
        <v>0</v>
      </c>
      <c r="AG484" s="183"/>
      <c r="AH484" s="93"/>
      <c r="AI484" s="640"/>
      <c r="AJ484" s="93"/>
      <c r="AK484" s="30"/>
      <c r="AL484" s="93"/>
    </row>
    <row r="485" spans="1:38" ht="15" customHeight="1" x14ac:dyDescent="0.3">
      <c r="A485" s="664" t="s">
        <v>22</v>
      </c>
      <c r="B485" s="112" t="s">
        <v>23</v>
      </c>
      <c r="C485" s="109">
        <v>7</v>
      </c>
      <c r="D485" s="11" t="s">
        <v>24</v>
      </c>
      <c r="E485" s="108">
        <v>37773</v>
      </c>
      <c r="F485" s="12">
        <v>2003</v>
      </c>
      <c r="G485" s="33" t="s">
        <v>1011</v>
      </c>
      <c r="H485" s="142"/>
      <c r="I485" s="33" t="s">
        <v>33</v>
      </c>
      <c r="J485" s="30" t="s">
        <v>81</v>
      </c>
      <c r="K485" s="622" t="s">
        <v>621</v>
      </c>
      <c r="L485" s="137" t="s">
        <v>40</v>
      </c>
      <c r="M485" s="137" t="s">
        <v>804</v>
      </c>
      <c r="N485" s="137"/>
      <c r="O485" s="138" t="s">
        <v>1012</v>
      </c>
      <c r="P485" s="93" t="s">
        <v>943</v>
      </c>
      <c r="Q485" s="15" t="s">
        <v>282</v>
      </c>
      <c r="R485" s="91"/>
      <c r="S485" s="16" t="s">
        <v>44</v>
      </c>
      <c r="T485" s="92"/>
      <c r="U485" s="623"/>
      <c r="V485" s="624"/>
      <c r="W485" s="243"/>
      <c r="X485" s="185"/>
      <c r="Y485" s="7">
        <f t="shared" si="14"/>
        <v>0</v>
      </c>
      <c r="Z485" s="185"/>
      <c r="AA485" s="469"/>
      <c r="AB485" s="513" t="s">
        <v>586</v>
      </c>
      <c r="AC485" s="563"/>
      <c r="AD485" s="665">
        <v>0</v>
      </c>
      <c r="AE485" s="665"/>
      <c r="AF485" s="9">
        <f t="shared" si="15"/>
        <v>0</v>
      </c>
      <c r="AG485" s="183" t="s">
        <v>1013</v>
      </c>
      <c r="AH485" s="93" t="s">
        <v>765</v>
      </c>
      <c r="AI485" s="625"/>
      <c r="AJ485" s="93"/>
      <c r="AK485" s="30"/>
      <c r="AL485" s="93"/>
    </row>
    <row r="486" spans="1:38" ht="15" customHeight="1" x14ac:dyDescent="0.3">
      <c r="A486" s="664" t="s">
        <v>22</v>
      </c>
      <c r="B486" s="112" t="s">
        <v>23</v>
      </c>
      <c r="C486" s="109">
        <v>7</v>
      </c>
      <c r="D486" s="11" t="s">
        <v>24</v>
      </c>
      <c r="E486" s="108">
        <v>37773</v>
      </c>
      <c r="F486" s="12">
        <v>2003</v>
      </c>
      <c r="G486" s="33" t="s">
        <v>1011</v>
      </c>
      <c r="H486" s="142"/>
      <c r="I486" s="33" t="s">
        <v>33</v>
      </c>
      <c r="J486" s="30" t="s">
        <v>81</v>
      </c>
      <c r="K486" s="622" t="s">
        <v>621</v>
      </c>
      <c r="L486" s="137" t="s">
        <v>40</v>
      </c>
      <c r="M486" s="137" t="s">
        <v>804</v>
      </c>
      <c r="N486" s="137"/>
      <c r="O486" s="138" t="s">
        <v>1012</v>
      </c>
      <c r="P486" s="146" t="s">
        <v>943</v>
      </c>
      <c r="Q486" s="15" t="s">
        <v>282</v>
      </c>
      <c r="R486" s="91"/>
      <c r="S486" s="16" t="s">
        <v>44</v>
      </c>
      <c r="T486" s="92"/>
      <c r="U486" s="623"/>
      <c r="V486" s="624"/>
      <c r="W486" s="243"/>
      <c r="X486" s="185"/>
      <c r="Y486" s="7">
        <f t="shared" si="14"/>
        <v>0</v>
      </c>
      <c r="Z486" s="185"/>
      <c r="AA486" s="469"/>
      <c r="AB486" s="513" t="s">
        <v>586</v>
      </c>
      <c r="AC486" s="563"/>
      <c r="AD486" s="665">
        <v>0</v>
      </c>
      <c r="AE486" s="665"/>
      <c r="AF486" s="9">
        <f t="shared" si="15"/>
        <v>0</v>
      </c>
      <c r="AG486" s="183" t="s">
        <v>1013</v>
      </c>
      <c r="AH486" s="93" t="s">
        <v>765</v>
      </c>
      <c r="AI486" s="625"/>
      <c r="AJ486" s="93"/>
      <c r="AK486" s="30"/>
      <c r="AL486" s="93"/>
    </row>
    <row r="487" spans="1:38" ht="15" customHeight="1" x14ac:dyDescent="0.3">
      <c r="A487" s="621" t="s">
        <v>22</v>
      </c>
      <c r="B487" s="112" t="s">
        <v>23</v>
      </c>
      <c r="C487" s="109">
        <v>7</v>
      </c>
      <c r="D487" s="11" t="s">
        <v>24</v>
      </c>
      <c r="E487" s="108">
        <v>37773</v>
      </c>
      <c r="F487" s="12">
        <v>2003</v>
      </c>
      <c r="G487" s="33" t="s">
        <v>1011</v>
      </c>
      <c r="H487" s="142"/>
      <c r="I487" s="33" t="s">
        <v>33</v>
      </c>
      <c r="J487" s="30" t="s">
        <v>81</v>
      </c>
      <c r="K487" s="622" t="s">
        <v>621</v>
      </c>
      <c r="L487" s="137" t="s">
        <v>40</v>
      </c>
      <c r="M487" s="137" t="s">
        <v>804</v>
      </c>
      <c r="N487" s="137"/>
      <c r="O487" s="138" t="s">
        <v>1012</v>
      </c>
      <c r="P487" s="93" t="s">
        <v>943</v>
      </c>
      <c r="Q487" s="15" t="s">
        <v>282</v>
      </c>
      <c r="R487" s="91"/>
      <c r="S487" s="16" t="s">
        <v>44</v>
      </c>
      <c r="T487" s="92"/>
      <c r="U487" s="623"/>
      <c r="V487" s="624"/>
      <c r="W487" s="243"/>
      <c r="X487" s="185"/>
      <c r="Y487" s="7">
        <f t="shared" si="14"/>
        <v>0</v>
      </c>
      <c r="Z487" s="185"/>
      <c r="AA487" s="469"/>
      <c r="AB487" s="513" t="s">
        <v>586</v>
      </c>
      <c r="AC487" s="563"/>
      <c r="AD487" s="665">
        <v>0</v>
      </c>
      <c r="AE487" s="665"/>
      <c r="AF487" s="9">
        <f t="shared" si="15"/>
        <v>0</v>
      </c>
      <c r="AG487" s="183" t="s">
        <v>1013</v>
      </c>
      <c r="AH487" s="93" t="s">
        <v>765</v>
      </c>
      <c r="AI487" s="625"/>
      <c r="AJ487" s="93"/>
      <c r="AK487" s="30"/>
      <c r="AL487" s="93"/>
    </row>
    <row r="488" spans="1:38" ht="15" customHeight="1" x14ac:dyDescent="0.3">
      <c r="A488" s="621" t="s">
        <v>22</v>
      </c>
      <c r="B488" s="112" t="s">
        <v>23</v>
      </c>
      <c r="C488" s="109">
        <v>7</v>
      </c>
      <c r="D488" s="11" t="s">
        <v>24</v>
      </c>
      <c r="E488" s="108">
        <v>37773</v>
      </c>
      <c r="F488" s="12">
        <v>2003</v>
      </c>
      <c r="G488" s="33" t="s">
        <v>1011</v>
      </c>
      <c r="H488" s="142"/>
      <c r="I488" s="33" t="s">
        <v>33</v>
      </c>
      <c r="J488" s="30" t="s">
        <v>81</v>
      </c>
      <c r="K488" s="622" t="s">
        <v>621</v>
      </c>
      <c r="L488" s="137" t="s">
        <v>40</v>
      </c>
      <c r="M488" s="137" t="s">
        <v>804</v>
      </c>
      <c r="N488" s="137"/>
      <c r="O488" s="138" t="s">
        <v>1012</v>
      </c>
      <c r="P488" s="93" t="s">
        <v>943</v>
      </c>
      <c r="Q488" s="15" t="s">
        <v>282</v>
      </c>
      <c r="R488" s="91"/>
      <c r="S488" s="16" t="s">
        <v>44</v>
      </c>
      <c r="T488" s="92"/>
      <c r="U488" s="623"/>
      <c r="V488" s="624"/>
      <c r="W488" s="243"/>
      <c r="X488" s="185"/>
      <c r="Y488" s="7">
        <f t="shared" si="14"/>
        <v>0</v>
      </c>
      <c r="Z488" s="185"/>
      <c r="AA488" s="469"/>
      <c r="AB488" s="513" t="s">
        <v>586</v>
      </c>
      <c r="AC488" s="563"/>
      <c r="AD488" s="665">
        <v>0</v>
      </c>
      <c r="AE488" s="665"/>
      <c r="AF488" s="9">
        <f t="shared" si="15"/>
        <v>0</v>
      </c>
      <c r="AG488" s="183" t="s">
        <v>1013</v>
      </c>
      <c r="AH488" s="93" t="s">
        <v>765</v>
      </c>
      <c r="AI488" s="625"/>
      <c r="AJ488" s="93"/>
      <c r="AK488" s="30"/>
      <c r="AL488" s="93"/>
    </row>
    <row r="489" spans="1:38" ht="15" customHeight="1" x14ac:dyDescent="0.3">
      <c r="A489" s="30" t="s">
        <v>22</v>
      </c>
      <c r="B489" s="120" t="s">
        <v>23</v>
      </c>
      <c r="C489" s="107">
        <v>7</v>
      </c>
      <c r="D489" s="11" t="s">
        <v>24</v>
      </c>
      <c r="E489" s="108">
        <v>37773</v>
      </c>
      <c r="F489" s="12">
        <v>2003</v>
      </c>
      <c r="G489" s="12" t="s">
        <v>1011</v>
      </c>
      <c r="H489" s="142"/>
      <c r="I489" s="33" t="s">
        <v>33</v>
      </c>
      <c r="J489" s="30" t="s">
        <v>81</v>
      </c>
      <c r="K489" s="622" t="s">
        <v>621</v>
      </c>
      <c r="L489" s="137" t="s">
        <v>40</v>
      </c>
      <c r="M489" s="137" t="s">
        <v>804</v>
      </c>
      <c r="N489" s="93"/>
      <c r="O489" s="138" t="s">
        <v>1012</v>
      </c>
      <c r="P489" s="93" t="s">
        <v>943</v>
      </c>
      <c r="Q489" s="15" t="s">
        <v>282</v>
      </c>
      <c r="R489" s="91"/>
      <c r="S489" s="16" t="s">
        <v>44</v>
      </c>
      <c r="T489" s="92"/>
      <c r="U489" s="623"/>
      <c r="V489" s="624"/>
      <c r="W489" s="243"/>
      <c r="X489" s="185"/>
      <c r="Y489" s="7">
        <f t="shared" si="14"/>
        <v>0</v>
      </c>
      <c r="Z489" s="185"/>
      <c r="AA489" s="469"/>
      <c r="AB489" s="513" t="s">
        <v>586</v>
      </c>
      <c r="AC489" s="147"/>
      <c r="AD489" s="639">
        <v>0</v>
      </c>
      <c r="AE489" s="639"/>
      <c r="AF489" s="9">
        <f t="shared" si="15"/>
        <v>0</v>
      </c>
      <c r="AG489" s="183" t="s">
        <v>1013</v>
      </c>
      <c r="AH489" s="93" t="s">
        <v>765</v>
      </c>
      <c r="AI489" s="640"/>
      <c r="AJ489" s="93"/>
      <c r="AK489" s="30"/>
      <c r="AL489" s="481"/>
    </row>
    <row r="490" spans="1:38" ht="15" customHeight="1" x14ac:dyDescent="0.3">
      <c r="A490" s="520" t="s">
        <v>22</v>
      </c>
      <c r="B490" s="12" t="s">
        <v>228</v>
      </c>
      <c r="C490" s="12"/>
      <c r="D490" s="12"/>
      <c r="E490" s="114"/>
      <c r="F490" s="12"/>
      <c r="G490" s="111"/>
      <c r="H490" s="142"/>
      <c r="I490" s="14"/>
      <c r="J490" s="32"/>
      <c r="K490" s="474"/>
      <c r="L490" s="474"/>
      <c r="M490" s="474"/>
      <c r="N490" s="474"/>
      <c r="O490" s="475"/>
      <c r="P490" s="476" t="s">
        <v>1014</v>
      </c>
      <c r="Q490" s="476"/>
      <c r="R490" s="476"/>
      <c r="S490" s="476"/>
      <c r="T490" s="476"/>
      <c r="U490" s="476"/>
      <c r="V490" s="477"/>
      <c r="W490" s="243"/>
      <c r="X490" s="478"/>
      <c r="Y490" s="7">
        <f t="shared" si="14"/>
        <v>0</v>
      </c>
      <c r="Z490" s="478"/>
      <c r="AA490" s="469"/>
      <c r="AB490" s="479"/>
      <c r="AC490" s="480"/>
      <c r="AD490" s="476">
        <v>0</v>
      </c>
      <c r="AE490" s="476"/>
      <c r="AF490" s="9">
        <f t="shared" si="15"/>
        <v>0</v>
      </c>
      <c r="AG490" s="476"/>
      <c r="AH490" s="475"/>
      <c r="AI490" s="476"/>
      <c r="AJ490" s="10"/>
      <c r="AK490" s="481"/>
      <c r="AL490" s="481"/>
    </row>
    <row r="491" spans="1:38" ht="15" customHeight="1" x14ac:dyDescent="0.3">
      <c r="A491" s="30" t="s">
        <v>22</v>
      </c>
      <c r="B491" s="120" t="s">
        <v>23</v>
      </c>
      <c r="C491" s="107">
        <v>7</v>
      </c>
      <c r="D491" s="11" t="s">
        <v>24</v>
      </c>
      <c r="E491" s="108">
        <v>37773</v>
      </c>
      <c r="F491" s="12">
        <v>2003</v>
      </c>
      <c r="G491" s="12" t="s">
        <v>1011</v>
      </c>
      <c r="H491" s="142"/>
      <c r="I491" s="33" t="s">
        <v>33</v>
      </c>
      <c r="J491" s="30" t="s">
        <v>81</v>
      </c>
      <c r="K491" s="622" t="s">
        <v>621</v>
      </c>
      <c r="L491" s="137" t="s">
        <v>40</v>
      </c>
      <c r="M491" s="137" t="s">
        <v>804</v>
      </c>
      <c r="N491" s="93"/>
      <c r="O491" s="138" t="s">
        <v>1012</v>
      </c>
      <c r="P491" s="93" t="s">
        <v>943</v>
      </c>
      <c r="Q491" s="15" t="s">
        <v>282</v>
      </c>
      <c r="R491" s="91"/>
      <c r="S491" s="16" t="s">
        <v>44</v>
      </c>
      <c r="T491" s="92"/>
      <c r="U491" s="623"/>
      <c r="V491" s="624"/>
      <c r="W491" s="243"/>
      <c r="X491" s="185"/>
      <c r="Y491" s="7">
        <f t="shared" si="14"/>
        <v>0</v>
      </c>
      <c r="Z491" s="185"/>
      <c r="AA491" s="469"/>
      <c r="AB491" s="513" t="s">
        <v>586</v>
      </c>
      <c r="AC491" s="147"/>
      <c r="AD491" s="639">
        <v>0</v>
      </c>
      <c r="AE491" s="639"/>
      <c r="AF491" s="9">
        <f t="shared" si="15"/>
        <v>0</v>
      </c>
      <c r="AG491" s="183">
        <v>6</v>
      </c>
      <c r="AH491" s="93" t="s">
        <v>765</v>
      </c>
      <c r="AI491" s="640"/>
      <c r="AJ491" s="93"/>
      <c r="AK491" s="30"/>
      <c r="AL491" s="93"/>
    </row>
    <row r="492" spans="1:38" ht="15" customHeight="1" x14ac:dyDescent="0.3">
      <c r="A492" s="621" t="s">
        <v>22</v>
      </c>
      <c r="B492" s="112" t="s">
        <v>23</v>
      </c>
      <c r="C492" s="109">
        <v>7</v>
      </c>
      <c r="D492" s="11" t="s">
        <v>24</v>
      </c>
      <c r="E492" s="108">
        <v>37773</v>
      </c>
      <c r="F492" s="12">
        <v>2003</v>
      </c>
      <c r="G492" s="33" t="s">
        <v>1011</v>
      </c>
      <c r="H492" s="142"/>
      <c r="I492" s="33" t="s">
        <v>33</v>
      </c>
      <c r="J492" s="30" t="s">
        <v>81</v>
      </c>
      <c r="K492" s="622" t="s">
        <v>621</v>
      </c>
      <c r="L492" s="137" t="s">
        <v>40</v>
      </c>
      <c r="M492" s="137" t="s">
        <v>804</v>
      </c>
      <c r="N492" s="137"/>
      <c r="O492" s="138" t="s">
        <v>1012</v>
      </c>
      <c r="P492" s="93" t="s">
        <v>943</v>
      </c>
      <c r="Q492" s="15" t="s">
        <v>282</v>
      </c>
      <c r="R492" s="91"/>
      <c r="S492" s="16" t="s">
        <v>44</v>
      </c>
      <c r="T492" s="92"/>
      <c r="U492" s="623"/>
      <c r="V492" s="624"/>
      <c r="W492" s="243"/>
      <c r="X492" s="185"/>
      <c r="Y492" s="7">
        <f t="shared" si="14"/>
        <v>0</v>
      </c>
      <c r="Z492" s="185"/>
      <c r="AA492" s="469"/>
      <c r="AB492" s="513" t="s">
        <v>586</v>
      </c>
      <c r="AC492" s="563"/>
      <c r="AD492" s="665">
        <v>0</v>
      </c>
      <c r="AE492" s="665"/>
      <c r="AF492" s="9">
        <f t="shared" si="15"/>
        <v>0</v>
      </c>
      <c r="AG492" s="182">
        <v>6</v>
      </c>
      <c r="AH492" s="93" t="s">
        <v>765</v>
      </c>
      <c r="AI492" s="625"/>
      <c r="AJ492" s="93"/>
      <c r="AK492" s="30"/>
      <c r="AL492" s="93"/>
    </row>
    <row r="493" spans="1:38" ht="15" customHeight="1" x14ac:dyDescent="0.3">
      <c r="A493" s="77" t="s">
        <v>22</v>
      </c>
      <c r="B493" s="57" t="s">
        <v>105</v>
      </c>
      <c r="C493" s="57">
        <v>17</v>
      </c>
      <c r="D493" s="11" t="s">
        <v>5936</v>
      </c>
      <c r="E493" s="122">
        <v>36923</v>
      </c>
      <c r="F493" s="12">
        <v>2001</v>
      </c>
      <c r="G493" s="24" t="s">
        <v>1015</v>
      </c>
      <c r="H493" s="142"/>
      <c r="I493" s="14" t="s">
        <v>285</v>
      </c>
      <c r="J493" s="32" t="s">
        <v>26</v>
      </c>
      <c r="K493" s="477" t="s">
        <v>636</v>
      </c>
      <c r="L493" s="477"/>
      <c r="M493" s="476"/>
      <c r="N493" s="476"/>
      <c r="O493" s="476" t="s">
        <v>1016</v>
      </c>
      <c r="P493" s="508" t="s">
        <v>981</v>
      </c>
      <c r="Q493" s="15" t="s">
        <v>282</v>
      </c>
      <c r="R493" s="15"/>
      <c r="S493" s="16" t="s">
        <v>5982</v>
      </c>
      <c r="T493" s="16"/>
      <c r="U493" s="484"/>
      <c r="V493" s="485"/>
      <c r="W493" s="243"/>
      <c r="X493" s="478"/>
      <c r="Y493" s="7">
        <f t="shared" si="14"/>
        <v>0</v>
      </c>
      <c r="Z493" s="478"/>
      <c r="AA493" s="469"/>
      <c r="AB493" s="479" t="s">
        <v>732</v>
      </c>
      <c r="AC493" s="480"/>
      <c r="AD493" s="489">
        <v>0</v>
      </c>
      <c r="AE493" s="489"/>
      <c r="AF493" s="9">
        <f t="shared" si="15"/>
        <v>0</v>
      </c>
      <c r="AG493" s="486" t="s">
        <v>677</v>
      </c>
      <c r="AH493" s="476"/>
      <c r="AI493" s="476"/>
      <c r="AJ493" s="10"/>
      <c r="AK493" s="59"/>
      <c r="AL493" s="10"/>
    </row>
    <row r="494" spans="1:38" ht="15" customHeight="1" x14ac:dyDescent="0.3">
      <c r="A494" s="181" t="s">
        <v>22</v>
      </c>
      <c r="B494" s="87" t="s">
        <v>227</v>
      </c>
      <c r="C494" s="107" t="s">
        <v>1017</v>
      </c>
      <c r="D494" s="11" t="s">
        <v>225</v>
      </c>
      <c r="E494" s="114">
        <v>35783</v>
      </c>
      <c r="F494" s="12">
        <v>1997</v>
      </c>
      <c r="G494" s="103" t="s">
        <v>1018</v>
      </c>
      <c r="H494" s="142"/>
      <c r="I494" s="12" t="s">
        <v>938</v>
      </c>
      <c r="J494" s="32" t="s">
        <v>26</v>
      </c>
      <c r="K494" s="197" t="s">
        <v>636</v>
      </c>
      <c r="L494" s="137" t="s">
        <v>1009</v>
      </c>
      <c r="M494" s="137" t="s">
        <v>804</v>
      </c>
      <c r="N494" s="137"/>
      <c r="O494" s="93" t="s">
        <v>1019</v>
      </c>
      <c r="P494" s="93" t="s">
        <v>943</v>
      </c>
      <c r="Q494" s="15" t="s">
        <v>6174</v>
      </c>
      <c r="R494" s="91"/>
      <c r="S494" s="16" t="s">
        <v>44</v>
      </c>
      <c r="T494" s="92"/>
      <c r="U494" s="623"/>
      <c r="V494" s="624"/>
      <c r="W494" s="243"/>
      <c r="X494" s="185"/>
      <c r="Y494" s="7">
        <f t="shared" si="14"/>
        <v>0</v>
      </c>
      <c r="Z494" s="185"/>
      <c r="AA494" s="469"/>
      <c r="AB494" s="500" t="s">
        <v>5953</v>
      </c>
      <c r="AC494" s="501"/>
      <c r="AD494" s="639">
        <v>0</v>
      </c>
      <c r="AE494" s="639"/>
      <c r="AF494" s="9">
        <f t="shared" si="15"/>
        <v>0</v>
      </c>
      <c r="AG494" s="183"/>
      <c r="AH494" s="93"/>
      <c r="AI494" s="640"/>
      <c r="AJ494" s="93"/>
      <c r="AK494" s="30"/>
      <c r="AL494" s="93"/>
    </row>
    <row r="495" spans="1:38" ht="15" customHeight="1" x14ac:dyDescent="0.3">
      <c r="A495" s="181" t="s">
        <v>22</v>
      </c>
      <c r="B495" s="112" t="s">
        <v>23</v>
      </c>
      <c r="C495" s="107">
        <v>4</v>
      </c>
      <c r="D495" s="11" t="s">
        <v>24</v>
      </c>
      <c r="E495" s="108">
        <v>37552</v>
      </c>
      <c r="F495" s="12">
        <v>2002</v>
      </c>
      <c r="G495" s="103" t="s">
        <v>1020</v>
      </c>
      <c r="H495" s="142"/>
      <c r="I495" s="12" t="s">
        <v>25</v>
      </c>
      <c r="J495" s="32" t="s">
        <v>191</v>
      </c>
      <c r="K495" s="197" t="s">
        <v>392</v>
      </c>
      <c r="L495" s="137" t="s">
        <v>40</v>
      </c>
      <c r="M495" s="137" t="s">
        <v>804</v>
      </c>
      <c r="N495" s="137"/>
      <c r="O495" s="93" t="s">
        <v>1021</v>
      </c>
      <c r="P495" s="93" t="s">
        <v>943</v>
      </c>
      <c r="Q495" s="15" t="s">
        <v>282</v>
      </c>
      <c r="R495" s="91"/>
      <c r="S495" s="16" t="s">
        <v>44</v>
      </c>
      <c r="T495" s="92"/>
      <c r="U495" s="623"/>
      <c r="V495" s="624"/>
      <c r="W495" s="243"/>
      <c r="X495" s="185"/>
      <c r="Y495" s="7">
        <f t="shared" si="14"/>
        <v>0</v>
      </c>
      <c r="Z495" s="185"/>
      <c r="AA495" s="469"/>
      <c r="AB495" s="479" t="s">
        <v>49</v>
      </c>
      <c r="AC495" s="480"/>
      <c r="AD495" s="639">
        <v>0</v>
      </c>
      <c r="AE495" s="639"/>
      <c r="AF495" s="9">
        <f t="shared" si="15"/>
        <v>0</v>
      </c>
      <c r="AG495" s="183">
        <v>6</v>
      </c>
      <c r="AH495" s="93"/>
      <c r="AI495" s="640"/>
      <c r="AJ495" s="93"/>
      <c r="AK495" s="30"/>
      <c r="AL495" s="93"/>
    </row>
    <row r="496" spans="1:38" ht="15" customHeight="1" x14ac:dyDescent="0.3">
      <c r="A496" s="181" t="s">
        <v>22</v>
      </c>
      <c r="B496" s="112" t="s">
        <v>105</v>
      </c>
      <c r="C496" s="107">
        <v>5</v>
      </c>
      <c r="D496" s="11" t="s">
        <v>5936</v>
      </c>
      <c r="E496" s="108">
        <v>37653</v>
      </c>
      <c r="F496" s="12">
        <v>2003</v>
      </c>
      <c r="G496" s="103" t="s">
        <v>1022</v>
      </c>
      <c r="H496" s="142"/>
      <c r="I496" s="30" t="s">
        <v>38</v>
      </c>
      <c r="J496" s="30" t="s">
        <v>81</v>
      </c>
      <c r="K496" s="197" t="s">
        <v>1023</v>
      </c>
      <c r="L496" s="137" t="s">
        <v>40</v>
      </c>
      <c r="M496" s="137" t="s">
        <v>804</v>
      </c>
      <c r="N496" s="673"/>
      <c r="O496" s="674" t="s">
        <v>1024</v>
      </c>
      <c r="P496" s="93" t="s">
        <v>943</v>
      </c>
      <c r="Q496" s="15" t="s">
        <v>282</v>
      </c>
      <c r="R496" s="91"/>
      <c r="S496" s="92" t="s">
        <v>1025</v>
      </c>
      <c r="T496" s="92"/>
      <c r="U496" s="623"/>
      <c r="V496" s="624"/>
      <c r="W496" s="243"/>
      <c r="X496" s="185"/>
      <c r="Y496" s="7">
        <f t="shared" si="14"/>
        <v>0</v>
      </c>
      <c r="Z496" s="185"/>
      <c r="AA496" s="469"/>
      <c r="AB496" s="513" t="s">
        <v>732</v>
      </c>
      <c r="AC496" s="147"/>
      <c r="AD496" s="639">
        <v>0</v>
      </c>
      <c r="AE496" s="639"/>
      <c r="AF496" s="9">
        <f t="shared" si="15"/>
        <v>0</v>
      </c>
      <c r="AG496" s="183">
        <v>16.25</v>
      </c>
      <c r="AH496" s="476" t="s">
        <v>273</v>
      </c>
      <c r="AI496" s="640"/>
      <c r="AJ496" s="93"/>
      <c r="AK496" s="30"/>
      <c r="AL496" s="93"/>
    </row>
    <row r="497" spans="1:38" ht="15" customHeight="1" x14ac:dyDescent="0.3">
      <c r="A497" s="181" t="s">
        <v>22</v>
      </c>
      <c r="B497" s="112" t="s">
        <v>197</v>
      </c>
      <c r="C497" s="107">
        <v>1</v>
      </c>
      <c r="D497" s="12" t="s">
        <v>190</v>
      </c>
      <c r="E497" s="108">
        <v>37287</v>
      </c>
      <c r="F497" s="12">
        <v>2002</v>
      </c>
      <c r="G497" s="103"/>
      <c r="H497" s="142"/>
      <c r="I497" s="57" t="s">
        <v>6176</v>
      </c>
      <c r="J497" s="30" t="s">
        <v>67</v>
      </c>
      <c r="K497" s="197" t="s">
        <v>833</v>
      </c>
      <c r="L497" s="137" t="s">
        <v>40</v>
      </c>
      <c r="M497" s="137" t="s">
        <v>804</v>
      </c>
      <c r="N497" s="137"/>
      <c r="O497" s="93" t="s">
        <v>1026</v>
      </c>
      <c r="P497" s="93" t="s">
        <v>943</v>
      </c>
      <c r="Q497" s="15" t="s">
        <v>282</v>
      </c>
      <c r="R497" s="91"/>
      <c r="S497" s="16" t="s">
        <v>44</v>
      </c>
      <c r="T497" s="92"/>
      <c r="U497" s="623"/>
      <c r="V497" s="624"/>
      <c r="W497" s="243"/>
      <c r="X497" s="185"/>
      <c r="Y497" s="7">
        <f t="shared" si="14"/>
        <v>0</v>
      </c>
      <c r="Z497" s="185"/>
      <c r="AA497" s="469"/>
      <c r="AB497" s="479" t="s">
        <v>1027</v>
      </c>
      <c r="AC497" s="480"/>
      <c r="AD497" s="639">
        <v>0</v>
      </c>
      <c r="AE497" s="639"/>
      <c r="AF497" s="9">
        <f t="shared" si="15"/>
        <v>0</v>
      </c>
      <c r="AG497" s="183"/>
      <c r="AH497" s="93" t="s">
        <v>1028</v>
      </c>
      <c r="AI497" s="640"/>
      <c r="AJ497" s="93"/>
      <c r="AK497" s="30"/>
      <c r="AL497" s="93"/>
    </row>
    <row r="498" spans="1:38" ht="15" customHeight="1" x14ac:dyDescent="0.3">
      <c r="A498" s="181" t="s">
        <v>22</v>
      </c>
      <c r="B498" s="112" t="s">
        <v>227</v>
      </c>
      <c r="C498" s="107">
        <v>7</v>
      </c>
      <c r="D498" s="11" t="s">
        <v>225</v>
      </c>
      <c r="E498" s="108">
        <v>37186</v>
      </c>
      <c r="F498" s="12">
        <v>2001</v>
      </c>
      <c r="G498" s="103"/>
      <c r="H498" s="142"/>
      <c r="I498" s="33" t="s">
        <v>33</v>
      </c>
      <c r="J498" s="32" t="s">
        <v>26</v>
      </c>
      <c r="K498" s="197" t="s">
        <v>392</v>
      </c>
      <c r="L498" s="137" t="s">
        <v>40</v>
      </c>
      <c r="M498" s="137" t="s">
        <v>804</v>
      </c>
      <c r="N498" s="137"/>
      <c r="O498" s="93" t="s">
        <v>1029</v>
      </c>
      <c r="P498" s="93" t="s">
        <v>943</v>
      </c>
      <c r="Q498" s="15" t="s">
        <v>282</v>
      </c>
      <c r="R498" s="91"/>
      <c r="S498" s="16" t="s">
        <v>44</v>
      </c>
      <c r="T498" s="92"/>
      <c r="U498" s="623"/>
      <c r="V498" s="624"/>
      <c r="W498" s="243"/>
      <c r="X498" s="185"/>
      <c r="Y498" s="7">
        <f t="shared" si="14"/>
        <v>0</v>
      </c>
      <c r="Z498" s="185"/>
      <c r="AA498" s="469"/>
      <c r="AB498" s="504" t="s">
        <v>6115</v>
      </c>
      <c r="AC498" s="138"/>
      <c r="AD498" s="639">
        <v>0</v>
      </c>
      <c r="AE498" s="639"/>
      <c r="AF498" s="9">
        <f t="shared" si="15"/>
        <v>0</v>
      </c>
      <c r="AG498" s="183"/>
      <c r="AH498" s="93" t="s">
        <v>1030</v>
      </c>
      <c r="AI498" s="640"/>
      <c r="AJ498" s="93"/>
      <c r="AK498" s="30"/>
      <c r="AL498" s="93"/>
    </row>
    <row r="499" spans="1:38" ht="15" customHeight="1" x14ac:dyDescent="0.3">
      <c r="A499" s="30" t="s">
        <v>22</v>
      </c>
      <c r="B499" s="113" t="s">
        <v>211</v>
      </c>
      <c r="C499" s="107" t="s">
        <v>937</v>
      </c>
      <c r="D499" s="12" t="s">
        <v>190</v>
      </c>
      <c r="E499" s="114">
        <v>36614</v>
      </c>
      <c r="F499" s="12">
        <v>2000</v>
      </c>
      <c r="G499" s="103" t="s">
        <v>1031</v>
      </c>
      <c r="H499" s="142"/>
      <c r="I499" s="12" t="s">
        <v>938</v>
      </c>
      <c r="J499" s="32" t="s">
        <v>26</v>
      </c>
      <c r="K499" s="197" t="s">
        <v>636</v>
      </c>
      <c r="L499" s="137"/>
      <c r="M499" s="648"/>
      <c r="N499" s="648"/>
      <c r="O499" s="93" t="s">
        <v>1032</v>
      </c>
      <c r="P499" s="93" t="s">
        <v>1033</v>
      </c>
      <c r="Q499" s="15" t="s">
        <v>282</v>
      </c>
      <c r="R499" s="91"/>
      <c r="S499" s="16" t="s">
        <v>35</v>
      </c>
      <c r="T499" s="92"/>
      <c r="U499" s="623"/>
      <c r="V499" s="624"/>
      <c r="W499" s="243"/>
      <c r="X499" s="185"/>
      <c r="Y499" s="7">
        <f t="shared" si="14"/>
        <v>0</v>
      </c>
      <c r="Z499" s="185"/>
      <c r="AA499" s="469"/>
      <c r="AB499" s="513" t="s">
        <v>5983</v>
      </c>
      <c r="AC499" s="147"/>
      <c r="AD499" s="476">
        <v>0</v>
      </c>
      <c r="AE499" s="476"/>
      <c r="AF499" s="9">
        <f t="shared" si="15"/>
        <v>0</v>
      </c>
      <c r="AG499" s="476"/>
      <c r="AH499" s="475"/>
      <c r="AI499" s="476"/>
      <c r="AJ499" s="10"/>
      <c r="AK499" s="481"/>
      <c r="AL499" s="93"/>
    </row>
    <row r="500" spans="1:38" ht="15" customHeight="1" x14ac:dyDescent="0.3">
      <c r="A500" s="59" t="s">
        <v>22</v>
      </c>
      <c r="B500" s="58" t="s">
        <v>197</v>
      </c>
      <c r="C500" s="57">
        <v>1</v>
      </c>
      <c r="D500" s="14" t="s">
        <v>190</v>
      </c>
      <c r="E500" s="440">
        <v>36495</v>
      </c>
      <c r="F500" s="12">
        <v>1999</v>
      </c>
      <c r="G500" s="13"/>
      <c r="H500" s="142"/>
      <c r="I500" s="22" t="s">
        <v>264</v>
      </c>
      <c r="J500" s="32" t="s">
        <v>191</v>
      </c>
      <c r="K500" s="477" t="s">
        <v>314</v>
      </c>
      <c r="L500" s="477"/>
      <c r="M500" s="477"/>
      <c r="N500" s="477"/>
      <c r="O500" s="476" t="s">
        <v>1034</v>
      </c>
      <c r="P500" s="476" t="s">
        <v>1033</v>
      </c>
      <c r="Q500" s="15" t="s">
        <v>35</v>
      </c>
      <c r="R500" s="15"/>
      <c r="S500" s="16" t="s">
        <v>44</v>
      </c>
      <c r="T500" s="16"/>
      <c r="U500" s="484" t="s">
        <v>1035</v>
      </c>
      <c r="V500" s="485"/>
      <c r="W500" s="243">
        <v>39854629</v>
      </c>
      <c r="X500" s="478"/>
      <c r="Y500" s="7">
        <f t="shared" si="14"/>
        <v>0</v>
      </c>
      <c r="Z500" s="478"/>
      <c r="AA500" s="469"/>
      <c r="AB500" s="479" t="s">
        <v>5984</v>
      </c>
      <c r="AC500" s="480"/>
      <c r="AD500" s="489">
        <v>0</v>
      </c>
      <c r="AE500" s="489"/>
      <c r="AF500" s="9">
        <f t="shared" si="15"/>
        <v>0</v>
      </c>
      <c r="AG500" s="486" t="s">
        <v>1036</v>
      </c>
      <c r="AH500" s="476" t="s">
        <v>1037</v>
      </c>
      <c r="AI500" s="476"/>
      <c r="AJ500" s="10"/>
      <c r="AK500" s="59"/>
      <c r="AL500" s="93"/>
    </row>
    <row r="501" spans="1:38" ht="15" customHeight="1" x14ac:dyDescent="0.3">
      <c r="A501" s="30" t="s">
        <v>22</v>
      </c>
      <c r="B501" s="112" t="s">
        <v>1038</v>
      </c>
      <c r="C501" s="107" t="s">
        <v>1039</v>
      </c>
      <c r="D501" s="12" t="s">
        <v>190</v>
      </c>
      <c r="E501" s="108">
        <v>37168</v>
      </c>
      <c r="F501" s="12">
        <v>2001</v>
      </c>
      <c r="G501" s="103"/>
      <c r="H501" s="142"/>
      <c r="I501" s="33" t="s">
        <v>33</v>
      </c>
      <c r="J501" s="32" t="s">
        <v>26</v>
      </c>
      <c r="K501" s="197" t="s">
        <v>392</v>
      </c>
      <c r="L501" s="137" t="s">
        <v>40</v>
      </c>
      <c r="M501" s="137" t="s">
        <v>804</v>
      </c>
      <c r="N501" s="137"/>
      <c r="O501" s="93" t="s">
        <v>1040</v>
      </c>
      <c r="P501" s="93" t="s">
        <v>1041</v>
      </c>
      <c r="Q501" s="15" t="s">
        <v>35</v>
      </c>
      <c r="R501" s="132">
        <v>37771</v>
      </c>
      <c r="S501" s="16" t="s">
        <v>35</v>
      </c>
      <c r="T501" s="133">
        <v>38210</v>
      </c>
      <c r="U501" s="623" t="s">
        <v>1042</v>
      </c>
      <c r="V501" s="180">
        <v>38624</v>
      </c>
      <c r="W501" s="243">
        <v>4363000</v>
      </c>
      <c r="X501" s="185"/>
      <c r="Y501" s="7">
        <f t="shared" si="14"/>
        <v>0</v>
      </c>
      <c r="Z501" s="185"/>
      <c r="AA501" s="469"/>
      <c r="AB501" s="513" t="s">
        <v>5985</v>
      </c>
      <c r="AC501" s="147"/>
      <c r="AD501" s="639">
        <v>0</v>
      </c>
      <c r="AE501" s="639"/>
      <c r="AF501" s="9">
        <f t="shared" si="15"/>
        <v>0</v>
      </c>
      <c r="AG501" s="183">
        <v>9</v>
      </c>
      <c r="AH501" s="93"/>
      <c r="AI501" s="640"/>
      <c r="AJ501" s="93"/>
      <c r="AK501" s="30"/>
      <c r="AL501" s="93"/>
    </row>
    <row r="502" spans="1:38" ht="15" customHeight="1" x14ac:dyDescent="0.3">
      <c r="A502" s="30" t="s">
        <v>22</v>
      </c>
      <c r="B502" s="112" t="s">
        <v>105</v>
      </c>
      <c r="C502" s="107">
        <v>8</v>
      </c>
      <c r="D502" s="11" t="s">
        <v>5936</v>
      </c>
      <c r="E502" s="108">
        <v>36892</v>
      </c>
      <c r="F502" s="12">
        <v>2001</v>
      </c>
      <c r="G502" s="30" t="s">
        <v>1043</v>
      </c>
      <c r="H502" s="142"/>
      <c r="I502" s="33" t="s">
        <v>33</v>
      </c>
      <c r="J502" s="32" t="s">
        <v>26</v>
      </c>
      <c r="K502" s="622" t="s">
        <v>636</v>
      </c>
      <c r="L502" s="137" t="s">
        <v>40</v>
      </c>
      <c r="M502" s="137" t="s">
        <v>804</v>
      </c>
      <c r="N502" s="137"/>
      <c r="O502" s="93" t="s">
        <v>1044</v>
      </c>
      <c r="P502" s="647" t="s">
        <v>1045</v>
      </c>
      <c r="Q502" s="93"/>
      <c r="R502" s="93"/>
      <c r="S502" s="93"/>
      <c r="T502" s="93"/>
      <c r="U502" s="93"/>
      <c r="V502" s="137"/>
      <c r="W502" s="243">
        <v>27000000</v>
      </c>
      <c r="X502" s="185"/>
      <c r="Y502" s="7">
        <f t="shared" si="14"/>
        <v>0</v>
      </c>
      <c r="Z502" s="185"/>
      <c r="AA502" s="469"/>
      <c r="AB502" s="513" t="s">
        <v>732</v>
      </c>
      <c r="AC502" s="147"/>
      <c r="AD502" s="639">
        <v>0</v>
      </c>
      <c r="AE502" s="639"/>
      <c r="AF502" s="9">
        <f t="shared" si="15"/>
        <v>0</v>
      </c>
      <c r="AG502" s="183"/>
      <c r="AH502" s="93"/>
      <c r="AI502" s="640"/>
      <c r="AJ502" s="93"/>
      <c r="AK502" s="30"/>
      <c r="AL502" s="93"/>
    </row>
    <row r="503" spans="1:38" ht="15" customHeight="1" x14ac:dyDescent="0.3">
      <c r="A503" s="59" t="s">
        <v>858</v>
      </c>
      <c r="B503" s="57" t="s">
        <v>199</v>
      </c>
      <c r="C503" s="57"/>
      <c r="D503" s="14" t="s">
        <v>190</v>
      </c>
      <c r="E503" s="440">
        <v>38322</v>
      </c>
      <c r="F503" s="12">
        <v>2004</v>
      </c>
      <c r="G503" s="13"/>
      <c r="H503" s="142"/>
      <c r="I503" s="22" t="s">
        <v>264</v>
      </c>
      <c r="J503" s="59" t="s">
        <v>81</v>
      </c>
      <c r="K503" s="477" t="s">
        <v>859</v>
      </c>
      <c r="L503" s="477" t="s">
        <v>1046</v>
      </c>
      <c r="M503" s="477"/>
      <c r="N503" s="477"/>
      <c r="O503" s="476" t="s">
        <v>1047</v>
      </c>
      <c r="P503" s="476" t="s">
        <v>860</v>
      </c>
      <c r="Q503" s="476"/>
      <c r="R503" s="476"/>
      <c r="S503" s="476"/>
      <c r="T503" s="476"/>
      <c r="U503" s="476"/>
      <c r="V503" s="477"/>
      <c r="W503" s="243"/>
      <c r="X503" s="478"/>
      <c r="Y503" s="7">
        <f t="shared" si="14"/>
        <v>0</v>
      </c>
      <c r="Z503" s="478"/>
      <c r="AA503" s="469"/>
      <c r="AB503" s="479"/>
      <c r="AC503" s="480"/>
      <c r="AD503" s="489">
        <v>0</v>
      </c>
      <c r="AE503" s="489"/>
      <c r="AF503" s="9">
        <f t="shared" si="15"/>
        <v>0</v>
      </c>
      <c r="AG503" s="486"/>
      <c r="AH503" s="476"/>
      <c r="AI503" s="476"/>
      <c r="AJ503" s="10"/>
      <c r="AK503" s="59"/>
      <c r="AL503" s="93"/>
    </row>
    <row r="504" spans="1:38" ht="15" customHeight="1" x14ac:dyDescent="0.3">
      <c r="A504" s="675" t="s">
        <v>22</v>
      </c>
      <c r="B504" s="58" t="s">
        <v>105</v>
      </c>
      <c r="C504" s="57">
        <v>19</v>
      </c>
      <c r="D504" s="11" t="s">
        <v>5936</v>
      </c>
      <c r="E504" s="440">
        <v>2001</v>
      </c>
      <c r="F504" s="12">
        <v>1905</v>
      </c>
      <c r="G504" s="59" t="s">
        <v>1048</v>
      </c>
      <c r="H504" s="142"/>
      <c r="I504" s="22" t="s">
        <v>264</v>
      </c>
      <c r="J504" s="32" t="s">
        <v>26</v>
      </c>
      <c r="K504" s="477" t="s">
        <v>636</v>
      </c>
      <c r="L504" s="477" t="s">
        <v>40</v>
      </c>
      <c r="M504" s="137" t="s">
        <v>804</v>
      </c>
      <c r="N504" s="477"/>
      <c r="O504" s="476"/>
      <c r="P504" s="508" t="s">
        <v>860</v>
      </c>
      <c r="Q504" s="644"/>
      <c r="R504" s="644"/>
      <c r="S504" s="644"/>
      <c r="T504" s="644"/>
      <c r="U504" s="476"/>
      <c r="V504" s="477"/>
      <c r="W504" s="243">
        <v>55000000</v>
      </c>
      <c r="X504" s="478"/>
      <c r="Y504" s="7">
        <f t="shared" si="14"/>
        <v>0</v>
      </c>
      <c r="Z504" s="478"/>
      <c r="AA504" s="469"/>
      <c r="AB504" s="479" t="s">
        <v>732</v>
      </c>
      <c r="AC504" s="480"/>
      <c r="AD504" s="489">
        <v>0</v>
      </c>
      <c r="AE504" s="489"/>
      <c r="AF504" s="9">
        <f t="shared" si="15"/>
        <v>0</v>
      </c>
      <c r="AG504" s="490" t="s">
        <v>677</v>
      </c>
      <c r="AH504" s="476"/>
      <c r="AI504" s="476"/>
      <c r="AJ504" s="10"/>
      <c r="AK504" s="59"/>
      <c r="AL504" s="93"/>
    </row>
    <row r="505" spans="1:38" ht="15" customHeight="1" x14ac:dyDescent="0.3">
      <c r="A505" s="676" t="s">
        <v>140</v>
      </c>
      <c r="B505" s="134" t="s">
        <v>142</v>
      </c>
      <c r="C505" s="135">
        <v>2</v>
      </c>
      <c r="D505" s="11" t="s">
        <v>143</v>
      </c>
      <c r="E505" s="108">
        <v>37742</v>
      </c>
      <c r="F505" s="12">
        <v>2003</v>
      </c>
      <c r="G505" s="136"/>
      <c r="H505" s="142"/>
      <c r="I505" s="12" t="s">
        <v>25</v>
      </c>
      <c r="J505" s="30" t="s">
        <v>81</v>
      </c>
      <c r="K505" s="622" t="s">
        <v>859</v>
      </c>
      <c r="L505" s="137" t="s">
        <v>1049</v>
      </c>
      <c r="M505" s="137" t="s">
        <v>953</v>
      </c>
      <c r="N505" s="137"/>
      <c r="O505" s="138" t="s">
        <v>1050</v>
      </c>
      <c r="P505" s="138" t="s">
        <v>860</v>
      </c>
      <c r="Q505" s="138"/>
      <c r="R505" s="138"/>
      <c r="S505" s="677"/>
      <c r="T505" s="677"/>
      <c r="U505" s="677"/>
      <c r="V505" s="678"/>
      <c r="W505" s="243"/>
      <c r="X505" s="185"/>
      <c r="Y505" s="7">
        <f t="shared" si="14"/>
        <v>0</v>
      </c>
      <c r="Z505" s="185"/>
      <c r="AA505" s="469"/>
      <c r="AB505" s="679" t="s">
        <v>147</v>
      </c>
      <c r="AC505" s="680"/>
      <c r="AD505" s="681">
        <v>0</v>
      </c>
      <c r="AE505" s="682"/>
      <c r="AF505" s="9">
        <f t="shared" si="15"/>
        <v>0</v>
      </c>
      <c r="AG505" s="37"/>
      <c r="AH505" s="656"/>
      <c r="AI505" s="683"/>
      <c r="AJ505" s="138"/>
      <c r="AK505" s="181"/>
      <c r="AL505" s="93"/>
    </row>
    <row r="506" spans="1:38" ht="15" customHeight="1" x14ac:dyDescent="0.3">
      <c r="A506" s="30" t="s">
        <v>140</v>
      </c>
      <c r="B506" s="109" t="s">
        <v>159</v>
      </c>
      <c r="C506" s="109"/>
      <c r="D506" s="11" t="s">
        <v>143</v>
      </c>
      <c r="E506" s="108">
        <v>38292</v>
      </c>
      <c r="F506" s="12">
        <v>2004</v>
      </c>
      <c r="G506" s="60"/>
      <c r="H506" s="142"/>
      <c r="I506" s="33" t="s">
        <v>33</v>
      </c>
      <c r="J506" s="37" t="s">
        <v>81</v>
      </c>
      <c r="K506" s="622" t="s">
        <v>859</v>
      </c>
      <c r="L506" s="137" t="s">
        <v>1049</v>
      </c>
      <c r="M506" s="137" t="s">
        <v>953</v>
      </c>
      <c r="N506" s="137"/>
      <c r="O506" s="93" t="s">
        <v>1051</v>
      </c>
      <c r="P506" s="93" t="s">
        <v>1052</v>
      </c>
      <c r="Q506" s="93"/>
      <c r="R506" s="93"/>
      <c r="S506" s="93"/>
      <c r="T506" s="93"/>
      <c r="U506" s="93"/>
      <c r="V506" s="137"/>
      <c r="W506" s="243"/>
      <c r="X506" s="185"/>
      <c r="Y506" s="7">
        <f t="shared" si="14"/>
        <v>0</v>
      </c>
      <c r="Z506" s="185"/>
      <c r="AA506" s="469"/>
      <c r="AB506" s="579" t="s">
        <v>5975</v>
      </c>
      <c r="AC506" s="538"/>
      <c r="AD506" s="665">
        <v>0</v>
      </c>
      <c r="AE506" s="665"/>
      <c r="AF506" s="9">
        <f t="shared" si="15"/>
        <v>0</v>
      </c>
      <c r="AG506" s="30"/>
      <c r="AH506" s="183"/>
      <c r="AI506" s="625"/>
      <c r="AJ506" s="93"/>
      <c r="AK506" s="93"/>
      <c r="AL506" s="93"/>
    </row>
    <row r="507" spans="1:38" ht="15" customHeight="1" x14ac:dyDescent="0.3">
      <c r="A507" s="30" t="s">
        <v>22</v>
      </c>
      <c r="B507" s="113" t="s">
        <v>105</v>
      </c>
      <c r="C507" s="107" t="s">
        <v>1002</v>
      </c>
      <c r="D507" s="11" t="s">
        <v>5936</v>
      </c>
      <c r="E507" s="114">
        <v>36937</v>
      </c>
      <c r="F507" s="12">
        <v>2001</v>
      </c>
      <c r="G507" s="103" t="s">
        <v>1053</v>
      </c>
      <c r="H507" s="142"/>
      <c r="I507" s="142"/>
      <c r="J507" s="12" t="s">
        <v>938</v>
      </c>
      <c r="K507" s="30" t="s">
        <v>1054</v>
      </c>
      <c r="L507" s="622" t="s">
        <v>636</v>
      </c>
      <c r="M507" s="137" t="s">
        <v>1009</v>
      </c>
      <c r="N507" s="137"/>
      <c r="O507" s="137" t="s">
        <v>804</v>
      </c>
      <c r="P507" s="93" t="s">
        <v>1055</v>
      </c>
      <c r="Q507" s="15" t="s">
        <v>282</v>
      </c>
      <c r="R507" s="91"/>
      <c r="S507" s="16" t="s">
        <v>44</v>
      </c>
      <c r="T507" s="92"/>
      <c r="U507" s="623" t="s">
        <v>1056</v>
      </c>
      <c r="V507" s="624"/>
      <c r="W507" s="243"/>
      <c r="X507" s="185"/>
      <c r="Y507" s="7">
        <f t="shared" si="14"/>
        <v>0</v>
      </c>
      <c r="Z507" s="185"/>
      <c r="AA507" s="469"/>
      <c r="AB507" s="513" t="s">
        <v>1057</v>
      </c>
      <c r="AC507" s="147"/>
      <c r="AD507" s="30">
        <v>0</v>
      </c>
      <c r="AE507" s="30"/>
      <c r="AF507" s="9">
        <f t="shared" si="15"/>
        <v>0</v>
      </c>
      <c r="AG507" s="639"/>
      <c r="AH507" s="183"/>
      <c r="AI507" s="640"/>
      <c r="AJ507" s="93"/>
      <c r="AK507" s="93"/>
      <c r="AL507" s="30"/>
    </row>
    <row r="508" spans="1:38" ht="15" customHeight="1" x14ac:dyDescent="0.3">
      <c r="A508" s="59" t="s">
        <v>883</v>
      </c>
      <c r="B508" s="58" t="s">
        <v>105</v>
      </c>
      <c r="C508" s="73">
        <v>16</v>
      </c>
      <c r="D508" s="11" t="s">
        <v>5936</v>
      </c>
      <c r="E508" s="122">
        <v>37226</v>
      </c>
      <c r="F508" s="12">
        <v>2001</v>
      </c>
      <c r="G508" s="24" t="s">
        <v>1058</v>
      </c>
      <c r="H508" s="142"/>
      <c r="I508" s="22" t="s">
        <v>264</v>
      </c>
      <c r="J508" s="32" t="s">
        <v>26</v>
      </c>
      <c r="K508" s="477" t="s">
        <v>1059</v>
      </c>
      <c r="L508" s="477"/>
      <c r="M508" s="476"/>
      <c r="N508" s="476"/>
      <c r="O508" s="476" t="s">
        <v>1060</v>
      </c>
      <c r="P508" s="476" t="s">
        <v>1061</v>
      </c>
      <c r="Q508" s="15" t="s">
        <v>1062</v>
      </c>
      <c r="R508" s="42"/>
      <c r="S508" s="54"/>
      <c r="T508" s="54"/>
      <c r="U508" s="485"/>
      <c r="V508" s="485"/>
      <c r="W508" s="243"/>
      <c r="X508" s="478"/>
      <c r="Y508" s="7">
        <f t="shared" si="14"/>
        <v>0</v>
      </c>
      <c r="Z508" s="478"/>
      <c r="AA508" s="469"/>
      <c r="AB508" s="579" t="s">
        <v>732</v>
      </c>
      <c r="AC508" s="580"/>
      <c r="AD508" s="489">
        <v>0</v>
      </c>
      <c r="AE508" s="489"/>
      <c r="AF508" s="9">
        <f t="shared" si="15"/>
        <v>0</v>
      </c>
      <c r="AG508" s="486" t="s">
        <v>677</v>
      </c>
      <c r="AH508" s="475" t="s">
        <v>288</v>
      </c>
      <c r="AI508" s="476"/>
      <c r="AJ508" s="10"/>
      <c r="AK508" s="59"/>
      <c r="AL508" s="10"/>
    </row>
    <row r="509" spans="1:38" ht="15" customHeight="1" x14ac:dyDescent="0.3">
      <c r="A509" s="621" t="s">
        <v>22</v>
      </c>
      <c r="B509" s="112" t="s">
        <v>6170</v>
      </c>
      <c r="C509" s="109">
        <v>2</v>
      </c>
      <c r="D509" s="12" t="s">
        <v>190</v>
      </c>
      <c r="E509" s="108">
        <v>38292</v>
      </c>
      <c r="F509" s="12">
        <v>2004</v>
      </c>
      <c r="G509" s="60"/>
      <c r="H509" s="142"/>
      <c r="I509" s="22" t="s">
        <v>264</v>
      </c>
      <c r="J509" s="32" t="s">
        <v>191</v>
      </c>
      <c r="K509" s="622" t="s">
        <v>314</v>
      </c>
      <c r="L509" s="137" t="s">
        <v>1063</v>
      </c>
      <c r="M509" s="137" t="s">
        <v>804</v>
      </c>
      <c r="N509" s="137"/>
      <c r="O509" s="93" t="s">
        <v>1064</v>
      </c>
      <c r="P509" s="138" t="s">
        <v>1052</v>
      </c>
      <c r="Q509" s="93"/>
      <c r="R509" s="93"/>
      <c r="S509" s="93"/>
      <c r="T509" s="93"/>
      <c r="U509" s="93"/>
      <c r="V509" s="137"/>
      <c r="W509" s="243">
        <v>28420194</v>
      </c>
      <c r="X509" s="185"/>
      <c r="Y509" s="7">
        <f t="shared" si="14"/>
        <v>0</v>
      </c>
      <c r="Z509" s="185"/>
      <c r="AA509" s="469"/>
      <c r="AB509" s="513"/>
      <c r="AC509" s="563"/>
      <c r="AD509" s="665">
        <v>0</v>
      </c>
      <c r="AE509" s="665"/>
      <c r="AF509" s="9">
        <f t="shared" si="15"/>
        <v>0</v>
      </c>
      <c r="AG509" s="183">
        <v>7</v>
      </c>
      <c r="AH509" s="93" t="s">
        <v>1065</v>
      </c>
      <c r="AI509" s="625"/>
      <c r="AJ509" s="93"/>
      <c r="AK509" s="30"/>
      <c r="AL509" s="93"/>
    </row>
    <row r="510" spans="1:38" ht="15" customHeight="1" x14ac:dyDescent="0.3">
      <c r="A510" s="621" t="s">
        <v>22</v>
      </c>
      <c r="B510" s="112" t="s">
        <v>105</v>
      </c>
      <c r="C510" s="109">
        <v>3</v>
      </c>
      <c r="D510" s="11" t="s">
        <v>5936</v>
      </c>
      <c r="E510" s="108">
        <v>36962</v>
      </c>
      <c r="F510" s="12">
        <v>2001</v>
      </c>
      <c r="G510" s="60" t="s">
        <v>1066</v>
      </c>
      <c r="H510" s="142"/>
      <c r="I510" s="33" t="s">
        <v>33</v>
      </c>
      <c r="J510" s="32" t="s">
        <v>191</v>
      </c>
      <c r="K510" s="197" t="s">
        <v>314</v>
      </c>
      <c r="L510" s="137" t="s">
        <v>40</v>
      </c>
      <c r="M510" s="137" t="s">
        <v>804</v>
      </c>
      <c r="N510" s="137"/>
      <c r="O510" s="93" t="s">
        <v>1067</v>
      </c>
      <c r="P510" s="684" t="s">
        <v>1068</v>
      </c>
      <c r="Q510" s="15" t="s">
        <v>282</v>
      </c>
      <c r="R510" s="91"/>
      <c r="S510" s="16" t="s">
        <v>35</v>
      </c>
      <c r="T510" s="92"/>
      <c r="U510" s="623" t="s">
        <v>1069</v>
      </c>
      <c r="V510" s="624"/>
      <c r="W510" s="243">
        <v>22600000</v>
      </c>
      <c r="X510" s="185"/>
      <c r="Y510" s="7">
        <f t="shared" si="14"/>
        <v>0</v>
      </c>
      <c r="Z510" s="185"/>
      <c r="AA510" s="469"/>
      <c r="AB510" s="513" t="s">
        <v>732</v>
      </c>
      <c r="AC510" s="563"/>
      <c r="AD510" s="665">
        <v>0</v>
      </c>
      <c r="AE510" s="665"/>
      <c r="AF510" s="9">
        <f t="shared" si="15"/>
        <v>0</v>
      </c>
      <c r="AG510" s="182">
        <v>6.5</v>
      </c>
      <c r="AH510" s="93"/>
      <c r="AI510" s="625"/>
      <c r="AJ510" s="93"/>
      <c r="AK510" s="30"/>
      <c r="AL510" s="93"/>
    </row>
    <row r="511" spans="1:38" ht="15" customHeight="1" x14ac:dyDescent="0.3">
      <c r="A511" s="30" t="s">
        <v>22</v>
      </c>
      <c r="B511" s="112" t="s">
        <v>23</v>
      </c>
      <c r="C511" s="107">
        <v>11</v>
      </c>
      <c r="D511" s="11" t="s">
        <v>24</v>
      </c>
      <c r="E511" s="108">
        <v>38104</v>
      </c>
      <c r="F511" s="30">
        <v>2004</v>
      </c>
      <c r="G511" s="103" t="s">
        <v>1070</v>
      </c>
      <c r="H511" s="142"/>
      <c r="I511" s="12" t="s">
        <v>25</v>
      </c>
      <c r="J511" s="32" t="s">
        <v>191</v>
      </c>
      <c r="K511" s="197" t="s">
        <v>314</v>
      </c>
      <c r="L511" s="137" t="s">
        <v>40</v>
      </c>
      <c r="M511" s="137" t="s">
        <v>804</v>
      </c>
      <c r="N511" s="137"/>
      <c r="O511" s="93" t="s">
        <v>1071</v>
      </c>
      <c r="P511" s="685" t="s">
        <v>1055</v>
      </c>
      <c r="Q511" s="15" t="s">
        <v>282</v>
      </c>
      <c r="R511" s="132">
        <v>38408</v>
      </c>
      <c r="S511" s="16" t="s">
        <v>44</v>
      </c>
      <c r="T511" s="133">
        <v>38485</v>
      </c>
      <c r="U511" s="623" t="s">
        <v>1072</v>
      </c>
      <c r="V511" s="180">
        <v>38757</v>
      </c>
      <c r="W511" s="243"/>
      <c r="X511" s="185"/>
      <c r="Y511" s="7">
        <f t="shared" si="14"/>
        <v>0</v>
      </c>
      <c r="Z511" s="185"/>
      <c r="AA511" s="469"/>
      <c r="AB511" s="513" t="s">
        <v>5986</v>
      </c>
      <c r="AC511" s="147"/>
      <c r="AD511" s="639">
        <v>0</v>
      </c>
      <c r="AE511" s="665"/>
      <c r="AF511" s="9">
        <f t="shared" si="15"/>
        <v>0</v>
      </c>
      <c r="AG511" s="182"/>
      <c r="AH511" s="93"/>
      <c r="AI511" s="640"/>
      <c r="AJ511" s="93"/>
      <c r="AK511" s="30"/>
      <c r="AL511" s="93"/>
    </row>
    <row r="512" spans="1:38" ht="15" customHeight="1" x14ac:dyDescent="0.3">
      <c r="A512" s="30" t="s">
        <v>22</v>
      </c>
      <c r="B512" s="113" t="s">
        <v>23</v>
      </c>
      <c r="C512" s="107" t="s">
        <v>1074</v>
      </c>
      <c r="D512" s="11" t="s">
        <v>24</v>
      </c>
      <c r="E512" s="114">
        <v>37608</v>
      </c>
      <c r="F512" s="33">
        <v>2002</v>
      </c>
      <c r="G512" s="103" t="s">
        <v>1075</v>
      </c>
      <c r="H512" s="142"/>
      <c r="I512" s="12" t="s">
        <v>938</v>
      </c>
      <c r="J512" s="32" t="s">
        <v>26</v>
      </c>
      <c r="K512" s="197" t="s">
        <v>636</v>
      </c>
      <c r="L512" s="137" t="s">
        <v>1009</v>
      </c>
      <c r="M512" s="137" t="s">
        <v>804</v>
      </c>
      <c r="N512" s="137"/>
      <c r="O512" s="93" t="s">
        <v>1076</v>
      </c>
      <c r="P512" s="93" t="s">
        <v>1055</v>
      </c>
      <c r="Q512" s="15" t="s">
        <v>282</v>
      </c>
      <c r="R512" s="91"/>
      <c r="S512" s="16" t="s">
        <v>44</v>
      </c>
      <c r="T512" s="139"/>
      <c r="U512" s="686"/>
      <c r="V512" s="686"/>
      <c r="W512" s="243"/>
      <c r="X512" s="185"/>
      <c r="Y512" s="7">
        <f t="shared" si="14"/>
        <v>0</v>
      </c>
      <c r="Z512" s="185"/>
      <c r="AA512" s="469"/>
      <c r="AB512" s="513" t="s">
        <v>5987</v>
      </c>
      <c r="AC512" s="147"/>
      <c r="AD512" s="639">
        <v>0</v>
      </c>
      <c r="AE512" s="639"/>
      <c r="AF512" s="9">
        <f t="shared" si="15"/>
        <v>0</v>
      </c>
      <c r="AG512" s="183"/>
      <c r="AH512" s="93"/>
      <c r="AI512" s="640"/>
      <c r="AJ512" s="93"/>
      <c r="AK512" s="30"/>
      <c r="AL512" s="93"/>
    </row>
    <row r="513" spans="1:38" ht="15" customHeight="1" x14ac:dyDescent="0.3">
      <c r="A513" s="30" t="s">
        <v>22</v>
      </c>
      <c r="B513" s="140" t="s">
        <v>23</v>
      </c>
      <c r="C513" s="107">
        <v>12</v>
      </c>
      <c r="D513" s="11" t="s">
        <v>24</v>
      </c>
      <c r="E513" s="114">
        <v>38366</v>
      </c>
      <c r="F513" s="12">
        <v>2005</v>
      </c>
      <c r="G513" s="103" t="s">
        <v>1078</v>
      </c>
      <c r="H513" s="142"/>
      <c r="I513" s="12" t="s">
        <v>25</v>
      </c>
      <c r="J513" s="32" t="s">
        <v>26</v>
      </c>
      <c r="K513" s="622" t="s">
        <v>1079</v>
      </c>
      <c r="L513" s="137" t="s">
        <v>40</v>
      </c>
      <c r="M513" s="137" t="s">
        <v>804</v>
      </c>
      <c r="N513" s="137"/>
      <c r="O513" s="93" t="s">
        <v>1080</v>
      </c>
      <c r="P513" s="138" t="s">
        <v>1081</v>
      </c>
      <c r="Q513" s="93"/>
      <c r="R513" s="93"/>
      <c r="S513" s="93"/>
      <c r="T513" s="137"/>
      <c r="U513" s="185">
        <v>54000000</v>
      </c>
      <c r="V513" s="185"/>
      <c r="W513" s="243"/>
      <c r="X513" s="185"/>
      <c r="Y513" s="7">
        <f t="shared" si="14"/>
        <v>0</v>
      </c>
      <c r="Z513" s="185"/>
      <c r="AA513" s="469"/>
      <c r="AB513" s="513" t="s">
        <v>586</v>
      </c>
      <c r="AC513" s="147"/>
      <c r="AD513" s="639">
        <v>0</v>
      </c>
      <c r="AE513" s="639"/>
      <c r="AF513" s="9">
        <f t="shared" si="15"/>
        <v>0</v>
      </c>
      <c r="AG513" s="183">
        <v>6</v>
      </c>
      <c r="AH513" s="93"/>
      <c r="AI513" s="640" t="s">
        <v>1082</v>
      </c>
      <c r="AJ513" s="93"/>
      <c r="AK513" s="30"/>
      <c r="AL513" s="93"/>
    </row>
    <row r="514" spans="1:38" ht="15" customHeight="1" x14ac:dyDescent="0.3">
      <c r="A514" s="646" t="s">
        <v>22</v>
      </c>
      <c r="B514" s="112" t="s">
        <v>780</v>
      </c>
      <c r="C514" s="107">
        <v>1</v>
      </c>
      <c r="D514" s="12" t="s">
        <v>190</v>
      </c>
      <c r="E514" s="108">
        <v>36467</v>
      </c>
      <c r="F514" s="12">
        <v>1999</v>
      </c>
      <c r="G514" s="141"/>
      <c r="H514" s="142"/>
      <c r="I514" s="22" t="s">
        <v>264</v>
      </c>
      <c r="J514" s="32" t="s">
        <v>26</v>
      </c>
      <c r="K514" s="197" t="s">
        <v>636</v>
      </c>
      <c r="L514" s="137" t="s">
        <v>40</v>
      </c>
      <c r="M514" s="137" t="s">
        <v>804</v>
      </c>
      <c r="N514" s="137"/>
      <c r="O514" s="93" t="s">
        <v>1083</v>
      </c>
      <c r="P514" s="138" t="s">
        <v>839</v>
      </c>
      <c r="Q514" s="15" t="s">
        <v>282</v>
      </c>
      <c r="R514" s="91"/>
      <c r="S514" s="16" t="s">
        <v>44</v>
      </c>
      <c r="T514" s="139"/>
      <c r="U514" s="686"/>
      <c r="V514" s="686"/>
      <c r="W514" s="243"/>
      <c r="X514" s="185"/>
      <c r="Y514" s="7">
        <f t="shared" ref="Y514:Y577" si="16">W514*AE514</f>
        <v>0</v>
      </c>
      <c r="Z514" s="185"/>
      <c r="AA514" s="469"/>
      <c r="AB514" s="513" t="s">
        <v>5997</v>
      </c>
      <c r="AC514" s="147"/>
      <c r="AD514" s="639">
        <v>0</v>
      </c>
      <c r="AE514" s="639"/>
      <c r="AF514" s="9">
        <f t="shared" si="15"/>
        <v>0</v>
      </c>
      <c r="AG514" s="183" t="s">
        <v>1084</v>
      </c>
      <c r="AH514" s="93" t="s">
        <v>1085</v>
      </c>
      <c r="AI514" s="640"/>
      <c r="AJ514" s="93"/>
      <c r="AK514" s="30"/>
      <c r="AL514" s="93"/>
    </row>
    <row r="515" spans="1:38" ht="15" customHeight="1" x14ac:dyDescent="0.3">
      <c r="A515" s="30" t="s">
        <v>22</v>
      </c>
      <c r="B515" s="140" t="s">
        <v>159</v>
      </c>
      <c r="C515" s="107">
        <v>1</v>
      </c>
      <c r="D515" s="11" t="s">
        <v>143</v>
      </c>
      <c r="E515" s="114"/>
      <c r="F515" s="12">
        <v>2003</v>
      </c>
      <c r="G515" s="103" t="s">
        <v>1086</v>
      </c>
      <c r="H515" s="142"/>
      <c r="I515" s="12" t="s">
        <v>938</v>
      </c>
      <c r="J515" s="32" t="s">
        <v>26</v>
      </c>
      <c r="K515" s="197" t="s">
        <v>636</v>
      </c>
      <c r="L515" s="137"/>
      <c r="M515" s="137"/>
      <c r="N515" s="137"/>
      <c r="O515" s="93" t="s">
        <v>1087</v>
      </c>
      <c r="P515" s="138" t="s">
        <v>1088</v>
      </c>
      <c r="Q515" s="15" t="s">
        <v>282</v>
      </c>
      <c r="R515" s="91"/>
      <c r="S515" s="16" t="s">
        <v>35</v>
      </c>
      <c r="T515" s="92"/>
      <c r="U515" s="623"/>
      <c r="V515" s="624"/>
      <c r="W515" s="243">
        <v>5565600</v>
      </c>
      <c r="X515" s="185"/>
      <c r="Y515" s="7">
        <f t="shared" si="16"/>
        <v>0</v>
      </c>
      <c r="Z515" s="185"/>
      <c r="AA515" s="469"/>
      <c r="AB515" s="513" t="s">
        <v>1089</v>
      </c>
      <c r="AC515" s="147"/>
      <c r="AD515" s="639">
        <v>0</v>
      </c>
      <c r="AE515" s="639"/>
      <c r="AF515" s="9">
        <f t="shared" ref="AF515:AF578" si="17">AD515+AE515</f>
        <v>0</v>
      </c>
      <c r="AG515" s="183"/>
      <c r="AH515" s="93"/>
      <c r="AI515" s="640"/>
      <c r="AJ515" s="93"/>
      <c r="AK515" s="30"/>
      <c r="AL515" s="93"/>
    </row>
    <row r="516" spans="1:38" ht="15" customHeight="1" x14ac:dyDescent="0.3">
      <c r="A516" s="664" t="s">
        <v>22</v>
      </c>
      <c r="B516" s="112" t="s">
        <v>23</v>
      </c>
      <c r="C516" s="109">
        <v>7</v>
      </c>
      <c r="D516" s="11" t="s">
        <v>143</v>
      </c>
      <c r="E516" s="108">
        <v>37602</v>
      </c>
      <c r="F516" s="33">
        <v>2002</v>
      </c>
      <c r="G516" s="60" t="s">
        <v>1090</v>
      </c>
      <c r="H516" s="157"/>
      <c r="I516" s="12" t="s">
        <v>25</v>
      </c>
      <c r="J516" s="30" t="s">
        <v>81</v>
      </c>
      <c r="K516" s="197" t="s">
        <v>922</v>
      </c>
      <c r="L516" s="137" t="s">
        <v>40</v>
      </c>
      <c r="M516" s="137" t="s">
        <v>804</v>
      </c>
      <c r="N516" s="137"/>
      <c r="O516" s="93" t="s">
        <v>1091</v>
      </c>
      <c r="P516" s="138" t="s">
        <v>1033</v>
      </c>
      <c r="Q516" s="15" t="s">
        <v>282</v>
      </c>
      <c r="R516" s="91"/>
      <c r="S516" s="92"/>
      <c r="T516" s="92"/>
      <c r="U516" s="623"/>
      <c r="V516" s="624"/>
      <c r="W516" s="243"/>
      <c r="X516" s="185"/>
      <c r="Y516" s="7">
        <f t="shared" si="16"/>
        <v>0</v>
      </c>
      <c r="Z516" s="185"/>
      <c r="AA516" s="469"/>
      <c r="AB516" s="479" t="s">
        <v>49</v>
      </c>
      <c r="AC516" s="480"/>
      <c r="AD516" s="639">
        <v>0</v>
      </c>
      <c r="AE516" s="665"/>
      <c r="AF516" s="9">
        <f t="shared" si="17"/>
        <v>0</v>
      </c>
      <c r="AG516" s="182"/>
      <c r="AH516" s="93"/>
      <c r="AI516" s="625" t="s">
        <v>1092</v>
      </c>
      <c r="AJ516" s="93"/>
      <c r="AK516" s="30"/>
      <c r="AL516" s="93"/>
    </row>
    <row r="517" spans="1:38" ht="15" customHeight="1" x14ac:dyDescent="0.3">
      <c r="A517" s="621" t="s">
        <v>22</v>
      </c>
      <c r="B517" s="112" t="s">
        <v>202</v>
      </c>
      <c r="C517" s="109">
        <v>2</v>
      </c>
      <c r="D517" s="12" t="s">
        <v>190</v>
      </c>
      <c r="E517" s="108">
        <v>36741</v>
      </c>
      <c r="F517" s="33">
        <v>2000</v>
      </c>
      <c r="G517" s="60" t="s">
        <v>1093</v>
      </c>
      <c r="H517" s="157"/>
      <c r="I517" s="22" t="s">
        <v>264</v>
      </c>
      <c r="J517" s="32" t="s">
        <v>26</v>
      </c>
      <c r="K517" s="197" t="s">
        <v>636</v>
      </c>
      <c r="L517" s="137" t="s">
        <v>40</v>
      </c>
      <c r="M517" s="137" t="s">
        <v>804</v>
      </c>
      <c r="N517" s="137"/>
      <c r="O517" s="93" t="s">
        <v>1094</v>
      </c>
      <c r="P517" s="138" t="s">
        <v>1088</v>
      </c>
      <c r="Q517" s="91" t="s">
        <v>35</v>
      </c>
      <c r="R517" s="91"/>
      <c r="S517" s="16" t="s">
        <v>44</v>
      </c>
      <c r="T517" s="92"/>
      <c r="U517" s="623"/>
      <c r="V517" s="623"/>
      <c r="W517" s="93" t="s">
        <v>1095</v>
      </c>
      <c r="X517" s="185"/>
      <c r="Y517" s="7" t="e">
        <f t="shared" si="16"/>
        <v>#VALUE!</v>
      </c>
      <c r="Z517" s="185"/>
      <c r="AA517" s="469"/>
      <c r="AB517" s="513" t="s">
        <v>5997</v>
      </c>
      <c r="AC517" s="563"/>
      <c r="AD517" s="665">
        <v>0</v>
      </c>
      <c r="AE517" s="665"/>
      <c r="AF517" s="9">
        <f t="shared" si="17"/>
        <v>0</v>
      </c>
      <c r="AG517" s="182">
        <v>7</v>
      </c>
      <c r="AH517" s="93"/>
      <c r="AI517" s="625"/>
      <c r="AJ517" s="93"/>
      <c r="AK517" s="30"/>
      <c r="AL517" s="93"/>
    </row>
    <row r="518" spans="1:38" ht="15" customHeight="1" x14ac:dyDescent="0.3">
      <c r="A518" s="30" t="s">
        <v>22</v>
      </c>
      <c r="B518" s="140" t="s">
        <v>1096</v>
      </c>
      <c r="C518" s="107" t="s">
        <v>1097</v>
      </c>
      <c r="D518" s="11" t="s">
        <v>24</v>
      </c>
      <c r="E518" s="114">
        <v>38384</v>
      </c>
      <c r="F518" s="12">
        <v>2005</v>
      </c>
      <c r="G518" s="142"/>
      <c r="H518" s="142"/>
      <c r="I518" s="22" t="s">
        <v>264</v>
      </c>
      <c r="J518" s="32" t="s">
        <v>26</v>
      </c>
      <c r="K518" s="197" t="s">
        <v>392</v>
      </c>
      <c r="L518" s="137" t="s">
        <v>1009</v>
      </c>
      <c r="M518" s="137" t="s">
        <v>804</v>
      </c>
      <c r="N518" s="137"/>
      <c r="O518" s="93" t="s">
        <v>1098</v>
      </c>
      <c r="P518" s="138" t="s">
        <v>1055</v>
      </c>
      <c r="Q518" s="15" t="s">
        <v>282</v>
      </c>
      <c r="R518" s="91"/>
      <c r="S518" s="16" t="s">
        <v>44</v>
      </c>
      <c r="T518" s="92"/>
      <c r="U518" s="623"/>
      <c r="V518" s="624"/>
      <c r="W518" s="243"/>
      <c r="X518" s="185"/>
      <c r="Y518" s="7">
        <f t="shared" si="16"/>
        <v>0</v>
      </c>
      <c r="Z518" s="185"/>
      <c r="AA518" s="469"/>
      <c r="AB518" s="479" t="s">
        <v>49</v>
      </c>
      <c r="AC518" s="480"/>
      <c r="AD518" s="639">
        <v>0</v>
      </c>
      <c r="AE518" s="639"/>
      <c r="AF518" s="9">
        <f t="shared" si="17"/>
        <v>0</v>
      </c>
      <c r="AG518" s="183" t="s">
        <v>1099</v>
      </c>
      <c r="AH518" s="93"/>
      <c r="AI518" s="640" t="s">
        <v>1100</v>
      </c>
      <c r="AJ518" s="93"/>
      <c r="AK518" s="30"/>
      <c r="AL518" s="93"/>
    </row>
    <row r="519" spans="1:38" ht="15" customHeight="1" x14ac:dyDescent="0.3">
      <c r="A519" s="30" t="s">
        <v>22</v>
      </c>
      <c r="B519" s="112" t="s">
        <v>148</v>
      </c>
      <c r="C519" s="109">
        <v>4</v>
      </c>
      <c r="D519" s="11" t="s">
        <v>143</v>
      </c>
      <c r="E519" s="108">
        <v>36657</v>
      </c>
      <c r="F519" s="33">
        <v>2000</v>
      </c>
      <c r="G519" s="142" t="s">
        <v>1101</v>
      </c>
      <c r="H519" s="162"/>
      <c r="I519" s="22" t="s">
        <v>264</v>
      </c>
      <c r="J519" s="32" t="s">
        <v>26</v>
      </c>
      <c r="K519" s="622" t="s">
        <v>392</v>
      </c>
      <c r="L519" s="137" t="s">
        <v>40</v>
      </c>
      <c r="M519" s="137" t="s">
        <v>804</v>
      </c>
      <c r="N519" s="137"/>
      <c r="O519" s="93" t="s">
        <v>1102</v>
      </c>
      <c r="P519" s="138" t="s">
        <v>1055</v>
      </c>
      <c r="Q519" s="15" t="s">
        <v>282</v>
      </c>
      <c r="R519" s="91"/>
      <c r="S519" s="16" t="s">
        <v>44</v>
      </c>
      <c r="T519" s="92"/>
      <c r="U519" s="623"/>
      <c r="V519" s="624"/>
      <c r="W519" s="243"/>
      <c r="X519" s="185"/>
      <c r="Y519" s="7">
        <f t="shared" si="16"/>
        <v>0</v>
      </c>
      <c r="Z519" s="185"/>
      <c r="AA519" s="469"/>
      <c r="AB519" s="518" t="s">
        <v>5972</v>
      </c>
      <c r="AC519" s="626"/>
      <c r="AD519" s="665">
        <v>0</v>
      </c>
      <c r="AE519" s="665"/>
      <c r="AF519" s="9">
        <f t="shared" si="17"/>
        <v>0</v>
      </c>
      <c r="AG519" s="182" t="s">
        <v>1103</v>
      </c>
      <c r="AH519" s="93" t="s">
        <v>1104</v>
      </c>
      <c r="AI519" s="625"/>
      <c r="AJ519" s="93"/>
      <c r="AK519" s="30"/>
      <c r="AL519" s="93"/>
    </row>
    <row r="520" spans="1:38" ht="15" customHeight="1" x14ac:dyDescent="0.3">
      <c r="A520" s="30" t="s">
        <v>22</v>
      </c>
      <c r="B520" s="112" t="s">
        <v>148</v>
      </c>
      <c r="C520" s="109">
        <v>4</v>
      </c>
      <c r="D520" s="11" t="s">
        <v>143</v>
      </c>
      <c r="E520" s="108">
        <v>36657</v>
      </c>
      <c r="F520" s="33">
        <v>2000</v>
      </c>
      <c r="G520" s="142" t="s">
        <v>1105</v>
      </c>
      <c r="H520" s="162"/>
      <c r="I520" s="22" t="s">
        <v>264</v>
      </c>
      <c r="J520" s="32" t="s">
        <v>26</v>
      </c>
      <c r="K520" s="622" t="s">
        <v>392</v>
      </c>
      <c r="L520" s="137" t="s">
        <v>40</v>
      </c>
      <c r="M520" s="137" t="s">
        <v>804</v>
      </c>
      <c r="N520" s="137"/>
      <c r="O520" s="93" t="s">
        <v>1102</v>
      </c>
      <c r="P520" s="138" t="s">
        <v>1055</v>
      </c>
      <c r="Q520" s="15" t="s">
        <v>282</v>
      </c>
      <c r="R520" s="91"/>
      <c r="S520" s="16" t="s">
        <v>44</v>
      </c>
      <c r="T520" s="92"/>
      <c r="U520" s="623"/>
      <c r="V520" s="624"/>
      <c r="W520" s="243"/>
      <c r="X520" s="185"/>
      <c r="Y520" s="7">
        <f t="shared" si="16"/>
        <v>0</v>
      </c>
      <c r="Z520" s="185"/>
      <c r="AA520" s="469"/>
      <c r="AB520" s="518" t="s">
        <v>5972</v>
      </c>
      <c r="AC520" s="626"/>
      <c r="AD520" s="665">
        <v>0</v>
      </c>
      <c r="AE520" s="665"/>
      <c r="AF520" s="9">
        <f t="shared" si="17"/>
        <v>0</v>
      </c>
      <c r="AG520" s="182" t="s">
        <v>1103</v>
      </c>
      <c r="AH520" s="93" t="s">
        <v>1104</v>
      </c>
      <c r="AI520" s="625"/>
      <c r="AJ520" s="93"/>
      <c r="AK520" s="30"/>
      <c r="AL520" s="93"/>
    </row>
    <row r="521" spans="1:38" ht="15" customHeight="1" x14ac:dyDescent="0.3">
      <c r="A521" s="621" t="s">
        <v>22</v>
      </c>
      <c r="B521" s="112" t="s">
        <v>148</v>
      </c>
      <c r="C521" s="109">
        <v>4</v>
      </c>
      <c r="D521" s="11" t="s">
        <v>143</v>
      </c>
      <c r="E521" s="108">
        <v>36657</v>
      </c>
      <c r="F521" s="33">
        <v>2000</v>
      </c>
      <c r="G521" s="142" t="s">
        <v>1105</v>
      </c>
      <c r="H521" s="162"/>
      <c r="I521" s="22" t="s">
        <v>264</v>
      </c>
      <c r="J521" s="32" t="s">
        <v>26</v>
      </c>
      <c r="K521" s="622" t="s">
        <v>392</v>
      </c>
      <c r="L521" s="137" t="s">
        <v>40</v>
      </c>
      <c r="M521" s="137" t="s">
        <v>804</v>
      </c>
      <c r="N521" s="137"/>
      <c r="O521" s="93" t="s">
        <v>1102</v>
      </c>
      <c r="P521" s="138" t="s">
        <v>1055</v>
      </c>
      <c r="Q521" s="15" t="s">
        <v>282</v>
      </c>
      <c r="R521" s="91"/>
      <c r="S521" s="16" t="s">
        <v>44</v>
      </c>
      <c r="T521" s="92"/>
      <c r="U521" s="623"/>
      <c r="V521" s="624"/>
      <c r="W521" s="243"/>
      <c r="X521" s="185"/>
      <c r="Y521" s="7">
        <f t="shared" si="16"/>
        <v>0</v>
      </c>
      <c r="Z521" s="185"/>
      <c r="AA521" s="469"/>
      <c r="AB521" s="518" t="s">
        <v>5972</v>
      </c>
      <c r="AC521" s="626"/>
      <c r="AD521" s="665">
        <v>0</v>
      </c>
      <c r="AE521" s="665"/>
      <c r="AF521" s="9">
        <f t="shared" si="17"/>
        <v>0</v>
      </c>
      <c r="AG521" s="182" t="s">
        <v>1103</v>
      </c>
      <c r="AH521" s="93" t="s">
        <v>1104</v>
      </c>
      <c r="AI521" s="625"/>
      <c r="AJ521" s="93"/>
      <c r="AK521" s="30"/>
      <c r="AL521" s="93"/>
    </row>
    <row r="522" spans="1:38" ht="15" customHeight="1" x14ac:dyDescent="0.3">
      <c r="A522" s="646" t="s">
        <v>22</v>
      </c>
      <c r="B522" s="112" t="s">
        <v>148</v>
      </c>
      <c r="C522" s="107">
        <v>4</v>
      </c>
      <c r="D522" s="11" t="s">
        <v>143</v>
      </c>
      <c r="E522" s="108">
        <v>36657</v>
      </c>
      <c r="F522" s="33">
        <v>2000</v>
      </c>
      <c r="G522" s="142" t="s">
        <v>1105</v>
      </c>
      <c r="H522" s="162"/>
      <c r="I522" s="22" t="s">
        <v>264</v>
      </c>
      <c r="J522" s="32" t="s">
        <v>26</v>
      </c>
      <c r="K522" s="622" t="s">
        <v>392</v>
      </c>
      <c r="L522" s="137" t="s">
        <v>40</v>
      </c>
      <c r="M522" s="137" t="s">
        <v>804</v>
      </c>
      <c r="N522" s="137"/>
      <c r="O522" s="93" t="s">
        <v>1102</v>
      </c>
      <c r="P522" s="138" t="s">
        <v>1055</v>
      </c>
      <c r="Q522" s="15" t="s">
        <v>282</v>
      </c>
      <c r="R522" s="91"/>
      <c r="S522" s="16" t="s">
        <v>44</v>
      </c>
      <c r="T522" s="92"/>
      <c r="U522" s="623"/>
      <c r="V522" s="624"/>
      <c r="W522" s="243"/>
      <c r="X522" s="185"/>
      <c r="Y522" s="7">
        <f t="shared" si="16"/>
        <v>0</v>
      </c>
      <c r="Z522" s="185"/>
      <c r="AA522" s="469"/>
      <c r="AB522" s="518" t="s">
        <v>5972</v>
      </c>
      <c r="AC522" s="519"/>
      <c r="AD522" s="639">
        <v>0</v>
      </c>
      <c r="AE522" s="665"/>
      <c r="AF522" s="9">
        <f t="shared" si="17"/>
        <v>0</v>
      </c>
      <c r="AG522" s="182" t="s">
        <v>1103</v>
      </c>
      <c r="AH522" s="93" t="s">
        <v>1104</v>
      </c>
      <c r="AI522" s="640"/>
      <c r="AJ522" s="93"/>
      <c r="AK522" s="30"/>
      <c r="AL522" s="93"/>
    </row>
    <row r="523" spans="1:38" ht="15" customHeight="1" x14ac:dyDescent="0.3">
      <c r="A523" s="621" t="s">
        <v>22</v>
      </c>
      <c r="B523" s="112" t="s">
        <v>148</v>
      </c>
      <c r="C523" s="109">
        <v>4</v>
      </c>
      <c r="D523" s="11" t="s">
        <v>143</v>
      </c>
      <c r="E523" s="108">
        <v>36657</v>
      </c>
      <c r="F523" s="33">
        <v>2000</v>
      </c>
      <c r="G523" s="142" t="s">
        <v>1105</v>
      </c>
      <c r="H523" s="162"/>
      <c r="I523" s="22" t="s">
        <v>264</v>
      </c>
      <c r="J523" s="32" t="s">
        <v>26</v>
      </c>
      <c r="K523" s="622" t="s">
        <v>392</v>
      </c>
      <c r="L523" s="137" t="s">
        <v>40</v>
      </c>
      <c r="M523" s="137" t="s">
        <v>804</v>
      </c>
      <c r="N523" s="137"/>
      <c r="O523" s="93" t="s">
        <v>1102</v>
      </c>
      <c r="P523" s="138" t="s">
        <v>1055</v>
      </c>
      <c r="Q523" s="15" t="s">
        <v>282</v>
      </c>
      <c r="R523" s="91"/>
      <c r="S523" s="16" t="s">
        <v>44</v>
      </c>
      <c r="T523" s="92"/>
      <c r="U523" s="623"/>
      <c r="V523" s="624"/>
      <c r="W523" s="243"/>
      <c r="X523" s="185"/>
      <c r="Y523" s="7">
        <f t="shared" si="16"/>
        <v>0</v>
      </c>
      <c r="Z523" s="185"/>
      <c r="AA523" s="469"/>
      <c r="AB523" s="518" t="s">
        <v>5972</v>
      </c>
      <c r="AC523" s="626"/>
      <c r="AD523" s="665">
        <v>0</v>
      </c>
      <c r="AE523" s="665"/>
      <c r="AF523" s="9">
        <f t="shared" si="17"/>
        <v>0</v>
      </c>
      <c r="AG523" s="182" t="s">
        <v>1103</v>
      </c>
      <c r="AH523" s="93" t="s">
        <v>1104</v>
      </c>
      <c r="AI523" s="625"/>
      <c r="AJ523" s="93"/>
      <c r="AK523" s="30"/>
      <c r="AL523" s="93"/>
    </row>
    <row r="524" spans="1:38" ht="15" customHeight="1" x14ac:dyDescent="0.3">
      <c r="A524" s="621" t="s">
        <v>22</v>
      </c>
      <c r="B524" s="112" t="s">
        <v>148</v>
      </c>
      <c r="C524" s="109">
        <v>4</v>
      </c>
      <c r="D524" s="11" t="s">
        <v>143</v>
      </c>
      <c r="E524" s="108">
        <v>36657</v>
      </c>
      <c r="F524" s="33">
        <v>2000</v>
      </c>
      <c r="G524" s="142" t="s">
        <v>1105</v>
      </c>
      <c r="H524" s="162"/>
      <c r="I524" s="22" t="s">
        <v>264</v>
      </c>
      <c r="J524" s="32" t="s">
        <v>26</v>
      </c>
      <c r="K524" s="622" t="s">
        <v>392</v>
      </c>
      <c r="L524" s="137" t="s">
        <v>40</v>
      </c>
      <c r="M524" s="137" t="s">
        <v>804</v>
      </c>
      <c r="N524" s="137"/>
      <c r="O524" s="93" t="s">
        <v>1102</v>
      </c>
      <c r="P524" s="138" t="s">
        <v>1055</v>
      </c>
      <c r="Q524" s="15" t="s">
        <v>282</v>
      </c>
      <c r="R524" s="91"/>
      <c r="S524" s="16" t="s">
        <v>44</v>
      </c>
      <c r="T524" s="92"/>
      <c r="U524" s="623"/>
      <c r="V524" s="624"/>
      <c r="W524" s="243"/>
      <c r="X524" s="185"/>
      <c r="Y524" s="7">
        <f t="shared" si="16"/>
        <v>0</v>
      </c>
      <c r="Z524" s="185"/>
      <c r="AA524" s="469"/>
      <c r="AB524" s="518" t="s">
        <v>5972</v>
      </c>
      <c r="AC524" s="626"/>
      <c r="AD524" s="665">
        <v>0</v>
      </c>
      <c r="AE524" s="665"/>
      <c r="AF524" s="9">
        <f t="shared" si="17"/>
        <v>0</v>
      </c>
      <c r="AG524" s="182" t="s">
        <v>1103</v>
      </c>
      <c r="AH524" s="93" t="s">
        <v>1104</v>
      </c>
      <c r="AI524" s="625"/>
      <c r="AJ524" s="93"/>
      <c r="AK524" s="30"/>
      <c r="AL524" s="93"/>
    </row>
    <row r="525" spans="1:38" ht="15" customHeight="1" x14ac:dyDescent="0.3">
      <c r="A525" s="621" t="s">
        <v>22</v>
      </c>
      <c r="B525" s="112" t="s">
        <v>148</v>
      </c>
      <c r="C525" s="109">
        <v>4</v>
      </c>
      <c r="D525" s="11" t="s">
        <v>143</v>
      </c>
      <c r="E525" s="108">
        <v>36657</v>
      </c>
      <c r="F525" s="33">
        <v>2000</v>
      </c>
      <c r="G525" s="142" t="s">
        <v>1105</v>
      </c>
      <c r="H525" s="162"/>
      <c r="I525" s="22" t="s">
        <v>264</v>
      </c>
      <c r="J525" s="32" t="s">
        <v>26</v>
      </c>
      <c r="K525" s="622" t="s">
        <v>392</v>
      </c>
      <c r="L525" s="137" t="s">
        <v>40</v>
      </c>
      <c r="M525" s="137" t="s">
        <v>804</v>
      </c>
      <c r="N525" s="137"/>
      <c r="O525" s="93" t="s">
        <v>1102</v>
      </c>
      <c r="P525" s="138" t="s">
        <v>1055</v>
      </c>
      <c r="Q525" s="15" t="s">
        <v>282</v>
      </c>
      <c r="R525" s="91"/>
      <c r="S525" s="16" t="s">
        <v>44</v>
      </c>
      <c r="T525" s="92"/>
      <c r="U525" s="623"/>
      <c r="V525" s="624"/>
      <c r="W525" s="243"/>
      <c r="X525" s="185"/>
      <c r="Y525" s="7">
        <f t="shared" si="16"/>
        <v>0</v>
      </c>
      <c r="Z525" s="185"/>
      <c r="AA525" s="469"/>
      <c r="AB525" s="518" t="s">
        <v>5972</v>
      </c>
      <c r="AC525" s="626"/>
      <c r="AD525" s="665">
        <v>0</v>
      </c>
      <c r="AE525" s="665"/>
      <c r="AF525" s="9">
        <f t="shared" si="17"/>
        <v>0</v>
      </c>
      <c r="AG525" s="182" t="s">
        <v>1103</v>
      </c>
      <c r="AH525" s="93" t="s">
        <v>1104</v>
      </c>
      <c r="AI525" s="625"/>
      <c r="AJ525" s="93"/>
      <c r="AK525" s="30"/>
      <c r="AL525" s="93"/>
    </row>
    <row r="526" spans="1:38" ht="15" customHeight="1" x14ac:dyDescent="0.3">
      <c r="A526" s="621" t="s">
        <v>22</v>
      </c>
      <c r="B526" s="112" t="s">
        <v>148</v>
      </c>
      <c r="C526" s="109">
        <v>4</v>
      </c>
      <c r="D526" s="11" t="s">
        <v>143</v>
      </c>
      <c r="E526" s="108">
        <v>36657</v>
      </c>
      <c r="F526" s="33">
        <v>2000</v>
      </c>
      <c r="G526" s="142" t="s">
        <v>1105</v>
      </c>
      <c r="H526" s="162"/>
      <c r="I526" s="22" t="s">
        <v>264</v>
      </c>
      <c r="J526" s="32" t="s">
        <v>26</v>
      </c>
      <c r="K526" s="622" t="s">
        <v>392</v>
      </c>
      <c r="L526" s="137" t="s">
        <v>40</v>
      </c>
      <c r="M526" s="137" t="s">
        <v>804</v>
      </c>
      <c r="N526" s="137"/>
      <c r="O526" s="93" t="s">
        <v>1102</v>
      </c>
      <c r="P526" s="138" t="s">
        <v>1055</v>
      </c>
      <c r="Q526" s="15" t="s">
        <v>282</v>
      </c>
      <c r="R526" s="91"/>
      <c r="S526" s="16" t="s">
        <v>44</v>
      </c>
      <c r="T526" s="92"/>
      <c r="U526" s="623"/>
      <c r="V526" s="624"/>
      <c r="W526" s="243"/>
      <c r="X526" s="185"/>
      <c r="Y526" s="7">
        <f t="shared" si="16"/>
        <v>0</v>
      </c>
      <c r="Z526" s="185"/>
      <c r="AA526" s="469"/>
      <c r="AB526" s="518" t="s">
        <v>5972</v>
      </c>
      <c r="AC526" s="626"/>
      <c r="AD526" s="665">
        <v>0</v>
      </c>
      <c r="AE526" s="665"/>
      <c r="AF526" s="9">
        <f t="shared" si="17"/>
        <v>0</v>
      </c>
      <c r="AG526" s="182" t="s">
        <v>1103</v>
      </c>
      <c r="AH526" s="93" t="s">
        <v>1104</v>
      </c>
      <c r="AI526" s="625"/>
      <c r="AJ526" s="93"/>
      <c r="AK526" s="30"/>
      <c r="AL526" s="93"/>
    </row>
    <row r="527" spans="1:38" ht="15" customHeight="1" x14ac:dyDescent="0.3">
      <c r="A527" s="621" t="s">
        <v>22</v>
      </c>
      <c r="B527" s="112" t="s">
        <v>148</v>
      </c>
      <c r="C527" s="109">
        <v>4</v>
      </c>
      <c r="D527" s="11" t="s">
        <v>143</v>
      </c>
      <c r="E527" s="108">
        <v>36657</v>
      </c>
      <c r="F527" s="33">
        <v>2000</v>
      </c>
      <c r="G527" s="142" t="s">
        <v>1105</v>
      </c>
      <c r="H527" s="162"/>
      <c r="I527" s="22" t="s">
        <v>264</v>
      </c>
      <c r="J527" s="32" t="s">
        <v>26</v>
      </c>
      <c r="K527" s="622" t="s">
        <v>392</v>
      </c>
      <c r="L527" s="137" t="s">
        <v>40</v>
      </c>
      <c r="M527" s="137" t="s">
        <v>804</v>
      </c>
      <c r="N527" s="137"/>
      <c r="O527" s="93" t="s">
        <v>1102</v>
      </c>
      <c r="P527" s="138" t="s">
        <v>1055</v>
      </c>
      <c r="Q527" s="15" t="s">
        <v>282</v>
      </c>
      <c r="R527" s="91"/>
      <c r="S527" s="16" t="s">
        <v>44</v>
      </c>
      <c r="T527" s="92"/>
      <c r="U527" s="623"/>
      <c r="V527" s="624"/>
      <c r="W527" s="243"/>
      <c r="X527" s="185"/>
      <c r="Y527" s="7">
        <f t="shared" si="16"/>
        <v>0</v>
      </c>
      <c r="Z527" s="185"/>
      <c r="AA527" s="469"/>
      <c r="AB527" s="518" t="s">
        <v>5972</v>
      </c>
      <c r="AC527" s="626"/>
      <c r="AD527" s="665">
        <v>0</v>
      </c>
      <c r="AE527" s="665"/>
      <c r="AF527" s="9">
        <f t="shared" si="17"/>
        <v>0</v>
      </c>
      <c r="AG527" s="182" t="s">
        <v>1103</v>
      </c>
      <c r="AH527" s="93" t="s">
        <v>1104</v>
      </c>
      <c r="AI527" s="625"/>
      <c r="AJ527" s="93"/>
      <c r="AK527" s="30"/>
      <c r="AL527" s="93"/>
    </row>
    <row r="528" spans="1:38" ht="15" customHeight="1" x14ac:dyDescent="0.3">
      <c r="A528" s="687" t="s">
        <v>22</v>
      </c>
      <c r="B528" s="112" t="s">
        <v>148</v>
      </c>
      <c r="C528" s="109">
        <v>4</v>
      </c>
      <c r="D528" s="11" t="s">
        <v>143</v>
      </c>
      <c r="E528" s="108">
        <v>36657</v>
      </c>
      <c r="F528" s="33">
        <v>2000</v>
      </c>
      <c r="G528" s="142" t="s">
        <v>1105</v>
      </c>
      <c r="H528" s="162"/>
      <c r="I528" s="22" t="s">
        <v>264</v>
      </c>
      <c r="J528" s="32" t="s">
        <v>26</v>
      </c>
      <c r="K528" s="622" t="s">
        <v>392</v>
      </c>
      <c r="L528" s="137" t="s">
        <v>40</v>
      </c>
      <c r="M528" s="137" t="s">
        <v>804</v>
      </c>
      <c r="N528" s="137"/>
      <c r="O528" s="93" t="s">
        <v>1102</v>
      </c>
      <c r="P528" s="138" t="s">
        <v>1055</v>
      </c>
      <c r="Q528" s="15" t="s">
        <v>282</v>
      </c>
      <c r="R528" s="143"/>
      <c r="S528" s="16" t="s">
        <v>44</v>
      </c>
      <c r="T528" s="144"/>
      <c r="U528" s="623"/>
      <c r="V528" s="624"/>
      <c r="W528" s="243"/>
      <c r="X528" s="185"/>
      <c r="Y528" s="7">
        <f t="shared" si="16"/>
        <v>0</v>
      </c>
      <c r="Z528" s="185"/>
      <c r="AA528" s="469"/>
      <c r="AB528" s="518" t="s">
        <v>5972</v>
      </c>
      <c r="AC528" s="626"/>
      <c r="AD528" s="665">
        <v>0</v>
      </c>
      <c r="AE528" s="665"/>
      <c r="AF528" s="9">
        <f t="shared" si="17"/>
        <v>0</v>
      </c>
      <c r="AG528" s="182" t="s">
        <v>1103</v>
      </c>
      <c r="AH528" s="93" t="s">
        <v>1104</v>
      </c>
      <c r="AI528" s="625"/>
      <c r="AJ528" s="93"/>
      <c r="AK528" s="30"/>
      <c r="AL528" s="93"/>
    </row>
    <row r="529" spans="1:38" ht="15" customHeight="1" x14ac:dyDescent="0.3">
      <c r="A529" s="621" t="s">
        <v>22</v>
      </c>
      <c r="B529" s="112" t="s">
        <v>148</v>
      </c>
      <c r="C529" s="109">
        <v>4</v>
      </c>
      <c r="D529" s="11" t="s">
        <v>143</v>
      </c>
      <c r="E529" s="108">
        <v>36657</v>
      </c>
      <c r="F529" s="33">
        <v>2000</v>
      </c>
      <c r="G529" s="142" t="s">
        <v>1105</v>
      </c>
      <c r="H529" s="162"/>
      <c r="I529" s="22" t="s">
        <v>264</v>
      </c>
      <c r="J529" s="32" t="s">
        <v>26</v>
      </c>
      <c r="K529" s="622" t="s">
        <v>392</v>
      </c>
      <c r="L529" s="137" t="s">
        <v>40</v>
      </c>
      <c r="M529" s="137" t="s">
        <v>804</v>
      </c>
      <c r="N529" s="137"/>
      <c r="O529" s="137" t="s">
        <v>1102</v>
      </c>
      <c r="P529" s="138" t="s">
        <v>1055</v>
      </c>
      <c r="Q529" s="15" t="s">
        <v>282</v>
      </c>
      <c r="R529" s="143"/>
      <c r="S529" s="16" t="s">
        <v>44</v>
      </c>
      <c r="T529" s="92"/>
      <c r="U529" s="623"/>
      <c r="V529" s="624"/>
      <c r="W529" s="243"/>
      <c r="X529" s="185"/>
      <c r="Y529" s="7">
        <f t="shared" si="16"/>
        <v>0</v>
      </c>
      <c r="Z529" s="185"/>
      <c r="AA529" s="469"/>
      <c r="AB529" s="518" t="s">
        <v>5972</v>
      </c>
      <c r="AC529" s="626"/>
      <c r="AD529" s="665">
        <v>0</v>
      </c>
      <c r="AE529" s="665"/>
      <c r="AF529" s="9">
        <f t="shared" si="17"/>
        <v>0</v>
      </c>
      <c r="AG529" s="182" t="s">
        <v>1103</v>
      </c>
      <c r="AH529" s="93" t="s">
        <v>1104</v>
      </c>
      <c r="AI529" s="625"/>
      <c r="AJ529" s="93"/>
      <c r="AK529" s="30"/>
      <c r="AL529" s="93"/>
    </row>
    <row r="530" spans="1:38" ht="15" customHeight="1" x14ac:dyDescent="0.3">
      <c r="A530" s="181" t="s">
        <v>22</v>
      </c>
      <c r="B530" s="145" t="s">
        <v>144</v>
      </c>
      <c r="C530" s="135">
        <v>7</v>
      </c>
      <c r="D530" s="11" t="s">
        <v>143</v>
      </c>
      <c r="E530" s="108">
        <v>37742</v>
      </c>
      <c r="F530" s="109">
        <v>2003</v>
      </c>
      <c r="G530" s="142" t="s">
        <v>1106</v>
      </c>
      <c r="H530" s="162"/>
      <c r="I530" s="22" t="s">
        <v>264</v>
      </c>
      <c r="J530" s="32" t="s">
        <v>191</v>
      </c>
      <c r="K530" s="197" t="s">
        <v>314</v>
      </c>
      <c r="L530" s="137" t="s">
        <v>40</v>
      </c>
      <c r="M530" s="137" t="s">
        <v>804</v>
      </c>
      <c r="N530" s="137"/>
      <c r="O530" s="138" t="s">
        <v>1107</v>
      </c>
      <c r="P530" s="138" t="s">
        <v>943</v>
      </c>
      <c r="Q530" s="15" t="s">
        <v>282</v>
      </c>
      <c r="R530" s="91"/>
      <c r="S530" s="16" t="s">
        <v>44</v>
      </c>
      <c r="T530" s="92"/>
      <c r="U530" s="623"/>
      <c r="V530" s="624"/>
      <c r="W530" s="243"/>
      <c r="X530" s="185"/>
      <c r="Y530" s="7">
        <f t="shared" si="16"/>
        <v>0</v>
      </c>
      <c r="Z530" s="185"/>
      <c r="AA530" s="469"/>
      <c r="AB530" s="503" t="s">
        <v>6055</v>
      </c>
      <c r="AC530" s="222"/>
      <c r="AD530" s="681">
        <v>0</v>
      </c>
      <c r="AE530" s="681"/>
      <c r="AF530" s="9">
        <f t="shared" si="17"/>
        <v>0</v>
      </c>
      <c r="AG530" s="656"/>
      <c r="AH530" s="138" t="s">
        <v>1108</v>
      </c>
      <c r="AI530" s="683"/>
      <c r="AJ530" s="194"/>
      <c r="AK530" s="30"/>
      <c r="AL530" s="93"/>
    </row>
    <row r="531" spans="1:38" ht="15" customHeight="1" x14ac:dyDescent="0.3">
      <c r="A531" s="621" t="s">
        <v>22</v>
      </c>
      <c r="B531" s="120" t="s">
        <v>105</v>
      </c>
      <c r="C531" s="109">
        <v>11</v>
      </c>
      <c r="D531" s="11" t="s">
        <v>5936</v>
      </c>
      <c r="E531" s="108">
        <v>36326</v>
      </c>
      <c r="F531" s="12">
        <v>1999</v>
      </c>
      <c r="G531" s="142">
        <v>991148</v>
      </c>
      <c r="H531" s="162"/>
      <c r="I531" s="22" t="s">
        <v>264</v>
      </c>
      <c r="J531" s="32" t="s">
        <v>191</v>
      </c>
      <c r="K531" s="197" t="s">
        <v>314</v>
      </c>
      <c r="L531" s="137" t="s">
        <v>40</v>
      </c>
      <c r="M531" s="137" t="s">
        <v>804</v>
      </c>
      <c r="N531" s="137"/>
      <c r="O531" s="93" t="s">
        <v>1109</v>
      </c>
      <c r="P531" s="138" t="s">
        <v>1055</v>
      </c>
      <c r="Q531" s="15" t="s">
        <v>282</v>
      </c>
      <c r="R531" s="91"/>
      <c r="S531" s="16" t="s">
        <v>6174</v>
      </c>
      <c r="T531" s="92"/>
      <c r="U531" s="623"/>
      <c r="V531" s="624"/>
      <c r="W531" s="243"/>
      <c r="X531" s="185"/>
      <c r="Y531" s="7">
        <f t="shared" si="16"/>
        <v>0</v>
      </c>
      <c r="Z531" s="185"/>
      <c r="AA531" s="469"/>
      <c r="AB531" s="513" t="s">
        <v>732</v>
      </c>
      <c r="AC531" s="147"/>
      <c r="AD531" s="639">
        <v>0</v>
      </c>
      <c r="AE531" s="665"/>
      <c r="AF531" s="9">
        <f t="shared" si="17"/>
        <v>0</v>
      </c>
      <c r="AG531" s="182">
        <v>1.5</v>
      </c>
      <c r="AH531" s="93" t="s">
        <v>305</v>
      </c>
      <c r="AI531" s="640"/>
      <c r="AJ531" s="93"/>
      <c r="AK531" s="30"/>
      <c r="AL531" s="93"/>
    </row>
    <row r="532" spans="1:38" ht="15" customHeight="1" x14ac:dyDescent="0.3">
      <c r="A532" s="30" t="s">
        <v>22</v>
      </c>
      <c r="B532" s="88" t="s">
        <v>422</v>
      </c>
      <c r="C532" s="107">
        <v>2</v>
      </c>
      <c r="D532" s="12" t="s">
        <v>190</v>
      </c>
      <c r="E532" s="108">
        <v>37377</v>
      </c>
      <c r="F532" s="37">
        <v>2002</v>
      </c>
      <c r="G532" s="142"/>
      <c r="H532" s="162"/>
      <c r="I532" s="22" t="s">
        <v>264</v>
      </c>
      <c r="J532" s="32" t="s">
        <v>26</v>
      </c>
      <c r="K532" s="197" t="s">
        <v>392</v>
      </c>
      <c r="L532" s="137" t="s">
        <v>40</v>
      </c>
      <c r="M532" s="137" t="s">
        <v>804</v>
      </c>
      <c r="N532" s="137"/>
      <c r="O532" s="93" t="s">
        <v>997</v>
      </c>
      <c r="P532" s="138" t="s">
        <v>1055</v>
      </c>
      <c r="Q532" s="15" t="s">
        <v>282</v>
      </c>
      <c r="R532" s="91"/>
      <c r="S532" s="16" t="s">
        <v>44</v>
      </c>
      <c r="T532" s="92"/>
      <c r="U532" s="623" t="s">
        <v>1110</v>
      </c>
      <c r="V532" s="624"/>
      <c r="W532" s="243"/>
      <c r="X532" s="185"/>
      <c r="Y532" s="7">
        <f t="shared" si="16"/>
        <v>0</v>
      </c>
      <c r="Z532" s="185"/>
      <c r="AA532" s="469"/>
      <c r="AB532" s="513" t="s">
        <v>5988</v>
      </c>
      <c r="AC532" s="147"/>
      <c r="AD532" s="639">
        <v>0</v>
      </c>
      <c r="AE532" s="639"/>
      <c r="AF532" s="9">
        <f t="shared" si="17"/>
        <v>0</v>
      </c>
      <c r="AG532" s="183"/>
      <c r="AH532" s="93"/>
      <c r="AI532" s="640"/>
      <c r="AJ532" s="93"/>
      <c r="AK532" s="30"/>
      <c r="AL532" s="93"/>
    </row>
    <row r="533" spans="1:38" ht="15" customHeight="1" x14ac:dyDescent="0.3">
      <c r="A533" s="30" t="s">
        <v>22</v>
      </c>
      <c r="B533" s="112" t="s">
        <v>227</v>
      </c>
      <c r="C533" s="107">
        <v>9</v>
      </c>
      <c r="D533" s="11" t="s">
        <v>225</v>
      </c>
      <c r="E533" s="108">
        <v>36920</v>
      </c>
      <c r="F533" s="12">
        <v>2001</v>
      </c>
      <c r="G533" s="142" t="s">
        <v>1111</v>
      </c>
      <c r="H533" s="162"/>
      <c r="I533" s="22" t="s">
        <v>264</v>
      </c>
      <c r="J533" s="32" t="s">
        <v>26</v>
      </c>
      <c r="K533" s="197" t="s">
        <v>636</v>
      </c>
      <c r="L533" s="137" t="s">
        <v>40</v>
      </c>
      <c r="M533" s="137" t="s">
        <v>804</v>
      </c>
      <c r="N533" s="137"/>
      <c r="O533" s="138" t="s">
        <v>1112</v>
      </c>
      <c r="P533" s="138" t="s">
        <v>1088</v>
      </c>
      <c r="Q533" s="15" t="s">
        <v>282</v>
      </c>
      <c r="R533" s="91"/>
      <c r="S533" s="16" t="s">
        <v>35</v>
      </c>
      <c r="T533" s="92"/>
      <c r="U533" s="623"/>
      <c r="V533" s="624"/>
      <c r="W533" s="243">
        <v>20000000</v>
      </c>
      <c r="X533" s="185"/>
      <c r="Y533" s="7">
        <f t="shared" si="16"/>
        <v>0</v>
      </c>
      <c r="Z533" s="185"/>
      <c r="AA533" s="469"/>
      <c r="AB533" s="500" t="s">
        <v>5953</v>
      </c>
      <c r="AC533" s="501"/>
      <c r="AD533" s="639">
        <v>0</v>
      </c>
      <c r="AE533" s="639"/>
      <c r="AF533" s="9">
        <f t="shared" si="17"/>
        <v>0</v>
      </c>
      <c r="AG533" s="183">
        <v>8</v>
      </c>
      <c r="AH533" s="476" t="s">
        <v>5967</v>
      </c>
      <c r="AI533" s="640"/>
      <c r="AJ533" s="93"/>
      <c r="AK533" s="30"/>
      <c r="AL533" s="93"/>
    </row>
    <row r="534" spans="1:38" ht="15" customHeight="1" x14ac:dyDescent="0.3">
      <c r="A534" s="664" t="s">
        <v>22</v>
      </c>
      <c r="B534" s="112" t="s">
        <v>23</v>
      </c>
      <c r="C534" s="109">
        <v>8</v>
      </c>
      <c r="D534" s="11" t="s">
        <v>24</v>
      </c>
      <c r="E534" s="108">
        <v>37735</v>
      </c>
      <c r="F534" s="37">
        <v>2003</v>
      </c>
      <c r="G534" s="142" t="s">
        <v>1113</v>
      </c>
      <c r="H534" s="162"/>
      <c r="I534" s="12" t="s">
        <v>25</v>
      </c>
      <c r="J534" s="32" t="s">
        <v>26</v>
      </c>
      <c r="K534" s="197" t="s">
        <v>636</v>
      </c>
      <c r="L534" s="137" t="s">
        <v>40</v>
      </c>
      <c r="M534" s="137" t="s">
        <v>804</v>
      </c>
      <c r="N534" s="137"/>
      <c r="O534" s="138" t="s">
        <v>1114</v>
      </c>
      <c r="P534" s="138" t="s">
        <v>1055</v>
      </c>
      <c r="Q534" s="15" t="s">
        <v>282</v>
      </c>
      <c r="R534" s="91"/>
      <c r="S534" s="16" t="s">
        <v>44</v>
      </c>
      <c r="T534" s="92"/>
      <c r="U534" s="623"/>
      <c r="V534" s="624"/>
      <c r="W534" s="243"/>
      <c r="X534" s="185"/>
      <c r="Y534" s="7">
        <f t="shared" si="16"/>
        <v>0</v>
      </c>
      <c r="Z534" s="185"/>
      <c r="AA534" s="469"/>
      <c r="AB534" s="479" t="s">
        <v>49</v>
      </c>
      <c r="AC534" s="480"/>
      <c r="AD534" s="639">
        <v>0</v>
      </c>
      <c r="AE534" s="665"/>
      <c r="AF534" s="9">
        <f t="shared" si="17"/>
        <v>0</v>
      </c>
      <c r="AG534" s="182"/>
      <c r="AH534" s="93"/>
      <c r="AI534" s="625" t="s">
        <v>1115</v>
      </c>
      <c r="AJ534" s="181"/>
      <c r="AK534" s="30"/>
      <c r="AL534" s="93"/>
    </row>
    <row r="535" spans="1:38" ht="15" customHeight="1" x14ac:dyDescent="0.3">
      <c r="A535" s="30" t="s">
        <v>22</v>
      </c>
      <c r="B535" s="140" t="s">
        <v>228</v>
      </c>
      <c r="C535" s="107">
        <v>2</v>
      </c>
      <c r="D535" s="11" t="s">
        <v>225</v>
      </c>
      <c r="E535" s="114">
        <v>38598</v>
      </c>
      <c r="F535" s="12">
        <v>2005</v>
      </c>
      <c r="G535" s="142"/>
      <c r="H535" s="162"/>
      <c r="I535" s="22" t="s">
        <v>264</v>
      </c>
      <c r="J535" s="32" t="s">
        <v>26</v>
      </c>
      <c r="K535" s="197" t="s">
        <v>286</v>
      </c>
      <c r="L535" s="137" t="s">
        <v>1116</v>
      </c>
      <c r="M535" s="137" t="s">
        <v>42</v>
      </c>
      <c r="N535" s="137"/>
      <c r="O535" s="93" t="s">
        <v>1117</v>
      </c>
      <c r="P535" s="138" t="s">
        <v>1088</v>
      </c>
      <c r="Q535" s="15" t="s">
        <v>35</v>
      </c>
      <c r="R535" s="91"/>
      <c r="S535" s="92"/>
      <c r="T535" s="92"/>
      <c r="U535" s="623"/>
      <c r="V535" s="623"/>
      <c r="W535" s="688" t="s">
        <v>1118</v>
      </c>
      <c r="X535" s="185"/>
      <c r="Y535" s="7" t="e">
        <f t="shared" si="16"/>
        <v>#VALUE!</v>
      </c>
      <c r="Z535" s="185"/>
      <c r="AA535" s="469"/>
      <c r="AB535" s="518" t="s">
        <v>933</v>
      </c>
      <c r="AC535" s="519"/>
      <c r="AD535" s="639">
        <v>0</v>
      </c>
      <c r="AE535" s="639"/>
      <c r="AF535" s="9">
        <f t="shared" si="17"/>
        <v>0</v>
      </c>
      <c r="AG535" s="183"/>
      <c r="AH535" s="93"/>
      <c r="AI535" s="640" t="s">
        <v>1119</v>
      </c>
      <c r="AJ535" s="93"/>
      <c r="AK535" s="30"/>
      <c r="AL535" s="93"/>
    </row>
    <row r="536" spans="1:38" ht="15" customHeight="1" x14ac:dyDescent="0.3">
      <c r="A536" s="30" t="s">
        <v>22</v>
      </c>
      <c r="B536" s="140" t="s">
        <v>1120</v>
      </c>
      <c r="C536" s="107">
        <v>1</v>
      </c>
      <c r="D536" s="11" t="s">
        <v>24</v>
      </c>
      <c r="E536" s="114">
        <v>38814</v>
      </c>
      <c r="F536" s="12">
        <v>2004</v>
      </c>
      <c r="G536" s="142" t="s">
        <v>1121</v>
      </c>
      <c r="H536" s="162"/>
      <c r="I536" s="12" t="s">
        <v>25</v>
      </c>
      <c r="J536" s="32" t="s">
        <v>26</v>
      </c>
      <c r="K536" s="197" t="s">
        <v>180</v>
      </c>
      <c r="L536" s="137" t="s">
        <v>1122</v>
      </c>
      <c r="M536" s="137" t="s">
        <v>804</v>
      </c>
      <c r="N536" s="137"/>
      <c r="O536" s="93" t="s">
        <v>1123</v>
      </c>
      <c r="P536" s="138" t="s">
        <v>1124</v>
      </c>
      <c r="Q536" s="220" t="s">
        <v>92</v>
      </c>
      <c r="R536" s="91"/>
      <c r="S536" s="92"/>
      <c r="T536" s="92"/>
      <c r="U536" s="623"/>
      <c r="V536" s="624"/>
      <c r="W536" s="243">
        <v>3000000</v>
      </c>
      <c r="X536" s="185"/>
      <c r="Y536" s="7">
        <f t="shared" si="16"/>
        <v>0</v>
      </c>
      <c r="Z536" s="185"/>
      <c r="AA536" s="469"/>
      <c r="AB536" s="479" t="s">
        <v>49</v>
      </c>
      <c r="AC536" s="480"/>
      <c r="AD536" s="639">
        <v>0</v>
      </c>
      <c r="AE536" s="639"/>
      <c r="AF536" s="9">
        <f t="shared" si="17"/>
        <v>0</v>
      </c>
      <c r="AG536" s="183" t="s">
        <v>667</v>
      </c>
      <c r="AH536" s="93" t="s">
        <v>1125</v>
      </c>
      <c r="AI536" s="640" t="s">
        <v>1126</v>
      </c>
      <c r="AJ536" s="93"/>
      <c r="AK536" s="30"/>
      <c r="AL536" s="93"/>
    </row>
    <row r="537" spans="1:38" ht="15" customHeight="1" x14ac:dyDescent="0.3">
      <c r="A537" s="664" t="s">
        <v>22</v>
      </c>
      <c r="B537" s="112" t="s">
        <v>1127</v>
      </c>
      <c r="C537" s="109" t="s">
        <v>1128</v>
      </c>
      <c r="D537" s="33" t="s">
        <v>190</v>
      </c>
      <c r="E537" s="108">
        <v>37622</v>
      </c>
      <c r="F537" s="146">
        <v>2003</v>
      </c>
      <c r="G537" s="142"/>
      <c r="H537" s="162"/>
      <c r="I537" s="22" t="s">
        <v>264</v>
      </c>
      <c r="J537" s="32" t="s">
        <v>26</v>
      </c>
      <c r="K537" s="197" t="s">
        <v>915</v>
      </c>
      <c r="L537" s="137" t="s">
        <v>40</v>
      </c>
      <c r="M537" s="137" t="s">
        <v>804</v>
      </c>
      <c r="N537" s="137"/>
      <c r="O537" s="138" t="s">
        <v>1129</v>
      </c>
      <c r="P537" s="200" t="s">
        <v>1088</v>
      </c>
      <c r="Q537" s="15" t="s">
        <v>282</v>
      </c>
      <c r="R537" s="132">
        <v>38215</v>
      </c>
      <c r="S537" s="16" t="s">
        <v>35</v>
      </c>
      <c r="T537" s="133">
        <v>38763</v>
      </c>
      <c r="U537" s="623"/>
      <c r="V537" s="624"/>
      <c r="W537" s="243">
        <v>29000000</v>
      </c>
      <c r="X537" s="185"/>
      <c r="Y537" s="7">
        <f t="shared" si="16"/>
        <v>0</v>
      </c>
      <c r="Z537" s="185"/>
      <c r="AA537" s="469"/>
      <c r="AB537" s="513" t="s">
        <v>5979</v>
      </c>
      <c r="AC537" s="563"/>
      <c r="AD537" s="665">
        <v>0</v>
      </c>
      <c r="AE537" s="665"/>
      <c r="AF537" s="9">
        <f t="shared" si="17"/>
        <v>0</v>
      </c>
      <c r="AG537" s="182">
        <v>5</v>
      </c>
      <c r="AH537" s="93" t="s">
        <v>1843</v>
      </c>
      <c r="AI537" s="625"/>
      <c r="AJ537" s="93"/>
      <c r="AK537" s="30"/>
      <c r="AL537" s="93"/>
    </row>
    <row r="538" spans="1:38" ht="15" customHeight="1" x14ac:dyDescent="0.3">
      <c r="A538" s="664" t="s">
        <v>22</v>
      </c>
      <c r="B538" s="88" t="s">
        <v>422</v>
      </c>
      <c r="C538" s="109">
        <v>1</v>
      </c>
      <c r="D538" s="12" t="s">
        <v>190</v>
      </c>
      <c r="E538" s="108">
        <v>37622</v>
      </c>
      <c r="F538" s="146">
        <v>2003</v>
      </c>
      <c r="G538" s="142" t="s">
        <v>1130</v>
      </c>
      <c r="H538" s="162"/>
      <c r="I538" s="107" t="s">
        <v>868</v>
      </c>
      <c r="J538" s="32" t="s">
        <v>26</v>
      </c>
      <c r="K538" s="197" t="s">
        <v>392</v>
      </c>
      <c r="L538" s="137" t="s">
        <v>40</v>
      </c>
      <c r="M538" s="137" t="s">
        <v>804</v>
      </c>
      <c r="N538" s="137"/>
      <c r="O538" s="138" t="s">
        <v>805</v>
      </c>
      <c r="P538" s="200" t="s">
        <v>1055</v>
      </c>
      <c r="Q538" s="15" t="s">
        <v>282</v>
      </c>
      <c r="R538" s="91"/>
      <c r="S538" s="16" t="s">
        <v>44</v>
      </c>
      <c r="T538" s="92"/>
      <c r="U538" s="623" t="s">
        <v>1131</v>
      </c>
      <c r="V538" s="624"/>
      <c r="W538" s="243"/>
      <c r="X538" s="185"/>
      <c r="Y538" s="7">
        <f t="shared" si="16"/>
        <v>0</v>
      </c>
      <c r="Z538" s="185"/>
      <c r="AA538" s="469"/>
      <c r="AB538" s="513" t="s">
        <v>5986</v>
      </c>
      <c r="AC538" s="147"/>
      <c r="AD538" s="639">
        <v>0</v>
      </c>
      <c r="AE538" s="665"/>
      <c r="AF538" s="9">
        <f t="shared" si="17"/>
        <v>0</v>
      </c>
      <c r="AG538" s="182"/>
      <c r="AH538" s="93"/>
      <c r="AI538" s="625"/>
      <c r="AJ538" s="181"/>
      <c r="AK538" s="30"/>
      <c r="AL538" s="93"/>
    </row>
    <row r="539" spans="1:38" ht="15" customHeight="1" x14ac:dyDescent="0.3">
      <c r="A539" s="30" t="s">
        <v>22</v>
      </c>
      <c r="B539" s="112" t="s">
        <v>197</v>
      </c>
      <c r="C539" s="107">
        <v>1</v>
      </c>
      <c r="D539" s="12" t="s">
        <v>190</v>
      </c>
      <c r="E539" s="108">
        <v>37347</v>
      </c>
      <c r="F539" s="33">
        <v>2002</v>
      </c>
      <c r="G539" s="142"/>
      <c r="H539" s="162"/>
      <c r="I539" s="22" t="s">
        <v>264</v>
      </c>
      <c r="J539" s="32" t="s">
        <v>191</v>
      </c>
      <c r="K539" s="197" t="s">
        <v>314</v>
      </c>
      <c r="L539" s="137" t="s">
        <v>40</v>
      </c>
      <c r="M539" s="137" t="s">
        <v>804</v>
      </c>
      <c r="N539" s="137"/>
      <c r="O539" s="93" t="s">
        <v>1132</v>
      </c>
      <c r="P539" s="138" t="s">
        <v>1124</v>
      </c>
      <c r="Q539" s="15" t="s">
        <v>35</v>
      </c>
      <c r="R539" s="91"/>
      <c r="S539" s="16" t="s">
        <v>44</v>
      </c>
      <c r="T539" s="92"/>
      <c r="U539" s="623"/>
      <c r="V539" s="624"/>
      <c r="W539" s="243">
        <v>34300000</v>
      </c>
      <c r="X539" s="185"/>
      <c r="Y539" s="7">
        <f t="shared" si="16"/>
        <v>0</v>
      </c>
      <c r="Z539" s="185"/>
      <c r="AA539" s="469"/>
      <c r="AB539" s="479" t="s">
        <v>1027</v>
      </c>
      <c r="AC539" s="480"/>
      <c r="AD539" s="639">
        <v>0</v>
      </c>
      <c r="AE539" s="639"/>
      <c r="AF539" s="9">
        <f t="shared" si="17"/>
        <v>0</v>
      </c>
      <c r="AG539" s="183"/>
      <c r="AH539" s="93"/>
      <c r="AI539" s="640" t="s">
        <v>1133</v>
      </c>
      <c r="AJ539" s="93"/>
      <c r="AK539" s="30"/>
      <c r="AL539" s="93"/>
    </row>
    <row r="540" spans="1:38" ht="15" customHeight="1" x14ac:dyDescent="0.3">
      <c r="A540" s="664" t="s">
        <v>22</v>
      </c>
      <c r="B540" s="140" t="s">
        <v>197</v>
      </c>
      <c r="C540" s="107">
        <v>4</v>
      </c>
      <c r="D540" s="33" t="s">
        <v>190</v>
      </c>
      <c r="E540" s="114">
        <v>38443</v>
      </c>
      <c r="F540" s="12">
        <v>2005</v>
      </c>
      <c r="G540" s="142" t="s">
        <v>1134</v>
      </c>
      <c r="H540" s="162"/>
      <c r="I540" s="12" t="s">
        <v>938</v>
      </c>
      <c r="J540" s="30" t="s">
        <v>67</v>
      </c>
      <c r="K540" s="197" t="s">
        <v>1135</v>
      </c>
      <c r="L540" s="137" t="s">
        <v>1122</v>
      </c>
      <c r="M540" s="137" t="s">
        <v>804</v>
      </c>
      <c r="N540" s="137"/>
      <c r="O540" s="93" t="s">
        <v>1136</v>
      </c>
      <c r="P540" s="138" t="s">
        <v>1137</v>
      </c>
      <c r="Q540" s="93"/>
      <c r="R540" s="93"/>
      <c r="S540" s="93"/>
      <c r="T540" s="93"/>
      <c r="U540" s="93"/>
      <c r="V540" s="137"/>
      <c r="W540" s="243"/>
      <c r="X540" s="185"/>
      <c r="Y540" s="7">
        <f t="shared" si="16"/>
        <v>0</v>
      </c>
      <c r="Z540" s="185"/>
      <c r="AA540" s="469"/>
      <c r="AB540" s="513" t="s">
        <v>5989</v>
      </c>
      <c r="AC540" s="563"/>
      <c r="AD540" s="665">
        <v>0</v>
      </c>
      <c r="AE540" s="665"/>
      <c r="AF540" s="9">
        <f t="shared" si="17"/>
        <v>0</v>
      </c>
      <c r="AG540" s="183" t="s">
        <v>1138</v>
      </c>
      <c r="AH540" s="93"/>
      <c r="AI540" s="640"/>
      <c r="AJ540" s="93"/>
      <c r="AK540" s="30"/>
      <c r="AL540" s="93"/>
    </row>
    <row r="541" spans="1:38" ht="15" customHeight="1" x14ac:dyDescent="0.3">
      <c r="A541" s="30" t="s">
        <v>883</v>
      </c>
      <c r="B541" s="140" t="s">
        <v>197</v>
      </c>
      <c r="C541" s="107">
        <v>4</v>
      </c>
      <c r="D541" s="12" t="s">
        <v>190</v>
      </c>
      <c r="E541" s="114">
        <v>38657</v>
      </c>
      <c r="F541" s="12">
        <v>2005</v>
      </c>
      <c r="G541" s="142"/>
      <c r="H541" s="162"/>
      <c r="I541" s="12" t="s">
        <v>938</v>
      </c>
      <c r="J541" s="30" t="s">
        <v>67</v>
      </c>
      <c r="K541" s="197" t="s">
        <v>1139</v>
      </c>
      <c r="L541" s="137" t="s">
        <v>1122</v>
      </c>
      <c r="M541" s="137" t="s">
        <v>804</v>
      </c>
      <c r="N541" s="137"/>
      <c r="O541" s="93" t="s">
        <v>1140</v>
      </c>
      <c r="P541" s="138" t="s">
        <v>1137</v>
      </c>
      <c r="Q541" s="93"/>
      <c r="R541" s="93"/>
      <c r="S541" s="93"/>
      <c r="T541" s="93"/>
      <c r="U541" s="93"/>
      <c r="V541" s="137"/>
      <c r="W541" s="243"/>
      <c r="X541" s="185"/>
      <c r="Y541" s="7">
        <f t="shared" si="16"/>
        <v>0</v>
      </c>
      <c r="Z541" s="185"/>
      <c r="AA541" s="469"/>
      <c r="AB541" s="513" t="s">
        <v>5989</v>
      </c>
      <c r="AC541" s="563"/>
      <c r="AD541" s="665">
        <v>0</v>
      </c>
      <c r="AE541" s="665"/>
      <c r="AF541" s="9">
        <f t="shared" si="17"/>
        <v>0</v>
      </c>
      <c r="AG541" s="183" t="s">
        <v>1141</v>
      </c>
      <c r="AH541" s="93"/>
      <c r="AI541" s="640"/>
      <c r="AJ541" s="93"/>
      <c r="AK541" s="30"/>
      <c r="AL541" s="93"/>
    </row>
    <row r="542" spans="1:38" ht="15" customHeight="1" x14ac:dyDescent="0.3">
      <c r="A542" s="30" t="s">
        <v>883</v>
      </c>
      <c r="B542" s="140" t="s">
        <v>105</v>
      </c>
      <c r="C542" s="107">
        <v>11</v>
      </c>
      <c r="D542" s="11" t="s">
        <v>5936</v>
      </c>
      <c r="E542" s="114">
        <v>38777</v>
      </c>
      <c r="F542" s="12">
        <v>2006</v>
      </c>
      <c r="G542" s="142" t="s">
        <v>1142</v>
      </c>
      <c r="H542" s="162"/>
      <c r="I542" s="33" t="s">
        <v>33</v>
      </c>
      <c r="J542" s="32" t="s">
        <v>191</v>
      </c>
      <c r="K542" s="197"/>
      <c r="L542" s="197" t="s">
        <v>1122</v>
      </c>
      <c r="M542" s="137" t="s">
        <v>804</v>
      </c>
      <c r="N542" s="197"/>
      <c r="O542" s="197" t="s">
        <v>1143</v>
      </c>
      <c r="P542" s="197" t="s">
        <v>1124</v>
      </c>
      <c r="Q542" s="197"/>
      <c r="R542" s="197"/>
      <c r="S542" s="197"/>
      <c r="T542" s="197"/>
      <c r="U542" s="197"/>
      <c r="V542" s="197"/>
      <c r="W542" s="259">
        <v>20000000</v>
      </c>
      <c r="X542" s="185"/>
      <c r="Y542" s="7">
        <f t="shared" si="16"/>
        <v>0</v>
      </c>
      <c r="Z542" s="185"/>
      <c r="AA542" s="469"/>
      <c r="AB542" s="513" t="s">
        <v>5986</v>
      </c>
      <c r="AC542" s="147"/>
      <c r="AD542" s="639">
        <v>0</v>
      </c>
      <c r="AE542" s="690"/>
      <c r="AF542" s="9">
        <f t="shared" si="17"/>
        <v>0</v>
      </c>
      <c r="AG542" s="197"/>
      <c r="AH542" s="197"/>
      <c r="AI542" s="691"/>
      <c r="AJ542" s="197"/>
      <c r="AK542" s="197"/>
      <c r="AL542" s="93"/>
    </row>
    <row r="543" spans="1:38" ht="15" customHeight="1" x14ac:dyDescent="0.3">
      <c r="A543" s="30" t="s">
        <v>22</v>
      </c>
      <c r="B543" s="119" t="s">
        <v>1144</v>
      </c>
      <c r="C543" s="107">
        <v>2</v>
      </c>
      <c r="D543" s="12" t="s">
        <v>190</v>
      </c>
      <c r="E543" s="114">
        <v>37385</v>
      </c>
      <c r="F543" s="142">
        <v>2002</v>
      </c>
      <c r="G543" s="142">
        <v>8395</v>
      </c>
      <c r="H543" s="162"/>
      <c r="I543" s="33" t="s">
        <v>33</v>
      </c>
      <c r="J543" s="32" t="s">
        <v>26</v>
      </c>
      <c r="K543" s="197" t="s">
        <v>392</v>
      </c>
      <c r="L543" s="137" t="s">
        <v>1116</v>
      </c>
      <c r="M543" s="137" t="s">
        <v>42</v>
      </c>
      <c r="N543" s="137"/>
      <c r="O543" s="93" t="s">
        <v>1145</v>
      </c>
      <c r="P543" s="138" t="s">
        <v>1055</v>
      </c>
      <c r="Q543" s="15" t="s">
        <v>282</v>
      </c>
      <c r="R543" s="91"/>
      <c r="S543" s="16" t="s">
        <v>44</v>
      </c>
      <c r="T543" s="92"/>
      <c r="U543" s="623" t="s">
        <v>1146</v>
      </c>
      <c r="V543" s="624"/>
      <c r="W543" s="243"/>
      <c r="X543" s="185"/>
      <c r="Y543" s="7">
        <f t="shared" si="16"/>
        <v>0</v>
      </c>
      <c r="Z543" s="185"/>
      <c r="AA543" s="469"/>
      <c r="AB543" s="513" t="s">
        <v>424</v>
      </c>
      <c r="AC543" s="147"/>
      <c r="AD543" s="639">
        <v>0</v>
      </c>
      <c r="AE543" s="639"/>
      <c r="AF543" s="9">
        <f t="shared" si="17"/>
        <v>0</v>
      </c>
      <c r="AG543" s="183"/>
      <c r="AH543" s="93"/>
      <c r="AI543" s="640"/>
      <c r="AJ543" s="93"/>
      <c r="AK543" s="30"/>
      <c r="AL543" s="93"/>
    </row>
    <row r="544" spans="1:38" ht="15" customHeight="1" x14ac:dyDescent="0.3">
      <c r="A544" s="646" t="s">
        <v>22</v>
      </c>
      <c r="B544" s="120" t="s">
        <v>105</v>
      </c>
      <c r="C544" s="107">
        <v>10</v>
      </c>
      <c r="D544" s="11" t="s">
        <v>225</v>
      </c>
      <c r="E544" s="108">
        <v>34793</v>
      </c>
      <c r="F544" s="12">
        <v>1995</v>
      </c>
      <c r="G544" s="142">
        <v>19344</v>
      </c>
      <c r="H544" s="162"/>
      <c r="I544" s="22" t="s">
        <v>264</v>
      </c>
      <c r="J544" s="32" t="s">
        <v>26</v>
      </c>
      <c r="K544" s="197" t="s">
        <v>392</v>
      </c>
      <c r="L544" s="137" t="s">
        <v>40</v>
      </c>
      <c r="M544" s="137" t="s">
        <v>804</v>
      </c>
      <c r="N544" s="137"/>
      <c r="O544" s="93" t="s">
        <v>1147</v>
      </c>
      <c r="P544" s="138" t="s">
        <v>1088</v>
      </c>
      <c r="Q544" s="15" t="s">
        <v>35</v>
      </c>
      <c r="R544" s="91"/>
      <c r="S544" s="16" t="s">
        <v>35</v>
      </c>
      <c r="T544" s="92"/>
      <c r="U544" s="623" t="s">
        <v>1148</v>
      </c>
      <c r="V544" s="624"/>
      <c r="W544" s="243">
        <v>35756282</v>
      </c>
      <c r="X544" s="185"/>
      <c r="Y544" s="7">
        <f t="shared" si="16"/>
        <v>0</v>
      </c>
      <c r="Z544" s="185"/>
      <c r="AA544" s="469"/>
      <c r="AB544" s="513" t="s">
        <v>732</v>
      </c>
      <c r="AC544" s="147"/>
      <c r="AD544" s="639">
        <v>0</v>
      </c>
      <c r="AE544" s="639"/>
      <c r="AF544" s="9">
        <f t="shared" si="17"/>
        <v>0</v>
      </c>
      <c r="AG544" s="183">
        <v>6.5</v>
      </c>
      <c r="AH544" s="93"/>
      <c r="AI544" s="640"/>
      <c r="AJ544" s="93"/>
      <c r="AK544" s="30"/>
      <c r="AL544" s="93"/>
    </row>
    <row r="545" spans="1:38" ht="15" customHeight="1" x14ac:dyDescent="0.3">
      <c r="A545" s="30" t="s">
        <v>22</v>
      </c>
      <c r="B545" s="120" t="s">
        <v>105</v>
      </c>
      <c r="C545" s="107">
        <v>13</v>
      </c>
      <c r="D545" s="11" t="s">
        <v>5936</v>
      </c>
      <c r="E545" s="108">
        <v>37347</v>
      </c>
      <c r="F545" s="30">
        <v>2002</v>
      </c>
      <c r="G545" s="142" t="s">
        <v>1149</v>
      </c>
      <c r="H545" s="162"/>
      <c r="I545" s="22" t="s">
        <v>264</v>
      </c>
      <c r="J545" s="32" t="s">
        <v>26</v>
      </c>
      <c r="K545" s="197" t="s">
        <v>392</v>
      </c>
      <c r="L545" s="137" t="s">
        <v>40</v>
      </c>
      <c r="M545" s="137" t="s">
        <v>804</v>
      </c>
      <c r="N545" s="137"/>
      <c r="O545" s="93" t="s">
        <v>1150</v>
      </c>
      <c r="P545" s="138" t="s">
        <v>1055</v>
      </c>
      <c r="Q545" s="15" t="s">
        <v>282</v>
      </c>
      <c r="R545" s="91"/>
      <c r="S545" s="16" t="s">
        <v>44</v>
      </c>
      <c r="T545" s="92"/>
      <c r="U545" s="623"/>
      <c r="V545" s="624"/>
      <c r="W545" s="243"/>
      <c r="X545" s="185"/>
      <c r="Y545" s="7">
        <f t="shared" si="16"/>
        <v>0</v>
      </c>
      <c r="Z545" s="185"/>
      <c r="AA545" s="469"/>
      <c r="AB545" s="513" t="s">
        <v>732</v>
      </c>
      <c r="AC545" s="147"/>
      <c r="AD545" s="639">
        <v>0</v>
      </c>
      <c r="AE545" s="639"/>
      <c r="AF545" s="9">
        <f t="shared" si="17"/>
        <v>0</v>
      </c>
      <c r="AG545" s="183">
        <v>6.5</v>
      </c>
      <c r="AH545" s="93" t="s">
        <v>1151</v>
      </c>
      <c r="AI545" s="640"/>
      <c r="AJ545" s="93"/>
      <c r="AK545" s="30"/>
      <c r="AL545" s="93"/>
    </row>
    <row r="546" spans="1:38" ht="15" customHeight="1" x14ac:dyDescent="0.3">
      <c r="A546" s="30" t="s">
        <v>22</v>
      </c>
      <c r="B546" s="88" t="s">
        <v>422</v>
      </c>
      <c r="C546" s="107">
        <v>4</v>
      </c>
      <c r="D546" s="12" t="s">
        <v>190</v>
      </c>
      <c r="E546" s="108">
        <v>36739</v>
      </c>
      <c r="F546" s="33">
        <v>2000</v>
      </c>
      <c r="G546" s="142" t="s">
        <v>1152</v>
      </c>
      <c r="H546" s="162"/>
      <c r="I546" s="22" t="s">
        <v>264</v>
      </c>
      <c r="J546" s="30" t="s">
        <v>81</v>
      </c>
      <c r="K546" s="197" t="s">
        <v>640</v>
      </c>
      <c r="L546" s="137" t="s">
        <v>1153</v>
      </c>
      <c r="M546" s="137" t="s">
        <v>804</v>
      </c>
      <c r="N546" s="137"/>
      <c r="O546" s="93" t="s">
        <v>1154</v>
      </c>
      <c r="P546" s="138" t="s">
        <v>1055</v>
      </c>
      <c r="Q546" s="15" t="s">
        <v>282</v>
      </c>
      <c r="R546" s="91"/>
      <c r="S546" s="16" t="s">
        <v>35</v>
      </c>
      <c r="T546" s="92"/>
      <c r="U546" s="623" t="s">
        <v>1155</v>
      </c>
      <c r="V546" s="624"/>
      <c r="W546" s="243"/>
      <c r="X546" s="185"/>
      <c r="Y546" s="7">
        <f t="shared" si="16"/>
        <v>0</v>
      </c>
      <c r="Z546" s="185"/>
      <c r="AA546" s="469"/>
      <c r="AB546" s="513" t="s">
        <v>5986</v>
      </c>
      <c r="AC546" s="147"/>
      <c r="AD546" s="639">
        <v>0</v>
      </c>
      <c r="AE546" s="639"/>
      <c r="AF546" s="9">
        <f t="shared" si="17"/>
        <v>0</v>
      </c>
      <c r="AG546" s="183">
        <v>7</v>
      </c>
      <c r="AH546" s="93" t="s">
        <v>682</v>
      </c>
      <c r="AI546" s="93" t="s">
        <v>1156</v>
      </c>
      <c r="AJ546" s="93"/>
      <c r="AK546" s="30"/>
      <c r="AL546" s="93"/>
    </row>
    <row r="547" spans="1:38" ht="15" customHeight="1" x14ac:dyDescent="0.3">
      <c r="A547" s="30" t="s">
        <v>920</v>
      </c>
      <c r="B547" s="112" t="s">
        <v>23</v>
      </c>
      <c r="C547" s="107">
        <v>13</v>
      </c>
      <c r="D547" s="11" t="s">
        <v>24</v>
      </c>
      <c r="E547" s="114">
        <v>38643</v>
      </c>
      <c r="F547" s="12">
        <v>2005</v>
      </c>
      <c r="G547" s="142" t="s">
        <v>1157</v>
      </c>
      <c r="H547" s="162"/>
      <c r="I547" s="22" t="s">
        <v>264</v>
      </c>
      <c r="J547" s="32" t="s">
        <v>26</v>
      </c>
      <c r="K547" s="197" t="s">
        <v>1158</v>
      </c>
      <c r="L547" s="137" t="s">
        <v>1122</v>
      </c>
      <c r="M547" s="137" t="s">
        <v>804</v>
      </c>
      <c r="N547" s="137"/>
      <c r="O547" s="93" t="s">
        <v>1159</v>
      </c>
      <c r="P547" s="138" t="s">
        <v>1124</v>
      </c>
      <c r="Q547" s="93"/>
      <c r="R547" s="93"/>
      <c r="S547" s="93"/>
      <c r="T547" s="93"/>
      <c r="U547" s="93"/>
      <c r="V547" s="137"/>
      <c r="W547" s="243">
        <v>2800000</v>
      </c>
      <c r="X547" s="185"/>
      <c r="Y547" s="7">
        <f t="shared" si="16"/>
        <v>0</v>
      </c>
      <c r="Z547" s="185"/>
      <c r="AA547" s="469"/>
      <c r="AB547" s="513"/>
      <c r="AC547" s="147"/>
      <c r="AD547" s="639">
        <v>0</v>
      </c>
      <c r="AE547" s="639"/>
      <c r="AF547" s="9">
        <f t="shared" si="17"/>
        <v>0</v>
      </c>
      <c r="AG547" s="183"/>
      <c r="AH547" s="93" t="s">
        <v>1160</v>
      </c>
      <c r="AI547" s="93"/>
      <c r="AJ547" s="93"/>
      <c r="AK547" s="30"/>
      <c r="AL547" s="93"/>
    </row>
    <row r="548" spans="1:38" ht="15" customHeight="1" x14ac:dyDescent="0.3">
      <c r="A548" s="646" t="s">
        <v>22</v>
      </c>
      <c r="B548" s="112" t="s">
        <v>144</v>
      </c>
      <c r="C548" s="107">
        <v>6</v>
      </c>
      <c r="D548" s="11" t="s">
        <v>143</v>
      </c>
      <c r="E548" s="108">
        <v>36504</v>
      </c>
      <c r="F548" s="12">
        <v>1999</v>
      </c>
      <c r="G548" s="142">
        <v>16339</v>
      </c>
      <c r="H548" s="162"/>
      <c r="I548" s="22" t="s">
        <v>264</v>
      </c>
      <c r="J548" s="32" t="s">
        <v>26</v>
      </c>
      <c r="K548" s="197" t="s">
        <v>636</v>
      </c>
      <c r="L548" s="137" t="s">
        <v>40</v>
      </c>
      <c r="M548" s="137" t="s">
        <v>804</v>
      </c>
      <c r="N548" s="137"/>
      <c r="O548" s="93" t="s">
        <v>1161</v>
      </c>
      <c r="P548" s="138" t="s">
        <v>1088</v>
      </c>
      <c r="Q548" s="15" t="s">
        <v>282</v>
      </c>
      <c r="R548" s="91"/>
      <c r="S548" s="16" t="s">
        <v>35</v>
      </c>
      <c r="T548" s="92"/>
      <c r="U548" s="623"/>
      <c r="V548" s="624"/>
      <c r="W548" s="243">
        <v>22954497</v>
      </c>
      <c r="X548" s="185"/>
      <c r="Y548" s="7">
        <f t="shared" si="16"/>
        <v>0</v>
      </c>
      <c r="Z548" s="185"/>
      <c r="AA548" s="469"/>
      <c r="AB548" s="503" t="s">
        <v>6055</v>
      </c>
      <c r="AC548" s="222"/>
      <c r="AD548" s="639">
        <v>0</v>
      </c>
      <c r="AE548" s="639"/>
      <c r="AF548" s="9">
        <f t="shared" si="17"/>
        <v>0</v>
      </c>
      <c r="AG548" s="183">
        <v>10</v>
      </c>
      <c r="AH548" s="93"/>
      <c r="AI548" s="93"/>
      <c r="AJ548" s="93"/>
      <c r="AK548" s="30"/>
      <c r="AL548" s="93"/>
    </row>
    <row r="549" spans="1:38" ht="15" customHeight="1" x14ac:dyDescent="0.3">
      <c r="A549" s="30" t="s">
        <v>22</v>
      </c>
      <c r="B549" s="112" t="s">
        <v>146</v>
      </c>
      <c r="C549" s="107">
        <v>1</v>
      </c>
      <c r="D549" s="11" t="s">
        <v>143</v>
      </c>
      <c r="E549" s="108">
        <v>38292</v>
      </c>
      <c r="F549" s="12">
        <v>2004</v>
      </c>
      <c r="G549" s="142">
        <v>27373</v>
      </c>
      <c r="H549" s="162"/>
      <c r="I549" s="57" t="s">
        <v>6176</v>
      </c>
      <c r="J549" s="30" t="s">
        <v>67</v>
      </c>
      <c r="K549" s="197" t="s">
        <v>1135</v>
      </c>
      <c r="L549" s="137" t="s">
        <v>40</v>
      </c>
      <c r="M549" s="137" t="s">
        <v>804</v>
      </c>
      <c r="N549" s="197"/>
      <c r="O549" s="93" t="s">
        <v>1162</v>
      </c>
      <c r="P549" s="138" t="s">
        <v>1137</v>
      </c>
      <c r="Q549" s="15" t="s">
        <v>35</v>
      </c>
      <c r="R549" s="91"/>
      <c r="S549" s="16" t="s">
        <v>35</v>
      </c>
      <c r="T549" s="92"/>
      <c r="U549" s="623" t="s">
        <v>1163</v>
      </c>
      <c r="V549" s="624"/>
      <c r="W549" s="243"/>
      <c r="X549" s="185"/>
      <c r="Y549" s="7">
        <f t="shared" si="16"/>
        <v>0</v>
      </c>
      <c r="Z549" s="185"/>
      <c r="AA549" s="469"/>
      <c r="AB549" s="513" t="s">
        <v>5990</v>
      </c>
      <c r="AC549" s="147"/>
      <c r="AD549" s="639">
        <v>0</v>
      </c>
      <c r="AE549" s="639"/>
      <c r="AF549" s="9">
        <f t="shared" si="17"/>
        <v>0</v>
      </c>
      <c r="AG549" s="183"/>
      <c r="AH549" s="93"/>
      <c r="AI549" s="93" t="s">
        <v>1164</v>
      </c>
      <c r="AJ549" s="93"/>
      <c r="AK549" s="30"/>
      <c r="AL549" s="93"/>
    </row>
    <row r="550" spans="1:38" ht="15" customHeight="1" x14ac:dyDescent="0.3">
      <c r="A550" s="30" t="s">
        <v>22</v>
      </c>
      <c r="B550" s="112" t="s">
        <v>146</v>
      </c>
      <c r="C550" s="107">
        <v>2</v>
      </c>
      <c r="D550" s="11" t="s">
        <v>143</v>
      </c>
      <c r="E550" s="108">
        <v>38292</v>
      </c>
      <c r="F550" s="33">
        <v>2004</v>
      </c>
      <c r="G550" s="142"/>
      <c r="H550" s="162"/>
      <c r="I550" s="57" t="s">
        <v>6176</v>
      </c>
      <c r="J550" s="30" t="s">
        <v>67</v>
      </c>
      <c r="K550" s="197" t="s">
        <v>1135</v>
      </c>
      <c r="L550" s="137" t="s">
        <v>1063</v>
      </c>
      <c r="M550" s="137" t="s">
        <v>804</v>
      </c>
      <c r="N550" s="137"/>
      <c r="O550" s="93" t="s">
        <v>1165</v>
      </c>
      <c r="P550" s="138" t="s">
        <v>1137</v>
      </c>
      <c r="Q550" s="93"/>
      <c r="R550" s="93"/>
      <c r="S550" s="93"/>
      <c r="T550" s="93"/>
      <c r="U550" s="93"/>
      <c r="V550" s="137"/>
      <c r="W550" s="243"/>
      <c r="X550" s="185"/>
      <c r="Y550" s="7">
        <f t="shared" si="16"/>
        <v>0</v>
      </c>
      <c r="Z550" s="185"/>
      <c r="AA550" s="469"/>
      <c r="AB550" s="513" t="s">
        <v>147</v>
      </c>
      <c r="AC550" s="147"/>
      <c r="AD550" s="639">
        <v>0</v>
      </c>
      <c r="AE550" s="665"/>
      <c r="AF550" s="9">
        <f t="shared" si="17"/>
        <v>0</v>
      </c>
      <c r="AG550" s="182"/>
      <c r="AH550" s="93"/>
      <c r="AI550" s="93" t="s">
        <v>1164</v>
      </c>
      <c r="AJ550" s="93"/>
      <c r="AK550" s="30"/>
      <c r="AL550" s="93"/>
    </row>
    <row r="551" spans="1:38" ht="15" customHeight="1" x14ac:dyDescent="0.3">
      <c r="A551" s="30" t="s">
        <v>22</v>
      </c>
      <c r="B551" s="112" t="s">
        <v>23</v>
      </c>
      <c r="C551" s="107">
        <v>6</v>
      </c>
      <c r="D551" s="11" t="s">
        <v>24</v>
      </c>
      <c r="E551" s="114">
        <v>38504</v>
      </c>
      <c r="F551" s="12">
        <v>2005</v>
      </c>
      <c r="G551" s="142" t="s">
        <v>1166</v>
      </c>
      <c r="H551" s="162"/>
      <c r="I551" s="12" t="s">
        <v>25</v>
      </c>
      <c r="J551" s="32" t="s">
        <v>26</v>
      </c>
      <c r="K551" s="197" t="s">
        <v>636</v>
      </c>
      <c r="L551" s="137" t="s">
        <v>1167</v>
      </c>
      <c r="M551" s="137" t="s">
        <v>804</v>
      </c>
      <c r="N551" s="137"/>
      <c r="O551" s="93" t="s">
        <v>1168</v>
      </c>
      <c r="P551" s="138" t="s">
        <v>1088</v>
      </c>
      <c r="Q551" s="15" t="s">
        <v>35</v>
      </c>
      <c r="R551" s="91"/>
      <c r="S551" s="16" t="s">
        <v>35</v>
      </c>
      <c r="T551" s="92"/>
      <c r="U551" s="623"/>
      <c r="V551" s="624"/>
      <c r="W551" s="243">
        <f>52284466+2660000</f>
        <v>54944466</v>
      </c>
      <c r="X551" s="185"/>
      <c r="Y551" s="7">
        <f t="shared" si="16"/>
        <v>0</v>
      </c>
      <c r="Z551" s="185"/>
      <c r="AA551" s="469"/>
      <c r="AB551" s="518" t="s">
        <v>933</v>
      </c>
      <c r="AC551" s="519"/>
      <c r="AD551" s="639">
        <v>0</v>
      </c>
      <c r="AE551" s="639"/>
      <c r="AF551" s="9">
        <f t="shared" si="17"/>
        <v>0</v>
      </c>
      <c r="AG551" s="183" t="s">
        <v>1099</v>
      </c>
      <c r="AH551" s="93"/>
      <c r="AI551" s="93" t="s">
        <v>1169</v>
      </c>
      <c r="AJ551" s="93"/>
      <c r="AK551" s="30"/>
      <c r="AL551" s="93"/>
    </row>
    <row r="552" spans="1:38" ht="15" customHeight="1" x14ac:dyDescent="0.3">
      <c r="A552" s="621" t="s">
        <v>883</v>
      </c>
      <c r="B552" s="88" t="s">
        <v>422</v>
      </c>
      <c r="C552" s="109">
        <v>1</v>
      </c>
      <c r="D552" s="12" t="s">
        <v>190</v>
      </c>
      <c r="E552" s="108">
        <v>36739</v>
      </c>
      <c r="F552" s="12">
        <v>2000</v>
      </c>
      <c r="G552" s="142" t="s">
        <v>1170</v>
      </c>
      <c r="H552" s="162"/>
      <c r="I552" s="22" t="s">
        <v>264</v>
      </c>
      <c r="J552" s="32" t="s">
        <v>26</v>
      </c>
      <c r="K552" s="197" t="s">
        <v>392</v>
      </c>
      <c r="L552" s="137" t="s">
        <v>1171</v>
      </c>
      <c r="M552" s="137" t="s">
        <v>804</v>
      </c>
      <c r="N552" s="137"/>
      <c r="O552" s="93" t="s">
        <v>1172</v>
      </c>
      <c r="P552" s="200" t="s">
        <v>1124</v>
      </c>
      <c r="Q552" s="93"/>
      <c r="R552" s="93"/>
      <c r="S552" s="685"/>
      <c r="T552" s="685"/>
      <c r="U552" s="93"/>
      <c r="V552" s="137"/>
      <c r="W552" s="185">
        <v>50538142</v>
      </c>
      <c r="X552" s="185"/>
      <c r="Y552" s="7">
        <f t="shared" si="16"/>
        <v>0</v>
      </c>
      <c r="Z552" s="185"/>
      <c r="AA552" s="469"/>
      <c r="AB552" s="513" t="s">
        <v>424</v>
      </c>
      <c r="AC552" s="563"/>
      <c r="AD552" s="665">
        <v>0</v>
      </c>
      <c r="AE552" s="665"/>
      <c r="AF552" s="9">
        <f t="shared" si="17"/>
        <v>0</v>
      </c>
      <c r="AG552" s="183">
        <v>7</v>
      </c>
      <c r="AH552" s="93" t="s">
        <v>994</v>
      </c>
      <c r="AI552" s="146"/>
      <c r="AJ552" s="93"/>
      <c r="AK552" s="30"/>
      <c r="AL552" s="93"/>
    </row>
    <row r="553" spans="1:38" ht="15" customHeight="1" x14ac:dyDescent="0.3">
      <c r="A553" s="646" t="s">
        <v>22</v>
      </c>
      <c r="B553" s="112" t="s">
        <v>144</v>
      </c>
      <c r="C553" s="107">
        <v>1</v>
      </c>
      <c r="D553" s="11" t="s">
        <v>143</v>
      </c>
      <c r="E553" s="108">
        <v>35348</v>
      </c>
      <c r="F553" s="12">
        <v>1996</v>
      </c>
      <c r="G553" s="142"/>
      <c r="H553" s="162"/>
      <c r="I553" s="22" t="s">
        <v>264</v>
      </c>
      <c r="J553" s="32" t="s">
        <v>191</v>
      </c>
      <c r="K553" s="197" t="s">
        <v>1173</v>
      </c>
      <c r="L553" s="137" t="s">
        <v>40</v>
      </c>
      <c r="M553" s="137" t="s">
        <v>804</v>
      </c>
      <c r="N553" s="137"/>
      <c r="O553" s="93" t="s">
        <v>1034</v>
      </c>
      <c r="P553" s="138" t="s">
        <v>839</v>
      </c>
      <c r="Q553" s="15" t="s">
        <v>282</v>
      </c>
      <c r="R553" s="91"/>
      <c r="S553" s="16" t="s">
        <v>44</v>
      </c>
      <c r="T553" s="92"/>
      <c r="U553" s="623"/>
      <c r="V553" s="624"/>
      <c r="W553" s="185"/>
      <c r="X553" s="185"/>
      <c r="Y553" s="7">
        <f t="shared" si="16"/>
        <v>0</v>
      </c>
      <c r="Z553" s="185"/>
      <c r="AA553" s="469"/>
      <c r="AB553" s="479" t="s">
        <v>5961</v>
      </c>
      <c r="AC553" s="480"/>
      <c r="AD553" s="639">
        <v>0</v>
      </c>
      <c r="AE553" s="639"/>
      <c r="AF553" s="9">
        <f t="shared" si="17"/>
        <v>0</v>
      </c>
      <c r="AG553" s="183">
        <v>10</v>
      </c>
      <c r="AH553" s="93"/>
      <c r="AI553" s="93" t="s">
        <v>1174</v>
      </c>
      <c r="AJ553" s="93"/>
      <c r="AK553" s="30"/>
      <c r="AL553" s="93" t="s">
        <v>1175</v>
      </c>
    </row>
    <row r="554" spans="1:38" ht="15" customHeight="1" x14ac:dyDescent="0.3">
      <c r="A554" s="30" t="s">
        <v>920</v>
      </c>
      <c r="B554" s="120" t="s">
        <v>159</v>
      </c>
      <c r="C554" s="107"/>
      <c r="D554" s="11" t="s">
        <v>143</v>
      </c>
      <c r="E554" s="108">
        <v>38139</v>
      </c>
      <c r="F554" s="12">
        <v>2004</v>
      </c>
      <c r="G554" s="142"/>
      <c r="H554" s="162"/>
      <c r="I554" s="22" t="s">
        <v>264</v>
      </c>
      <c r="J554" s="30" t="s">
        <v>81</v>
      </c>
      <c r="K554" s="197" t="s">
        <v>922</v>
      </c>
      <c r="L554" s="137" t="s">
        <v>40</v>
      </c>
      <c r="M554" s="137" t="s">
        <v>804</v>
      </c>
      <c r="N554" s="137"/>
      <c r="O554" s="93" t="s">
        <v>1176</v>
      </c>
      <c r="P554" s="138" t="s">
        <v>943</v>
      </c>
      <c r="Q554" s="15" t="s">
        <v>282</v>
      </c>
      <c r="R554" s="91"/>
      <c r="S554" s="92"/>
      <c r="T554" s="92"/>
      <c r="U554" s="623"/>
      <c r="V554" s="624"/>
      <c r="W554" s="185"/>
      <c r="X554" s="185"/>
      <c r="Y554" s="7">
        <f t="shared" si="16"/>
        <v>0</v>
      </c>
      <c r="Z554" s="185"/>
      <c r="AA554" s="469"/>
      <c r="AB554" s="579" t="s">
        <v>5975</v>
      </c>
      <c r="AC554" s="580"/>
      <c r="AD554" s="639">
        <v>0</v>
      </c>
      <c r="AE554" s="639"/>
      <c r="AF554" s="9">
        <f t="shared" si="17"/>
        <v>0</v>
      </c>
      <c r="AG554" s="183"/>
      <c r="AH554" s="93"/>
      <c r="AI554" s="93"/>
      <c r="AJ554" s="93"/>
      <c r="AK554" s="30" t="s">
        <v>1177</v>
      </c>
      <c r="AL554" s="93" t="s">
        <v>1178</v>
      </c>
    </row>
    <row r="555" spans="1:38" ht="15" customHeight="1" x14ac:dyDescent="0.3">
      <c r="A555" s="621" t="s">
        <v>22</v>
      </c>
      <c r="B555" s="88" t="s">
        <v>422</v>
      </c>
      <c r="C555" s="109">
        <v>2</v>
      </c>
      <c r="D555" s="12" t="s">
        <v>190</v>
      </c>
      <c r="E555" s="108">
        <v>36593</v>
      </c>
      <c r="F555" s="12">
        <v>2000</v>
      </c>
      <c r="G555" s="142" t="s">
        <v>1179</v>
      </c>
      <c r="H555" s="162"/>
      <c r="I555" s="22" t="s">
        <v>264</v>
      </c>
      <c r="J555" s="32" t="s">
        <v>26</v>
      </c>
      <c r="K555" s="197" t="s">
        <v>636</v>
      </c>
      <c r="L555" s="137" t="s">
        <v>40</v>
      </c>
      <c r="M555" s="137" t="s">
        <v>804</v>
      </c>
      <c r="N555" s="137"/>
      <c r="O555" s="93" t="s">
        <v>1180</v>
      </c>
      <c r="P555" s="200" t="s">
        <v>1055</v>
      </c>
      <c r="Q555" s="15" t="s">
        <v>282</v>
      </c>
      <c r="R555" s="91"/>
      <c r="S555" s="16" t="s">
        <v>44</v>
      </c>
      <c r="T555" s="92"/>
      <c r="U555" s="623" t="s">
        <v>1181</v>
      </c>
      <c r="V555" s="624"/>
      <c r="W555" s="185"/>
      <c r="X555" s="185"/>
      <c r="Y555" s="7">
        <f t="shared" si="16"/>
        <v>0</v>
      </c>
      <c r="Z555" s="185"/>
      <c r="AA555" s="469"/>
      <c r="AB555" s="513" t="s">
        <v>5988</v>
      </c>
      <c r="AC555" s="563"/>
      <c r="AD555" s="692">
        <v>0</v>
      </c>
      <c r="AE555" s="692"/>
      <c r="AF555" s="9">
        <f t="shared" si="17"/>
        <v>0</v>
      </c>
      <c r="AG555" s="182" t="s">
        <v>656</v>
      </c>
      <c r="AH555" s="93" t="s">
        <v>1182</v>
      </c>
      <c r="AI555" s="146" t="s">
        <v>1183</v>
      </c>
      <c r="AJ555" s="93"/>
      <c r="AK555" s="30" t="s">
        <v>99</v>
      </c>
      <c r="AL555" s="93" t="s">
        <v>1178</v>
      </c>
    </row>
    <row r="556" spans="1:38" ht="15" customHeight="1" x14ac:dyDescent="0.3">
      <c r="A556" s="30" t="s">
        <v>22</v>
      </c>
      <c r="B556" s="112" t="s">
        <v>23</v>
      </c>
      <c r="C556" s="107">
        <v>12</v>
      </c>
      <c r="D556" s="11" t="s">
        <v>24</v>
      </c>
      <c r="E556" s="108">
        <v>37640</v>
      </c>
      <c r="F556" s="37">
        <v>2003</v>
      </c>
      <c r="G556" s="142"/>
      <c r="H556" s="162"/>
      <c r="I556" s="22" t="s">
        <v>264</v>
      </c>
      <c r="J556" s="32" t="s">
        <v>26</v>
      </c>
      <c r="K556" s="197" t="s">
        <v>392</v>
      </c>
      <c r="L556" s="137" t="s">
        <v>40</v>
      </c>
      <c r="M556" s="137" t="s">
        <v>804</v>
      </c>
      <c r="N556" s="137"/>
      <c r="O556" s="138" t="s">
        <v>1184</v>
      </c>
      <c r="P556" s="138" t="s">
        <v>1055</v>
      </c>
      <c r="Q556" s="15" t="s">
        <v>282</v>
      </c>
      <c r="R556" s="91"/>
      <c r="S556" s="16" t="s">
        <v>44</v>
      </c>
      <c r="T556" s="92"/>
      <c r="U556" s="623"/>
      <c r="V556" s="624"/>
      <c r="W556" s="185"/>
      <c r="X556" s="185"/>
      <c r="Y556" s="7">
        <f t="shared" si="16"/>
        <v>0</v>
      </c>
      <c r="Z556" s="185"/>
      <c r="AA556" s="469"/>
      <c r="AB556" s="513" t="s">
        <v>586</v>
      </c>
      <c r="AC556" s="147"/>
      <c r="AD556" s="639">
        <v>0</v>
      </c>
      <c r="AE556" s="639"/>
      <c r="AF556" s="9">
        <f t="shared" si="17"/>
        <v>0</v>
      </c>
      <c r="AG556" s="183" t="s">
        <v>667</v>
      </c>
      <c r="AH556" s="93"/>
      <c r="AI556" s="93"/>
      <c r="AJ556" s="93"/>
      <c r="AK556" s="30" t="s">
        <v>1185</v>
      </c>
      <c r="AL556" s="93" t="s">
        <v>1175</v>
      </c>
    </row>
    <row r="557" spans="1:38" ht="15" customHeight="1" x14ac:dyDescent="0.3">
      <c r="A557" s="30" t="s">
        <v>883</v>
      </c>
      <c r="B557" s="147" t="s">
        <v>105</v>
      </c>
      <c r="C557" s="680">
        <v>20</v>
      </c>
      <c r="D557" s="11" t="s">
        <v>5936</v>
      </c>
      <c r="E557" s="457">
        <v>2005</v>
      </c>
      <c r="F557" s="148">
        <v>2005</v>
      </c>
      <c r="G557" s="149"/>
      <c r="H557" s="652" t="s">
        <v>264</v>
      </c>
      <c r="I557" s="652" t="s">
        <v>191</v>
      </c>
      <c r="J557" s="694" t="s">
        <v>1173</v>
      </c>
      <c r="K557" s="695" t="s">
        <v>1122</v>
      </c>
      <c r="L557" s="695" t="s">
        <v>804</v>
      </c>
      <c r="M557" s="680" t="s">
        <v>1186</v>
      </c>
      <c r="N557" s="680"/>
      <c r="O557" s="693" t="s">
        <v>1187</v>
      </c>
      <c r="P557" s="680" t="s">
        <v>1055</v>
      </c>
      <c r="Q557" s="15" t="s">
        <v>282</v>
      </c>
      <c r="R557" s="150"/>
      <c r="S557" s="696"/>
      <c r="T557" s="151"/>
      <c r="U557" s="697"/>
      <c r="V557" s="697"/>
      <c r="W557" s="698"/>
      <c r="X557" s="478"/>
      <c r="Y557" s="7">
        <f t="shared" si="16"/>
        <v>0</v>
      </c>
      <c r="Z557" s="699"/>
      <c r="AA557" s="469"/>
      <c r="AB557" s="513" t="s">
        <v>5986</v>
      </c>
      <c r="AC557" s="147"/>
      <c r="AD557" s="700">
        <v>0</v>
      </c>
      <c r="AE557" s="700"/>
      <c r="AF557" s="9">
        <f t="shared" si="17"/>
        <v>0</v>
      </c>
      <c r="AG557" s="680"/>
      <c r="AH557" s="680"/>
      <c r="AI557" s="680" t="s">
        <v>1188</v>
      </c>
      <c r="AJ557" s="652"/>
      <c r="AK557" s="680" t="s">
        <v>1175</v>
      </c>
      <c r="AL557" s="680"/>
    </row>
    <row r="558" spans="1:38" ht="15" customHeight="1" x14ac:dyDescent="0.3">
      <c r="A558" s="30" t="s">
        <v>883</v>
      </c>
      <c r="B558" s="120" t="s">
        <v>105</v>
      </c>
      <c r="C558" s="107">
        <v>4</v>
      </c>
      <c r="D558" s="11" t="s">
        <v>5936</v>
      </c>
      <c r="E558" s="114">
        <v>38749</v>
      </c>
      <c r="F558" s="12">
        <v>2006</v>
      </c>
      <c r="G558" s="142" t="s">
        <v>1189</v>
      </c>
      <c r="H558" s="162"/>
      <c r="I558" s="12"/>
      <c r="J558" s="30"/>
      <c r="K558" s="197"/>
      <c r="L558" s="137"/>
      <c r="M558" s="137"/>
      <c r="N558" s="137"/>
      <c r="O558" s="93"/>
      <c r="P558" s="138" t="s">
        <v>1137</v>
      </c>
      <c r="Q558" s="93"/>
      <c r="R558" s="93"/>
      <c r="S558" s="93"/>
      <c r="T558" s="93"/>
      <c r="U558" s="93"/>
      <c r="V558" s="137"/>
      <c r="W558" s="185"/>
      <c r="X558" s="185"/>
      <c r="Y558" s="7">
        <f t="shared" si="16"/>
        <v>0</v>
      </c>
      <c r="Z558" s="185"/>
      <c r="AA558" s="469"/>
      <c r="AB558" s="513"/>
      <c r="AC558" s="147"/>
      <c r="AD558" s="639">
        <v>0</v>
      </c>
      <c r="AE558" s="639"/>
      <c r="AF558" s="9">
        <f t="shared" si="17"/>
        <v>0</v>
      </c>
      <c r="AG558" s="183"/>
      <c r="AH558" s="93"/>
      <c r="AI558" s="93"/>
      <c r="AJ558" s="93"/>
      <c r="AK558" s="30" t="s">
        <v>1177</v>
      </c>
      <c r="AL558" s="93" t="s">
        <v>1178</v>
      </c>
    </row>
    <row r="559" spans="1:38" ht="15" customHeight="1" x14ac:dyDescent="0.3">
      <c r="A559" s="30" t="s">
        <v>22</v>
      </c>
      <c r="B559" s="120" t="s">
        <v>105</v>
      </c>
      <c r="C559" s="107">
        <v>14</v>
      </c>
      <c r="D559" s="11" t="s">
        <v>5936</v>
      </c>
      <c r="E559" s="108">
        <v>37377</v>
      </c>
      <c r="F559" s="12">
        <v>2002</v>
      </c>
      <c r="G559" s="142" t="s">
        <v>1190</v>
      </c>
      <c r="H559" s="162"/>
      <c r="I559" s="22" t="s">
        <v>264</v>
      </c>
      <c r="J559" s="32" t="s">
        <v>26</v>
      </c>
      <c r="K559" s="197" t="s">
        <v>636</v>
      </c>
      <c r="L559" s="137" t="s">
        <v>40</v>
      </c>
      <c r="M559" s="137" t="s">
        <v>804</v>
      </c>
      <c r="N559" s="137"/>
      <c r="O559" s="93" t="s">
        <v>1191</v>
      </c>
      <c r="P559" s="138" t="s">
        <v>1055</v>
      </c>
      <c r="Q559" s="15" t="s">
        <v>6174</v>
      </c>
      <c r="R559" s="91"/>
      <c r="S559" s="16" t="s">
        <v>44</v>
      </c>
      <c r="T559" s="92"/>
      <c r="U559" s="623"/>
      <c r="V559" s="624"/>
      <c r="W559" s="185"/>
      <c r="X559" s="185"/>
      <c r="Y559" s="7">
        <f t="shared" si="16"/>
        <v>0</v>
      </c>
      <c r="Z559" s="185"/>
      <c r="AA559" s="469"/>
      <c r="AB559" s="513" t="s">
        <v>732</v>
      </c>
      <c r="AC559" s="147"/>
      <c r="AD559" s="639">
        <v>0</v>
      </c>
      <c r="AE559" s="639"/>
      <c r="AF559" s="9">
        <f t="shared" si="17"/>
        <v>0</v>
      </c>
      <c r="AG559" s="183" t="s">
        <v>1192</v>
      </c>
      <c r="AH559" s="93"/>
      <c r="AI559" s="93"/>
      <c r="AJ559" s="93"/>
      <c r="AK559" s="30" t="s">
        <v>1177</v>
      </c>
      <c r="AL559" s="93" t="s">
        <v>1178</v>
      </c>
    </row>
    <row r="560" spans="1:38" ht="15" customHeight="1" x14ac:dyDescent="0.3">
      <c r="A560" s="30" t="s">
        <v>22</v>
      </c>
      <c r="B560" s="112" t="s">
        <v>23</v>
      </c>
      <c r="C560" s="107">
        <v>1</v>
      </c>
      <c r="D560" s="11" t="s">
        <v>24</v>
      </c>
      <c r="E560" s="114">
        <v>38384</v>
      </c>
      <c r="F560" s="12">
        <v>2005</v>
      </c>
      <c r="G560" s="142"/>
      <c r="H560" s="162" t="s">
        <v>1193</v>
      </c>
      <c r="I560" s="12" t="s">
        <v>25</v>
      </c>
      <c r="J560" s="32" t="s">
        <v>26</v>
      </c>
      <c r="K560" s="138" t="s">
        <v>1194</v>
      </c>
      <c r="L560" s="137" t="s">
        <v>1122</v>
      </c>
      <c r="M560" s="137" t="s">
        <v>804</v>
      </c>
      <c r="N560" s="137"/>
      <c r="O560" s="93" t="s">
        <v>1195</v>
      </c>
      <c r="P560" s="138" t="s">
        <v>1055</v>
      </c>
      <c r="Q560" s="15" t="s">
        <v>282</v>
      </c>
      <c r="R560" s="91"/>
      <c r="S560" s="16" t="s">
        <v>44</v>
      </c>
      <c r="T560" s="92"/>
      <c r="U560" s="623"/>
      <c r="V560" s="624"/>
      <c r="W560" s="185"/>
      <c r="X560" s="185"/>
      <c r="Y560" s="7">
        <f t="shared" si="16"/>
        <v>0</v>
      </c>
      <c r="Z560" s="185"/>
      <c r="AA560" s="469"/>
      <c r="AB560" s="513" t="s">
        <v>586</v>
      </c>
      <c r="AC560" s="147"/>
      <c r="AD560" s="639">
        <v>0</v>
      </c>
      <c r="AE560" s="639"/>
      <c r="AF560" s="9">
        <f t="shared" si="17"/>
        <v>0</v>
      </c>
      <c r="AG560" s="183" t="s">
        <v>720</v>
      </c>
      <c r="AH560" s="93" t="s">
        <v>5970</v>
      </c>
      <c r="AI560" s="93" t="s">
        <v>1196</v>
      </c>
      <c r="AJ560" s="93"/>
      <c r="AK560" s="30" t="s">
        <v>1185</v>
      </c>
      <c r="AL560" s="93" t="s">
        <v>1178</v>
      </c>
    </row>
    <row r="561" spans="1:38" ht="15" customHeight="1" x14ac:dyDescent="0.3">
      <c r="A561" s="664" t="s">
        <v>22</v>
      </c>
      <c r="B561" s="112" t="s">
        <v>23</v>
      </c>
      <c r="C561" s="109">
        <v>4</v>
      </c>
      <c r="D561" s="11" t="s">
        <v>24</v>
      </c>
      <c r="E561" s="108">
        <v>37856</v>
      </c>
      <c r="F561" s="37">
        <v>2003</v>
      </c>
      <c r="G561" s="142" t="s">
        <v>1197</v>
      </c>
      <c r="H561" s="162" t="s">
        <v>1198</v>
      </c>
      <c r="I561" s="12" t="s">
        <v>25</v>
      </c>
      <c r="J561" s="32" t="s">
        <v>26</v>
      </c>
      <c r="K561" s="197" t="s">
        <v>621</v>
      </c>
      <c r="L561" s="137" t="s">
        <v>40</v>
      </c>
      <c r="M561" s="137" t="s">
        <v>804</v>
      </c>
      <c r="N561" s="137"/>
      <c r="O561" s="138" t="s">
        <v>1199</v>
      </c>
      <c r="P561" s="138" t="s">
        <v>1055</v>
      </c>
      <c r="Q561" s="15" t="s">
        <v>282</v>
      </c>
      <c r="R561" s="91"/>
      <c r="S561" s="16" t="s">
        <v>44</v>
      </c>
      <c r="T561" s="92"/>
      <c r="U561" s="623"/>
      <c r="V561" s="624"/>
      <c r="W561" s="185"/>
      <c r="X561" s="185"/>
      <c r="Y561" s="7">
        <f t="shared" si="16"/>
        <v>0</v>
      </c>
      <c r="Z561" s="185"/>
      <c r="AA561" s="469"/>
      <c r="AB561" s="513" t="s">
        <v>5976</v>
      </c>
      <c r="AC561" s="147"/>
      <c r="AD561" s="639">
        <v>0</v>
      </c>
      <c r="AE561" s="665"/>
      <c r="AF561" s="9">
        <f t="shared" si="17"/>
        <v>0</v>
      </c>
      <c r="AG561" s="182" t="s">
        <v>667</v>
      </c>
      <c r="AH561" s="93"/>
      <c r="AI561" s="146"/>
      <c r="AJ561" s="93"/>
      <c r="AK561" s="30" t="s">
        <v>1185</v>
      </c>
      <c r="AL561" s="93" t="s">
        <v>1178</v>
      </c>
    </row>
    <row r="562" spans="1:38" ht="15" customHeight="1" x14ac:dyDescent="0.3">
      <c r="A562" s="30" t="s">
        <v>22</v>
      </c>
      <c r="B562" s="112" t="s">
        <v>23</v>
      </c>
      <c r="C562" s="107" t="s">
        <v>1017</v>
      </c>
      <c r="D562" s="11" t="s">
        <v>24</v>
      </c>
      <c r="E562" s="114">
        <v>38271</v>
      </c>
      <c r="F562" s="12">
        <v>2004</v>
      </c>
      <c r="G562" s="142" t="s">
        <v>1200</v>
      </c>
      <c r="H562" s="162" t="s">
        <v>1201</v>
      </c>
      <c r="I562" s="12" t="s">
        <v>938</v>
      </c>
      <c r="J562" s="32" t="s">
        <v>26</v>
      </c>
      <c r="K562" s="197" t="s">
        <v>636</v>
      </c>
      <c r="L562" s="137" t="s">
        <v>1122</v>
      </c>
      <c r="M562" s="137" t="s">
        <v>804</v>
      </c>
      <c r="N562" s="137"/>
      <c r="O562" s="93" t="s">
        <v>1202</v>
      </c>
      <c r="P562" s="138" t="s">
        <v>1055</v>
      </c>
      <c r="Q562" s="15" t="s">
        <v>282</v>
      </c>
      <c r="R562" s="91"/>
      <c r="S562" s="16" t="s">
        <v>44</v>
      </c>
      <c r="T562" s="92"/>
      <c r="U562" s="623"/>
      <c r="V562" s="624"/>
      <c r="W562" s="185"/>
      <c r="X562" s="185"/>
      <c r="Y562" s="7">
        <f t="shared" si="16"/>
        <v>0</v>
      </c>
      <c r="Z562" s="185"/>
      <c r="AA562" s="469"/>
      <c r="AB562" s="513" t="s">
        <v>5991</v>
      </c>
      <c r="AC562" s="147"/>
      <c r="AD562" s="639">
        <v>0</v>
      </c>
      <c r="AE562" s="639"/>
      <c r="AF562" s="9">
        <f t="shared" si="17"/>
        <v>0</v>
      </c>
      <c r="AG562" s="183"/>
      <c r="AH562" s="93"/>
      <c r="AI562" s="93"/>
      <c r="AJ562" s="93"/>
      <c r="AK562" s="30" t="s">
        <v>1185</v>
      </c>
      <c r="AL562" s="93" t="s">
        <v>1178</v>
      </c>
    </row>
    <row r="563" spans="1:38" ht="15" customHeight="1" x14ac:dyDescent="0.3">
      <c r="A563" s="30" t="s">
        <v>22</v>
      </c>
      <c r="B563" s="140" t="s">
        <v>105</v>
      </c>
      <c r="C563" s="107">
        <v>11</v>
      </c>
      <c r="D563" s="11" t="s">
        <v>5936</v>
      </c>
      <c r="E563" s="114">
        <v>38824</v>
      </c>
      <c r="F563" s="12">
        <v>2006</v>
      </c>
      <c r="G563" s="142" t="s">
        <v>1203</v>
      </c>
      <c r="H563" s="162" t="s">
        <v>1204</v>
      </c>
      <c r="I563" s="33" t="s">
        <v>33</v>
      </c>
      <c r="J563" s="32" t="s">
        <v>26</v>
      </c>
      <c r="K563" s="197"/>
      <c r="L563" s="197"/>
      <c r="M563" s="197"/>
      <c r="N563" s="197"/>
      <c r="O563" s="197" t="s">
        <v>1205</v>
      </c>
      <c r="P563" s="197" t="s">
        <v>1055</v>
      </c>
      <c r="Q563" s="15" t="s">
        <v>282</v>
      </c>
      <c r="R563" s="152"/>
      <c r="S563" s="16" t="s">
        <v>44</v>
      </c>
      <c r="T563" s="139"/>
      <c r="U563" s="624"/>
      <c r="V563" s="624"/>
      <c r="W563" s="189"/>
      <c r="X563" s="185"/>
      <c r="Y563" s="7">
        <f t="shared" si="16"/>
        <v>0</v>
      </c>
      <c r="Z563" s="185"/>
      <c r="AA563" s="469"/>
      <c r="AB563" s="701" t="s">
        <v>5986</v>
      </c>
      <c r="AC563" s="694"/>
      <c r="AD563" s="702">
        <v>0</v>
      </c>
      <c r="AE563" s="703"/>
      <c r="AF563" s="9">
        <f t="shared" si="17"/>
        <v>0</v>
      </c>
      <c r="AG563" s="197"/>
      <c r="AH563" s="476" t="s">
        <v>851</v>
      </c>
      <c r="AI563" s="197"/>
      <c r="AJ563" s="197"/>
      <c r="AK563" s="197"/>
      <c r="AL563" s="93" t="s">
        <v>1175</v>
      </c>
    </row>
    <row r="564" spans="1:38" ht="15" customHeight="1" x14ac:dyDescent="0.3">
      <c r="A564" s="30" t="s">
        <v>22</v>
      </c>
      <c r="B564" s="112" t="s">
        <v>144</v>
      </c>
      <c r="C564" s="107">
        <v>7</v>
      </c>
      <c r="D564" s="11" t="s">
        <v>143</v>
      </c>
      <c r="E564" s="108">
        <v>36892</v>
      </c>
      <c r="F564" s="93">
        <v>2001</v>
      </c>
      <c r="G564" s="142" t="s">
        <v>1206</v>
      </c>
      <c r="H564" s="162"/>
      <c r="I564" s="12" t="s">
        <v>25</v>
      </c>
      <c r="J564" s="32" t="s">
        <v>26</v>
      </c>
      <c r="K564" s="197" t="s">
        <v>636</v>
      </c>
      <c r="L564" s="137" t="s">
        <v>40</v>
      </c>
      <c r="M564" s="137" t="s">
        <v>804</v>
      </c>
      <c r="N564" s="137"/>
      <c r="O564" s="93" t="s">
        <v>1207</v>
      </c>
      <c r="P564" s="138" t="s">
        <v>1055</v>
      </c>
      <c r="Q564" s="15" t="s">
        <v>282</v>
      </c>
      <c r="R564" s="91"/>
      <c r="S564" s="16" t="s">
        <v>44</v>
      </c>
      <c r="T564" s="92"/>
      <c r="U564" s="623"/>
      <c r="V564" s="624"/>
      <c r="W564" s="185"/>
      <c r="X564" s="185"/>
      <c r="Y564" s="7">
        <f t="shared" si="16"/>
        <v>0</v>
      </c>
      <c r="Z564" s="185"/>
      <c r="AA564" s="469"/>
      <c r="AB564" s="503" t="s">
        <v>6055</v>
      </c>
      <c r="AC564" s="222"/>
      <c r="AD564" s="639">
        <v>0</v>
      </c>
      <c r="AE564" s="639"/>
      <c r="AF564" s="9">
        <f t="shared" si="17"/>
        <v>0</v>
      </c>
      <c r="AG564" s="183" t="s">
        <v>727</v>
      </c>
      <c r="AH564" s="93"/>
      <c r="AI564" s="93"/>
      <c r="AJ564" s="93"/>
      <c r="AK564" s="30" t="s">
        <v>1185</v>
      </c>
      <c r="AL564" s="93" t="s">
        <v>1178</v>
      </c>
    </row>
    <row r="565" spans="1:38" ht="15" customHeight="1" x14ac:dyDescent="0.3">
      <c r="A565" s="30" t="s">
        <v>22</v>
      </c>
      <c r="B565" s="112" t="s">
        <v>23</v>
      </c>
      <c r="C565" s="107">
        <v>5</v>
      </c>
      <c r="D565" s="11" t="s">
        <v>24</v>
      </c>
      <c r="E565" s="108">
        <v>37895</v>
      </c>
      <c r="F565" s="37">
        <v>2003</v>
      </c>
      <c r="G565" s="142" t="s">
        <v>1208</v>
      </c>
      <c r="H565" s="162" t="s">
        <v>1209</v>
      </c>
      <c r="I565" s="12" t="s">
        <v>25</v>
      </c>
      <c r="J565" s="32" t="s">
        <v>26</v>
      </c>
      <c r="K565" s="138" t="s">
        <v>1194</v>
      </c>
      <c r="L565" s="137" t="s">
        <v>40</v>
      </c>
      <c r="M565" s="137" t="s">
        <v>804</v>
      </c>
      <c r="N565" s="137"/>
      <c r="O565" s="138" t="s">
        <v>1210</v>
      </c>
      <c r="P565" s="138" t="s">
        <v>1055</v>
      </c>
      <c r="Q565" s="15" t="s">
        <v>282</v>
      </c>
      <c r="R565" s="91"/>
      <c r="S565" s="16" t="s">
        <v>44</v>
      </c>
      <c r="T565" s="92"/>
      <c r="U565" s="623" t="s">
        <v>1211</v>
      </c>
      <c r="V565" s="624"/>
      <c r="W565" s="185"/>
      <c r="X565" s="185"/>
      <c r="Y565" s="7">
        <f t="shared" si="16"/>
        <v>0</v>
      </c>
      <c r="Z565" s="185"/>
      <c r="AA565" s="469"/>
      <c r="AB565" s="518" t="s">
        <v>933</v>
      </c>
      <c r="AC565" s="519"/>
      <c r="AD565" s="639">
        <v>0</v>
      </c>
      <c r="AE565" s="639"/>
      <c r="AF565" s="9">
        <f t="shared" si="17"/>
        <v>0</v>
      </c>
      <c r="AG565" s="183" t="s">
        <v>1099</v>
      </c>
      <c r="AH565" s="93"/>
      <c r="AI565" s="93"/>
      <c r="AJ565" s="181"/>
      <c r="AK565" s="30" t="s">
        <v>1185</v>
      </c>
      <c r="AL565" s="93" t="s">
        <v>1178</v>
      </c>
    </row>
    <row r="566" spans="1:38" ht="15" customHeight="1" x14ac:dyDescent="0.3">
      <c r="A566" s="520"/>
      <c r="B566" s="2" t="s">
        <v>105</v>
      </c>
      <c r="C566" s="6">
        <v>4</v>
      </c>
      <c r="D566" s="11"/>
      <c r="E566" s="430">
        <v>38757</v>
      </c>
      <c r="F566" s="12">
        <v>2006</v>
      </c>
      <c r="G566" s="111" t="s">
        <v>1212</v>
      </c>
      <c r="H566" s="142"/>
      <c r="I566" s="14"/>
      <c r="J566" s="32"/>
      <c r="K566" s="474"/>
      <c r="L566" s="474"/>
      <c r="M566" s="474"/>
      <c r="N566" s="474"/>
      <c r="O566" s="475"/>
      <c r="P566" s="476" t="s">
        <v>1213</v>
      </c>
      <c r="Q566" s="476"/>
      <c r="R566" s="476"/>
      <c r="S566" s="476"/>
      <c r="T566" s="476"/>
      <c r="U566" s="476"/>
      <c r="V566" s="477"/>
      <c r="W566" s="243"/>
      <c r="X566" s="478"/>
      <c r="Y566" s="7">
        <f t="shared" si="16"/>
        <v>0</v>
      </c>
      <c r="Z566" s="478"/>
      <c r="AA566" s="469"/>
      <c r="AB566" s="479"/>
      <c r="AC566" s="480"/>
      <c r="AD566" s="476">
        <v>0</v>
      </c>
      <c r="AE566" s="476"/>
      <c r="AF566" s="9">
        <f t="shared" si="17"/>
        <v>0</v>
      </c>
      <c r="AG566" s="476"/>
      <c r="AH566" s="475"/>
      <c r="AI566" s="476"/>
      <c r="AJ566" s="10"/>
      <c r="AK566" s="481"/>
      <c r="AL566" s="481"/>
    </row>
    <row r="567" spans="1:38" ht="15" customHeight="1" x14ac:dyDescent="0.3">
      <c r="A567" s="30" t="s">
        <v>1214</v>
      </c>
      <c r="B567" s="140" t="s">
        <v>105</v>
      </c>
      <c r="C567" s="107">
        <v>18</v>
      </c>
      <c r="D567" s="11" t="s">
        <v>5936</v>
      </c>
      <c r="E567" s="114">
        <v>38570</v>
      </c>
      <c r="F567" s="12">
        <v>2005</v>
      </c>
      <c r="G567" s="142" t="s">
        <v>1215</v>
      </c>
      <c r="H567" s="162" t="s">
        <v>1216</v>
      </c>
      <c r="I567" s="33" t="s">
        <v>33</v>
      </c>
      <c r="J567" s="30"/>
      <c r="K567" s="197"/>
      <c r="L567" s="197" t="s">
        <v>1171</v>
      </c>
      <c r="M567" s="197" t="s">
        <v>42</v>
      </c>
      <c r="N567" s="197"/>
      <c r="O567" s="197" t="s">
        <v>1217</v>
      </c>
      <c r="P567" s="197" t="s">
        <v>1218</v>
      </c>
      <c r="Q567" s="15" t="s">
        <v>282</v>
      </c>
      <c r="R567" s="152"/>
      <c r="S567" s="16" t="s">
        <v>44</v>
      </c>
      <c r="T567" s="139"/>
      <c r="U567" s="624"/>
      <c r="V567" s="624"/>
      <c r="W567" s="189"/>
      <c r="X567" s="185"/>
      <c r="Y567" s="7">
        <f t="shared" si="16"/>
        <v>0</v>
      </c>
      <c r="Z567" s="185"/>
      <c r="AA567" s="469"/>
      <c r="AB567" s="701" t="s">
        <v>5986</v>
      </c>
      <c r="AC567" s="694"/>
      <c r="AD567" s="702">
        <v>0</v>
      </c>
      <c r="AE567" s="703"/>
      <c r="AF567" s="9">
        <f t="shared" si="17"/>
        <v>0</v>
      </c>
      <c r="AG567" s="197" t="s">
        <v>656</v>
      </c>
      <c r="AH567" s="197"/>
      <c r="AI567" s="197"/>
      <c r="AJ567" s="197"/>
      <c r="AK567" s="197" t="s">
        <v>1219</v>
      </c>
      <c r="AL567" s="93" t="s">
        <v>1178</v>
      </c>
    </row>
    <row r="568" spans="1:38" ht="15" customHeight="1" x14ac:dyDescent="0.3">
      <c r="A568" s="520" t="s">
        <v>883</v>
      </c>
      <c r="B568" s="2" t="s">
        <v>105</v>
      </c>
      <c r="C568" s="6">
        <v>8</v>
      </c>
      <c r="D568" s="11" t="s">
        <v>5936</v>
      </c>
      <c r="E568" s="430">
        <v>38718</v>
      </c>
      <c r="F568" s="12">
        <v>2006</v>
      </c>
      <c r="G568" s="111" t="s">
        <v>1220</v>
      </c>
      <c r="H568" s="142"/>
      <c r="I568" s="33" t="s">
        <v>33</v>
      </c>
      <c r="J568" s="32" t="s">
        <v>191</v>
      </c>
      <c r="K568" s="474" t="s">
        <v>1221</v>
      </c>
      <c r="L568" s="474" t="s">
        <v>1222</v>
      </c>
      <c r="M568" s="137" t="s">
        <v>953</v>
      </c>
      <c r="N568" s="474"/>
      <c r="O568" s="475" t="s">
        <v>1223</v>
      </c>
      <c r="P568" s="476" t="s">
        <v>1055</v>
      </c>
      <c r="Q568" s="15" t="s">
        <v>282</v>
      </c>
      <c r="R568" s="15"/>
      <c r="S568" s="16" t="s">
        <v>44</v>
      </c>
      <c r="T568" s="16"/>
      <c r="U568" s="484"/>
      <c r="V568" s="485"/>
      <c r="W568" s="243"/>
      <c r="X568" s="478"/>
      <c r="Y568" s="7">
        <f t="shared" si="16"/>
        <v>0</v>
      </c>
      <c r="Z568" s="478"/>
      <c r="AA568" s="469"/>
      <c r="AB568" s="479" t="s">
        <v>5986</v>
      </c>
      <c r="AC568" s="480"/>
      <c r="AD568" s="476">
        <v>0</v>
      </c>
      <c r="AE568" s="476"/>
      <c r="AF568" s="9">
        <f t="shared" si="17"/>
        <v>0</v>
      </c>
      <c r="AG568" s="476" t="s">
        <v>1224</v>
      </c>
      <c r="AH568" s="475"/>
      <c r="AI568" s="476"/>
      <c r="AJ568" s="10"/>
      <c r="AK568" s="481"/>
      <c r="AL568" s="481"/>
    </row>
    <row r="569" spans="1:38" ht="15" customHeight="1" x14ac:dyDescent="0.3">
      <c r="A569" s="30" t="s">
        <v>22</v>
      </c>
      <c r="B569" s="112" t="s">
        <v>189</v>
      </c>
      <c r="C569" s="107">
        <v>4</v>
      </c>
      <c r="D569" s="12" t="s">
        <v>190</v>
      </c>
      <c r="E569" s="108">
        <v>37289</v>
      </c>
      <c r="F569" s="33">
        <v>2002</v>
      </c>
      <c r="G569" s="142">
        <v>24</v>
      </c>
      <c r="H569" s="162"/>
      <c r="I569" s="22" t="s">
        <v>264</v>
      </c>
      <c r="J569" s="30" t="s">
        <v>81</v>
      </c>
      <c r="K569" s="197" t="s">
        <v>640</v>
      </c>
      <c r="L569" s="137" t="s">
        <v>40</v>
      </c>
      <c r="M569" s="137" t="s">
        <v>804</v>
      </c>
      <c r="N569" s="137"/>
      <c r="O569" s="93" t="s">
        <v>1225</v>
      </c>
      <c r="P569" s="138" t="s">
        <v>1055</v>
      </c>
      <c r="Q569" s="15" t="s">
        <v>6174</v>
      </c>
      <c r="R569" s="91"/>
      <c r="S569" s="16" t="s">
        <v>44</v>
      </c>
      <c r="T569" s="92"/>
      <c r="U569" s="623"/>
      <c r="V569" s="624"/>
      <c r="W569" s="185"/>
      <c r="X569" s="185"/>
      <c r="Y569" s="7">
        <f t="shared" si="16"/>
        <v>0</v>
      </c>
      <c r="Z569" s="185"/>
      <c r="AA569" s="469"/>
      <c r="AB569" s="513" t="s">
        <v>5979</v>
      </c>
      <c r="AC569" s="147"/>
      <c r="AD569" s="639">
        <v>0</v>
      </c>
      <c r="AE569" s="639"/>
      <c r="AF569" s="9">
        <f t="shared" si="17"/>
        <v>0</v>
      </c>
      <c r="AG569" s="183"/>
      <c r="AH569" s="93" t="s">
        <v>1226</v>
      </c>
      <c r="AI569" s="93"/>
      <c r="AJ569" s="93"/>
      <c r="AK569" s="30" t="s">
        <v>1177</v>
      </c>
      <c r="AL569" s="93" t="s">
        <v>1178</v>
      </c>
    </row>
    <row r="570" spans="1:38" ht="15" customHeight="1" x14ac:dyDescent="0.3">
      <c r="A570" s="621" t="s">
        <v>22</v>
      </c>
      <c r="B570" s="88" t="s">
        <v>422</v>
      </c>
      <c r="C570" s="109">
        <v>3</v>
      </c>
      <c r="D570" s="12" t="s">
        <v>190</v>
      </c>
      <c r="E570" s="108">
        <v>36739</v>
      </c>
      <c r="F570" s="33">
        <v>2000</v>
      </c>
      <c r="G570" s="142" t="s">
        <v>927</v>
      </c>
      <c r="H570" s="162"/>
      <c r="I570" s="22" t="s">
        <v>264</v>
      </c>
      <c r="J570" s="37" t="s">
        <v>81</v>
      </c>
      <c r="K570" s="197" t="s">
        <v>640</v>
      </c>
      <c r="L570" s="137" t="s">
        <v>40</v>
      </c>
      <c r="M570" s="137" t="s">
        <v>804</v>
      </c>
      <c r="N570" s="137"/>
      <c r="O570" s="93" t="s">
        <v>928</v>
      </c>
      <c r="P570" s="200" t="s">
        <v>1088</v>
      </c>
      <c r="Q570" s="15" t="s">
        <v>35</v>
      </c>
      <c r="R570" s="91"/>
      <c r="S570" s="16" t="s">
        <v>35</v>
      </c>
      <c r="T570" s="92"/>
      <c r="U570" s="623"/>
      <c r="V570" s="623"/>
      <c r="W570" s="685" t="s">
        <v>1227</v>
      </c>
      <c r="X570" s="185"/>
      <c r="Y570" s="7" t="e">
        <f t="shared" si="16"/>
        <v>#VALUE!</v>
      </c>
      <c r="Z570" s="185"/>
      <c r="AA570" s="469"/>
      <c r="AB570" s="513" t="s">
        <v>424</v>
      </c>
      <c r="AC570" s="563"/>
      <c r="AD570" s="665">
        <v>0</v>
      </c>
      <c r="AE570" s="665"/>
      <c r="AF570" s="9">
        <f t="shared" si="17"/>
        <v>0</v>
      </c>
      <c r="AG570" s="182">
        <v>7</v>
      </c>
      <c r="AH570" s="93" t="s">
        <v>682</v>
      </c>
      <c r="AI570" s="146"/>
      <c r="AJ570" s="93"/>
      <c r="AK570" s="30" t="s">
        <v>1185</v>
      </c>
      <c r="AL570" s="93" t="s">
        <v>1178</v>
      </c>
    </row>
    <row r="571" spans="1:38" ht="15" customHeight="1" x14ac:dyDescent="0.3">
      <c r="A571" s="30" t="s">
        <v>22</v>
      </c>
      <c r="B571" s="120" t="s">
        <v>105</v>
      </c>
      <c r="C571" s="107">
        <v>13</v>
      </c>
      <c r="D571" s="11" t="s">
        <v>5936</v>
      </c>
      <c r="E571" s="108">
        <v>38292</v>
      </c>
      <c r="F571" s="12">
        <v>2004</v>
      </c>
      <c r="G571" s="142" t="s">
        <v>1228</v>
      </c>
      <c r="H571" s="162"/>
      <c r="I571" s="22" t="s">
        <v>264</v>
      </c>
      <c r="J571" s="32" t="s">
        <v>191</v>
      </c>
      <c r="K571" s="197" t="s">
        <v>1173</v>
      </c>
      <c r="L571" s="137" t="s">
        <v>1229</v>
      </c>
      <c r="M571" s="137" t="s">
        <v>804</v>
      </c>
      <c r="N571" s="137"/>
      <c r="O571" s="93" t="s">
        <v>1230</v>
      </c>
      <c r="P571" s="138" t="s">
        <v>1055</v>
      </c>
      <c r="Q571" s="15" t="s">
        <v>6174</v>
      </c>
      <c r="R571" s="91"/>
      <c r="S571" s="16" t="s">
        <v>6174</v>
      </c>
      <c r="T571" s="92"/>
      <c r="U571" s="623"/>
      <c r="V571" s="624"/>
      <c r="W571" s="185"/>
      <c r="X571" s="185"/>
      <c r="Y571" s="7">
        <f t="shared" si="16"/>
        <v>0</v>
      </c>
      <c r="Z571" s="185"/>
      <c r="AA571" s="469"/>
      <c r="AB571" s="513" t="s">
        <v>1231</v>
      </c>
      <c r="AC571" s="147"/>
      <c r="AD571" s="639">
        <v>0</v>
      </c>
      <c r="AE571" s="639"/>
      <c r="AF571" s="9">
        <f t="shared" si="17"/>
        <v>0</v>
      </c>
      <c r="AG571" s="183" t="s">
        <v>1192</v>
      </c>
      <c r="AH571" s="476" t="s">
        <v>851</v>
      </c>
      <c r="AI571" s="93"/>
      <c r="AJ571" s="93"/>
      <c r="AK571" s="30" t="s">
        <v>1185</v>
      </c>
      <c r="AL571" s="93" t="s">
        <v>1175</v>
      </c>
    </row>
    <row r="572" spans="1:38" ht="15" customHeight="1" x14ac:dyDescent="0.3">
      <c r="A572" s="30" t="s">
        <v>140</v>
      </c>
      <c r="B572" s="88" t="s">
        <v>422</v>
      </c>
      <c r="C572" s="107">
        <v>2</v>
      </c>
      <c r="D572" s="12" t="s">
        <v>190</v>
      </c>
      <c r="E572" s="108">
        <v>38322</v>
      </c>
      <c r="F572" s="12">
        <v>2004</v>
      </c>
      <c r="G572" s="142" t="s">
        <v>1232</v>
      </c>
      <c r="H572" s="162"/>
      <c r="I572" s="22" t="s">
        <v>264</v>
      </c>
      <c r="J572" s="30" t="s">
        <v>81</v>
      </c>
      <c r="K572" s="197" t="s">
        <v>859</v>
      </c>
      <c r="L572" s="137" t="s">
        <v>1116</v>
      </c>
      <c r="M572" s="137" t="s">
        <v>42</v>
      </c>
      <c r="N572" s="137"/>
      <c r="O572" s="93" t="s">
        <v>1233</v>
      </c>
      <c r="P572" s="138" t="s">
        <v>1055</v>
      </c>
      <c r="Q572" s="15" t="s">
        <v>282</v>
      </c>
      <c r="R572" s="91"/>
      <c r="S572" s="16" t="s">
        <v>44</v>
      </c>
      <c r="T572" s="92"/>
      <c r="U572" s="623"/>
      <c r="V572" s="624"/>
      <c r="W572" s="185"/>
      <c r="X572" s="185"/>
      <c r="Y572" s="7">
        <f t="shared" si="16"/>
        <v>0</v>
      </c>
      <c r="Z572" s="185"/>
      <c r="AA572" s="469"/>
      <c r="AB572" s="513" t="s">
        <v>424</v>
      </c>
      <c r="AC572" s="147"/>
      <c r="AD572" s="639">
        <v>0</v>
      </c>
      <c r="AE572" s="639"/>
      <c r="AF572" s="9">
        <f t="shared" si="17"/>
        <v>0</v>
      </c>
      <c r="AG572" s="183"/>
      <c r="AH572" s="93"/>
      <c r="AI572" s="93"/>
      <c r="AJ572" s="93"/>
      <c r="AK572" s="30" t="s">
        <v>1177</v>
      </c>
      <c r="AL572" s="93" t="s">
        <v>1178</v>
      </c>
    </row>
    <row r="573" spans="1:38" ht="15" customHeight="1" x14ac:dyDescent="0.3">
      <c r="A573" s="30" t="s">
        <v>22</v>
      </c>
      <c r="B573" s="88" t="s">
        <v>422</v>
      </c>
      <c r="C573" s="109">
        <v>1</v>
      </c>
      <c r="D573" s="33" t="s">
        <v>190</v>
      </c>
      <c r="E573" s="108">
        <v>37773</v>
      </c>
      <c r="F573" s="33">
        <v>2003</v>
      </c>
      <c r="G573" s="142">
        <v>28026</v>
      </c>
      <c r="H573" s="162"/>
      <c r="I573" s="22" t="s">
        <v>264</v>
      </c>
      <c r="J573" s="32" t="s">
        <v>26</v>
      </c>
      <c r="K573" s="197" t="s">
        <v>392</v>
      </c>
      <c r="L573" s="137" t="s">
        <v>40</v>
      </c>
      <c r="M573" s="137" t="s">
        <v>804</v>
      </c>
      <c r="N573" s="137"/>
      <c r="O573" s="93" t="s">
        <v>805</v>
      </c>
      <c r="P573" s="138" t="s">
        <v>1055</v>
      </c>
      <c r="Q573" s="15" t="s">
        <v>35</v>
      </c>
      <c r="R573" s="91"/>
      <c r="S573" s="16" t="s">
        <v>6174</v>
      </c>
      <c r="T573" s="92"/>
      <c r="U573" s="623" t="s">
        <v>1234</v>
      </c>
      <c r="V573" s="624"/>
      <c r="W573" s="185"/>
      <c r="X573" s="185"/>
      <c r="Y573" s="7">
        <f t="shared" si="16"/>
        <v>0</v>
      </c>
      <c r="Z573" s="185"/>
      <c r="AA573" s="469"/>
      <c r="AB573" s="513" t="s">
        <v>5988</v>
      </c>
      <c r="AC573" s="147"/>
      <c r="AD573" s="639">
        <v>0</v>
      </c>
      <c r="AE573" s="665"/>
      <c r="AF573" s="9">
        <f t="shared" si="17"/>
        <v>0</v>
      </c>
      <c r="AG573" s="182"/>
      <c r="AH573" s="93"/>
      <c r="AI573" s="146"/>
      <c r="AJ573" s="181"/>
      <c r="AK573" s="30" t="s">
        <v>1185</v>
      </c>
      <c r="AL573" s="93" t="s">
        <v>1175</v>
      </c>
    </row>
    <row r="574" spans="1:38" ht="15" customHeight="1" x14ac:dyDescent="0.3">
      <c r="A574" s="30" t="s">
        <v>22</v>
      </c>
      <c r="B574" s="112" t="s">
        <v>1127</v>
      </c>
      <c r="C574" s="109" t="s">
        <v>1128</v>
      </c>
      <c r="D574" s="33" t="s">
        <v>190</v>
      </c>
      <c r="E574" s="108">
        <v>37622</v>
      </c>
      <c r="F574" s="146">
        <v>2003</v>
      </c>
      <c r="G574" s="142">
        <v>29424</v>
      </c>
      <c r="H574" s="162"/>
      <c r="I574" s="22" t="s">
        <v>264</v>
      </c>
      <c r="J574" s="32" t="s">
        <v>26</v>
      </c>
      <c r="K574" s="197" t="s">
        <v>915</v>
      </c>
      <c r="L574" s="137" t="s">
        <v>40</v>
      </c>
      <c r="M574" s="137" t="s">
        <v>804</v>
      </c>
      <c r="N574" s="137"/>
      <c r="O574" s="138" t="s">
        <v>1235</v>
      </c>
      <c r="P574" s="200" t="s">
        <v>1055</v>
      </c>
      <c r="Q574" s="15" t="s">
        <v>282</v>
      </c>
      <c r="R574" s="91"/>
      <c r="S574" s="16" t="s">
        <v>6174</v>
      </c>
      <c r="T574" s="92"/>
      <c r="U574" s="623" t="s">
        <v>1236</v>
      </c>
      <c r="V574" s="624"/>
      <c r="W574" s="185"/>
      <c r="X574" s="185"/>
      <c r="Y574" s="7">
        <f t="shared" si="16"/>
        <v>0</v>
      </c>
      <c r="Z574" s="185"/>
      <c r="AA574" s="469"/>
      <c r="AB574" s="513" t="s">
        <v>5979</v>
      </c>
      <c r="AC574" s="563"/>
      <c r="AD574" s="665">
        <v>0</v>
      </c>
      <c r="AE574" s="665"/>
      <c r="AF574" s="9">
        <f t="shared" si="17"/>
        <v>0</v>
      </c>
      <c r="AG574" s="182">
        <v>5</v>
      </c>
      <c r="AH574" s="93" t="s">
        <v>1843</v>
      </c>
      <c r="AI574" s="146"/>
      <c r="AJ574" s="93"/>
      <c r="AK574" s="30" t="s">
        <v>1185</v>
      </c>
      <c r="AL574" s="93" t="s">
        <v>1175</v>
      </c>
    </row>
    <row r="575" spans="1:38" ht="15" customHeight="1" x14ac:dyDescent="0.3">
      <c r="A575" s="30" t="s">
        <v>22</v>
      </c>
      <c r="B575" s="145" t="s">
        <v>144</v>
      </c>
      <c r="C575" s="107">
        <v>3</v>
      </c>
      <c r="D575" s="11" t="s">
        <v>143</v>
      </c>
      <c r="E575" s="108">
        <v>36021</v>
      </c>
      <c r="F575" s="12">
        <v>1998</v>
      </c>
      <c r="G575" s="142"/>
      <c r="H575" s="162"/>
      <c r="I575" s="22" t="s">
        <v>264</v>
      </c>
      <c r="J575" s="32" t="s">
        <v>26</v>
      </c>
      <c r="K575" s="197" t="s">
        <v>636</v>
      </c>
      <c r="L575" s="137" t="s">
        <v>40</v>
      </c>
      <c r="M575" s="137" t="s">
        <v>804</v>
      </c>
      <c r="N575" s="137"/>
      <c r="O575" s="93" t="s">
        <v>1237</v>
      </c>
      <c r="P575" s="138" t="s">
        <v>1055</v>
      </c>
      <c r="Q575" s="15" t="s">
        <v>35</v>
      </c>
      <c r="R575" s="91"/>
      <c r="S575" s="16" t="s">
        <v>44</v>
      </c>
      <c r="T575" s="92"/>
      <c r="U575" s="623" t="s">
        <v>1238</v>
      </c>
      <c r="V575" s="624"/>
      <c r="W575" s="185"/>
      <c r="X575" s="185"/>
      <c r="Y575" s="7">
        <f t="shared" si="16"/>
        <v>0</v>
      </c>
      <c r="Z575" s="185"/>
      <c r="AA575" s="469"/>
      <c r="AB575" s="513" t="s">
        <v>5986</v>
      </c>
      <c r="AC575" s="147"/>
      <c r="AD575" s="639">
        <v>0</v>
      </c>
      <c r="AE575" s="639"/>
      <c r="AF575" s="9">
        <f t="shared" si="17"/>
        <v>0</v>
      </c>
      <c r="AG575" s="183" t="s">
        <v>727</v>
      </c>
      <c r="AH575" s="93"/>
      <c r="AI575" s="93"/>
      <c r="AJ575" s="93"/>
      <c r="AK575" s="30" t="s">
        <v>99</v>
      </c>
      <c r="AL575" s="93" t="s">
        <v>1178</v>
      </c>
    </row>
    <row r="576" spans="1:38" ht="15" customHeight="1" x14ac:dyDescent="0.3">
      <c r="A576" s="30" t="s">
        <v>22</v>
      </c>
      <c r="B576" s="88" t="s">
        <v>422</v>
      </c>
      <c r="C576" s="107">
        <v>4</v>
      </c>
      <c r="D576" s="12" t="s">
        <v>190</v>
      </c>
      <c r="E576" s="108">
        <v>37257</v>
      </c>
      <c r="F576" s="93">
        <v>2002</v>
      </c>
      <c r="G576" s="142" t="s">
        <v>1239</v>
      </c>
      <c r="H576" s="162"/>
      <c r="I576" s="22" t="s">
        <v>264</v>
      </c>
      <c r="J576" s="32" t="s">
        <v>26</v>
      </c>
      <c r="K576" s="197" t="s">
        <v>392</v>
      </c>
      <c r="L576" s="137" t="s">
        <v>40</v>
      </c>
      <c r="M576" s="137" t="s">
        <v>804</v>
      </c>
      <c r="N576" s="137"/>
      <c r="O576" s="93" t="s">
        <v>1240</v>
      </c>
      <c r="P576" s="138" t="s">
        <v>1055</v>
      </c>
      <c r="Q576" s="15" t="s">
        <v>282</v>
      </c>
      <c r="R576" s="91"/>
      <c r="S576" s="16" t="s">
        <v>44</v>
      </c>
      <c r="T576" s="92"/>
      <c r="U576" s="623" t="s">
        <v>1241</v>
      </c>
      <c r="V576" s="624"/>
      <c r="W576" s="185"/>
      <c r="X576" s="185"/>
      <c r="Y576" s="7">
        <f t="shared" si="16"/>
        <v>0</v>
      </c>
      <c r="Z576" s="185"/>
      <c r="AA576" s="469"/>
      <c r="AB576" s="513" t="s">
        <v>5986</v>
      </c>
      <c r="AC576" s="147"/>
      <c r="AD576" s="639">
        <v>0</v>
      </c>
      <c r="AE576" s="639"/>
      <c r="AF576" s="9">
        <f t="shared" si="17"/>
        <v>0</v>
      </c>
      <c r="AG576" s="183">
        <v>7</v>
      </c>
      <c r="AH576" s="93" t="s">
        <v>994</v>
      </c>
      <c r="AI576" s="93"/>
      <c r="AJ576" s="93"/>
      <c r="AK576" s="30" t="s">
        <v>99</v>
      </c>
      <c r="AL576" s="93" t="s">
        <v>1175</v>
      </c>
    </row>
    <row r="577" spans="1:38" ht="15" customHeight="1" x14ac:dyDescent="0.3">
      <c r="A577" s="30" t="s">
        <v>22</v>
      </c>
      <c r="B577" s="145" t="s">
        <v>105</v>
      </c>
      <c r="C577" s="107">
        <v>14</v>
      </c>
      <c r="D577" s="11" t="s">
        <v>5936</v>
      </c>
      <c r="E577" s="108">
        <v>36892</v>
      </c>
      <c r="F577" s="93">
        <v>2001</v>
      </c>
      <c r="G577" s="142" t="s">
        <v>1242</v>
      </c>
      <c r="H577" s="162" t="s">
        <v>1243</v>
      </c>
      <c r="I577" s="22" t="s">
        <v>264</v>
      </c>
      <c r="J577" s="32" t="s">
        <v>26</v>
      </c>
      <c r="K577" s="197" t="s">
        <v>636</v>
      </c>
      <c r="L577" s="137" t="s">
        <v>40</v>
      </c>
      <c r="M577" s="137" t="s">
        <v>804</v>
      </c>
      <c r="N577" s="137"/>
      <c r="O577" s="93" t="s">
        <v>1244</v>
      </c>
      <c r="P577" s="138" t="s">
        <v>1055</v>
      </c>
      <c r="Q577" s="15" t="s">
        <v>282</v>
      </c>
      <c r="R577" s="91"/>
      <c r="S577" s="16" t="s">
        <v>44</v>
      </c>
      <c r="T577" s="92"/>
      <c r="U577" s="623"/>
      <c r="V577" s="624"/>
      <c r="W577" s="185"/>
      <c r="X577" s="185"/>
      <c r="Y577" s="7">
        <f t="shared" si="16"/>
        <v>0</v>
      </c>
      <c r="Z577" s="185"/>
      <c r="AA577" s="469"/>
      <c r="AB577" s="513" t="s">
        <v>1231</v>
      </c>
      <c r="AC577" s="147"/>
      <c r="AD577" s="639">
        <v>0</v>
      </c>
      <c r="AE577" s="639"/>
      <c r="AF577" s="9">
        <f t="shared" si="17"/>
        <v>0</v>
      </c>
      <c r="AG577" s="183" t="s">
        <v>1192</v>
      </c>
      <c r="AH577" s="93"/>
      <c r="AI577" s="93"/>
      <c r="AJ577" s="93"/>
      <c r="AK577" s="30" t="s">
        <v>1185</v>
      </c>
      <c r="AL577" s="93" t="s">
        <v>1178</v>
      </c>
    </row>
    <row r="578" spans="1:38" ht="15" customHeight="1" x14ac:dyDescent="0.3">
      <c r="A578" s="30" t="s">
        <v>22</v>
      </c>
      <c r="B578" s="153" t="s">
        <v>105</v>
      </c>
      <c r="C578" s="107">
        <v>1</v>
      </c>
      <c r="D578" s="11" t="s">
        <v>5936</v>
      </c>
      <c r="E578" s="108">
        <v>37329</v>
      </c>
      <c r="F578" s="30">
        <v>2002</v>
      </c>
      <c r="G578" s="142" t="s">
        <v>1245</v>
      </c>
      <c r="H578" s="162" t="s">
        <v>1246</v>
      </c>
      <c r="I578" s="22" t="s">
        <v>264</v>
      </c>
      <c r="J578" s="32" t="s">
        <v>26</v>
      </c>
      <c r="K578" s="197" t="s">
        <v>392</v>
      </c>
      <c r="L578" s="137" t="s">
        <v>40</v>
      </c>
      <c r="M578" s="137" t="s">
        <v>804</v>
      </c>
      <c r="N578" s="137"/>
      <c r="O578" s="93" t="s">
        <v>1247</v>
      </c>
      <c r="P578" s="138" t="s">
        <v>1055</v>
      </c>
      <c r="Q578" s="15" t="s">
        <v>282</v>
      </c>
      <c r="R578" s="91"/>
      <c r="S578" s="16" t="s">
        <v>44</v>
      </c>
      <c r="T578" s="92"/>
      <c r="U578" s="623"/>
      <c r="V578" s="624"/>
      <c r="W578" s="185"/>
      <c r="X578" s="185"/>
      <c r="Y578" s="7">
        <f t="shared" ref="Y578:Y641" si="18">W578*AE578</f>
        <v>0</v>
      </c>
      <c r="Z578" s="185"/>
      <c r="AA578" s="469"/>
      <c r="AB578" s="513" t="s">
        <v>1231</v>
      </c>
      <c r="AC578" s="147"/>
      <c r="AD578" s="639">
        <v>0</v>
      </c>
      <c r="AE578" s="639"/>
      <c r="AF578" s="9">
        <f t="shared" si="17"/>
        <v>0</v>
      </c>
      <c r="AG578" s="183" t="s">
        <v>1192</v>
      </c>
      <c r="AH578" s="93" t="s">
        <v>1248</v>
      </c>
      <c r="AI578" s="93"/>
      <c r="AJ578" s="93"/>
      <c r="AK578" s="30" t="s">
        <v>1177</v>
      </c>
      <c r="AL578" s="93" t="s">
        <v>1175</v>
      </c>
    </row>
    <row r="579" spans="1:38" ht="15" customHeight="1" x14ac:dyDescent="0.3">
      <c r="A579" s="30" t="s">
        <v>140</v>
      </c>
      <c r="B579" s="153" t="s">
        <v>144</v>
      </c>
      <c r="C579" s="107">
        <v>9</v>
      </c>
      <c r="D579" s="11" t="s">
        <v>143</v>
      </c>
      <c r="E579" s="108">
        <v>37817</v>
      </c>
      <c r="F579" s="12">
        <v>2003</v>
      </c>
      <c r="G579" s="142" t="s">
        <v>1249</v>
      </c>
      <c r="H579" s="162"/>
      <c r="I579" s="33" t="s">
        <v>33</v>
      </c>
      <c r="J579" s="32" t="s">
        <v>26</v>
      </c>
      <c r="K579" s="197" t="s">
        <v>141</v>
      </c>
      <c r="L579" s="137" t="s">
        <v>1049</v>
      </c>
      <c r="M579" s="137" t="s">
        <v>953</v>
      </c>
      <c r="N579" s="137"/>
      <c r="O579" s="93" t="s">
        <v>1250</v>
      </c>
      <c r="P579" s="647" t="s">
        <v>1088</v>
      </c>
      <c r="Q579" s="15" t="s">
        <v>35</v>
      </c>
      <c r="R579" s="91"/>
      <c r="S579" s="16" t="s">
        <v>35</v>
      </c>
      <c r="T579" s="92"/>
      <c r="U579" s="623"/>
      <c r="V579" s="624"/>
      <c r="W579" s="185">
        <v>15</v>
      </c>
      <c r="X579" s="185"/>
      <c r="Y579" s="7">
        <f t="shared" si="18"/>
        <v>0</v>
      </c>
      <c r="Z579" s="185"/>
      <c r="AA579" s="469"/>
      <c r="AB579" s="503" t="s">
        <v>6055</v>
      </c>
      <c r="AC579" s="554"/>
      <c r="AD579" s="665">
        <v>0</v>
      </c>
      <c r="AE579" s="665"/>
      <c r="AF579" s="9">
        <f t="shared" ref="AF579:AF642" si="19">AD579+AE579</f>
        <v>0</v>
      </c>
      <c r="AG579" s="183" t="s">
        <v>727</v>
      </c>
      <c r="AH579" s="93"/>
      <c r="AI579" s="93"/>
      <c r="AJ579" s="181"/>
      <c r="AK579" s="30" t="s">
        <v>1185</v>
      </c>
      <c r="AL579" s="93" t="s">
        <v>1178</v>
      </c>
    </row>
    <row r="580" spans="1:38" ht="15" customHeight="1" x14ac:dyDescent="0.3">
      <c r="A580" s="30" t="s">
        <v>22</v>
      </c>
      <c r="B580" s="120" t="s">
        <v>105</v>
      </c>
      <c r="C580" s="109">
        <v>5</v>
      </c>
      <c r="D580" s="11" t="s">
        <v>5936</v>
      </c>
      <c r="E580" s="108">
        <v>36892</v>
      </c>
      <c r="F580" s="30">
        <v>1999</v>
      </c>
      <c r="G580" s="142" t="s">
        <v>1251</v>
      </c>
      <c r="H580" s="162" t="s">
        <v>1252</v>
      </c>
      <c r="I580" s="33" t="s">
        <v>33</v>
      </c>
      <c r="J580" s="32" t="s">
        <v>26</v>
      </c>
      <c r="K580" s="197" t="s">
        <v>392</v>
      </c>
      <c r="L580" s="137" t="s">
        <v>40</v>
      </c>
      <c r="M580" s="137" t="s">
        <v>804</v>
      </c>
      <c r="N580" s="238"/>
      <c r="O580" s="146" t="s">
        <v>1253</v>
      </c>
      <c r="P580" s="647" t="s">
        <v>1254</v>
      </c>
      <c r="Q580" s="15" t="s">
        <v>282</v>
      </c>
      <c r="R580" s="91"/>
      <c r="S580" s="16" t="s">
        <v>44</v>
      </c>
      <c r="T580" s="92"/>
      <c r="U580" s="623"/>
      <c r="V580" s="624"/>
      <c r="W580" s="185"/>
      <c r="X580" s="185"/>
      <c r="Y580" s="7">
        <f t="shared" si="18"/>
        <v>0</v>
      </c>
      <c r="Z580" s="185"/>
      <c r="AA580" s="469"/>
      <c r="AB580" s="513" t="s">
        <v>1231</v>
      </c>
      <c r="AC580" s="563"/>
      <c r="AD580" s="665">
        <v>0</v>
      </c>
      <c r="AE580" s="665"/>
      <c r="AF580" s="9">
        <f t="shared" si="19"/>
        <v>0</v>
      </c>
      <c r="AG580" s="183" t="s">
        <v>1192</v>
      </c>
      <c r="AH580" s="93"/>
      <c r="AI580" s="146"/>
      <c r="AJ580" s="93"/>
      <c r="AK580" s="30" t="s">
        <v>1185</v>
      </c>
      <c r="AL580" s="93" t="s">
        <v>1175</v>
      </c>
    </row>
    <row r="581" spans="1:38" ht="15" customHeight="1" x14ac:dyDescent="0.3">
      <c r="A581" s="30" t="s">
        <v>22</v>
      </c>
      <c r="B581" s="145" t="s">
        <v>105</v>
      </c>
      <c r="C581" s="107">
        <v>11</v>
      </c>
      <c r="D581" s="11" t="s">
        <v>5936</v>
      </c>
      <c r="E581" s="108">
        <v>36892</v>
      </c>
      <c r="F581" s="93">
        <v>2001</v>
      </c>
      <c r="G581" s="142" t="s">
        <v>1255</v>
      </c>
      <c r="H581" s="162" t="s">
        <v>1256</v>
      </c>
      <c r="I581" s="33" t="s">
        <v>33</v>
      </c>
      <c r="J581" s="30" t="s">
        <v>630</v>
      </c>
      <c r="K581" s="197" t="s">
        <v>392</v>
      </c>
      <c r="L581" s="137" t="s">
        <v>40</v>
      </c>
      <c r="M581" s="137" t="s">
        <v>804</v>
      </c>
      <c r="N581" s="137"/>
      <c r="O581" s="93" t="s">
        <v>1257</v>
      </c>
      <c r="P581" s="647" t="s">
        <v>1258</v>
      </c>
      <c r="Q581" s="15" t="s">
        <v>282</v>
      </c>
      <c r="R581" s="91"/>
      <c r="S581" s="16" t="s">
        <v>313</v>
      </c>
      <c r="T581" s="92"/>
      <c r="U581" s="623" t="s">
        <v>1259</v>
      </c>
      <c r="V581" s="624"/>
      <c r="W581" s="185"/>
      <c r="X581" s="185"/>
      <c r="Y581" s="7">
        <f t="shared" si="18"/>
        <v>0</v>
      </c>
      <c r="Z581" s="185"/>
      <c r="AA581" s="469"/>
      <c r="AB581" s="513" t="s">
        <v>1231</v>
      </c>
      <c r="AC581" s="147"/>
      <c r="AD581" s="639">
        <v>0</v>
      </c>
      <c r="AE581" s="639"/>
      <c r="AF581" s="9">
        <f t="shared" si="19"/>
        <v>0</v>
      </c>
      <c r="AG581" s="183" t="s">
        <v>1192</v>
      </c>
      <c r="AH581" s="93"/>
      <c r="AI581" s="93"/>
      <c r="AJ581" s="93"/>
      <c r="AK581" s="30" t="s">
        <v>99</v>
      </c>
      <c r="AL581" s="93" t="s">
        <v>1175</v>
      </c>
    </row>
    <row r="582" spans="1:38" ht="15" customHeight="1" x14ac:dyDescent="0.3">
      <c r="A582" s="30" t="s">
        <v>22</v>
      </c>
      <c r="B582" s="112" t="s">
        <v>105</v>
      </c>
      <c r="C582" s="109">
        <v>10</v>
      </c>
      <c r="D582" s="11" t="s">
        <v>5936</v>
      </c>
      <c r="E582" s="108">
        <v>37622</v>
      </c>
      <c r="F582" s="146">
        <v>2003</v>
      </c>
      <c r="G582" s="142" t="s">
        <v>1260</v>
      </c>
      <c r="H582" s="162" t="s">
        <v>1261</v>
      </c>
      <c r="I582" s="33" t="s">
        <v>33</v>
      </c>
      <c r="J582" s="32" t="s">
        <v>26</v>
      </c>
      <c r="K582" s="197" t="s">
        <v>636</v>
      </c>
      <c r="L582" s="137" t="s">
        <v>40</v>
      </c>
      <c r="M582" s="137" t="s">
        <v>804</v>
      </c>
      <c r="N582" s="137"/>
      <c r="O582" s="93" t="s">
        <v>1262</v>
      </c>
      <c r="P582" s="647" t="s">
        <v>1263</v>
      </c>
      <c r="Q582" s="15" t="s">
        <v>35</v>
      </c>
      <c r="R582" s="91"/>
      <c r="S582" s="92"/>
      <c r="T582" s="92"/>
      <c r="U582" s="623"/>
      <c r="V582" s="624"/>
      <c r="W582" s="185">
        <v>7169305</v>
      </c>
      <c r="X582" s="185"/>
      <c r="Y582" s="7">
        <f t="shared" si="18"/>
        <v>0</v>
      </c>
      <c r="Z582" s="185"/>
      <c r="AA582" s="469"/>
      <c r="AB582" s="513" t="s">
        <v>1231</v>
      </c>
      <c r="AC582" s="563"/>
      <c r="AD582" s="665">
        <v>0</v>
      </c>
      <c r="AE582" s="665"/>
      <c r="AF582" s="9">
        <f t="shared" si="19"/>
        <v>0</v>
      </c>
      <c r="AG582" s="182" t="s">
        <v>1192</v>
      </c>
      <c r="AH582" s="93" t="s">
        <v>1264</v>
      </c>
      <c r="AI582" s="37"/>
      <c r="AJ582" s="181"/>
      <c r="AK582" s="30" t="s">
        <v>1177</v>
      </c>
      <c r="AL582" s="93" t="s">
        <v>1178</v>
      </c>
    </row>
    <row r="583" spans="1:38" ht="15" customHeight="1" x14ac:dyDescent="0.3">
      <c r="A583" s="30" t="s">
        <v>858</v>
      </c>
      <c r="B583" s="154" t="s">
        <v>199</v>
      </c>
      <c r="C583" s="107" t="s">
        <v>1265</v>
      </c>
      <c r="D583" s="12" t="s">
        <v>190</v>
      </c>
      <c r="E583" s="114">
        <v>38596</v>
      </c>
      <c r="F583" s="33">
        <v>2005</v>
      </c>
      <c r="G583" s="142"/>
      <c r="H583" s="162"/>
      <c r="I583" s="33" t="s">
        <v>33</v>
      </c>
      <c r="J583" s="30" t="s">
        <v>81</v>
      </c>
      <c r="K583" s="197" t="s">
        <v>141</v>
      </c>
      <c r="L583" s="137" t="s">
        <v>1122</v>
      </c>
      <c r="M583" s="137" t="s">
        <v>804</v>
      </c>
      <c r="N583" s="137"/>
      <c r="O583" s="93" t="s">
        <v>1266</v>
      </c>
      <c r="P583" s="138" t="s">
        <v>1267</v>
      </c>
      <c r="Q583" s="15" t="s">
        <v>35</v>
      </c>
      <c r="R583" s="91"/>
      <c r="S583" s="16" t="s">
        <v>35</v>
      </c>
      <c r="T583" s="92"/>
      <c r="U583" s="623"/>
      <c r="V583" s="624"/>
      <c r="W583" s="185">
        <v>10</v>
      </c>
      <c r="X583" s="185"/>
      <c r="Y583" s="7">
        <f t="shared" si="18"/>
        <v>0</v>
      </c>
      <c r="Z583" s="185"/>
      <c r="AA583" s="469"/>
      <c r="AB583" s="479" t="s">
        <v>200</v>
      </c>
      <c r="AC583" s="501"/>
      <c r="AD583" s="665">
        <v>0</v>
      </c>
      <c r="AE583" s="665"/>
      <c r="AF583" s="9">
        <f t="shared" si="19"/>
        <v>0</v>
      </c>
      <c r="AG583" s="183" t="s">
        <v>1268</v>
      </c>
      <c r="AH583" s="93"/>
      <c r="AI583" s="93"/>
      <c r="AJ583" s="93"/>
      <c r="AK583" s="30" t="s">
        <v>1177</v>
      </c>
      <c r="AL583" s="93" t="s">
        <v>1178</v>
      </c>
    </row>
    <row r="584" spans="1:38" ht="15" customHeight="1" x14ac:dyDescent="0.3">
      <c r="A584" s="30" t="s">
        <v>22</v>
      </c>
      <c r="B584" s="145" t="s">
        <v>105</v>
      </c>
      <c r="C584" s="109">
        <v>20</v>
      </c>
      <c r="D584" s="11" t="s">
        <v>5936</v>
      </c>
      <c r="E584" s="114">
        <v>38647</v>
      </c>
      <c r="F584" s="12">
        <v>2005</v>
      </c>
      <c r="G584" s="142" t="s">
        <v>1269</v>
      </c>
      <c r="H584" s="162" t="s">
        <v>1270</v>
      </c>
      <c r="I584" s="12" t="s">
        <v>1271</v>
      </c>
      <c r="J584" s="32" t="s">
        <v>26</v>
      </c>
      <c r="K584" s="138" t="s">
        <v>180</v>
      </c>
      <c r="L584" s="137" t="s">
        <v>1122</v>
      </c>
      <c r="M584" s="137" t="s">
        <v>804</v>
      </c>
      <c r="N584" s="137"/>
      <c r="O584" s="93" t="s">
        <v>1272</v>
      </c>
      <c r="P584" s="200" t="s">
        <v>1273</v>
      </c>
      <c r="Q584" s="93"/>
      <c r="R584" s="93"/>
      <c r="S584" s="93"/>
      <c r="T584" s="93"/>
      <c r="U584" s="93"/>
      <c r="V584" s="137"/>
      <c r="W584" s="185">
        <v>40</v>
      </c>
      <c r="X584" s="185"/>
      <c r="Y584" s="7">
        <f t="shared" si="18"/>
        <v>0</v>
      </c>
      <c r="Z584" s="185"/>
      <c r="AA584" s="469"/>
      <c r="AB584" s="513" t="s">
        <v>1274</v>
      </c>
      <c r="AC584" s="563"/>
      <c r="AD584" s="665">
        <v>0</v>
      </c>
      <c r="AE584" s="665"/>
      <c r="AF584" s="9">
        <f t="shared" si="19"/>
        <v>0</v>
      </c>
      <c r="AG584" s="183" t="s">
        <v>1275</v>
      </c>
      <c r="AH584" s="93"/>
      <c r="AI584" s="146"/>
      <c r="AJ584" s="93"/>
      <c r="AK584" s="30" t="s">
        <v>1177</v>
      </c>
      <c r="AL584" s="93" t="s">
        <v>1178</v>
      </c>
    </row>
    <row r="585" spans="1:38" ht="15" customHeight="1" x14ac:dyDescent="0.3">
      <c r="A585" s="30" t="s">
        <v>22</v>
      </c>
      <c r="B585" s="153" t="s">
        <v>105</v>
      </c>
      <c r="C585" s="109">
        <v>1</v>
      </c>
      <c r="D585" s="11" t="s">
        <v>5936</v>
      </c>
      <c r="E585" s="108">
        <v>38078</v>
      </c>
      <c r="F585" s="33">
        <v>2004</v>
      </c>
      <c r="G585" s="142" t="s">
        <v>1276</v>
      </c>
      <c r="H585" s="162" t="s">
        <v>1277</v>
      </c>
      <c r="I585" s="33" t="s">
        <v>33</v>
      </c>
      <c r="J585" s="30" t="s">
        <v>630</v>
      </c>
      <c r="K585" s="197" t="s">
        <v>729</v>
      </c>
      <c r="L585" s="137" t="s">
        <v>40</v>
      </c>
      <c r="M585" s="137" t="s">
        <v>804</v>
      </c>
      <c r="N585" s="238"/>
      <c r="O585" s="704" t="s">
        <v>1278</v>
      </c>
      <c r="P585" s="647" t="s">
        <v>1279</v>
      </c>
      <c r="Q585" s="15" t="s">
        <v>282</v>
      </c>
      <c r="R585" s="91"/>
      <c r="S585" s="92"/>
      <c r="T585" s="92"/>
      <c r="U585" s="623"/>
      <c r="V585" s="624"/>
      <c r="W585" s="185"/>
      <c r="X585" s="185"/>
      <c r="Y585" s="7">
        <f t="shared" si="18"/>
        <v>0</v>
      </c>
      <c r="Z585" s="185"/>
      <c r="AA585" s="469"/>
      <c r="AB585" s="513" t="s">
        <v>1231</v>
      </c>
      <c r="AC585" s="563"/>
      <c r="AD585" s="665">
        <v>0</v>
      </c>
      <c r="AE585" s="665"/>
      <c r="AF585" s="9">
        <f t="shared" si="19"/>
        <v>0</v>
      </c>
      <c r="AG585" s="183" t="s">
        <v>1192</v>
      </c>
      <c r="AH585" s="93"/>
      <c r="AI585" s="146"/>
      <c r="AJ585" s="93"/>
      <c r="AK585" s="30" t="s">
        <v>1177</v>
      </c>
      <c r="AL585" s="93" t="s">
        <v>1178</v>
      </c>
    </row>
    <row r="586" spans="1:38" ht="15" customHeight="1" x14ac:dyDescent="0.3">
      <c r="A586" s="30" t="s">
        <v>22</v>
      </c>
      <c r="B586" s="120" t="s">
        <v>105</v>
      </c>
      <c r="C586" s="109">
        <v>9</v>
      </c>
      <c r="D586" s="11" t="s">
        <v>5936</v>
      </c>
      <c r="E586" s="108">
        <v>36874</v>
      </c>
      <c r="F586" s="33">
        <v>2000</v>
      </c>
      <c r="G586" s="142" t="s">
        <v>1280</v>
      </c>
      <c r="H586" s="162"/>
      <c r="I586" s="12" t="s">
        <v>25</v>
      </c>
      <c r="J586" s="32" t="s">
        <v>26</v>
      </c>
      <c r="K586" s="197" t="s">
        <v>636</v>
      </c>
      <c r="L586" s="137" t="s">
        <v>40</v>
      </c>
      <c r="M586" s="137" t="s">
        <v>804</v>
      </c>
      <c r="N586" s="137"/>
      <c r="O586" s="93" t="s">
        <v>1281</v>
      </c>
      <c r="P586" s="647" t="s">
        <v>1282</v>
      </c>
      <c r="Q586" s="15" t="s">
        <v>282</v>
      </c>
      <c r="R586" s="91"/>
      <c r="S586" s="16" t="s">
        <v>35</v>
      </c>
      <c r="T586" s="92"/>
      <c r="U586" s="623"/>
      <c r="V586" s="623"/>
      <c r="W586" s="93" t="s">
        <v>1283</v>
      </c>
      <c r="X586" s="185"/>
      <c r="Y586" s="7" t="e">
        <f t="shared" si="18"/>
        <v>#VALUE!</v>
      </c>
      <c r="Z586" s="185"/>
      <c r="AA586" s="469"/>
      <c r="AB586" s="513" t="s">
        <v>1231</v>
      </c>
      <c r="AC586" s="563"/>
      <c r="AD586" s="665">
        <v>0</v>
      </c>
      <c r="AE586" s="665"/>
      <c r="AF586" s="9">
        <f t="shared" si="19"/>
        <v>0</v>
      </c>
      <c r="AG586" s="183" t="s">
        <v>1192</v>
      </c>
      <c r="AH586" s="93" t="s">
        <v>1284</v>
      </c>
      <c r="AI586" s="146" t="s">
        <v>1285</v>
      </c>
      <c r="AJ586" s="93"/>
      <c r="AK586" s="30" t="s">
        <v>1185</v>
      </c>
      <c r="AL586" s="93" t="s">
        <v>1178</v>
      </c>
    </row>
    <row r="587" spans="1:38" ht="15" customHeight="1" x14ac:dyDescent="0.3">
      <c r="A587" s="30" t="s">
        <v>140</v>
      </c>
      <c r="B587" s="145" t="s">
        <v>202</v>
      </c>
      <c r="C587" s="107">
        <v>1</v>
      </c>
      <c r="D587" s="12" t="s">
        <v>190</v>
      </c>
      <c r="E587" s="108">
        <v>38078</v>
      </c>
      <c r="F587" s="33">
        <v>2004</v>
      </c>
      <c r="G587" s="142"/>
      <c r="H587" s="162"/>
      <c r="I587" s="33" t="s">
        <v>33</v>
      </c>
      <c r="J587" s="30" t="s">
        <v>81</v>
      </c>
      <c r="K587" s="197" t="s">
        <v>141</v>
      </c>
      <c r="L587" s="137" t="s">
        <v>1286</v>
      </c>
      <c r="M587" s="137" t="s">
        <v>42</v>
      </c>
      <c r="N587" s="137"/>
      <c r="O587" s="93" t="s">
        <v>1287</v>
      </c>
      <c r="P587" s="138" t="s">
        <v>1288</v>
      </c>
      <c r="Q587" s="15" t="s">
        <v>35</v>
      </c>
      <c r="R587" s="91"/>
      <c r="S587" s="92" t="s">
        <v>1289</v>
      </c>
      <c r="T587" s="92"/>
      <c r="U587" s="623"/>
      <c r="V587" s="624"/>
      <c r="W587" s="185">
        <v>867400</v>
      </c>
      <c r="X587" s="185"/>
      <c r="Y587" s="7">
        <f t="shared" si="18"/>
        <v>0</v>
      </c>
      <c r="Z587" s="185"/>
      <c r="AA587" s="469"/>
      <c r="AB587" s="604" t="s">
        <v>6081</v>
      </c>
      <c r="AC587" s="163"/>
      <c r="AD587" s="639">
        <v>0</v>
      </c>
      <c r="AE587" s="639"/>
      <c r="AF587" s="9">
        <f t="shared" si="19"/>
        <v>0</v>
      </c>
      <c r="AG587" s="183">
        <v>10</v>
      </c>
      <c r="AH587" s="93"/>
      <c r="AI587" s="93"/>
      <c r="AJ587" s="93"/>
      <c r="AK587" s="30" t="s">
        <v>1177</v>
      </c>
      <c r="AL587" s="93" t="s">
        <v>1178</v>
      </c>
    </row>
    <row r="588" spans="1:38" ht="15" customHeight="1" x14ac:dyDescent="0.3">
      <c r="A588" s="30" t="s">
        <v>22</v>
      </c>
      <c r="B588" s="120" t="s">
        <v>1127</v>
      </c>
      <c r="C588" s="107" t="s">
        <v>1128</v>
      </c>
      <c r="D588" s="12" t="s">
        <v>190</v>
      </c>
      <c r="E588" s="108">
        <v>37622</v>
      </c>
      <c r="F588" s="146">
        <v>2003</v>
      </c>
      <c r="G588" s="142"/>
      <c r="H588" s="162"/>
      <c r="I588" s="33" t="s">
        <v>33</v>
      </c>
      <c r="J588" s="32" t="s">
        <v>26</v>
      </c>
      <c r="K588" s="138" t="s">
        <v>103</v>
      </c>
      <c r="L588" s="137" t="s">
        <v>40</v>
      </c>
      <c r="M588" s="137" t="s">
        <v>804</v>
      </c>
      <c r="N588" s="137"/>
      <c r="O588" s="138" t="s">
        <v>1290</v>
      </c>
      <c r="P588" s="138" t="s">
        <v>1291</v>
      </c>
      <c r="Q588" s="15" t="s">
        <v>282</v>
      </c>
      <c r="R588" s="91">
        <v>2004</v>
      </c>
      <c r="S588" s="16" t="s">
        <v>35</v>
      </c>
      <c r="T588" s="133">
        <v>38896</v>
      </c>
      <c r="U588" s="623"/>
      <c r="V588" s="624"/>
      <c r="W588" s="185">
        <v>120</v>
      </c>
      <c r="X588" s="185"/>
      <c r="Y588" s="7">
        <f t="shared" si="18"/>
        <v>0</v>
      </c>
      <c r="Z588" s="185"/>
      <c r="AA588" s="469"/>
      <c r="AB588" s="513" t="s">
        <v>5979</v>
      </c>
      <c r="AC588" s="147"/>
      <c r="AD588" s="639">
        <v>0</v>
      </c>
      <c r="AE588" s="639"/>
      <c r="AF588" s="9">
        <f t="shared" si="19"/>
        <v>0</v>
      </c>
      <c r="AG588" s="705">
        <v>1666</v>
      </c>
      <c r="AH588" s="93" t="s">
        <v>1843</v>
      </c>
      <c r="AI588" s="93"/>
      <c r="AJ588" s="93"/>
      <c r="AK588" s="30" t="s">
        <v>1185</v>
      </c>
      <c r="AL588" s="93" t="s">
        <v>1175</v>
      </c>
    </row>
    <row r="589" spans="1:38" ht="15" customHeight="1" x14ac:dyDescent="0.3">
      <c r="A589" s="30" t="s">
        <v>22</v>
      </c>
      <c r="B589" s="153" t="s">
        <v>193</v>
      </c>
      <c r="C589" s="107">
        <v>3</v>
      </c>
      <c r="D589" s="12" t="s">
        <v>190</v>
      </c>
      <c r="E589" s="108">
        <v>38231</v>
      </c>
      <c r="F589" s="33">
        <v>2004</v>
      </c>
      <c r="G589" s="142" t="s">
        <v>1292</v>
      </c>
      <c r="H589" s="162"/>
      <c r="I589" s="33" t="s">
        <v>33</v>
      </c>
      <c r="J589" s="32" t="s">
        <v>191</v>
      </c>
      <c r="K589" s="197" t="s">
        <v>1173</v>
      </c>
      <c r="L589" s="137" t="s">
        <v>40</v>
      </c>
      <c r="M589" s="137" t="s">
        <v>804</v>
      </c>
      <c r="N589" s="137"/>
      <c r="O589" s="93" t="s">
        <v>1293</v>
      </c>
      <c r="P589" s="138" t="s">
        <v>1294</v>
      </c>
      <c r="Q589" s="15" t="s">
        <v>282</v>
      </c>
      <c r="R589" s="91"/>
      <c r="S589" s="16" t="s">
        <v>44</v>
      </c>
      <c r="T589" s="92"/>
      <c r="U589" s="623"/>
      <c r="V589" s="624"/>
      <c r="W589" s="185">
        <v>72480025</v>
      </c>
      <c r="X589" s="185"/>
      <c r="Y589" s="7">
        <f t="shared" si="18"/>
        <v>0</v>
      </c>
      <c r="Z589" s="185"/>
      <c r="AA589" s="469"/>
      <c r="AB589" s="706" t="s">
        <v>1295</v>
      </c>
      <c r="AC589" s="200"/>
      <c r="AD589" s="639">
        <v>0</v>
      </c>
      <c r="AE589" s="639"/>
      <c r="AF589" s="9">
        <f t="shared" si="19"/>
        <v>0</v>
      </c>
      <c r="AG589" s="183">
        <v>7</v>
      </c>
      <c r="AH589" s="93"/>
      <c r="AI589" s="93" t="s">
        <v>1296</v>
      </c>
      <c r="AJ589" s="93"/>
      <c r="AK589" s="30" t="s">
        <v>1177</v>
      </c>
      <c r="AL589" s="93" t="s">
        <v>1175</v>
      </c>
    </row>
    <row r="590" spans="1:38" ht="15" customHeight="1" x14ac:dyDescent="0.3">
      <c r="A590" s="30" t="s">
        <v>22</v>
      </c>
      <c r="B590" s="112" t="s">
        <v>189</v>
      </c>
      <c r="C590" s="107">
        <v>1</v>
      </c>
      <c r="D590" s="12" t="s">
        <v>190</v>
      </c>
      <c r="E590" s="108">
        <v>37895</v>
      </c>
      <c r="F590" s="33">
        <v>2003</v>
      </c>
      <c r="G590" s="142"/>
      <c r="H590" s="162"/>
      <c r="I590" s="33" t="s">
        <v>33</v>
      </c>
      <c r="J590" s="32" t="s">
        <v>26</v>
      </c>
      <c r="K590" s="197" t="s">
        <v>392</v>
      </c>
      <c r="L590" s="137" t="s">
        <v>40</v>
      </c>
      <c r="M590" s="137" t="s">
        <v>804</v>
      </c>
      <c r="N590" s="137"/>
      <c r="O590" s="137" t="s">
        <v>805</v>
      </c>
      <c r="P590" s="138" t="s">
        <v>1297</v>
      </c>
      <c r="Q590" s="15" t="s">
        <v>282</v>
      </c>
      <c r="R590" s="91"/>
      <c r="S590" s="16" t="s">
        <v>44</v>
      </c>
      <c r="T590" s="92"/>
      <c r="U590" s="623"/>
      <c r="V590" s="624"/>
      <c r="W590" s="185"/>
      <c r="X590" s="185"/>
      <c r="Y590" s="7">
        <f t="shared" si="18"/>
        <v>0</v>
      </c>
      <c r="Z590" s="185"/>
      <c r="AA590" s="469"/>
      <c r="AB590" s="513" t="s">
        <v>5979</v>
      </c>
      <c r="AC590" s="563"/>
      <c r="AD590" s="665">
        <v>0</v>
      </c>
      <c r="AE590" s="665"/>
      <c r="AF590" s="9">
        <f t="shared" si="19"/>
        <v>0</v>
      </c>
      <c r="AG590" s="183"/>
      <c r="AH590" s="93"/>
      <c r="AI590" s="93"/>
      <c r="AJ590" s="181"/>
      <c r="AK590" s="30" t="s">
        <v>1177</v>
      </c>
      <c r="AL590" s="93" t="s">
        <v>1175</v>
      </c>
    </row>
    <row r="591" spans="1:38" ht="15" customHeight="1" x14ac:dyDescent="0.3">
      <c r="A591" s="30" t="s">
        <v>22</v>
      </c>
      <c r="B591" s="145" t="s">
        <v>144</v>
      </c>
      <c r="C591" s="107">
        <v>1</v>
      </c>
      <c r="D591" s="11" t="s">
        <v>143</v>
      </c>
      <c r="E591" s="108">
        <v>36675</v>
      </c>
      <c r="F591" s="33">
        <v>2000</v>
      </c>
      <c r="G591" s="142" t="s">
        <v>1298</v>
      </c>
      <c r="H591" s="162"/>
      <c r="I591" s="33" t="s">
        <v>33</v>
      </c>
      <c r="J591" s="32" t="s">
        <v>26</v>
      </c>
      <c r="K591" s="197" t="s">
        <v>392</v>
      </c>
      <c r="L591" s="137" t="s">
        <v>40</v>
      </c>
      <c r="M591" s="137" t="s">
        <v>804</v>
      </c>
      <c r="N591" s="137"/>
      <c r="O591" s="93" t="s">
        <v>1299</v>
      </c>
      <c r="P591" s="138" t="s">
        <v>1300</v>
      </c>
      <c r="Q591" s="15" t="s">
        <v>282</v>
      </c>
      <c r="R591" s="91"/>
      <c r="S591" s="16" t="s">
        <v>44</v>
      </c>
      <c r="T591" s="92"/>
      <c r="U591" s="623"/>
      <c r="V591" s="624"/>
      <c r="W591" s="185"/>
      <c r="X591" s="185"/>
      <c r="Y591" s="7">
        <f t="shared" si="18"/>
        <v>0</v>
      </c>
      <c r="Z591" s="185"/>
      <c r="AA591" s="469"/>
      <c r="AB591" s="513" t="s">
        <v>147</v>
      </c>
      <c r="AC591" s="147"/>
      <c r="AD591" s="639">
        <v>0</v>
      </c>
      <c r="AE591" s="665"/>
      <c r="AF591" s="9">
        <f t="shared" si="19"/>
        <v>0</v>
      </c>
      <c r="AG591" s="182">
        <v>7</v>
      </c>
      <c r="AH591" s="93"/>
      <c r="AI591" s="93"/>
      <c r="AJ591" s="93"/>
      <c r="AK591" s="30" t="s">
        <v>99</v>
      </c>
      <c r="AL591" s="93" t="s">
        <v>1175</v>
      </c>
    </row>
    <row r="592" spans="1:38" ht="15" customHeight="1" x14ac:dyDescent="0.3">
      <c r="A592" s="30" t="s">
        <v>22</v>
      </c>
      <c r="B592" s="145" t="s">
        <v>159</v>
      </c>
      <c r="C592" s="107">
        <v>1</v>
      </c>
      <c r="D592" s="11" t="s">
        <v>143</v>
      </c>
      <c r="E592" s="108">
        <v>38261</v>
      </c>
      <c r="F592" s="12">
        <v>2004</v>
      </c>
      <c r="G592" s="142" t="s">
        <v>1301</v>
      </c>
      <c r="H592" s="162"/>
      <c r="I592" s="33" t="s">
        <v>33</v>
      </c>
      <c r="J592" s="32" t="s">
        <v>26</v>
      </c>
      <c r="K592" s="197" t="s">
        <v>1194</v>
      </c>
      <c r="L592" s="137" t="s">
        <v>40</v>
      </c>
      <c r="M592" s="137" t="s">
        <v>804</v>
      </c>
      <c r="N592" s="137"/>
      <c r="O592" s="93" t="s">
        <v>1302</v>
      </c>
      <c r="P592" s="138" t="s">
        <v>1303</v>
      </c>
      <c r="Q592" s="15" t="s">
        <v>282</v>
      </c>
      <c r="R592" s="91"/>
      <c r="S592" s="16" t="s">
        <v>44</v>
      </c>
      <c r="T592" s="92"/>
      <c r="U592" s="623"/>
      <c r="V592" s="624"/>
      <c r="W592" s="185"/>
      <c r="X592" s="185"/>
      <c r="Y592" s="7">
        <f t="shared" si="18"/>
        <v>0</v>
      </c>
      <c r="Z592" s="185"/>
      <c r="AA592" s="469"/>
      <c r="AB592" s="564" t="s">
        <v>578</v>
      </c>
      <c r="AC592" s="565"/>
      <c r="AD592" s="665">
        <v>0</v>
      </c>
      <c r="AE592" s="665"/>
      <c r="AF592" s="9">
        <f t="shared" si="19"/>
        <v>0</v>
      </c>
      <c r="AG592" s="183"/>
      <c r="AH592" s="93" t="s">
        <v>1304</v>
      </c>
      <c r="AI592" s="93"/>
      <c r="AJ592" s="93"/>
      <c r="AK592" s="30" t="s">
        <v>1185</v>
      </c>
      <c r="AL592" s="93" t="s">
        <v>1178</v>
      </c>
    </row>
    <row r="593" spans="1:38" ht="15" customHeight="1" x14ac:dyDescent="0.3">
      <c r="A593" s="30" t="s">
        <v>22</v>
      </c>
      <c r="B593" s="120" t="s">
        <v>105</v>
      </c>
      <c r="C593" s="109">
        <v>19</v>
      </c>
      <c r="D593" s="11" t="s">
        <v>5936</v>
      </c>
      <c r="E593" s="108">
        <v>37987</v>
      </c>
      <c r="F593" s="146">
        <v>2004</v>
      </c>
      <c r="G593" s="142" t="s">
        <v>1305</v>
      </c>
      <c r="H593" s="162" t="s">
        <v>1306</v>
      </c>
      <c r="I593" s="33" t="s">
        <v>33</v>
      </c>
      <c r="J593" s="32" t="s">
        <v>26</v>
      </c>
      <c r="K593" s="197" t="s">
        <v>392</v>
      </c>
      <c r="L593" s="137" t="s">
        <v>40</v>
      </c>
      <c r="M593" s="137" t="s">
        <v>804</v>
      </c>
      <c r="N593" s="137"/>
      <c r="O593" s="93" t="s">
        <v>1307</v>
      </c>
      <c r="P593" s="647" t="s">
        <v>1308</v>
      </c>
      <c r="Q593" s="15" t="s">
        <v>35</v>
      </c>
      <c r="R593" s="91"/>
      <c r="S593" s="16" t="s">
        <v>35</v>
      </c>
      <c r="T593" s="92"/>
      <c r="U593" s="623"/>
      <c r="V593" s="624"/>
      <c r="W593" s="185">
        <v>41172305</v>
      </c>
      <c r="X593" s="185"/>
      <c r="Y593" s="7">
        <f t="shared" si="18"/>
        <v>0</v>
      </c>
      <c r="Z593" s="185"/>
      <c r="AA593" s="469"/>
      <c r="AB593" s="513" t="s">
        <v>1231</v>
      </c>
      <c r="AC593" s="563"/>
      <c r="AD593" s="665">
        <v>0</v>
      </c>
      <c r="AE593" s="665"/>
      <c r="AF593" s="9">
        <f t="shared" si="19"/>
        <v>0</v>
      </c>
      <c r="AG593" s="183" t="s">
        <v>1192</v>
      </c>
      <c r="AH593" s="93"/>
      <c r="AI593" s="146"/>
      <c r="AJ593" s="93"/>
      <c r="AK593" s="30" t="s">
        <v>1185</v>
      </c>
      <c r="AL593" s="93" t="s">
        <v>1175</v>
      </c>
    </row>
    <row r="594" spans="1:38" ht="15" customHeight="1" x14ac:dyDescent="0.3">
      <c r="A594" s="30" t="s">
        <v>22</v>
      </c>
      <c r="B594" s="153" t="s">
        <v>23</v>
      </c>
      <c r="C594" s="107">
        <v>8</v>
      </c>
      <c r="D594" s="11" t="s">
        <v>24</v>
      </c>
      <c r="E594" s="114">
        <v>38534</v>
      </c>
      <c r="F594" s="12">
        <v>2005</v>
      </c>
      <c r="G594" s="142" t="s">
        <v>1309</v>
      </c>
      <c r="H594" s="162" t="s">
        <v>1310</v>
      </c>
      <c r="I594" s="33" t="s">
        <v>33</v>
      </c>
      <c r="J594" s="32" t="s">
        <v>26</v>
      </c>
      <c r="K594" s="138" t="s">
        <v>1194</v>
      </c>
      <c r="L594" s="137" t="s">
        <v>1116</v>
      </c>
      <c r="M594" s="137" t="s">
        <v>42</v>
      </c>
      <c r="N594" s="137"/>
      <c r="O594" s="93" t="s">
        <v>1311</v>
      </c>
      <c r="P594" s="138" t="s">
        <v>1312</v>
      </c>
      <c r="Q594" s="93"/>
      <c r="R594" s="93"/>
      <c r="S594" s="93"/>
      <c r="T594" s="93"/>
      <c r="U594" s="93"/>
      <c r="V594" s="137"/>
      <c r="W594" s="185">
        <v>100000000</v>
      </c>
      <c r="X594" s="185"/>
      <c r="Y594" s="7">
        <f t="shared" si="18"/>
        <v>0</v>
      </c>
      <c r="Z594" s="185"/>
      <c r="AA594" s="469"/>
      <c r="AB594" s="518" t="s">
        <v>933</v>
      </c>
      <c r="AC594" s="519"/>
      <c r="AD594" s="639">
        <v>0</v>
      </c>
      <c r="AE594" s="639"/>
      <c r="AF594" s="9">
        <f t="shared" si="19"/>
        <v>0</v>
      </c>
      <c r="AG594" s="183" t="s">
        <v>1099</v>
      </c>
      <c r="AH594" s="93" t="s">
        <v>1160</v>
      </c>
      <c r="AI594" s="93" t="s">
        <v>1313</v>
      </c>
      <c r="AJ594" s="93"/>
      <c r="AK594" s="30" t="s">
        <v>1177</v>
      </c>
      <c r="AL594" s="93" t="s">
        <v>1178</v>
      </c>
    </row>
    <row r="595" spans="1:38" ht="15" customHeight="1" x14ac:dyDescent="0.3">
      <c r="A595" s="30" t="s">
        <v>22</v>
      </c>
      <c r="B595" s="120" t="s">
        <v>23</v>
      </c>
      <c r="C595" s="107">
        <v>15</v>
      </c>
      <c r="D595" s="11" t="s">
        <v>24</v>
      </c>
      <c r="E595" s="114">
        <v>39036</v>
      </c>
      <c r="F595" s="12">
        <v>2006</v>
      </c>
      <c r="G595" s="142" t="s">
        <v>1314</v>
      </c>
      <c r="H595" s="162" t="s">
        <v>1315</v>
      </c>
      <c r="I595" s="12" t="s">
        <v>938</v>
      </c>
      <c r="J595" s="32" t="s">
        <v>26</v>
      </c>
      <c r="K595" s="197" t="s">
        <v>636</v>
      </c>
      <c r="L595" s="197" t="s">
        <v>1316</v>
      </c>
      <c r="M595" s="137" t="s">
        <v>804</v>
      </c>
      <c r="N595" s="138"/>
      <c r="O595" s="138" t="s">
        <v>1317</v>
      </c>
      <c r="P595" s="138" t="s">
        <v>1312</v>
      </c>
      <c r="Q595" s="138"/>
      <c r="R595" s="197"/>
      <c r="S595" s="197"/>
      <c r="T595" s="197"/>
      <c r="U595" s="197"/>
      <c r="V595" s="197"/>
      <c r="W595" s="189">
        <v>27000000</v>
      </c>
      <c r="X595" s="185"/>
      <c r="Y595" s="7">
        <f t="shared" si="18"/>
        <v>0</v>
      </c>
      <c r="Z595" s="185"/>
      <c r="AA595" s="469"/>
      <c r="AB595" s="479" t="s">
        <v>49</v>
      </c>
      <c r="AC595" s="480"/>
      <c r="AD595" s="702">
        <v>0</v>
      </c>
      <c r="AE595" s="702"/>
      <c r="AF595" s="9">
        <f t="shared" si="19"/>
        <v>0</v>
      </c>
      <c r="AG595" s="163" t="s">
        <v>667</v>
      </c>
      <c r="AH595" s="93" t="s">
        <v>5970</v>
      </c>
      <c r="AI595" s="138"/>
      <c r="AJ595" s="138"/>
      <c r="AK595" s="181" t="s">
        <v>1177</v>
      </c>
      <c r="AL595" s="138" t="s">
        <v>1178</v>
      </c>
    </row>
    <row r="596" spans="1:38" ht="15" customHeight="1" x14ac:dyDescent="0.3">
      <c r="A596" s="30" t="s">
        <v>22</v>
      </c>
      <c r="B596" s="153" t="s">
        <v>23</v>
      </c>
      <c r="C596" s="107" t="s">
        <v>1007</v>
      </c>
      <c r="D596" s="11" t="s">
        <v>24</v>
      </c>
      <c r="E596" s="114">
        <v>39139</v>
      </c>
      <c r="F596" s="12">
        <v>2007</v>
      </c>
      <c r="G596" s="142" t="s">
        <v>1318</v>
      </c>
      <c r="H596" s="162"/>
      <c r="I596" s="33" t="s">
        <v>33</v>
      </c>
      <c r="J596" s="32" t="s">
        <v>26</v>
      </c>
      <c r="K596" s="197" t="s">
        <v>1194</v>
      </c>
      <c r="L596" s="137" t="s">
        <v>1319</v>
      </c>
      <c r="M596" s="137" t="s">
        <v>804</v>
      </c>
      <c r="N596" s="137"/>
      <c r="O596" s="93" t="s">
        <v>1320</v>
      </c>
      <c r="P596" s="138" t="s">
        <v>1312</v>
      </c>
      <c r="Q596" s="93"/>
      <c r="R596" s="93"/>
      <c r="S596" s="93"/>
      <c r="T596" s="137"/>
      <c r="U596" s="137"/>
      <c r="V596" s="137"/>
      <c r="W596" s="189">
        <v>100</v>
      </c>
      <c r="X596" s="185"/>
      <c r="Y596" s="7">
        <f t="shared" si="18"/>
        <v>0</v>
      </c>
      <c r="Z596" s="185"/>
      <c r="AA596" s="469"/>
      <c r="AB596" s="479" t="s">
        <v>49</v>
      </c>
      <c r="AC596" s="480"/>
      <c r="AD596" s="639">
        <v>0</v>
      </c>
      <c r="AE596" s="639"/>
      <c r="AF596" s="9">
        <f t="shared" si="19"/>
        <v>0</v>
      </c>
      <c r="AG596" s="183" t="s">
        <v>667</v>
      </c>
      <c r="AH596" s="93" t="s">
        <v>5970</v>
      </c>
      <c r="AI596" s="93" t="s">
        <v>1321</v>
      </c>
      <c r="AJ596" s="93"/>
      <c r="AK596" s="30" t="s">
        <v>1177</v>
      </c>
      <c r="AL596" s="93" t="s">
        <v>1178</v>
      </c>
    </row>
    <row r="597" spans="1:38" ht="15" customHeight="1" x14ac:dyDescent="0.3">
      <c r="A597" s="30" t="s">
        <v>22</v>
      </c>
      <c r="B597" s="145" t="s">
        <v>144</v>
      </c>
      <c r="C597" s="107">
        <v>1</v>
      </c>
      <c r="D597" s="11" t="s">
        <v>143</v>
      </c>
      <c r="E597" s="108">
        <v>36675</v>
      </c>
      <c r="F597" s="33">
        <v>2000</v>
      </c>
      <c r="G597" s="142" t="s">
        <v>1298</v>
      </c>
      <c r="H597" s="162"/>
      <c r="I597" s="33" t="s">
        <v>33</v>
      </c>
      <c r="J597" s="32" t="s">
        <v>26</v>
      </c>
      <c r="K597" s="197" t="s">
        <v>392</v>
      </c>
      <c r="L597" s="137" t="s">
        <v>40</v>
      </c>
      <c r="M597" s="137" t="s">
        <v>804</v>
      </c>
      <c r="N597" s="137"/>
      <c r="O597" s="93" t="s">
        <v>1299</v>
      </c>
      <c r="P597" s="138" t="s">
        <v>1300</v>
      </c>
      <c r="Q597" s="15" t="s">
        <v>282</v>
      </c>
      <c r="R597" s="91"/>
      <c r="S597" s="16" t="s">
        <v>44</v>
      </c>
      <c r="T597" s="92"/>
      <c r="U597" s="623"/>
      <c r="V597" s="624"/>
      <c r="W597" s="185"/>
      <c r="X597" s="185"/>
      <c r="Y597" s="7">
        <f t="shared" si="18"/>
        <v>0</v>
      </c>
      <c r="Z597" s="185"/>
      <c r="AA597" s="469"/>
      <c r="AB597" s="513" t="s">
        <v>147</v>
      </c>
      <c r="AC597" s="147"/>
      <c r="AD597" s="639">
        <v>0</v>
      </c>
      <c r="AE597" s="639"/>
      <c r="AF597" s="9">
        <f t="shared" si="19"/>
        <v>0</v>
      </c>
      <c r="AG597" s="183">
        <v>7</v>
      </c>
      <c r="AH597" s="93"/>
      <c r="AI597" s="93"/>
      <c r="AJ597" s="93"/>
      <c r="AK597" s="30" t="s">
        <v>99</v>
      </c>
      <c r="AL597" s="93" t="s">
        <v>1175</v>
      </c>
    </row>
    <row r="598" spans="1:38" ht="15" customHeight="1" x14ac:dyDescent="0.3">
      <c r="A598" s="30" t="s">
        <v>22</v>
      </c>
      <c r="B598" s="154" t="s">
        <v>229</v>
      </c>
      <c r="C598" s="109">
        <v>2</v>
      </c>
      <c r="D598" s="11" t="s">
        <v>225</v>
      </c>
      <c r="E598" s="156">
        <v>38504</v>
      </c>
      <c r="F598" s="33">
        <v>2005</v>
      </c>
      <c r="G598" s="157"/>
      <c r="H598" s="161"/>
      <c r="I598" s="33" t="s">
        <v>33</v>
      </c>
      <c r="J598" s="32" t="s">
        <v>26</v>
      </c>
      <c r="K598" s="138" t="s">
        <v>392</v>
      </c>
      <c r="L598" s="93" t="s">
        <v>1116</v>
      </c>
      <c r="M598" s="93" t="s">
        <v>42</v>
      </c>
      <c r="N598" s="146"/>
      <c r="O598" s="146" t="s">
        <v>1322</v>
      </c>
      <c r="P598" s="200" t="s">
        <v>1323</v>
      </c>
      <c r="Q598" s="15" t="s">
        <v>282</v>
      </c>
      <c r="R598" s="143"/>
      <c r="S598" s="16" t="s">
        <v>44</v>
      </c>
      <c r="T598" s="144"/>
      <c r="U598" s="707" t="s">
        <v>1324</v>
      </c>
      <c r="V598" s="707"/>
      <c r="W598" s="7"/>
      <c r="X598" s="185"/>
      <c r="Y598" s="7">
        <f t="shared" si="18"/>
        <v>0</v>
      </c>
      <c r="Z598" s="185"/>
      <c r="AA598" s="469"/>
      <c r="AB598" s="479" t="s">
        <v>49</v>
      </c>
      <c r="AC598" s="480"/>
      <c r="AD598" s="639">
        <v>0</v>
      </c>
      <c r="AE598" s="690"/>
      <c r="AF598" s="9">
        <f t="shared" si="19"/>
        <v>0</v>
      </c>
      <c r="AG598" s="708" t="s">
        <v>1325</v>
      </c>
      <c r="AH598" s="137"/>
      <c r="AI598" s="137"/>
      <c r="AJ598" s="238"/>
      <c r="AK598" s="709" t="s">
        <v>1177</v>
      </c>
      <c r="AL598" s="146" t="s">
        <v>1175</v>
      </c>
    </row>
    <row r="599" spans="1:38" ht="15" customHeight="1" x14ac:dyDescent="0.3">
      <c r="A599" s="30" t="s">
        <v>22</v>
      </c>
      <c r="B599" s="120" t="s">
        <v>105</v>
      </c>
      <c r="C599" s="109">
        <v>5</v>
      </c>
      <c r="D599" s="11" t="s">
        <v>5936</v>
      </c>
      <c r="E599" s="108">
        <v>36663</v>
      </c>
      <c r="F599" s="37">
        <v>2000</v>
      </c>
      <c r="G599" s="142" t="s">
        <v>1326</v>
      </c>
      <c r="H599" s="162" t="s">
        <v>1327</v>
      </c>
      <c r="I599" s="109" t="s">
        <v>25</v>
      </c>
      <c r="J599" s="32" t="s">
        <v>26</v>
      </c>
      <c r="K599" s="197" t="s">
        <v>636</v>
      </c>
      <c r="L599" s="137" t="s">
        <v>40</v>
      </c>
      <c r="M599" s="137" t="s">
        <v>804</v>
      </c>
      <c r="N599" s="238"/>
      <c r="O599" s="146" t="s">
        <v>1328</v>
      </c>
      <c r="P599" s="647" t="s">
        <v>1329</v>
      </c>
      <c r="Q599" s="15" t="s">
        <v>282</v>
      </c>
      <c r="R599" s="91"/>
      <c r="S599" s="16" t="s">
        <v>44</v>
      </c>
      <c r="T599" s="92"/>
      <c r="U599" s="623"/>
      <c r="V599" s="624"/>
      <c r="W599" s="185">
        <v>35</v>
      </c>
      <c r="X599" s="185"/>
      <c r="Y599" s="7">
        <f t="shared" si="18"/>
        <v>0</v>
      </c>
      <c r="Z599" s="185"/>
      <c r="AA599" s="469"/>
      <c r="AB599" s="513" t="s">
        <v>1231</v>
      </c>
      <c r="AC599" s="563"/>
      <c r="AD599" s="665">
        <v>0</v>
      </c>
      <c r="AE599" s="665"/>
      <c r="AF599" s="9">
        <f t="shared" si="19"/>
        <v>0</v>
      </c>
      <c r="AG599" s="183" t="s">
        <v>1192</v>
      </c>
      <c r="AH599" s="93" t="s">
        <v>1330</v>
      </c>
      <c r="AI599" s="146"/>
      <c r="AJ599" s="93"/>
      <c r="AK599" s="30" t="s">
        <v>1185</v>
      </c>
      <c r="AL599" s="93" t="s">
        <v>1178</v>
      </c>
    </row>
    <row r="600" spans="1:38" ht="15" customHeight="1" x14ac:dyDescent="0.3">
      <c r="A600" s="30" t="s">
        <v>22</v>
      </c>
      <c r="B600" s="112" t="s">
        <v>105</v>
      </c>
      <c r="C600" s="109">
        <v>6</v>
      </c>
      <c r="D600" s="11" t="s">
        <v>5936</v>
      </c>
      <c r="E600" s="108">
        <v>36865</v>
      </c>
      <c r="F600" s="33">
        <v>2000</v>
      </c>
      <c r="G600" s="142" t="s">
        <v>1331</v>
      </c>
      <c r="H600" s="162"/>
      <c r="I600" s="33" t="s">
        <v>33</v>
      </c>
      <c r="J600" s="32" t="s">
        <v>26</v>
      </c>
      <c r="K600" s="197" t="s">
        <v>636</v>
      </c>
      <c r="L600" s="137" t="s">
        <v>40</v>
      </c>
      <c r="M600" s="137" t="s">
        <v>804</v>
      </c>
      <c r="N600" s="137"/>
      <c r="O600" s="93" t="s">
        <v>1332</v>
      </c>
      <c r="P600" s="684" t="s">
        <v>1333</v>
      </c>
      <c r="Q600" s="15" t="s">
        <v>35</v>
      </c>
      <c r="R600" s="91" t="s">
        <v>1334</v>
      </c>
      <c r="S600" s="16" t="s">
        <v>44</v>
      </c>
      <c r="T600" s="92" t="s">
        <v>1335</v>
      </c>
      <c r="U600" s="623" t="s">
        <v>1336</v>
      </c>
      <c r="V600" s="624"/>
      <c r="W600" s="185"/>
      <c r="X600" s="185"/>
      <c r="Y600" s="7">
        <f t="shared" si="18"/>
        <v>0</v>
      </c>
      <c r="Z600" s="185"/>
      <c r="AA600" s="469"/>
      <c r="AB600" s="513" t="s">
        <v>1231</v>
      </c>
      <c r="AC600" s="563"/>
      <c r="AD600" s="665">
        <v>0</v>
      </c>
      <c r="AE600" s="665"/>
      <c r="AF600" s="9">
        <f t="shared" si="19"/>
        <v>0</v>
      </c>
      <c r="AG600" s="183" t="s">
        <v>1192</v>
      </c>
      <c r="AH600" s="93" t="s">
        <v>1337</v>
      </c>
      <c r="AI600" s="146" t="s">
        <v>1338</v>
      </c>
      <c r="AJ600" s="93"/>
      <c r="AK600" s="30" t="s">
        <v>1185</v>
      </c>
      <c r="AL600" s="93" t="s">
        <v>1178</v>
      </c>
    </row>
    <row r="601" spans="1:38" ht="15" customHeight="1" x14ac:dyDescent="0.3">
      <c r="A601" s="30" t="s">
        <v>22</v>
      </c>
      <c r="B601" s="112" t="s">
        <v>1339</v>
      </c>
      <c r="C601" s="109">
        <v>1</v>
      </c>
      <c r="D601" s="12" t="s">
        <v>190</v>
      </c>
      <c r="E601" s="108">
        <v>38353</v>
      </c>
      <c r="F601" s="146">
        <v>2005</v>
      </c>
      <c r="G601" s="142"/>
      <c r="H601" s="162"/>
      <c r="I601" s="33" t="s">
        <v>33</v>
      </c>
      <c r="J601" s="32" t="s">
        <v>26</v>
      </c>
      <c r="K601" s="197" t="s">
        <v>636</v>
      </c>
      <c r="L601" s="137" t="s">
        <v>1340</v>
      </c>
      <c r="M601" s="137" t="s">
        <v>804</v>
      </c>
      <c r="N601" s="93"/>
      <c r="O601" s="93" t="s">
        <v>1341</v>
      </c>
      <c r="P601" s="138" t="s">
        <v>1342</v>
      </c>
      <c r="Q601" s="15" t="s">
        <v>35</v>
      </c>
      <c r="R601" s="132">
        <v>38776</v>
      </c>
      <c r="S601" s="16" t="s">
        <v>35</v>
      </c>
      <c r="T601" s="133">
        <v>39143</v>
      </c>
      <c r="U601" s="623"/>
      <c r="V601" s="624"/>
      <c r="W601" s="185">
        <v>13573562</v>
      </c>
      <c r="X601" s="185"/>
      <c r="Y601" s="7">
        <f t="shared" si="18"/>
        <v>0</v>
      </c>
      <c r="Z601" s="185"/>
      <c r="AA601" s="469"/>
      <c r="AB601" s="513" t="s">
        <v>1343</v>
      </c>
      <c r="AC601" s="147"/>
      <c r="AD601" s="639">
        <v>0</v>
      </c>
      <c r="AE601" s="639"/>
      <c r="AF601" s="9">
        <f t="shared" si="19"/>
        <v>0</v>
      </c>
      <c r="AG601" s="183" t="s">
        <v>1344</v>
      </c>
      <c r="AH601" s="93" t="s">
        <v>1345</v>
      </c>
      <c r="AI601" s="93" t="s">
        <v>1346</v>
      </c>
      <c r="AJ601" s="93"/>
      <c r="AK601" s="30" t="s">
        <v>1177</v>
      </c>
      <c r="AL601" s="93" t="s">
        <v>1178</v>
      </c>
    </row>
    <row r="602" spans="1:38" ht="15" customHeight="1" x14ac:dyDescent="0.3">
      <c r="A602" s="30" t="s">
        <v>22</v>
      </c>
      <c r="B602" s="88" t="s">
        <v>422</v>
      </c>
      <c r="C602" s="107">
        <v>1</v>
      </c>
      <c r="D602" s="12" t="s">
        <v>190</v>
      </c>
      <c r="E602" s="108">
        <v>37987</v>
      </c>
      <c r="F602" s="146">
        <v>2004</v>
      </c>
      <c r="G602" s="142" t="s">
        <v>1347</v>
      </c>
      <c r="H602" s="162"/>
      <c r="I602" s="33" t="s">
        <v>33</v>
      </c>
      <c r="J602" s="32" t="s">
        <v>26</v>
      </c>
      <c r="K602" s="197" t="s">
        <v>392</v>
      </c>
      <c r="L602" s="137" t="s">
        <v>1153</v>
      </c>
      <c r="M602" s="137" t="s">
        <v>953</v>
      </c>
      <c r="N602" s="137"/>
      <c r="O602" s="93" t="s">
        <v>997</v>
      </c>
      <c r="P602" s="138" t="s">
        <v>1348</v>
      </c>
      <c r="Q602" s="15" t="s">
        <v>282</v>
      </c>
      <c r="R602" s="91">
        <v>2006</v>
      </c>
      <c r="S602" s="16" t="s">
        <v>44</v>
      </c>
      <c r="T602" s="133">
        <v>38986</v>
      </c>
      <c r="U602" s="623"/>
      <c r="V602" s="624"/>
      <c r="W602" s="185"/>
      <c r="X602" s="185"/>
      <c r="Y602" s="7">
        <f t="shared" si="18"/>
        <v>0</v>
      </c>
      <c r="Z602" s="185"/>
      <c r="AA602" s="469"/>
      <c r="AB602" s="513" t="s">
        <v>424</v>
      </c>
      <c r="AC602" s="147"/>
      <c r="AD602" s="639">
        <v>0</v>
      </c>
      <c r="AE602" s="639"/>
      <c r="AF602" s="9">
        <f t="shared" si="19"/>
        <v>0</v>
      </c>
      <c r="AG602" s="183"/>
      <c r="AH602" s="93"/>
      <c r="AI602" s="93"/>
      <c r="AJ602" s="93"/>
      <c r="AK602" s="30" t="s">
        <v>1177</v>
      </c>
      <c r="AL602" s="93" t="s">
        <v>1175</v>
      </c>
    </row>
    <row r="603" spans="1:38" ht="15" customHeight="1" x14ac:dyDescent="0.3">
      <c r="A603" s="30" t="s">
        <v>22</v>
      </c>
      <c r="B603" s="120" t="s">
        <v>1127</v>
      </c>
      <c r="C603" s="107" t="s">
        <v>1128</v>
      </c>
      <c r="D603" s="12" t="s">
        <v>190</v>
      </c>
      <c r="E603" s="108">
        <v>37987</v>
      </c>
      <c r="F603" s="146">
        <v>2004</v>
      </c>
      <c r="G603" s="142" t="s">
        <v>1349</v>
      </c>
      <c r="H603" s="162"/>
      <c r="I603" s="33" t="s">
        <v>33</v>
      </c>
      <c r="J603" s="32" t="s">
        <v>26</v>
      </c>
      <c r="K603" s="138" t="s">
        <v>103</v>
      </c>
      <c r="L603" s="137" t="s">
        <v>1116</v>
      </c>
      <c r="M603" s="137" t="s">
        <v>42</v>
      </c>
      <c r="N603" s="137"/>
      <c r="O603" s="93" t="s">
        <v>1350</v>
      </c>
      <c r="P603" s="138" t="s">
        <v>1351</v>
      </c>
      <c r="Q603" s="15" t="s">
        <v>282</v>
      </c>
      <c r="R603" s="132">
        <v>38258</v>
      </c>
      <c r="S603" s="16" t="s">
        <v>44</v>
      </c>
      <c r="T603" s="133">
        <v>38896</v>
      </c>
      <c r="U603" s="623"/>
      <c r="V603" s="624"/>
      <c r="W603" s="185"/>
      <c r="X603" s="185"/>
      <c r="Y603" s="7">
        <f t="shared" si="18"/>
        <v>0</v>
      </c>
      <c r="Z603" s="185"/>
      <c r="AA603" s="469"/>
      <c r="AB603" s="513" t="s">
        <v>5979</v>
      </c>
      <c r="AC603" s="147"/>
      <c r="AD603" s="639">
        <v>0</v>
      </c>
      <c r="AE603" s="639"/>
      <c r="AF603" s="9">
        <f t="shared" si="19"/>
        <v>0</v>
      </c>
      <c r="AG603" s="183"/>
      <c r="AH603" s="93" t="s">
        <v>1352</v>
      </c>
      <c r="AI603" s="93"/>
      <c r="AJ603" s="93"/>
      <c r="AK603" s="30" t="s">
        <v>1185</v>
      </c>
      <c r="AL603" s="93" t="s">
        <v>1175</v>
      </c>
    </row>
    <row r="604" spans="1:38" ht="15" customHeight="1" x14ac:dyDescent="0.3">
      <c r="A604" s="30" t="s">
        <v>22</v>
      </c>
      <c r="B604" s="153" t="s">
        <v>144</v>
      </c>
      <c r="C604" s="107">
        <v>5</v>
      </c>
      <c r="D604" s="11" t="s">
        <v>143</v>
      </c>
      <c r="E604" s="108">
        <v>37165</v>
      </c>
      <c r="F604" s="12">
        <v>2001</v>
      </c>
      <c r="G604" s="142" t="s">
        <v>1353</v>
      </c>
      <c r="H604" s="162"/>
      <c r="I604" s="12" t="s">
        <v>25</v>
      </c>
      <c r="J604" s="32" t="s">
        <v>26</v>
      </c>
      <c r="K604" s="138" t="s">
        <v>180</v>
      </c>
      <c r="L604" s="137" t="s">
        <v>40</v>
      </c>
      <c r="M604" s="137" t="s">
        <v>804</v>
      </c>
      <c r="N604" s="137"/>
      <c r="O604" s="93" t="s">
        <v>1354</v>
      </c>
      <c r="P604" s="138" t="s">
        <v>1355</v>
      </c>
      <c r="Q604" s="15" t="s">
        <v>282</v>
      </c>
      <c r="R604" s="132">
        <v>38295</v>
      </c>
      <c r="S604" s="16" t="s">
        <v>44</v>
      </c>
      <c r="T604" s="133">
        <v>39325</v>
      </c>
      <c r="U604" s="623"/>
      <c r="V604" s="624"/>
      <c r="W604" s="185"/>
      <c r="X604" s="185"/>
      <c r="Y604" s="7">
        <f t="shared" si="18"/>
        <v>0</v>
      </c>
      <c r="Z604" s="185"/>
      <c r="AA604" s="469"/>
      <c r="AB604" s="513" t="s">
        <v>147</v>
      </c>
      <c r="AC604" s="563"/>
      <c r="AD604" s="665">
        <v>0</v>
      </c>
      <c r="AE604" s="665"/>
      <c r="AF604" s="9">
        <f t="shared" si="19"/>
        <v>0</v>
      </c>
      <c r="AG604" s="183"/>
      <c r="AH604" s="93" t="s">
        <v>1356</v>
      </c>
      <c r="AI604" s="93"/>
      <c r="AJ604" s="93"/>
      <c r="AK604" s="30" t="s">
        <v>1185</v>
      </c>
      <c r="AL604" s="93" t="s">
        <v>1178</v>
      </c>
    </row>
    <row r="605" spans="1:38" ht="15" customHeight="1" x14ac:dyDescent="0.3">
      <c r="A605" s="30" t="s">
        <v>22</v>
      </c>
      <c r="B605" s="153" t="s">
        <v>159</v>
      </c>
      <c r="C605" s="135">
        <v>1</v>
      </c>
      <c r="D605" s="11" t="s">
        <v>143</v>
      </c>
      <c r="E605" s="108">
        <v>37757</v>
      </c>
      <c r="F605" s="12">
        <v>2003</v>
      </c>
      <c r="G605" s="142" t="s">
        <v>1357</v>
      </c>
      <c r="H605" s="162"/>
      <c r="I605" s="57" t="s">
        <v>6176</v>
      </c>
      <c r="J605" s="181" t="s">
        <v>1358</v>
      </c>
      <c r="K605" s="197" t="s">
        <v>1139</v>
      </c>
      <c r="L605" s="137" t="s">
        <v>40</v>
      </c>
      <c r="M605" s="137" t="s">
        <v>804</v>
      </c>
      <c r="N605" s="137"/>
      <c r="O605" s="138" t="s">
        <v>1359</v>
      </c>
      <c r="P605" s="138" t="s">
        <v>1360</v>
      </c>
      <c r="Q605" s="15" t="s">
        <v>282</v>
      </c>
      <c r="R605" s="132">
        <v>38786</v>
      </c>
      <c r="S605" s="16" t="s">
        <v>44</v>
      </c>
      <c r="T605" s="133">
        <v>39323</v>
      </c>
      <c r="U605" s="710"/>
      <c r="V605" s="711"/>
      <c r="W605" s="185"/>
      <c r="X605" s="185"/>
      <c r="Y605" s="7">
        <f t="shared" si="18"/>
        <v>0</v>
      </c>
      <c r="Z605" s="185"/>
      <c r="AA605" s="469"/>
      <c r="AB605" s="579" t="s">
        <v>5975</v>
      </c>
      <c r="AC605" s="580"/>
      <c r="AD605" s="681">
        <v>0</v>
      </c>
      <c r="AE605" s="681"/>
      <c r="AF605" s="9">
        <f t="shared" si="19"/>
        <v>0</v>
      </c>
      <c r="AG605" s="656"/>
      <c r="AH605" s="138"/>
      <c r="AI605" s="138"/>
      <c r="AJ605" s="181"/>
      <c r="AK605" s="181" t="s">
        <v>1177</v>
      </c>
      <c r="AL605" s="93" t="s">
        <v>1178</v>
      </c>
    </row>
    <row r="606" spans="1:38" ht="15" customHeight="1" x14ac:dyDescent="0.3">
      <c r="A606" s="30" t="s">
        <v>22</v>
      </c>
      <c r="B606" s="153" t="s">
        <v>142</v>
      </c>
      <c r="C606" s="107">
        <v>1</v>
      </c>
      <c r="D606" s="11" t="s">
        <v>143</v>
      </c>
      <c r="E606" s="108">
        <v>38056</v>
      </c>
      <c r="F606" s="12">
        <v>2004</v>
      </c>
      <c r="G606" s="142" t="s">
        <v>1361</v>
      </c>
      <c r="H606" s="162"/>
      <c r="I606" s="30" t="s">
        <v>38</v>
      </c>
      <c r="J606" s="32" t="s">
        <v>26</v>
      </c>
      <c r="K606" s="138" t="s">
        <v>180</v>
      </c>
      <c r="L606" s="137" t="s">
        <v>40</v>
      </c>
      <c r="M606" s="137" t="s">
        <v>804</v>
      </c>
      <c r="N606" s="197"/>
      <c r="O606" s="93" t="s">
        <v>1362</v>
      </c>
      <c r="P606" s="138" t="s">
        <v>1363</v>
      </c>
      <c r="Q606" s="15" t="s">
        <v>282</v>
      </c>
      <c r="R606" s="132">
        <v>38964</v>
      </c>
      <c r="S606" s="16" t="s">
        <v>44</v>
      </c>
      <c r="T606" s="133">
        <v>39323</v>
      </c>
      <c r="U606" s="623"/>
      <c r="V606" s="624"/>
      <c r="W606" s="185"/>
      <c r="X606" s="185"/>
      <c r="Y606" s="7">
        <f t="shared" si="18"/>
        <v>0</v>
      </c>
      <c r="Z606" s="185"/>
      <c r="AA606" s="469"/>
      <c r="AB606" s="513" t="s">
        <v>147</v>
      </c>
      <c r="AC606" s="147"/>
      <c r="AD606" s="639">
        <v>0</v>
      </c>
      <c r="AE606" s="639"/>
      <c r="AF606" s="9">
        <f t="shared" si="19"/>
        <v>0</v>
      </c>
      <c r="AG606" s="183"/>
      <c r="AH606" s="93"/>
      <c r="AI606" s="93"/>
      <c r="AJ606" s="93"/>
      <c r="AK606" s="30" t="s">
        <v>1177</v>
      </c>
      <c r="AL606" s="93" t="s">
        <v>1178</v>
      </c>
    </row>
    <row r="607" spans="1:38" ht="15" customHeight="1" x14ac:dyDescent="0.3">
      <c r="A607" s="30" t="s">
        <v>22</v>
      </c>
      <c r="B607" s="87" t="s">
        <v>229</v>
      </c>
      <c r="C607" s="107" t="s">
        <v>937</v>
      </c>
      <c r="D607" s="11" t="s">
        <v>225</v>
      </c>
      <c r="E607" s="114">
        <v>38210</v>
      </c>
      <c r="F607" s="12">
        <v>2004</v>
      </c>
      <c r="G607" s="142" t="s">
        <v>1364</v>
      </c>
      <c r="H607" s="162"/>
      <c r="I607" s="12" t="s">
        <v>938</v>
      </c>
      <c r="J607" s="32" t="s">
        <v>26</v>
      </c>
      <c r="K607" s="138" t="s">
        <v>636</v>
      </c>
      <c r="L607" s="93" t="s">
        <v>1122</v>
      </c>
      <c r="M607" s="137" t="s">
        <v>804</v>
      </c>
      <c r="N607" s="93"/>
      <c r="O607" s="93" t="s">
        <v>1365</v>
      </c>
      <c r="P607" s="138" t="s">
        <v>1366</v>
      </c>
      <c r="Q607" s="15" t="s">
        <v>282</v>
      </c>
      <c r="R607" s="132">
        <v>39045</v>
      </c>
      <c r="S607" s="16" t="s">
        <v>44</v>
      </c>
      <c r="T607" s="133">
        <v>39121</v>
      </c>
      <c r="U607" s="623"/>
      <c r="V607" s="623"/>
      <c r="W607" s="7"/>
      <c r="X607" s="185"/>
      <c r="Y607" s="7">
        <f t="shared" si="18"/>
        <v>0</v>
      </c>
      <c r="Z607" s="185"/>
      <c r="AA607" s="469"/>
      <c r="AB607" s="650" t="s">
        <v>5992</v>
      </c>
      <c r="AC607" s="651"/>
      <c r="AD607" s="639">
        <v>0</v>
      </c>
      <c r="AE607" s="639"/>
      <c r="AF607" s="9">
        <f t="shared" si="19"/>
        <v>0</v>
      </c>
      <c r="AG607" s="183"/>
      <c r="AH607" s="93"/>
      <c r="AI607" s="93"/>
      <c r="AJ607" s="93"/>
      <c r="AK607" s="30" t="s">
        <v>1185</v>
      </c>
      <c r="AL607" s="93" t="s">
        <v>1178</v>
      </c>
    </row>
    <row r="608" spans="1:38" ht="15" customHeight="1" x14ac:dyDescent="0.3">
      <c r="A608" s="30" t="s">
        <v>634</v>
      </c>
      <c r="B608" s="112" t="s">
        <v>105</v>
      </c>
      <c r="C608" s="109">
        <v>10</v>
      </c>
      <c r="D608" s="11" t="s">
        <v>5936</v>
      </c>
      <c r="E608" s="114">
        <v>38961</v>
      </c>
      <c r="F608" s="33">
        <v>2006</v>
      </c>
      <c r="G608" s="142"/>
      <c r="H608" s="162"/>
      <c r="I608" s="33" t="s">
        <v>33</v>
      </c>
      <c r="J608" s="32" t="s">
        <v>191</v>
      </c>
      <c r="K608" s="197" t="s">
        <v>1367</v>
      </c>
      <c r="L608" s="197" t="s">
        <v>1171</v>
      </c>
      <c r="M608" s="137" t="s">
        <v>804</v>
      </c>
      <c r="N608" s="197"/>
      <c r="O608" s="138" t="s">
        <v>1368</v>
      </c>
      <c r="P608" s="200" t="s">
        <v>1369</v>
      </c>
      <c r="Q608" s="15" t="s">
        <v>35</v>
      </c>
      <c r="R608" s="158">
        <v>39114</v>
      </c>
      <c r="S608" s="16" t="s">
        <v>35</v>
      </c>
      <c r="T608" s="133">
        <v>39325</v>
      </c>
      <c r="U608" s="623"/>
      <c r="V608" s="624"/>
      <c r="W608" s="189">
        <v>176.5</v>
      </c>
      <c r="X608" s="185"/>
      <c r="Y608" s="7">
        <f t="shared" si="18"/>
        <v>0</v>
      </c>
      <c r="Z608" s="185"/>
      <c r="AA608" s="469"/>
      <c r="AB608" s="564" t="s">
        <v>1073</v>
      </c>
      <c r="AC608" s="693"/>
      <c r="AD608" s="702">
        <v>0</v>
      </c>
      <c r="AE608" s="712"/>
      <c r="AF608" s="9">
        <f t="shared" si="19"/>
        <v>0</v>
      </c>
      <c r="AG608" s="88" t="s">
        <v>1370</v>
      </c>
      <c r="AH608" s="476" t="s">
        <v>851</v>
      </c>
      <c r="AI608" s="200"/>
      <c r="AJ608" s="138"/>
      <c r="AK608" s="181" t="s">
        <v>1185</v>
      </c>
      <c r="AL608" s="138" t="s">
        <v>1175</v>
      </c>
    </row>
    <row r="609" spans="1:38" ht="15" customHeight="1" x14ac:dyDescent="0.3">
      <c r="A609" s="30" t="s">
        <v>22</v>
      </c>
      <c r="B609" s="120" t="s">
        <v>23</v>
      </c>
      <c r="C609" s="107">
        <v>13</v>
      </c>
      <c r="D609" s="11" t="s">
        <v>24</v>
      </c>
      <c r="E609" s="108">
        <v>37987</v>
      </c>
      <c r="F609" s="30">
        <v>2004</v>
      </c>
      <c r="G609" s="142" t="s">
        <v>1371</v>
      </c>
      <c r="H609" s="162" t="s">
        <v>1372</v>
      </c>
      <c r="I609" s="33" t="s">
        <v>33</v>
      </c>
      <c r="J609" s="32" t="s">
        <v>26</v>
      </c>
      <c r="K609" s="197" t="s">
        <v>636</v>
      </c>
      <c r="L609" s="137" t="s">
        <v>40</v>
      </c>
      <c r="M609" s="137" t="s">
        <v>804</v>
      </c>
      <c r="N609" s="137"/>
      <c r="O609" s="93" t="s">
        <v>1373</v>
      </c>
      <c r="P609" s="647" t="s">
        <v>1374</v>
      </c>
      <c r="Q609" s="15" t="s">
        <v>282</v>
      </c>
      <c r="R609" s="132">
        <v>39154</v>
      </c>
      <c r="S609" s="16" t="s">
        <v>35</v>
      </c>
      <c r="T609" s="133">
        <v>39282</v>
      </c>
      <c r="U609" s="623"/>
      <c r="V609" s="624"/>
      <c r="W609" s="185">
        <v>9559190</v>
      </c>
      <c r="X609" s="185"/>
      <c r="Y609" s="7">
        <f t="shared" si="18"/>
        <v>0</v>
      </c>
      <c r="Z609" s="185"/>
      <c r="AA609" s="469"/>
      <c r="AB609" s="513" t="s">
        <v>586</v>
      </c>
      <c r="AC609" s="147"/>
      <c r="AD609" s="639">
        <v>0</v>
      </c>
      <c r="AE609" s="639"/>
      <c r="AF609" s="9">
        <f t="shared" si="19"/>
        <v>0</v>
      </c>
      <c r="AG609" s="183" t="s">
        <v>1099</v>
      </c>
      <c r="AH609" s="93"/>
      <c r="AI609" s="93" t="s">
        <v>1375</v>
      </c>
      <c r="AJ609" s="93"/>
      <c r="AK609" s="30" t="s">
        <v>1185</v>
      </c>
      <c r="AL609" s="93" t="s">
        <v>1178</v>
      </c>
    </row>
    <row r="610" spans="1:38" ht="15" customHeight="1" x14ac:dyDescent="0.3">
      <c r="A610" s="30" t="s">
        <v>22</v>
      </c>
      <c r="B610" s="140" t="s">
        <v>144</v>
      </c>
      <c r="C610" s="107">
        <v>3</v>
      </c>
      <c r="D610" s="11" t="s">
        <v>143</v>
      </c>
      <c r="E610" s="114">
        <v>38624</v>
      </c>
      <c r="F610" s="12">
        <v>2005</v>
      </c>
      <c r="G610" s="142" t="s">
        <v>1376</v>
      </c>
      <c r="H610" s="162"/>
      <c r="I610" s="30" t="s">
        <v>38</v>
      </c>
      <c r="J610" s="32" t="s">
        <v>26</v>
      </c>
      <c r="K610" s="197" t="s">
        <v>180</v>
      </c>
      <c r="L610" s="197" t="s">
        <v>1316</v>
      </c>
      <c r="M610" s="137" t="s">
        <v>804</v>
      </c>
      <c r="N610" s="197"/>
      <c r="O610" s="138" t="s">
        <v>1377</v>
      </c>
      <c r="P610" s="138" t="s">
        <v>1378</v>
      </c>
      <c r="Q610" s="91" t="s">
        <v>1379</v>
      </c>
      <c r="R610" s="132">
        <v>39293</v>
      </c>
      <c r="S610" s="92"/>
      <c r="T610" s="92"/>
      <c r="U610" s="623"/>
      <c r="V610" s="624"/>
      <c r="W610" s="189"/>
      <c r="X610" s="185"/>
      <c r="Y610" s="7">
        <f t="shared" si="18"/>
        <v>0</v>
      </c>
      <c r="Z610" s="185"/>
      <c r="AA610" s="469"/>
      <c r="AB610" s="564" t="s">
        <v>5993</v>
      </c>
      <c r="AC610" s="565"/>
      <c r="AD610" s="712">
        <v>0</v>
      </c>
      <c r="AE610" s="712"/>
      <c r="AF610" s="9">
        <f t="shared" si="19"/>
        <v>0</v>
      </c>
      <c r="AG610" s="138"/>
      <c r="AH610" s="138" t="s">
        <v>5994</v>
      </c>
      <c r="AI610" s="138" t="s">
        <v>1381</v>
      </c>
      <c r="AJ610" s="138"/>
      <c r="AK610" s="138" t="s">
        <v>1177</v>
      </c>
      <c r="AL610" s="93" t="s">
        <v>1175</v>
      </c>
    </row>
    <row r="611" spans="1:38" ht="15" customHeight="1" x14ac:dyDescent="0.3">
      <c r="A611" s="30" t="s">
        <v>22</v>
      </c>
      <c r="B611" s="153" t="s">
        <v>145</v>
      </c>
      <c r="C611" s="135">
        <v>1</v>
      </c>
      <c r="D611" s="11" t="s">
        <v>143</v>
      </c>
      <c r="E611" s="108">
        <v>36847</v>
      </c>
      <c r="F611" s="12">
        <v>2000</v>
      </c>
      <c r="G611" s="142"/>
      <c r="H611" s="162"/>
      <c r="I611" s="33" t="s">
        <v>33</v>
      </c>
      <c r="J611" s="32" t="s">
        <v>26</v>
      </c>
      <c r="K611" s="197" t="s">
        <v>636</v>
      </c>
      <c r="L611" s="137" t="s">
        <v>40</v>
      </c>
      <c r="M611" s="137" t="s">
        <v>804</v>
      </c>
      <c r="N611" s="137"/>
      <c r="O611" s="93" t="s">
        <v>1382</v>
      </c>
      <c r="P611" s="138" t="s">
        <v>1383</v>
      </c>
      <c r="Q611" s="15" t="s">
        <v>282</v>
      </c>
      <c r="R611" s="132">
        <v>37386</v>
      </c>
      <c r="S611" s="16" t="s">
        <v>44</v>
      </c>
      <c r="T611" s="133">
        <v>38498</v>
      </c>
      <c r="U611" s="623"/>
      <c r="V611" s="624"/>
      <c r="W611" s="185"/>
      <c r="X611" s="185"/>
      <c r="Y611" s="7">
        <f t="shared" si="18"/>
        <v>0</v>
      </c>
      <c r="Z611" s="185"/>
      <c r="AA611" s="469"/>
      <c r="AB611" s="513"/>
      <c r="AC611" s="147"/>
      <c r="AD611" s="639">
        <v>0</v>
      </c>
      <c r="AE611" s="639"/>
      <c r="AF611" s="9">
        <f t="shared" si="19"/>
        <v>0</v>
      </c>
      <c r="AG611" s="713" t="s">
        <v>681</v>
      </c>
      <c r="AH611" s="93"/>
      <c r="AI611" s="93"/>
      <c r="AJ611" s="93"/>
      <c r="AK611" s="30" t="s">
        <v>1185</v>
      </c>
      <c r="AL611" s="93" t="s">
        <v>1178</v>
      </c>
    </row>
    <row r="612" spans="1:38" ht="15" customHeight="1" x14ac:dyDescent="0.3">
      <c r="A612" s="30" t="s">
        <v>22</v>
      </c>
      <c r="B612" s="153" t="s">
        <v>1384</v>
      </c>
      <c r="C612" s="107">
        <v>2</v>
      </c>
      <c r="D612" s="11" t="s">
        <v>143</v>
      </c>
      <c r="E612" s="159">
        <v>38139</v>
      </c>
      <c r="F612" s="93">
        <v>2004</v>
      </c>
      <c r="G612" s="142"/>
      <c r="H612" s="162"/>
      <c r="I612" s="33" t="s">
        <v>33</v>
      </c>
      <c r="J612" s="32" t="s">
        <v>26</v>
      </c>
      <c r="K612" s="197" t="s">
        <v>636</v>
      </c>
      <c r="L612" s="137" t="s">
        <v>40</v>
      </c>
      <c r="M612" s="137" t="s">
        <v>804</v>
      </c>
      <c r="N612" s="197"/>
      <c r="O612" s="93"/>
      <c r="P612" s="138" t="s">
        <v>1385</v>
      </c>
      <c r="Q612" s="15" t="s">
        <v>282</v>
      </c>
      <c r="R612" s="132">
        <v>38482</v>
      </c>
      <c r="S612" s="16" t="s">
        <v>44</v>
      </c>
      <c r="T612" s="133">
        <v>38562</v>
      </c>
      <c r="U612" s="623"/>
      <c r="V612" s="624"/>
      <c r="W612" s="185"/>
      <c r="X612" s="185"/>
      <c r="Y612" s="7">
        <f t="shared" si="18"/>
        <v>0</v>
      </c>
      <c r="Z612" s="185"/>
      <c r="AA612" s="469"/>
      <c r="AB612" s="513" t="s">
        <v>147</v>
      </c>
      <c r="AC612" s="147"/>
      <c r="AD612" s="639">
        <v>0</v>
      </c>
      <c r="AE612" s="639"/>
      <c r="AF612" s="9">
        <f t="shared" si="19"/>
        <v>0</v>
      </c>
      <c r="AG612" s="183"/>
      <c r="AH612" s="93"/>
      <c r="AI612" s="93"/>
      <c r="AJ612" s="93"/>
      <c r="AK612" s="30" t="s">
        <v>1177</v>
      </c>
      <c r="AL612" s="93" t="s">
        <v>1178</v>
      </c>
    </row>
    <row r="613" spans="1:38" ht="15" customHeight="1" x14ac:dyDescent="0.3">
      <c r="A613" s="30" t="s">
        <v>22</v>
      </c>
      <c r="B613" s="120" t="s">
        <v>105</v>
      </c>
      <c r="C613" s="107">
        <v>1</v>
      </c>
      <c r="D613" s="11" t="s">
        <v>5936</v>
      </c>
      <c r="E613" s="108">
        <v>36192</v>
      </c>
      <c r="F613" s="30">
        <v>1999</v>
      </c>
      <c r="G613" s="142">
        <v>56200</v>
      </c>
      <c r="H613" s="162" t="s">
        <v>1386</v>
      </c>
      <c r="I613" s="33" t="s">
        <v>33</v>
      </c>
      <c r="J613" s="32" t="s">
        <v>26</v>
      </c>
      <c r="K613" s="197" t="s">
        <v>1194</v>
      </c>
      <c r="L613" s="137" t="s">
        <v>40</v>
      </c>
      <c r="M613" s="137" t="s">
        <v>804</v>
      </c>
      <c r="N613" s="137"/>
      <c r="O613" s="93" t="s">
        <v>1387</v>
      </c>
      <c r="P613" s="647" t="s">
        <v>1388</v>
      </c>
      <c r="Q613" s="15" t="s">
        <v>282</v>
      </c>
      <c r="R613" s="132">
        <v>38763</v>
      </c>
      <c r="S613" s="16" t="s">
        <v>44</v>
      </c>
      <c r="T613" s="133">
        <v>39216</v>
      </c>
      <c r="U613" s="623"/>
      <c r="V613" s="624"/>
      <c r="W613" s="185"/>
      <c r="X613" s="185"/>
      <c r="Y613" s="7">
        <f t="shared" si="18"/>
        <v>0</v>
      </c>
      <c r="Z613" s="185"/>
      <c r="AA613" s="469"/>
      <c r="AB613" s="513" t="s">
        <v>1231</v>
      </c>
      <c r="AC613" s="147"/>
      <c r="AD613" s="639">
        <v>0</v>
      </c>
      <c r="AE613" s="639"/>
      <c r="AF613" s="9">
        <f t="shared" si="19"/>
        <v>0</v>
      </c>
      <c r="AG613" s="183" t="s">
        <v>1192</v>
      </c>
      <c r="AH613" s="93"/>
      <c r="AI613" s="93" t="s">
        <v>1389</v>
      </c>
      <c r="AJ613" s="93"/>
      <c r="AK613" s="30" t="s">
        <v>1185</v>
      </c>
      <c r="AL613" s="93" t="s">
        <v>1178</v>
      </c>
    </row>
    <row r="614" spans="1:38" ht="15" customHeight="1" x14ac:dyDescent="0.3">
      <c r="A614" s="30" t="s">
        <v>22</v>
      </c>
      <c r="B614" s="145" t="s">
        <v>105</v>
      </c>
      <c r="C614" s="109">
        <v>9</v>
      </c>
      <c r="D614" s="11" t="s">
        <v>5936</v>
      </c>
      <c r="E614" s="108">
        <v>36892</v>
      </c>
      <c r="F614" s="146">
        <v>2001</v>
      </c>
      <c r="G614" s="142" t="s">
        <v>1390</v>
      </c>
      <c r="H614" s="162" t="s">
        <v>1391</v>
      </c>
      <c r="I614" s="33" t="s">
        <v>33</v>
      </c>
      <c r="J614" s="32" t="s">
        <v>26</v>
      </c>
      <c r="K614" s="197" t="s">
        <v>392</v>
      </c>
      <c r="L614" s="137" t="s">
        <v>40</v>
      </c>
      <c r="M614" s="137" t="s">
        <v>804</v>
      </c>
      <c r="N614" s="137"/>
      <c r="O614" s="93" t="s">
        <v>1392</v>
      </c>
      <c r="P614" s="647" t="s">
        <v>1393</v>
      </c>
      <c r="Q614" s="15" t="s">
        <v>282</v>
      </c>
      <c r="R614" s="132">
        <v>37855</v>
      </c>
      <c r="S614" s="16" t="s">
        <v>44</v>
      </c>
      <c r="T614" s="133">
        <v>39150</v>
      </c>
      <c r="U614" s="623"/>
      <c r="V614" s="624"/>
      <c r="W614" s="185"/>
      <c r="X614" s="185"/>
      <c r="Y614" s="7">
        <f t="shared" si="18"/>
        <v>0</v>
      </c>
      <c r="Z614" s="185"/>
      <c r="AA614" s="469"/>
      <c r="AB614" s="513" t="s">
        <v>1231</v>
      </c>
      <c r="AC614" s="563"/>
      <c r="AD614" s="665">
        <v>0</v>
      </c>
      <c r="AE614" s="665"/>
      <c r="AF614" s="9">
        <f t="shared" si="19"/>
        <v>0</v>
      </c>
      <c r="AG614" s="182" t="s">
        <v>1192</v>
      </c>
      <c r="AH614" s="93"/>
      <c r="AI614" s="146"/>
      <c r="AJ614" s="93"/>
      <c r="AK614" s="30" t="s">
        <v>1185</v>
      </c>
      <c r="AL614" s="93" t="s">
        <v>1175</v>
      </c>
    </row>
    <row r="615" spans="1:38" ht="15" customHeight="1" x14ac:dyDescent="0.3">
      <c r="A615" s="30" t="s">
        <v>22</v>
      </c>
      <c r="B615" s="112" t="s">
        <v>105</v>
      </c>
      <c r="C615" s="109">
        <v>11</v>
      </c>
      <c r="D615" s="11" t="s">
        <v>5936</v>
      </c>
      <c r="E615" s="108">
        <v>36406</v>
      </c>
      <c r="F615" s="33">
        <v>1999</v>
      </c>
      <c r="G615" s="142" t="s">
        <v>1394</v>
      </c>
      <c r="H615" s="162" t="s">
        <v>1395</v>
      </c>
      <c r="I615" s="12" t="s">
        <v>25</v>
      </c>
      <c r="J615" s="32" t="s">
        <v>26</v>
      </c>
      <c r="K615" s="197" t="s">
        <v>636</v>
      </c>
      <c r="L615" s="137" t="s">
        <v>40</v>
      </c>
      <c r="M615" s="137" t="s">
        <v>804</v>
      </c>
      <c r="N615" s="238"/>
      <c r="O615" s="146" t="s">
        <v>1396</v>
      </c>
      <c r="P615" s="647" t="s">
        <v>1397</v>
      </c>
      <c r="Q615" s="15" t="s">
        <v>282</v>
      </c>
      <c r="R615" s="132">
        <v>38057</v>
      </c>
      <c r="S615" s="16" t="s">
        <v>44</v>
      </c>
      <c r="T615" s="133">
        <v>39154</v>
      </c>
      <c r="U615" s="623"/>
      <c r="V615" s="624"/>
      <c r="W615" s="185"/>
      <c r="X615" s="185"/>
      <c r="Y615" s="7">
        <f t="shared" si="18"/>
        <v>0</v>
      </c>
      <c r="Z615" s="185"/>
      <c r="AA615" s="469"/>
      <c r="AB615" s="513" t="s">
        <v>1231</v>
      </c>
      <c r="AC615" s="563"/>
      <c r="AD615" s="665">
        <v>0</v>
      </c>
      <c r="AE615" s="665"/>
      <c r="AF615" s="9">
        <f t="shared" si="19"/>
        <v>0</v>
      </c>
      <c r="AG615" s="182" t="s">
        <v>1192</v>
      </c>
      <c r="AH615" s="93"/>
      <c r="AI615" s="146"/>
      <c r="AJ615" s="93"/>
      <c r="AK615" s="30" t="s">
        <v>1185</v>
      </c>
      <c r="AL615" s="93" t="s">
        <v>1178</v>
      </c>
    </row>
    <row r="616" spans="1:38" ht="15" customHeight="1" x14ac:dyDescent="0.3">
      <c r="A616" s="30" t="s">
        <v>22</v>
      </c>
      <c r="B616" s="112" t="s">
        <v>105</v>
      </c>
      <c r="C616" s="107">
        <v>14</v>
      </c>
      <c r="D616" s="11" t="s">
        <v>5936</v>
      </c>
      <c r="E616" s="108">
        <v>36658</v>
      </c>
      <c r="F616" s="12">
        <v>2000</v>
      </c>
      <c r="G616" s="142" t="s">
        <v>1398</v>
      </c>
      <c r="H616" s="162" t="s">
        <v>1399</v>
      </c>
      <c r="I616" s="33" t="s">
        <v>33</v>
      </c>
      <c r="J616" s="32" t="s">
        <v>26</v>
      </c>
      <c r="K616" s="197" t="s">
        <v>636</v>
      </c>
      <c r="L616" s="137" t="s">
        <v>40</v>
      </c>
      <c r="M616" s="137" t="s">
        <v>804</v>
      </c>
      <c r="N616" s="137"/>
      <c r="O616" s="93" t="s">
        <v>1400</v>
      </c>
      <c r="P616" s="647" t="s">
        <v>1401</v>
      </c>
      <c r="Q616" s="15" t="s">
        <v>282</v>
      </c>
      <c r="R616" s="132">
        <v>37848</v>
      </c>
      <c r="S616" s="16" t="s">
        <v>35</v>
      </c>
      <c r="T616" s="133">
        <v>39154</v>
      </c>
      <c r="U616" s="623"/>
      <c r="V616" s="624"/>
      <c r="W616" s="185">
        <v>187917</v>
      </c>
      <c r="X616" s="185"/>
      <c r="Y616" s="7">
        <f t="shared" si="18"/>
        <v>0</v>
      </c>
      <c r="Z616" s="185"/>
      <c r="AA616" s="469"/>
      <c r="AB616" s="513" t="s">
        <v>1231</v>
      </c>
      <c r="AC616" s="563"/>
      <c r="AD616" s="665">
        <v>0</v>
      </c>
      <c r="AE616" s="665"/>
      <c r="AF616" s="9">
        <f t="shared" si="19"/>
        <v>0</v>
      </c>
      <c r="AG616" s="183" t="s">
        <v>1192</v>
      </c>
      <c r="AH616" s="93" t="s">
        <v>1402</v>
      </c>
      <c r="AI616" s="93" t="s">
        <v>1403</v>
      </c>
      <c r="AJ616" s="93"/>
      <c r="AK616" s="30" t="s">
        <v>1185</v>
      </c>
      <c r="AL616" s="93" t="s">
        <v>1178</v>
      </c>
    </row>
    <row r="617" spans="1:38" ht="15" customHeight="1" x14ac:dyDescent="0.3">
      <c r="A617" s="30" t="s">
        <v>22</v>
      </c>
      <c r="B617" s="153" t="s">
        <v>105</v>
      </c>
      <c r="C617" s="109">
        <v>17</v>
      </c>
      <c r="D617" s="11" t="s">
        <v>5936</v>
      </c>
      <c r="E617" s="108">
        <v>36892</v>
      </c>
      <c r="F617" s="37">
        <v>2001</v>
      </c>
      <c r="G617" s="142" t="s">
        <v>1404</v>
      </c>
      <c r="H617" s="162" t="s">
        <v>1405</v>
      </c>
      <c r="I617" s="33" t="s">
        <v>33</v>
      </c>
      <c r="J617" s="107" t="s">
        <v>81</v>
      </c>
      <c r="K617" s="379" t="s">
        <v>922</v>
      </c>
      <c r="L617" s="137" t="s">
        <v>40</v>
      </c>
      <c r="M617" s="137" t="s">
        <v>804</v>
      </c>
      <c r="N617" s="137"/>
      <c r="O617" s="93" t="s">
        <v>1406</v>
      </c>
      <c r="P617" s="647" t="s">
        <v>1407</v>
      </c>
      <c r="Q617" s="15" t="s">
        <v>282</v>
      </c>
      <c r="R617" s="132">
        <v>37824</v>
      </c>
      <c r="S617" s="16" t="s">
        <v>44</v>
      </c>
      <c r="T617" s="133">
        <v>39163</v>
      </c>
      <c r="U617" s="623"/>
      <c r="V617" s="624"/>
      <c r="W617" s="185"/>
      <c r="X617" s="185"/>
      <c r="Y617" s="7">
        <f t="shared" si="18"/>
        <v>0</v>
      </c>
      <c r="Z617" s="185"/>
      <c r="AA617" s="469"/>
      <c r="AB617" s="513" t="s">
        <v>1231</v>
      </c>
      <c r="AC617" s="563"/>
      <c r="AD617" s="665">
        <v>0</v>
      </c>
      <c r="AE617" s="665"/>
      <c r="AF617" s="9">
        <f t="shared" si="19"/>
        <v>0</v>
      </c>
      <c r="AG617" s="183" t="s">
        <v>1192</v>
      </c>
      <c r="AH617" s="93"/>
      <c r="AI617" s="146"/>
      <c r="AJ617" s="93"/>
      <c r="AK617" s="30" t="s">
        <v>1185</v>
      </c>
      <c r="AL617" s="93" t="s">
        <v>1178</v>
      </c>
    </row>
    <row r="618" spans="1:38" ht="15" customHeight="1" x14ac:dyDescent="0.3">
      <c r="A618" s="30" t="s">
        <v>22</v>
      </c>
      <c r="B618" s="120" t="s">
        <v>105</v>
      </c>
      <c r="C618" s="109">
        <v>18</v>
      </c>
      <c r="D618" s="11" t="s">
        <v>5936</v>
      </c>
      <c r="E618" s="108">
        <v>37742</v>
      </c>
      <c r="F618" s="12">
        <v>2003</v>
      </c>
      <c r="G618" s="142" t="s">
        <v>1408</v>
      </c>
      <c r="H618" s="162" t="s">
        <v>1409</v>
      </c>
      <c r="I618" s="33" t="s">
        <v>33</v>
      </c>
      <c r="J618" s="32" t="s">
        <v>26</v>
      </c>
      <c r="K618" s="138" t="s">
        <v>636</v>
      </c>
      <c r="L618" s="137" t="s">
        <v>40</v>
      </c>
      <c r="M618" s="137" t="s">
        <v>804</v>
      </c>
      <c r="N618" s="137"/>
      <c r="O618" s="93" t="s">
        <v>1410</v>
      </c>
      <c r="P618" s="647" t="s">
        <v>1411</v>
      </c>
      <c r="Q618" s="15" t="s">
        <v>282</v>
      </c>
      <c r="R618" s="132">
        <v>38139</v>
      </c>
      <c r="S618" s="16" t="s">
        <v>44</v>
      </c>
      <c r="T618" s="133">
        <v>39227</v>
      </c>
      <c r="U618" s="623"/>
      <c r="V618" s="624"/>
      <c r="W618" s="185"/>
      <c r="X618" s="185"/>
      <c r="Y618" s="7">
        <f t="shared" si="18"/>
        <v>0</v>
      </c>
      <c r="Z618" s="185"/>
      <c r="AA618" s="469"/>
      <c r="AB618" s="513" t="s">
        <v>1231</v>
      </c>
      <c r="AC618" s="147"/>
      <c r="AD618" s="639">
        <v>0</v>
      </c>
      <c r="AE618" s="639"/>
      <c r="AF618" s="9">
        <f t="shared" si="19"/>
        <v>0</v>
      </c>
      <c r="AG618" s="183" t="s">
        <v>1192</v>
      </c>
      <c r="AH618" s="93" t="s">
        <v>1412</v>
      </c>
      <c r="AI618" s="37"/>
      <c r="AJ618" s="181"/>
      <c r="AK618" s="30" t="s">
        <v>1185</v>
      </c>
      <c r="AL618" s="93" t="s">
        <v>1178</v>
      </c>
    </row>
    <row r="619" spans="1:38" ht="15" customHeight="1" x14ac:dyDescent="0.3">
      <c r="A619" s="30" t="s">
        <v>22</v>
      </c>
      <c r="B619" s="153" t="s">
        <v>1384</v>
      </c>
      <c r="C619" s="107">
        <v>1</v>
      </c>
      <c r="D619" s="11" t="s">
        <v>143</v>
      </c>
      <c r="E619" s="108">
        <v>37987</v>
      </c>
      <c r="F619" s="93">
        <v>2004</v>
      </c>
      <c r="G619" s="142"/>
      <c r="H619" s="162"/>
      <c r="I619" s="33" t="s">
        <v>33</v>
      </c>
      <c r="J619" s="32" t="s">
        <v>26</v>
      </c>
      <c r="K619" s="197" t="s">
        <v>636</v>
      </c>
      <c r="L619" s="137" t="s">
        <v>40</v>
      </c>
      <c r="M619" s="137" t="s">
        <v>804</v>
      </c>
      <c r="N619" s="197"/>
      <c r="O619" s="93" t="s">
        <v>1413</v>
      </c>
      <c r="P619" s="138" t="s">
        <v>1414</v>
      </c>
      <c r="Q619" s="15" t="s">
        <v>282</v>
      </c>
      <c r="R619" s="132">
        <v>38561</v>
      </c>
      <c r="S619" s="16" t="s">
        <v>44</v>
      </c>
      <c r="T619" s="133">
        <v>38674</v>
      </c>
      <c r="U619" s="623"/>
      <c r="V619" s="624"/>
      <c r="W619" s="185"/>
      <c r="X619" s="185"/>
      <c r="Y619" s="7">
        <f t="shared" si="18"/>
        <v>0</v>
      </c>
      <c r="Z619" s="185"/>
      <c r="AA619" s="469"/>
      <c r="AB619" s="513" t="s">
        <v>147</v>
      </c>
      <c r="AC619" s="147"/>
      <c r="AD619" s="639">
        <v>0</v>
      </c>
      <c r="AE619" s="639"/>
      <c r="AF619" s="9">
        <f t="shared" si="19"/>
        <v>0</v>
      </c>
      <c r="AG619" s="183"/>
      <c r="AH619" s="93"/>
      <c r="AI619" s="93"/>
      <c r="AJ619" s="93"/>
      <c r="AK619" s="30" t="s">
        <v>1185</v>
      </c>
      <c r="AL619" s="93" t="s">
        <v>1178</v>
      </c>
    </row>
    <row r="620" spans="1:38" ht="15" customHeight="1" x14ac:dyDescent="0.3">
      <c r="A620" s="30" t="s">
        <v>22</v>
      </c>
      <c r="B620" s="120" t="s">
        <v>227</v>
      </c>
      <c r="C620" s="107">
        <v>10</v>
      </c>
      <c r="D620" s="11" t="s">
        <v>225</v>
      </c>
      <c r="E620" s="108">
        <v>37818</v>
      </c>
      <c r="F620" s="12">
        <v>2003</v>
      </c>
      <c r="G620" s="142"/>
      <c r="H620" s="162"/>
      <c r="I620" s="12" t="s">
        <v>25</v>
      </c>
      <c r="J620" s="32" t="s">
        <v>26</v>
      </c>
      <c r="K620" s="138" t="s">
        <v>103</v>
      </c>
      <c r="L620" s="137" t="s">
        <v>40</v>
      </c>
      <c r="M620" s="137" t="s">
        <v>804</v>
      </c>
      <c r="N620" s="137"/>
      <c r="O620" s="197" t="s">
        <v>1415</v>
      </c>
      <c r="P620" s="197" t="s">
        <v>1416</v>
      </c>
      <c r="Q620" s="15" t="s">
        <v>282</v>
      </c>
      <c r="R620" s="152">
        <v>2005</v>
      </c>
      <c r="S620" s="16" t="s">
        <v>44</v>
      </c>
      <c r="T620" s="139"/>
      <c r="U620" s="624"/>
      <c r="V620" s="624"/>
      <c r="W620" s="185"/>
      <c r="X620" s="185"/>
      <c r="Y620" s="7">
        <f t="shared" si="18"/>
        <v>0</v>
      </c>
      <c r="Z620" s="185"/>
      <c r="AA620" s="469"/>
      <c r="AB620" s="504" t="s">
        <v>6115</v>
      </c>
      <c r="AC620" s="138"/>
      <c r="AD620" s="639">
        <v>0</v>
      </c>
      <c r="AE620" s="690"/>
      <c r="AF620" s="9">
        <f t="shared" si="19"/>
        <v>0</v>
      </c>
      <c r="AG620" s="708"/>
      <c r="AH620" s="137"/>
      <c r="AI620" s="137"/>
      <c r="AJ620" s="137"/>
      <c r="AK620" s="660" t="s">
        <v>1185</v>
      </c>
      <c r="AL620" s="93" t="s">
        <v>1175</v>
      </c>
    </row>
    <row r="621" spans="1:38" ht="15" customHeight="1" x14ac:dyDescent="0.3">
      <c r="A621" s="30" t="s">
        <v>22</v>
      </c>
      <c r="B621" s="154" t="s">
        <v>23</v>
      </c>
      <c r="C621" s="109">
        <v>15</v>
      </c>
      <c r="D621" s="11" t="s">
        <v>5936</v>
      </c>
      <c r="E621" s="114">
        <v>38779</v>
      </c>
      <c r="F621" s="33">
        <v>2006</v>
      </c>
      <c r="G621" s="142" t="s">
        <v>1417</v>
      </c>
      <c r="H621" s="162" t="s">
        <v>1418</v>
      </c>
      <c r="I621" s="12" t="s">
        <v>25</v>
      </c>
      <c r="J621" s="32" t="s">
        <v>26</v>
      </c>
      <c r="K621" s="197" t="s">
        <v>1194</v>
      </c>
      <c r="L621" s="137" t="s">
        <v>1122</v>
      </c>
      <c r="M621" s="137" t="s">
        <v>804</v>
      </c>
      <c r="N621" s="137"/>
      <c r="O621" s="93" t="s">
        <v>1419</v>
      </c>
      <c r="P621" s="138" t="s">
        <v>1420</v>
      </c>
      <c r="Q621" s="93"/>
      <c r="R621" s="93"/>
      <c r="S621" s="16" t="s">
        <v>44</v>
      </c>
      <c r="T621" s="93"/>
      <c r="U621" s="93" t="s">
        <v>1421</v>
      </c>
      <c r="V621" s="137"/>
      <c r="W621" s="185"/>
      <c r="X621" s="185"/>
      <c r="Y621" s="7">
        <f t="shared" si="18"/>
        <v>0</v>
      </c>
      <c r="Z621" s="185"/>
      <c r="AA621" s="469"/>
      <c r="AB621" s="479" t="s">
        <v>49</v>
      </c>
      <c r="AC621" s="480"/>
      <c r="AD621" s="639">
        <v>0</v>
      </c>
      <c r="AE621" s="639"/>
      <c r="AF621" s="9">
        <f t="shared" si="19"/>
        <v>0</v>
      </c>
      <c r="AG621" s="183" t="s">
        <v>1325</v>
      </c>
      <c r="AH621" s="93"/>
      <c r="AI621" s="146" t="s">
        <v>1422</v>
      </c>
      <c r="AJ621" s="93"/>
      <c r="AK621" s="30" t="s">
        <v>1177</v>
      </c>
      <c r="AL621" s="93" t="s">
        <v>1178</v>
      </c>
    </row>
    <row r="622" spans="1:38" ht="15" customHeight="1" x14ac:dyDescent="0.3">
      <c r="A622" s="30" t="s">
        <v>22</v>
      </c>
      <c r="B622" s="88" t="s">
        <v>422</v>
      </c>
      <c r="C622" s="107">
        <v>3</v>
      </c>
      <c r="D622" s="12" t="s">
        <v>190</v>
      </c>
      <c r="E622" s="108">
        <v>36739</v>
      </c>
      <c r="F622" s="33">
        <v>2000</v>
      </c>
      <c r="G622" s="142" t="s">
        <v>1423</v>
      </c>
      <c r="H622" s="162"/>
      <c r="I622" s="33" t="s">
        <v>33</v>
      </c>
      <c r="J622" s="30" t="s">
        <v>81</v>
      </c>
      <c r="K622" s="197" t="s">
        <v>640</v>
      </c>
      <c r="L622" s="137" t="s">
        <v>40</v>
      </c>
      <c r="M622" s="137" t="s">
        <v>804</v>
      </c>
      <c r="N622" s="137"/>
      <c r="O622" s="93" t="s">
        <v>928</v>
      </c>
      <c r="P622" s="138" t="s">
        <v>1424</v>
      </c>
      <c r="Q622" s="15" t="s">
        <v>282</v>
      </c>
      <c r="R622" s="91">
        <v>2003</v>
      </c>
      <c r="S622" s="16" t="s">
        <v>35</v>
      </c>
      <c r="T622" s="160">
        <v>38169</v>
      </c>
      <c r="U622" s="623"/>
      <c r="V622" s="624"/>
      <c r="W622" s="185">
        <v>50000000</v>
      </c>
      <c r="X622" s="185"/>
      <c r="Y622" s="7">
        <f t="shared" si="18"/>
        <v>0</v>
      </c>
      <c r="Z622" s="185"/>
      <c r="AA622" s="469"/>
      <c r="AB622" s="513" t="s">
        <v>424</v>
      </c>
      <c r="AC622" s="563"/>
      <c r="AD622" s="665">
        <v>0</v>
      </c>
      <c r="AE622" s="665"/>
      <c r="AF622" s="9">
        <f t="shared" si="19"/>
        <v>0</v>
      </c>
      <c r="AG622" s="183">
        <v>7</v>
      </c>
      <c r="AH622" s="93" t="s">
        <v>682</v>
      </c>
      <c r="AI622" s="93"/>
      <c r="AJ622" s="93"/>
      <c r="AK622" s="30" t="s">
        <v>1185</v>
      </c>
      <c r="AL622" s="93" t="s">
        <v>1178</v>
      </c>
    </row>
    <row r="623" spans="1:38" ht="15" customHeight="1" x14ac:dyDescent="0.3">
      <c r="A623" s="30" t="s">
        <v>22</v>
      </c>
      <c r="B623" s="112" t="s">
        <v>189</v>
      </c>
      <c r="C623" s="107">
        <v>2</v>
      </c>
      <c r="D623" s="12" t="s">
        <v>190</v>
      </c>
      <c r="E623" s="108">
        <v>37622</v>
      </c>
      <c r="F623" s="146">
        <v>2003</v>
      </c>
      <c r="G623" s="142" t="s">
        <v>1425</v>
      </c>
      <c r="H623" s="162"/>
      <c r="I623" s="12" t="s">
        <v>25</v>
      </c>
      <c r="J623" s="32" t="s">
        <v>26</v>
      </c>
      <c r="K623" s="197" t="s">
        <v>636</v>
      </c>
      <c r="L623" s="137" t="s">
        <v>40</v>
      </c>
      <c r="M623" s="137" t="s">
        <v>804</v>
      </c>
      <c r="N623" s="660"/>
      <c r="O623" s="93" t="s">
        <v>1426</v>
      </c>
      <c r="P623" s="138" t="s">
        <v>1427</v>
      </c>
      <c r="Q623" s="15" t="s">
        <v>282</v>
      </c>
      <c r="R623" s="132">
        <v>38504</v>
      </c>
      <c r="S623" s="16" t="s">
        <v>35</v>
      </c>
      <c r="T623" s="133">
        <v>39247</v>
      </c>
      <c r="U623" s="623"/>
      <c r="V623" s="624"/>
      <c r="W623" s="185">
        <v>2006249</v>
      </c>
      <c r="X623" s="185"/>
      <c r="Y623" s="7">
        <f t="shared" si="18"/>
        <v>0</v>
      </c>
      <c r="Z623" s="185"/>
      <c r="AA623" s="469"/>
      <c r="AB623" s="513" t="s">
        <v>5979</v>
      </c>
      <c r="AC623" s="147"/>
      <c r="AD623" s="714">
        <v>0</v>
      </c>
      <c r="AE623" s="714"/>
      <c r="AF623" s="9">
        <f t="shared" si="19"/>
        <v>0</v>
      </c>
      <c r="AG623" s="656"/>
      <c r="AH623" s="93" t="s">
        <v>1428</v>
      </c>
      <c r="AI623" s="30" t="s">
        <v>1429</v>
      </c>
      <c r="AJ623" s="30"/>
      <c r="AK623" s="30" t="s">
        <v>1185</v>
      </c>
      <c r="AL623" s="93" t="s">
        <v>1178</v>
      </c>
    </row>
    <row r="624" spans="1:38" ht="15" customHeight="1" x14ac:dyDescent="0.3">
      <c r="A624" s="30" t="s">
        <v>22</v>
      </c>
      <c r="B624" s="120" t="s">
        <v>1430</v>
      </c>
      <c r="C624" s="109">
        <v>1</v>
      </c>
      <c r="D624" s="12" t="s">
        <v>190</v>
      </c>
      <c r="E624" s="114">
        <v>38462</v>
      </c>
      <c r="F624" s="33">
        <v>2005</v>
      </c>
      <c r="G624" s="142" t="s">
        <v>1431</v>
      </c>
      <c r="H624" s="162"/>
      <c r="I624" s="33" t="s">
        <v>33</v>
      </c>
      <c r="J624" s="32" t="s">
        <v>26</v>
      </c>
      <c r="K624" s="197" t="s">
        <v>392</v>
      </c>
      <c r="L624" s="137" t="s">
        <v>1432</v>
      </c>
      <c r="M624" s="137" t="s">
        <v>953</v>
      </c>
      <c r="N624" s="137"/>
      <c r="O624" s="93" t="s">
        <v>1433</v>
      </c>
      <c r="P624" s="138" t="s">
        <v>1434</v>
      </c>
      <c r="Q624" s="15" t="s">
        <v>282</v>
      </c>
      <c r="R624" s="91" t="s">
        <v>1435</v>
      </c>
      <c r="S624" s="16" t="s">
        <v>44</v>
      </c>
      <c r="T624" s="133">
        <v>39254</v>
      </c>
      <c r="U624" s="623"/>
      <c r="V624" s="624"/>
      <c r="W624" s="185"/>
      <c r="X624" s="185"/>
      <c r="Y624" s="7">
        <f t="shared" si="18"/>
        <v>0</v>
      </c>
      <c r="Z624" s="185"/>
      <c r="AA624" s="469"/>
      <c r="AB624" s="513" t="s">
        <v>619</v>
      </c>
      <c r="AC624" s="563"/>
      <c r="AD624" s="665">
        <v>0</v>
      </c>
      <c r="AE624" s="665"/>
      <c r="AF624" s="9">
        <f t="shared" si="19"/>
        <v>0</v>
      </c>
      <c r="AG624" s="183" t="s">
        <v>1436</v>
      </c>
      <c r="AH624" s="93" t="s">
        <v>1437</v>
      </c>
      <c r="AI624" s="146"/>
      <c r="AJ624" s="93"/>
      <c r="AK624" s="30" t="s">
        <v>1185</v>
      </c>
      <c r="AL624" s="93" t="s">
        <v>1175</v>
      </c>
    </row>
    <row r="625" spans="1:38" ht="15" customHeight="1" x14ac:dyDescent="0.3">
      <c r="A625" s="30" t="s">
        <v>22</v>
      </c>
      <c r="B625" s="112" t="s">
        <v>219</v>
      </c>
      <c r="C625" s="109">
        <v>1</v>
      </c>
      <c r="D625" s="12" t="s">
        <v>190</v>
      </c>
      <c r="E625" s="114">
        <v>38462</v>
      </c>
      <c r="F625" s="33">
        <v>2005</v>
      </c>
      <c r="G625" s="142" t="s">
        <v>1438</v>
      </c>
      <c r="H625" s="162"/>
      <c r="I625" s="33" t="s">
        <v>33</v>
      </c>
      <c r="J625" s="32" t="s">
        <v>26</v>
      </c>
      <c r="K625" s="197" t="s">
        <v>392</v>
      </c>
      <c r="L625" s="137" t="s">
        <v>1432</v>
      </c>
      <c r="M625" s="137" t="s">
        <v>953</v>
      </c>
      <c r="N625" s="137"/>
      <c r="O625" s="137" t="s">
        <v>1439</v>
      </c>
      <c r="P625" s="200" t="s">
        <v>1440</v>
      </c>
      <c r="Q625" s="15" t="s">
        <v>282</v>
      </c>
      <c r="R625" s="91" t="s">
        <v>1435</v>
      </c>
      <c r="S625" s="16" t="s">
        <v>44</v>
      </c>
      <c r="T625" s="133">
        <v>39224</v>
      </c>
      <c r="U625" s="623"/>
      <c r="V625" s="624"/>
      <c r="W625" s="185"/>
      <c r="X625" s="185"/>
      <c r="Y625" s="7">
        <f t="shared" si="18"/>
        <v>0</v>
      </c>
      <c r="Z625" s="185"/>
      <c r="AA625" s="469"/>
      <c r="AB625" s="715" t="s">
        <v>619</v>
      </c>
      <c r="AC625" s="716"/>
      <c r="AD625" s="665">
        <v>0</v>
      </c>
      <c r="AE625" s="665"/>
      <c r="AF625" s="9">
        <f t="shared" si="19"/>
        <v>0</v>
      </c>
      <c r="AG625" s="182" t="s">
        <v>1436</v>
      </c>
      <c r="AH625" s="93" t="s">
        <v>1437</v>
      </c>
      <c r="AI625" s="146"/>
      <c r="AJ625" s="93"/>
      <c r="AK625" s="30" t="s">
        <v>1185</v>
      </c>
      <c r="AL625" s="93" t="s">
        <v>1175</v>
      </c>
    </row>
    <row r="626" spans="1:38" ht="15" customHeight="1" x14ac:dyDescent="0.3">
      <c r="A626" s="30" t="s">
        <v>140</v>
      </c>
      <c r="B626" s="112" t="s">
        <v>780</v>
      </c>
      <c r="C626" s="107">
        <v>1</v>
      </c>
      <c r="D626" s="12" t="s">
        <v>190</v>
      </c>
      <c r="E626" s="108">
        <v>37622</v>
      </c>
      <c r="F626" s="146">
        <v>2003</v>
      </c>
      <c r="G626" s="142"/>
      <c r="H626" s="162"/>
      <c r="I626" s="33" t="s">
        <v>33</v>
      </c>
      <c r="J626" s="30" t="s">
        <v>81</v>
      </c>
      <c r="K626" s="197" t="s">
        <v>141</v>
      </c>
      <c r="L626" s="137" t="s">
        <v>1049</v>
      </c>
      <c r="M626" s="137" t="s">
        <v>953</v>
      </c>
      <c r="N626" s="137"/>
      <c r="O626" s="93"/>
      <c r="P626" s="138" t="s">
        <v>1441</v>
      </c>
      <c r="Q626" s="15" t="s">
        <v>35</v>
      </c>
      <c r="R626" s="132">
        <v>38980</v>
      </c>
      <c r="S626" s="16" t="s">
        <v>35</v>
      </c>
      <c r="T626" s="92"/>
      <c r="U626" s="623"/>
      <c r="V626" s="624"/>
      <c r="W626" s="185">
        <v>1784500</v>
      </c>
      <c r="X626" s="185"/>
      <c r="Y626" s="7">
        <f t="shared" si="18"/>
        <v>0</v>
      </c>
      <c r="Z626" s="185"/>
      <c r="AA626" s="469"/>
      <c r="AB626" s="513" t="s">
        <v>5997</v>
      </c>
      <c r="AC626" s="147"/>
      <c r="AD626" s="639">
        <v>0</v>
      </c>
      <c r="AE626" s="639"/>
      <c r="AF626" s="9">
        <f t="shared" si="19"/>
        <v>0</v>
      </c>
      <c r="AG626" s="183"/>
      <c r="AH626" s="93" t="s">
        <v>1442</v>
      </c>
      <c r="AI626" s="93" t="s">
        <v>1443</v>
      </c>
      <c r="AJ626" s="93"/>
      <c r="AK626" s="30" t="s">
        <v>1177</v>
      </c>
      <c r="AL626" s="93" t="s">
        <v>1178</v>
      </c>
    </row>
    <row r="627" spans="1:38" ht="15" customHeight="1" x14ac:dyDescent="0.3">
      <c r="A627" s="30" t="s">
        <v>22</v>
      </c>
      <c r="B627" s="161" t="s">
        <v>105</v>
      </c>
      <c r="C627" s="161" t="s">
        <v>1444</v>
      </c>
      <c r="D627" s="11" t="s">
        <v>5936</v>
      </c>
      <c r="E627" s="458">
        <v>38991</v>
      </c>
      <c r="F627" s="162" t="s">
        <v>5995</v>
      </c>
      <c r="G627" s="162"/>
      <c r="H627" s="162"/>
      <c r="I627" s="162" t="s">
        <v>868</v>
      </c>
      <c r="J627" s="32" t="s">
        <v>26</v>
      </c>
      <c r="K627" s="717" t="s">
        <v>180</v>
      </c>
      <c r="L627" s="717" t="s">
        <v>1445</v>
      </c>
      <c r="M627" s="137" t="s">
        <v>804</v>
      </c>
      <c r="N627" s="717"/>
      <c r="O627" s="93" t="s">
        <v>1446</v>
      </c>
      <c r="P627" s="138" t="s">
        <v>1447</v>
      </c>
      <c r="Q627" s="162"/>
      <c r="R627" s="162"/>
      <c r="S627" s="162"/>
      <c r="T627" s="162"/>
      <c r="U627" s="162"/>
      <c r="V627" s="717"/>
      <c r="W627" s="185"/>
      <c r="X627" s="7"/>
      <c r="Y627" s="7">
        <f t="shared" si="18"/>
        <v>0</v>
      </c>
      <c r="Z627" s="7"/>
      <c r="AA627" s="469"/>
      <c r="AB627" s="564" t="s">
        <v>1073</v>
      </c>
      <c r="AC627" s="693"/>
      <c r="AD627" s="702">
        <v>0</v>
      </c>
      <c r="AE627" s="712"/>
      <c r="AF627" s="9">
        <f t="shared" si="19"/>
        <v>0</v>
      </c>
      <c r="AG627" s="161"/>
      <c r="AH627" s="162"/>
      <c r="AI627" s="93" t="s">
        <v>1448</v>
      </c>
      <c r="AJ627" s="162"/>
      <c r="AK627" s="162" t="s">
        <v>1177</v>
      </c>
      <c r="AL627" s="162" t="s">
        <v>1178</v>
      </c>
    </row>
    <row r="628" spans="1:38" ht="15" customHeight="1" x14ac:dyDescent="0.3">
      <c r="A628" s="30" t="s">
        <v>22</v>
      </c>
      <c r="B628" s="140" t="s">
        <v>105</v>
      </c>
      <c r="C628" s="107">
        <v>20</v>
      </c>
      <c r="D628" s="11" t="s">
        <v>5936</v>
      </c>
      <c r="E628" s="114">
        <v>39083</v>
      </c>
      <c r="F628" s="12">
        <v>2007</v>
      </c>
      <c r="G628" s="142" t="s">
        <v>1449</v>
      </c>
      <c r="H628" s="162" t="s">
        <v>1450</v>
      </c>
      <c r="I628" s="33" t="s">
        <v>33</v>
      </c>
      <c r="J628" s="32" t="s">
        <v>26</v>
      </c>
      <c r="K628" s="138" t="s">
        <v>1194</v>
      </c>
      <c r="L628" s="138" t="s">
        <v>1451</v>
      </c>
      <c r="M628" s="137" t="s">
        <v>804</v>
      </c>
      <c r="N628" s="138"/>
      <c r="O628" s="138" t="s">
        <v>1452</v>
      </c>
      <c r="P628" s="138" t="s">
        <v>1453</v>
      </c>
      <c r="Q628" s="138"/>
      <c r="R628" s="138"/>
      <c r="S628" s="138"/>
      <c r="T628" s="138"/>
      <c r="U628" s="138"/>
      <c r="V628" s="138"/>
      <c r="W628" s="201">
        <v>152557271.19999999</v>
      </c>
      <c r="X628" s="185"/>
      <c r="Y628" s="7">
        <f t="shared" si="18"/>
        <v>0</v>
      </c>
      <c r="Z628" s="185"/>
      <c r="AA628" s="469"/>
      <c r="AB628" s="564" t="s">
        <v>1073</v>
      </c>
      <c r="AC628" s="693"/>
      <c r="AD628" s="639">
        <v>0</v>
      </c>
      <c r="AE628" s="639"/>
      <c r="AF628" s="9">
        <f t="shared" si="19"/>
        <v>0</v>
      </c>
      <c r="AG628" s="138" t="s">
        <v>1454</v>
      </c>
      <c r="AH628" s="138"/>
      <c r="AI628" s="138" t="s">
        <v>1455</v>
      </c>
      <c r="AJ628" s="138"/>
      <c r="AK628" s="138" t="s">
        <v>1177</v>
      </c>
      <c r="AL628" s="93" t="s">
        <v>1178</v>
      </c>
    </row>
    <row r="629" spans="1:38" ht="15" customHeight="1" x14ac:dyDescent="0.3">
      <c r="A629" s="30" t="s">
        <v>22</v>
      </c>
      <c r="B629" s="112" t="s">
        <v>105</v>
      </c>
      <c r="C629" s="109">
        <v>15</v>
      </c>
      <c r="D629" s="11" t="s">
        <v>5936</v>
      </c>
      <c r="E629" s="108">
        <v>34621</v>
      </c>
      <c r="F629" s="33">
        <v>1994</v>
      </c>
      <c r="G629" s="142">
        <v>7644</v>
      </c>
      <c r="H629" s="162" t="s">
        <v>1456</v>
      </c>
      <c r="I629" s="33" t="s">
        <v>33</v>
      </c>
      <c r="J629" s="32" t="s">
        <v>26</v>
      </c>
      <c r="K629" s="197" t="s">
        <v>636</v>
      </c>
      <c r="L629" s="137" t="s">
        <v>40</v>
      </c>
      <c r="M629" s="137" t="s">
        <v>804</v>
      </c>
      <c r="N629" s="137"/>
      <c r="O629" s="93" t="s">
        <v>1457</v>
      </c>
      <c r="P629" s="647" t="s">
        <v>1458</v>
      </c>
      <c r="Q629" s="15" t="s">
        <v>282</v>
      </c>
      <c r="R629" s="132">
        <v>37351</v>
      </c>
      <c r="S629" s="16" t="s">
        <v>44</v>
      </c>
      <c r="T629" s="92" t="s">
        <v>1459</v>
      </c>
      <c r="U629" s="623"/>
      <c r="V629" s="624"/>
      <c r="W629" s="185"/>
      <c r="X629" s="7"/>
      <c r="Y629" s="7">
        <f t="shared" si="18"/>
        <v>0</v>
      </c>
      <c r="Z629" s="7"/>
      <c r="AA629" s="469"/>
      <c r="AB629" s="513" t="s">
        <v>1231</v>
      </c>
      <c r="AC629" s="147"/>
      <c r="AD629" s="639">
        <v>0</v>
      </c>
      <c r="AE629" s="665"/>
      <c r="AF629" s="9">
        <f t="shared" si="19"/>
        <v>0</v>
      </c>
      <c r="AG629" s="182" t="s">
        <v>1192</v>
      </c>
      <c r="AH629" s="93" t="s">
        <v>1460</v>
      </c>
      <c r="AI629" s="146" t="s">
        <v>1461</v>
      </c>
      <c r="AJ629" s="93"/>
      <c r="AK629" s="30" t="s">
        <v>1185</v>
      </c>
      <c r="AL629" s="93" t="s">
        <v>1178</v>
      </c>
    </row>
    <row r="630" spans="1:38" ht="15" customHeight="1" x14ac:dyDescent="0.3">
      <c r="A630" s="30" t="s">
        <v>22</v>
      </c>
      <c r="B630" s="120" t="s">
        <v>105</v>
      </c>
      <c r="C630" s="107">
        <v>13</v>
      </c>
      <c r="D630" s="11" t="s">
        <v>5936</v>
      </c>
      <c r="E630" s="108">
        <v>38443</v>
      </c>
      <c r="F630" s="12">
        <v>2005</v>
      </c>
      <c r="G630" s="142" t="s">
        <v>1462</v>
      </c>
      <c r="H630" s="162" t="s">
        <v>1463</v>
      </c>
      <c r="I630" s="33" t="s">
        <v>33</v>
      </c>
      <c r="J630" s="32" t="s">
        <v>26</v>
      </c>
      <c r="K630" s="197" t="s">
        <v>636</v>
      </c>
      <c r="L630" s="137" t="s">
        <v>40</v>
      </c>
      <c r="M630" s="137" t="s">
        <v>804</v>
      </c>
      <c r="N630" s="137"/>
      <c r="O630" s="138" t="s">
        <v>1464</v>
      </c>
      <c r="P630" s="647" t="s">
        <v>1465</v>
      </c>
      <c r="Q630" s="15" t="s">
        <v>282</v>
      </c>
      <c r="R630" s="132">
        <v>38966</v>
      </c>
      <c r="S630" s="16" t="s">
        <v>44</v>
      </c>
      <c r="T630" s="133">
        <v>39121</v>
      </c>
      <c r="U630" s="623"/>
      <c r="V630" s="624"/>
      <c r="W630" s="185"/>
      <c r="X630" s="7"/>
      <c r="Y630" s="7">
        <f t="shared" si="18"/>
        <v>0</v>
      </c>
      <c r="Z630" s="7"/>
      <c r="AA630" s="469"/>
      <c r="AB630" s="513" t="s">
        <v>1231</v>
      </c>
      <c r="AC630" s="147"/>
      <c r="AD630" s="639">
        <v>0</v>
      </c>
      <c r="AE630" s="639"/>
      <c r="AF630" s="9">
        <f t="shared" si="19"/>
        <v>0</v>
      </c>
      <c r="AG630" s="183" t="s">
        <v>1192</v>
      </c>
      <c r="AH630" s="93"/>
      <c r="AI630" s="93"/>
      <c r="AJ630" s="93"/>
      <c r="AK630" s="30" t="s">
        <v>1185</v>
      </c>
      <c r="AL630" s="93" t="s">
        <v>1178</v>
      </c>
    </row>
    <row r="631" spans="1:38" ht="15" customHeight="1" x14ac:dyDescent="0.3">
      <c r="A631" s="30" t="s">
        <v>22</v>
      </c>
      <c r="B631" s="88" t="s">
        <v>422</v>
      </c>
      <c r="C631" s="107">
        <v>1</v>
      </c>
      <c r="D631" s="12" t="s">
        <v>190</v>
      </c>
      <c r="E631" s="108">
        <v>36739</v>
      </c>
      <c r="F631" s="33">
        <v>2000</v>
      </c>
      <c r="G631" s="142" t="s">
        <v>1466</v>
      </c>
      <c r="H631" s="162"/>
      <c r="I631" s="33" t="s">
        <v>33</v>
      </c>
      <c r="J631" s="30" t="s">
        <v>81</v>
      </c>
      <c r="K631" s="197" t="s">
        <v>640</v>
      </c>
      <c r="L631" s="137" t="s">
        <v>40</v>
      </c>
      <c r="M631" s="137" t="s">
        <v>804</v>
      </c>
      <c r="N631" s="137"/>
      <c r="O631" s="93" t="s">
        <v>928</v>
      </c>
      <c r="P631" s="138" t="s">
        <v>1467</v>
      </c>
      <c r="Q631" s="15" t="s">
        <v>35</v>
      </c>
      <c r="R631" s="91">
        <v>2003</v>
      </c>
      <c r="S631" s="16" t="s">
        <v>35</v>
      </c>
      <c r="T631" s="92">
        <v>2004</v>
      </c>
      <c r="U631" s="623"/>
      <c r="V631" s="623"/>
      <c r="W631" s="138" t="s">
        <v>1468</v>
      </c>
      <c r="X631" s="7"/>
      <c r="Y631" s="7" t="e">
        <f t="shared" si="18"/>
        <v>#VALUE!</v>
      </c>
      <c r="Z631" s="7"/>
      <c r="AA631" s="469"/>
      <c r="AB631" s="513" t="s">
        <v>424</v>
      </c>
      <c r="AC631" s="563"/>
      <c r="AD631" s="665">
        <v>0</v>
      </c>
      <c r="AE631" s="665"/>
      <c r="AF631" s="9">
        <f t="shared" si="19"/>
        <v>0</v>
      </c>
      <c r="AG631" s="183">
        <v>7</v>
      </c>
      <c r="AH631" s="93" t="s">
        <v>682</v>
      </c>
      <c r="AI631" s="476"/>
      <c r="AJ631" s="10"/>
      <c r="AK631" s="481"/>
      <c r="AL631" s="481"/>
    </row>
    <row r="632" spans="1:38" ht="15" customHeight="1" x14ac:dyDescent="0.3">
      <c r="A632" s="30" t="s">
        <v>22</v>
      </c>
      <c r="B632" s="163" t="s">
        <v>422</v>
      </c>
      <c r="C632" s="107">
        <v>1</v>
      </c>
      <c r="D632" s="12" t="s">
        <v>190</v>
      </c>
      <c r="E632" s="108">
        <v>36739</v>
      </c>
      <c r="F632" s="33">
        <v>2000</v>
      </c>
      <c r="G632" s="142" t="s">
        <v>927</v>
      </c>
      <c r="H632" s="162"/>
      <c r="I632" s="33" t="s">
        <v>33</v>
      </c>
      <c r="J632" s="30" t="s">
        <v>81</v>
      </c>
      <c r="K632" s="197" t="s">
        <v>640</v>
      </c>
      <c r="L632" s="137" t="s">
        <v>40</v>
      </c>
      <c r="M632" s="137" t="s">
        <v>804</v>
      </c>
      <c r="N632" s="137"/>
      <c r="O632" s="93" t="s">
        <v>928</v>
      </c>
      <c r="P632" s="138" t="s">
        <v>1469</v>
      </c>
      <c r="Q632" s="15" t="s">
        <v>35</v>
      </c>
      <c r="R632" s="91">
        <v>2003</v>
      </c>
      <c r="S632" s="16" t="s">
        <v>35</v>
      </c>
      <c r="T632" s="92">
        <v>2004</v>
      </c>
      <c r="U632" s="623"/>
      <c r="V632" s="623"/>
      <c r="W632" s="138" t="s">
        <v>1468</v>
      </c>
      <c r="X632" s="7"/>
      <c r="Y632" s="7" t="e">
        <f t="shared" si="18"/>
        <v>#VALUE!</v>
      </c>
      <c r="Z632" s="7"/>
      <c r="AA632" s="469"/>
      <c r="AB632" s="513" t="s">
        <v>424</v>
      </c>
      <c r="AC632" s="563"/>
      <c r="AD632" s="665">
        <v>0</v>
      </c>
      <c r="AE632" s="665"/>
      <c r="AF632" s="9">
        <f t="shared" si="19"/>
        <v>0</v>
      </c>
      <c r="AG632" s="183">
        <v>7</v>
      </c>
      <c r="AH632" s="93" t="s">
        <v>682</v>
      </c>
      <c r="AI632" s="476"/>
      <c r="AJ632" s="10"/>
      <c r="AK632" s="481"/>
      <c r="AL632" s="481"/>
    </row>
    <row r="633" spans="1:38" ht="15" customHeight="1" x14ac:dyDescent="0.3">
      <c r="A633" s="30" t="s">
        <v>22</v>
      </c>
      <c r="B633" s="88" t="s">
        <v>422</v>
      </c>
      <c r="C633" s="107">
        <v>1</v>
      </c>
      <c r="D633" s="12" t="s">
        <v>190</v>
      </c>
      <c r="E633" s="108">
        <v>36739</v>
      </c>
      <c r="F633" s="33">
        <v>2000</v>
      </c>
      <c r="G633" s="142" t="s">
        <v>1470</v>
      </c>
      <c r="H633" s="162"/>
      <c r="I633" s="33" t="s">
        <v>33</v>
      </c>
      <c r="J633" s="30" t="s">
        <v>81</v>
      </c>
      <c r="K633" s="197" t="s">
        <v>640</v>
      </c>
      <c r="L633" s="137" t="s">
        <v>40</v>
      </c>
      <c r="M633" s="137" t="s">
        <v>804</v>
      </c>
      <c r="N633" s="137"/>
      <c r="O633" s="93" t="s">
        <v>928</v>
      </c>
      <c r="P633" s="138" t="s">
        <v>1471</v>
      </c>
      <c r="Q633" s="15" t="s">
        <v>35</v>
      </c>
      <c r="R633" s="91">
        <v>2003</v>
      </c>
      <c r="S633" s="16" t="s">
        <v>35</v>
      </c>
      <c r="T633" s="92">
        <v>2004</v>
      </c>
      <c r="U633" s="623"/>
      <c r="V633" s="623"/>
      <c r="W633" s="138" t="s">
        <v>1468</v>
      </c>
      <c r="X633" s="7"/>
      <c r="Y633" s="7" t="e">
        <f t="shared" si="18"/>
        <v>#VALUE!</v>
      </c>
      <c r="Z633" s="7"/>
      <c r="AA633" s="469"/>
      <c r="AB633" s="513" t="s">
        <v>424</v>
      </c>
      <c r="AC633" s="147"/>
      <c r="AD633" s="639">
        <v>0</v>
      </c>
      <c r="AE633" s="639"/>
      <c r="AF633" s="9">
        <f t="shared" si="19"/>
        <v>0</v>
      </c>
      <c r="AG633" s="183">
        <v>7</v>
      </c>
      <c r="AH633" s="93" t="s">
        <v>682</v>
      </c>
      <c r="AI633" s="476"/>
      <c r="AJ633" s="10"/>
      <c r="AK633" s="481"/>
      <c r="AL633" s="481"/>
    </row>
    <row r="634" spans="1:38" ht="15" customHeight="1" x14ac:dyDescent="0.3">
      <c r="A634" s="30" t="s">
        <v>22</v>
      </c>
      <c r="B634" s="163" t="s">
        <v>422</v>
      </c>
      <c r="C634" s="107">
        <v>1</v>
      </c>
      <c r="D634" s="12" t="s">
        <v>190</v>
      </c>
      <c r="E634" s="108">
        <v>36739</v>
      </c>
      <c r="F634" s="33">
        <v>2000</v>
      </c>
      <c r="G634" s="142" t="s">
        <v>1472</v>
      </c>
      <c r="H634" s="162"/>
      <c r="I634" s="33" t="s">
        <v>33</v>
      </c>
      <c r="J634" s="30" t="s">
        <v>81</v>
      </c>
      <c r="K634" s="197" t="s">
        <v>640</v>
      </c>
      <c r="L634" s="137" t="s">
        <v>40</v>
      </c>
      <c r="M634" s="137" t="s">
        <v>804</v>
      </c>
      <c r="N634" s="137"/>
      <c r="O634" s="93" t="s">
        <v>928</v>
      </c>
      <c r="P634" s="138" t="s">
        <v>1473</v>
      </c>
      <c r="Q634" s="15" t="s">
        <v>35</v>
      </c>
      <c r="R634" s="91">
        <v>2003</v>
      </c>
      <c r="S634" s="16" t="s">
        <v>35</v>
      </c>
      <c r="T634" s="92">
        <v>2004</v>
      </c>
      <c r="U634" s="623"/>
      <c r="V634" s="623"/>
      <c r="W634" s="138" t="s">
        <v>1468</v>
      </c>
      <c r="X634" s="7"/>
      <c r="Y634" s="7" t="e">
        <f t="shared" si="18"/>
        <v>#VALUE!</v>
      </c>
      <c r="Z634" s="7"/>
      <c r="AA634" s="469"/>
      <c r="AB634" s="513" t="s">
        <v>424</v>
      </c>
      <c r="AC634" s="147"/>
      <c r="AD634" s="639">
        <v>0</v>
      </c>
      <c r="AE634" s="639"/>
      <c r="AF634" s="9">
        <f t="shared" si="19"/>
        <v>0</v>
      </c>
      <c r="AG634" s="183">
        <v>7</v>
      </c>
      <c r="AH634" s="93" t="s">
        <v>682</v>
      </c>
      <c r="AI634" s="476"/>
      <c r="AJ634" s="10"/>
      <c r="AK634" s="481"/>
      <c r="AL634" s="481"/>
    </row>
    <row r="635" spans="1:38" ht="15" customHeight="1" x14ac:dyDescent="0.3">
      <c r="A635" s="30" t="s">
        <v>22</v>
      </c>
      <c r="B635" s="88" t="s">
        <v>422</v>
      </c>
      <c r="C635" s="107">
        <v>1</v>
      </c>
      <c r="D635" s="12" t="s">
        <v>190</v>
      </c>
      <c r="E635" s="108">
        <v>36739</v>
      </c>
      <c r="F635" s="33">
        <v>2000</v>
      </c>
      <c r="G635" s="142" t="s">
        <v>1474</v>
      </c>
      <c r="H635" s="162"/>
      <c r="I635" s="33" t="s">
        <v>33</v>
      </c>
      <c r="J635" s="30" t="s">
        <v>81</v>
      </c>
      <c r="K635" s="197" t="s">
        <v>640</v>
      </c>
      <c r="L635" s="137" t="s">
        <v>40</v>
      </c>
      <c r="M635" s="137" t="s">
        <v>804</v>
      </c>
      <c r="N635" s="137"/>
      <c r="O635" s="93" t="s">
        <v>928</v>
      </c>
      <c r="P635" s="138" t="s">
        <v>1475</v>
      </c>
      <c r="Q635" s="15" t="s">
        <v>35</v>
      </c>
      <c r="R635" s="158">
        <v>38565</v>
      </c>
      <c r="S635" s="16" t="s">
        <v>35</v>
      </c>
      <c r="T635" s="92">
        <v>2006</v>
      </c>
      <c r="U635" s="623"/>
      <c r="V635" s="623"/>
      <c r="W635" s="138" t="s">
        <v>1468</v>
      </c>
      <c r="X635" s="7"/>
      <c r="Y635" s="7" t="e">
        <f t="shared" si="18"/>
        <v>#VALUE!</v>
      </c>
      <c r="Z635" s="7"/>
      <c r="AA635" s="469"/>
      <c r="AB635" s="513" t="s">
        <v>424</v>
      </c>
      <c r="AC635" s="147"/>
      <c r="AD635" s="639">
        <v>0</v>
      </c>
      <c r="AE635" s="639"/>
      <c r="AF635" s="9">
        <f t="shared" si="19"/>
        <v>0</v>
      </c>
      <c r="AG635" s="183">
        <v>7</v>
      </c>
      <c r="AH635" s="93" t="s">
        <v>682</v>
      </c>
      <c r="AI635" s="476"/>
      <c r="AJ635" s="10"/>
      <c r="AK635" s="481"/>
      <c r="AL635" s="481"/>
    </row>
    <row r="636" spans="1:38" ht="15" customHeight="1" x14ac:dyDescent="0.3">
      <c r="A636" s="30" t="s">
        <v>22</v>
      </c>
      <c r="B636" s="88" t="s">
        <v>422</v>
      </c>
      <c r="C636" s="107">
        <v>2</v>
      </c>
      <c r="D636" s="12" t="s">
        <v>190</v>
      </c>
      <c r="E636" s="108">
        <v>36739</v>
      </c>
      <c r="F636" s="33">
        <v>2000</v>
      </c>
      <c r="G636" s="142" t="s">
        <v>1476</v>
      </c>
      <c r="H636" s="162"/>
      <c r="I636" s="33" t="s">
        <v>33</v>
      </c>
      <c r="J636" s="30" t="s">
        <v>81</v>
      </c>
      <c r="K636" s="197" t="s">
        <v>640</v>
      </c>
      <c r="L636" s="137" t="s">
        <v>40</v>
      </c>
      <c r="M636" s="137" t="s">
        <v>804</v>
      </c>
      <c r="N636" s="137"/>
      <c r="O636" s="93" t="s">
        <v>928</v>
      </c>
      <c r="P636" s="138" t="s">
        <v>1477</v>
      </c>
      <c r="Q636" s="15" t="s">
        <v>282</v>
      </c>
      <c r="R636" s="132">
        <v>37484</v>
      </c>
      <c r="S636" s="16" t="s">
        <v>35</v>
      </c>
      <c r="T636" s="133">
        <v>37685</v>
      </c>
      <c r="U636" s="623"/>
      <c r="V636" s="623"/>
      <c r="W636" s="138" t="s">
        <v>1468</v>
      </c>
      <c r="X636" s="7"/>
      <c r="Y636" s="7" t="e">
        <f t="shared" si="18"/>
        <v>#VALUE!</v>
      </c>
      <c r="Z636" s="7"/>
      <c r="AA636" s="469"/>
      <c r="AB636" s="513" t="s">
        <v>424</v>
      </c>
      <c r="AC636" s="563"/>
      <c r="AD636" s="665">
        <v>0</v>
      </c>
      <c r="AE636" s="665"/>
      <c r="AF636" s="9">
        <f t="shared" si="19"/>
        <v>0</v>
      </c>
      <c r="AG636" s="183">
        <v>7</v>
      </c>
      <c r="AH636" s="93" t="s">
        <v>682</v>
      </c>
      <c r="AI636" s="93"/>
      <c r="AJ636" s="93"/>
      <c r="AK636" s="30" t="s">
        <v>1185</v>
      </c>
      <c r="AL636" s="93" t="s">
        <v>1178</v>
      </c>
    </row>
    <row r="637" spans="1:38" ht="15" customHeight="1" x14ac:dyDescent="0.3">
      <c r="A637" s="30" t="s">
        <v>22</v>
      </c>
      <c r="B637" s="88" t="s">
        <v>422</v>
      </c>
      <c r="C637" s="107">
        <v>2</v>
      </c>
      <c r="D637" s="12" t="s">
        <v>190</v>
      </c>
      <c r="E637" s="108">
        <v>36739</v>
      </c>
      <c r="F637" s="33">
        <v>2000</v>
      </c>
      <c r="G637" s="142" t="s">
        <v>1478</v>
      </c>
      <c r="H637" s="162"/>
      <c r="I637" s="33" t="s">
        <v>33</v>
      </c>
      <c r="J637" s="30" t="s">
        <v>81</v>
      </c>
      <c r="K637" s="197" t="s">
        <v>640</v>
      </c>
      <c r="L637" s="137" t="s">
        <v>40</v>
      </c>
      <c r="M637" s="137" t="s">
        <v>804</v>
      </c>
      <c r="N637" s="137"/>
      <c r="O637" s="93" t="s">
        <v>928</v>
      </c>
      <c r="P637" s="138" t="s">
        <v>1479</v>
      </c>
      <c r="Q637" s="15" t="s">
        <v>282</v>
      </c>
      <c r="R637" s="132">
        <v>37482</v>
      </c>
      <c r="S637" s="16" t="s">
        <v>35</v>
      </c>
      <c r="T637" s="92" t="s">
        <v>1480</v>
      </c>
      <c r="U637" s="623"/>
      <c r="V637" s="623"/>
      <c r="W637" s="138" t="s">
        <v>1468</v>
      </c>
      <c r="X637" s="7"/>
      <c r="Y637" s="7" t="e">
        <f t="shared" si="18"/>
        <v>#VALUE!</v>
      </c>
      <c r="Z637" s="7"/>
      <c r="AA637" s="469"/>
      <c r="AB637" s="513" t="s">
        <v>424</v>
      </c>
      <c r="AC637" s="563"/>
      <c r="AD637" s="665">
        <v>0</v>
      </c>
      <c r="AE637" s="665"/>
      <c r="AF637" s="9">
        <f t="shared" si="19"/>
        <v>0</v>
      </c>
      <c r="AG637" s="183">
        <v>7</v>
      </c>
      <c r="AH637" s="93" t="s">
        <v>682</v>
      </c>
      <c r="AI637" s="93"/>
      <c r="AJ637" s="93"/>
      <c r="AK637" s="30" t="s">
        <v>99</v>
      </c>
      <c r="AL637" s="93" t="s">
        <v>1178</v>
      </c>
    </row>
    <row r="638" spans="1:38" ht="15" customHeight="1" x14ac:dyDescent="0.3">
      <c r="A638" s="30" t="s">
        <v>22</v>
      </c>
      <c r="B638" s="88" t="s">
        <v>422</v>
      </c>
      <c r="C638" s="107">
        <v>2</v>
      </c>
      <c r="D638" s="12" t="s">
        <v>190</v>
      </c>
      <c r="E638" s="108">
        <v>36739</v>
      </c>
      <c r="F638" s="33">
        <v>2000</v>
      </c>
      <c r="G638" s="142" t="s">
        <v>1481</v>
      </c>
      <c r="H638" s="162"/>
      <c r="I638" s="33" t="s">
        <v>33</v>
      </c>
      <c r="J638" s="30" t="s">
        <v>81</v>
      </c>
      <c r="K638" s="197" t="s">
        <v>640</v>
      </c>
      <c r="L638" s="137" t="s">
        <v>40</v>
      </c>
      <c r="M638" s="137" t="s">
        <v>804</v>
      </c>
      <c r="N638" s="137"/>
      <c r="O638" s="93" t="s">
        <v>928</v>
      </c>
      <c r="P638" s="138" t="s">
        <v>1482</v>
      </c>
      <c r="Q638" s="15" t="s">
        <v>282</v>
      </c>
      <c r="R638" s="132">
        <v>37509</v>
      </c>
      <c r="S638" s="16" t="s">
        <v>35</v>
      </c>
      <c r="T638" s="92" t="s">
        <v>1480</v>
      </c>
      <c r="U638" s="623"/>
      <c r="V638" s="623"/>
      <c r="W638" s="138" t="s">
        <v>1468</v>
      </c>
      <c r="X638" s="7"/>
      <c r="Y638" s="7" t="e">
        <f t="shared" si="18"/>
        <v>#VALUE!</v>
      </c>
      <c r="Z638" s="7"/>
      <c r="AA638" s="469"/>
      <c r="AB638" s="513" t="s">
        <v>424</v>
      </c>
      <c r="AC638" s="563"/>
      <c r="AD638" s="665">
        <v>0</v>
      </c>
      <c r="AE638" s="665"/>
      <c r="AF638" s="9">
        <f t="shared" si="19"/>
        <v>0</v>
      </c>
      <c r="AG638" s="183">
        <v>7</v>
      </c>
      <c r="AH638" s="93" t="s">
        <v>682</v>
      </c>
      <c r="AI638" s="93"/>
      <c r="AJ638" s="93"/>
      <c r="AK638" s="30" t="s">
        <v>99</v>
      </c>
      <c r="AL638" s="93" t="s">
        <v>1178</v>
      </c>
    </row>
    <row r="639" spans="1:38" ht="15" customHeight="1" x14ac:dyDescent="0.3">
      <c r="A639" s="30" t="s">
        <v>22</v>
      </c>
      <c r="B639" s="88" t="s">
        <v>422</v>
      </c>
      <c r="C639" s="107">
        <v>3</v>
      </c>
      <c r="D639" s="12" t="s">
        <v>190</v>
      </c>
      <c r="E639" s="108">
        <v>36739</v>
      </c>
      <c r="F639" s="33">
        <v>2000</v>
      </c>
      <c r="G639" s="142" t="s">
        <v>1474</v>
      </c>
      <c r="H639" s="162"/>
      <c r="I639" s="33" t="s">
        <v>33</v>
      </c>
      <c r="J639" s="30" t="s">
        <v>81</v>
      </c>
      <c r="K639" s="197" t="s">
        <v>640</v>
      </c>
      <c r="L639" s="137" t="s">
        <v>40</v>
      </c>
      <c r="M639" s="137" t="s">
        <v>804</v>
      </c>
      <c r="N639" s="137"/>
      <c r="O639" s="93" t="s">
        <v>928</v>
      </c>
      <c r="P639" s="138" t="s">
        <v>1483</v>
      </c>
      <c r="Q639" s="15" t="s">
        <v>35</v>
      </c>
      <c r="R639" s="132">
        <v>38313</v>
      </c>
      <c r="S639" s="16" t="s">
        <v>35</v>
      </c>
      <c r="T639" s="133">
        <v>38511</v>
      </c>
      <c r="U639" s="623"/>
      <c r="V639" s="623"/>
      <c r="W639" s="138" t="s">
        <v>1468</v>
      </c>
      <c r="X639" s="7"/>
      <c r="Y639" s="7" t="e">
        <f t="shared" si="18"/>
        <v>#VALUE!</v>
      </c>
      <c r="Z639" s="7"/>
      <c r="AA639" s="469"/>
      <c r="AB639" s="513" t="s">
        <v>424</v>
      </c>
      <c r="AC639" s="563"/>
      <c r="AD639" s="665">
        <v>0</v>
      </c>
      <c r="AE639" s="665"/>
      <c r="AF639" s="9">
        <f t="shared" si="19"/>
        <v>0</v>
      </c>
      <c r="AG639" s="183">
        <v>7</v>
      </c>
      <c r="AH639" s="93" t="s">
        <v>682</v>
      </c>
      <c r="AI639" s="93"/>
      <c r="AJ639" s="93"/>
      <c r="AK639" s="30" t="s">
        <v>1185</v>
      </c>
      <c r="AL639" s="93" t="s">
        <v>1178</v>
      </c>
    </row>
    <row r="640" spans="1:38" ht="15" customHeight="1" x14ac:dyDescent="0.3">
      <c r="A640" s="30" t="s">
        <v>22</v>
      </c>
      <c r="B640" s="88" t="s">
        <v>422</v>
      </c>
      <c r="C640" s="107">
        <v>3</v>
      </c>
      <c r="D640" s="12" t="s">
        <v>190</v>
      </c>
      <c r="E640" s="108">
        <v>36739</v>
      </c>
      <c r="F640" s="33">
        <v>2000</v>
      </c>
      <c r="G640" s="142" t="s">
        <v>1484</v>
      </c>
      <c r="H640" s="162"/>
      <c r="I640" s="33" t="s">
        <v>33</v>
      </c>
      <c r="J640" s="30" t="s">
        <v>81</v>
      </c>
      <c r="K640" s="197" t="s">
        <v>640</v>
      </c>
      <c r="L640" s="137" t="s">
        <v>40</v>
      </c>
      <c r="M640" s="137" t="s">
        <v>804</v>
      </c>
      <c r="N640" s="137"/>
      <c r="O640" s="93" t="s">
        <v>928</v>
      </c>
      <c r="P640" s="138" t="s">
        <v>1485</v>
      </c>
      <c r="Q640" s="15" t="s">
        <v>282</v>
      </c>
      <c r="R640" s="158">
        <v>37622</v>
      </c>
      <c r="S640" s="16" t="s">
        <v>35</v>
      </c>
      <c r="T640" s="160">
        <v>38169</v>
      </c>
      <c r="U640" s="623"/>
      <c r="V640" s="623"/>
      <c r="W640" s="138" t="s">
        <v>1468</v>
      </c>
      <c r="X640" s="7"/>
      <c r="Y640" s="7" t="e">
        <f t="shared" si="18"/>
        <v>#VALUE!</v>
      </c>
      <c r="Z640" s="7"/>
      <c r="AA640" s="469"/>
      <c r="AB640" s="513" t="s">
        <v>424</v>
      </c>
      <c r="AC640" s="563"/>
      <c r="AD640" s="665">
        <v>0</v>
      </c>
      <c r="AE640" s="665"/>
      <c r="AF640" s="9">
        <f t="shared" si="19"/>
        <v>0</v>
      </c>
      <c r="AG640" s="183">
        <v>7</v>
      </c>
      <c r="AH640" s="93" t="s">
        <v>682</v>
      </c>
      <c r="AI640" s="93"/>
      <c r="AJ640" s="93"/>
      <c r="AK640" s="30" t="s">
        <v>1185</v>
      </c>
      <c r="AL640" s="93" t="s">
        <v>1178</v>
      </c>
    </row>
    <row r="641" spans="1:38" ht="15" customHeight="1" x14ac:dyDescent="0.3">
      <c r="A641" s="30" t="s">
        <v>22</v>
      </c>
      <c r="B641" s="88" t="s">
        <v>422</v>
      </c>
      <c r="C641" s="107">
        <v>4</v>
      </c>
      <c r="D641" s="12" t="s">
        <v>190</v>
      </c>
      <c r="E641" s="108">
        <v>36739</v>
      </c>
      <c r="F641" s="33">
        <v>2000</v>
      </c>
      <c r="G641" s="142" t="s">
        <v>1470</v>
      </c>
      <c r="H641" s="162"/>
      <c r="I641" s="33" t="s">
        <v>33</v>
      </c>
      <c r="J641" s="30" t="s">
        <v>81</v>
      </c>
      <c r="K641" s="197" t="s">
        <v>640</v>
      </c>
      <c r="L641" s="137" t="s">
        <v>40</v>
      </c>
      <c r="M641" s="137" t="s">
        <v>804</v>
      </c>
      <c r="N641" s="137"/>
      <c r="O641" s="93" t="s">
        <v>1486</v>
      </c>
      <c r="P641" s="138" t="s">
        <v>1487</v>
      </c>
      <c r="Q641" s="15" t="s">
        <v>282</v>
      </c>
      <c r="R641" s="91">
        <v>2003</v>
      </c>
      <c r="S641" s="16" t="s">
        <v>35</v>
      </c>
      <c r="T641" s="92">
        <v>2004</v>
      </c>
      <c r="U641" s="623"/>
      <c r="V641" s="623"/>
      <c r="W641" s="138" t="s">
        <v>1468</v>
      </c>
      <c r="X641" s="7"/>
      <c r="Y641" s="7" t="e">
        <f t="shared" si="18"/>
        <v>#VALUE!</v>
      </c>
      <c r="Z641" s="7"/>
      <c r="AA641" s="469"/>
      <c r="AB641" s="513" t="s">
        <v>424</v>
      </c>
      <c r="AC641" s="563"/>
      <c r="AD641" s="665">
        <v>0</v>
      </c>
      <c r="AE641" s="665"/>
      <c r="AF641" s="9">
        <f t="shared" si="19"/>
        <v>0</v>
      </c>
      <c r="AG641" s="183">
        <v>7</v>
      </c>
      <c r="AH641" s="93" t="s">
        <v>682</v>
      </c>
      <c r="AI641" s="93"/>
      <c r="AJ641" s="93"/>
      <c r="AK641" s="30" t="s">
        <v>1185</v>
      </c>
      <c r="AL641" s="93" t="s">
        <v>1178</v>
      </c>
    </row>
    <row r="642" spans="1:38" ht="15" customHeight="1" x14ac:dyDescent="0.3">
      <c r="A642" s="30" t="s">
        <v>22</v>
      </c>
      <c r="B642" s="88" t="s">
        <v>422</v>
      </c>
      <c r="C642" s="107">
        <v>4</v>
      </c>
      <c r="D642" s="12" t="s">
        <v>190</v>
      </c>
      <c r="E642" s="108">
        <v>36739</v>
      </c>
      <c r="F642" s="33">
        <v>2000</v>
      </c>
      <c r="G642" s="142"/>
      <c r="H642" s="162"/>
      <c r="I642" s="33" t="s">
        <v>33</v>
      </c>
      <c r="J642" s="30" t="s">
        <v>81</v>
      </c>
      <c r="K642" s="197" t="s">
        <v>640</v>
      </c>
      <c r="L642" s="137" t="s">
        <v>40</v>
      </c>
      <c r="M642" s="137" t="s">
        <v>804</v>
      </c>
      <c r="N642" s="137"/>
      <c r="O642" s="93" t="s">
        <v>928</v>
      </c>
      <c r="P642" s="138" t="s">
        <v>668</v>
      </c>
      <c r="Q642" s="15" t="s">
        <v>282</v>
      </c>
      <c r="R642" s="91">
        <v>2003</v>
      </c>
      <c r="S642" s="16" t="s">
        <v>35</v>
      </c>
      <c r="T642" s="92">
        <v>2004</v>
      </c>
      <c r="U642" s="623"/>
      <c r="V642" s="623"/>
      <c r="W642" s="138" t="s">
        <v>1468</v>
      </c>
      <c r="X642" s="7"/>
      <c r="Y642" s="7" t="e">
        <f t="shared" ref="Y642:Y705" si="20">W642*AE642</f>
        <v>#VALUE!</v>
      </c>
      <c r="Z642" s="7"/>
      <c r="AA642" s="469"/>
      <c r="AB642" s="513" t="s">
        <v>424</v>
      </c>
      <c r="AC642" s="563"/>
      <c r="AD642" s="665">
        <v>0</v>
      </c>
      <c r="AE642" s="665"/>
      <c r="AF642" s="9">
        <f t="shared" si="19"/>
        <v>0</v>
      </c>
      <c r="AG642" s="183">
        <v>7</v>
      </c>
      <c r="AH642" s="93" t="s">
        <v>682</v>
      </c>
      <c r="AI642" s="93"/>
      <c r="AJ642" s="93"/>
      <c r="AK642" s="30" t="s">
        <v>1185</v>
      </c>
      <c r="AL642" s="93" t="s">
        <v>1178</v>
      </c>
    </row>
    <row r="643" spans="1:38" ht="15" customHeight="1" x14ac:dyDescent="0.3">
      <c r="A643" s="30" t="s">
        <v>22</v>
      </c>
      <c r="B643" s="88" t="s">
        <v>422</v>
      </c>
      <c r="C643" s="107">
        <v>4</v>
      </c>
      <c r="D643" s="12" t="s">
        <v>190</v>
      </c>
      <c r="E643" s="108">
        <v>36739</v>
      </c>
      <c r="F643" s="12">
        <v>2000</v>
      </c>
      <c r="G643" s="142"/>
      <c r="H643" s="162"/>
      <c r="I643" s="33" t="s">
        <v>33</v>
      </c>
      <c r="J643" s="30" t="s">
        <v>81</v>
      </c>
      <c r="K643" s="197" t="s">
        <v>640</v>
      </c>
      <c r="L643" s="137" t="s">
        <v>40</v>
      </c>
      <c r="M643" s="137" t="s">
        <v>804</v>
      </c>
      <c r="N643" s="137"/>
      <c r="O643" s="93" t="s">
        <v>928</v>
      </c>
      <c r="P643" s="138" t="s">
        <v>1488</v>
      </c>
      <c r="Q643" s="15" t="s">
        <v>282</v>
      </c>
      <c r="R643" s="91">
        <v>2003</v>
      </c>
      <c r="S643" s="16" t="s">
        <v>35</v>
      </c>
      <c r="T643" s="92">
        <v>2004</v>
      </c>
      <c r="U643" s="623"/>
      <c r="V643" s="623"/>
      <c r="W643" s="138" t="s">
        <v>1468</v>
      </c>
      <c r="X643" s="7"/>
      <c r="Y643" s="7" t="e">
        <f t="shared" si="20"/>
        <v>#VALUE!</v>
      </c>
      <c r="Z643" s="7"/>
      <c r="AA643" s="469"/>
      <c r="AB643" s="513" t="s">
        <v>424</v>
      </c>
      <c r="AC643" s="563"/>
      <c r="AD643" s="665">
        <v>0</v>
      </c>
      <c r="AE643" s="665"/>
      <c r="AF643" s="9">
        <f t="shared" ref="AF643:AF706" si="21">AD643+AE643</f>
        <v>0</v>
      </c>
      <c r="AG643" s="183">
        <v>7</v>
      </c>
      <c r="AH643" s="93" t="s">
        <v>682</v>
      </c>
      <c r="AI643" s="93"/>
      <c r="AJ643" s="93"/>
      <c r="AK643" s="30" t="s">
        <v>1185</v>
      </c>
      <c r="AL643" s="93" t="s">
        <v>1178</v>
      </c>
    </row>
    <row r="644" spans="1:38" ht="15" customHeight="1" x14ac:dyDescent="0.3">
      <c r="A644" s="30" t="s">
        <v>22</v>
      </c>
      <c r="B644" s="120" t="s">
        <v>23</v>
      </c>
      <c r="C644" s="107">
        <v>13</v>
      </c>
      <c r="D644" s="11" t="s">
        <v>24</v>
      </c>
      <c r="E644" s="108">
        <v>37823</v>
      </c>
      <c r="F644" s="30">
        <v>2003</v>
      </c>
      <c r="G644" s="142" t="s">
        <v>1489</v>
      </c>
      <c r="H644" s="162" t="s">
        <v>1490</v>
      </c>
      <c r="I644" s="33" t="s">
        <v>33</v>
      </c>
      <c r="J644" s="30" t="s">
        <v>81</v>
      </c>
      <c r="K644" s="138" t="s">
        <v>180</v>
      </c>
      <c r="L644" s="137" t="s">
        <v>40</v>
      </c>
      <c r="M644" s="137" t="s">
        <v>804</v>
      </c>
      <c r="N644" s="137"/>
      <c r="O644" s="138" t="s">
        <v>1491</v>
      </c>
      <c r="P644" s="138" t="s">
        <v>1492</v>
      </c>
      <c r="Q644" s="15" t="s">
        <v>282</v>
      </c>
      <c r="R644" s="132">
        <v>38895</v>
      </c>
      <c r="S644" s="16" t="s">
        <v>44</v>
      </c>
      <c r="T644" s="133">
        <v>39325</v>
      </c>
      <c r="U644" s="623"/>
      <c r="V644" s="624"/>
      <c r="W644" s="185"/>
      <c r="X644" s="7"/>
      <c r="Y644" s="7">
        <f t="shared" si="20"/>
        <v>0</v>
      </c>
      <c r="Z644" s="7"/>
      <c r="AA644" s="469"/>
      <c r="AB644" s="513" t="s">
        <v>586</v>
      </c>
      <c r="AC644" s="147"/>
      <c r="AD644" s="639">
        <v>0</v>
      </c>
      <c r="AE644" s="639"/>
      <c r="AF644" s="9">
        <f t="shared" si="21"/>
        <v>0</v>
      </c>
      <c r="AG644" s="183" t="s">
        <v>1493</v>
      </c>
      <c r="AH644" s="93"/>
      <c r="AI644" s="93"/>
      <c r="AJ644" s="93"/>
      <c r="AK644" s="30" t="s">
        <v>1185</v>
      </c>
      <c r="AL644" s="93" t="s">
        <v>1175</v>
      </c>
    </row>
    <row r="645" spans="1:38" ht="15" customHeight="1" x14ac:dyDescent="0.3">
      <c r="A645" s="30" t="s">
        <v>22</v>
      </c>
      <c r="B645" s="120" t="s">
        <v>23</v>
      </c>
      <c r="C645" s="107">
        <v>13</v>
      </c>
      <c r="D645" s="11" t="s">
        <v>24</v>
      </c>
      <c r="E645" s="108">
        <v>37823</v>
      </c>
      <c r="F645" s="30">
        <v>2003</v>
      </c>
      <c r="G645" s="142" t="s">
        <v>1489</v>
      </c>
      <c r="H645" s="162" t="s">
        <v>1490</v>
      </c>
      <c r="I645" s="33" t="s">
        <v>33</v>
      </c>
      <c r="J645" s="30" t="s">
        <v>81</v>
      </c>
      <c r="K645" s="138" t="s">
        <v>180</v>
      </c>
      <c r="L645" s="137" t="s">
        <v>40</v>
      </c>
      <c r="M645" s="137" t="s">
        <v>804</v>
      </c>
      <c r="N645" s="137"/>
      <c r="O645" s="138" t="s">
        <v>1491</v>
      </c>
      <c r="P645" s="138" t="s">
        <v>1492</v>
      </c>
      <c r="Q645" s="15" t="s">
        <v>282</v>
      </c>
      <c r="R645" s="132">
        <v>38895</v>
      </c>
      <c r="S645" s="16" t="s">
        <v>44</v>
      </c>
      <c r="T645" s="133">
        <v>39325</v>
      </c>
      <c r="U645" s="623"/>
      <c r="V645" s="624"/>
      <c r="W645" s="185"/>
      <c r="X645" s="7"/>
      <c r="Y645" s="7">
        <f t="shared" si="20"/>
        <v>0</v>
      </c>
      <c r="Z645" s="7"/>
      <c r="AA645" s="469"/>
      <c r="AB645" s="513" t="s">
        <v>586</v>
      </c>
      <c r="AC645" s="147"/>
      <c r="AD645" s="639">
        <v>0</v>
      </c>
      <c r="AE645" s="639"/>
      <c r="AF645" s="9">
        <f t="shared" si="21"/>
        <v>0</v>
      </c>
      <c r="AG645" s="183" t="s">
        <v>1493</v>
      </c>
      <c r="AH645" s="93"/>
      <c r="AI645" s="93"/>
      <c r="AJ645" s="93"/>
      <c r="AK645" s="30" t="s">
        <v>1185</v>
      </c>
      <c r="AL645" s="93" t="s">
        <v>1175</v>
      </c>
    </row>
    <row r="646" spans="1:38" ht="15" customHeight="1" x14ac:dyDescent="0.3">
      <c r="A646" s="30" t="s">
        <v>22</v>
      </c>
      <c r="B646" s="120" t="s">
        <v>23</v>
      </c>
      <c r="C646" s="107">
        <v>13</v>
      </c>
      <c r="D646" s="11" t="s">
        <v>24</v>
      </c>
      <c r="E646" s="108">
        <v>37823</v>
      </c>
      <c r="F646" s="30">
        <v>2003</v>
      </c>
      <c r="G646" s="142" t="s">
        <v>1489</v>
      </c>
      <c r="H646" s="162" t="s">
        <v>1490</v>
      </c>
      <c r="I646" s="33" t="s">
        <v>33</v>
      </c>
      <c r="J646" s="30" t="s">
        <v>81</v>
      </c>
      <c r="K646" s="138" t="s">
        <v>180</v>
      </c>
      <c r="L646" s="137" t="s">
        <v>40</v>
      </c>
      <c r="M646" s="137" t="s">
        <v>804</v>
      </c>
      <c r="N646" s="137"/>
      <c r="O646" s="138" t="s">
        <v>1491</v>
      </c>
      <c r="P646" s="138" t="s">
        <v>1492</v>
      </c>
      <c r="Q646" s="15" t="s">
        <v>282</v>
      </c>
      <c r="R646" s="132">
        <v>38895</v>
      </c>
      <c r="S646" s="16" t="s">
        <v>44</v>
      </c>
      <c r="T646" s="133">
        <v>39325</v>
      </c>
      <c r="U646" s="623"/>
      <c r="V646" s="624"/>
      <c r="W646" s="185"/>
      <c r="X646" s="7"/>
      <c r="Y646" s="7">
        <f t="shared" si="20"/>
        <v>0</v>
      </c>
      <c r="Z646" s="7"/>
      <c r="AA646" s="469"/>
      <c r="AB646" s="513" t="s">
        <v>586</v>
      </c>
      <c r="AC646" s="147"/>
      <c r="AD646" s="639">
        <v>0</v>
      </c>
      <c r="AE646" s="639"/>
      <c r="AF646" s="9">
        <f t="shared" si="21"/>
        <v>0</v>
      </c>
      <c r="AG646" s="183" t="s">
        <v>1493</v>
      </c>
      <c r="AH646" s="93"/>
      <c r="AI646" s="93"/>
      <c r="AJ646" s="93"/>
      <c r="AK646" s="30" t="s">
        <v>1185</v>
      </c>
      <c r="AL646" s="93" t="s">
        <v>1175</v>
      </c>
    </row>
    <row r="647" spans="1:38" ht="15" customHeight="1" x14ac:dyDescent="0.3">
      <c r="A647" s="30" t="s">
        <v>22</v>
      </c>
      <c r="B647" s="120" t="s">
        <v>23</v>
      </c>
      <c r="C647" s="107">
        <v>13</v>
      </c>
      <c r="D647" s="11" t="s">
        <v>24</v>
      </c>
      <c r="E647" s="108">
        <v>37823</v>
      </c>
      <c r="F647" s="30">
        <v>2003</v>
      </c>
      <c r="G647" s="142" t="s">
        <v>1489</v>
      </c>
      <c r="H647" s="162" t="s">
        <v>1490</v>
      </c>
      <c r="I647" s="33" t="s">
        <v>33</v>
      </c>
      <c r="J647" s="30" t="s">
        <v>81</v>
      </c>
      <c r="K647" s="138" t="s">
        <v>180</v>
      </c>
      <c r="L647" s="137" t="s">
        <v>40</v>
      </c>
      <c r="M647" s="137" t="s">
        <v>804</v>
      </c>
      <c r="N647" s="137"/>
      <c r="O647" s="138" t="s">
        <v>1491</v>
      </c>
      <c r="P647" s="138" t="s">
        <v>1492</v>
      </c>
      <c r="Q647" s="15" t="s">
        <v>282</v>
      </c>
      <c r="R647" s="132">
        <v>38895</v>
      </c>
      <c r="S647" s="16" t="s">
        <v>44</v>
      </c>
      <c r="T647" s="133">
        <v>39325</v>
      </c>
      <c r="U647" s="623"/>
      <c r="V647" s="624"/>
      <c r="W647" s="185"/>
      <c r="X647" s="7"/>
      <c r="Y647" s="7">
        <f t="shared" si="20"/>
        <v>0</v>
      </c>
      <c r="Z647" s="7"/>
      <c r="AA647" s="469"/>
      <c r="AB647" s="513" t="s">
        <v>586</v>
      </c>
      <c r="AC647" s="147"/>
      <c r="AD647" s="639">
        <v>0</v>
      </c>
      <c r="AE647" s="639"/>
      <c r="AF647" s="9">
        <f t="shared" si="21"/>
        <v>0</v>
      </c>
      <c r="AG647" s="183" t="s">
        <v>1493</v>
      </c>
      <c r="AH647" s="93"/>
      <c r="AI647" s="93"/>
      <c r="AJ647" s="93"/>
      <c r="AK647" s="30" t="s">
        <v>1185</v>
      </c>
      <c r="AL647" s="93" t="s">
        <v>1175</v>
      </c>
    </row>
    <row r="648" spans="1:38" ht="15" customHeight="1" x14ac:dyDescent="0.3">
      <c r="A648" s="30" t="s">
        <v>22</v>
      </c>
      <c r="B648" s="120" t="s">
        <v>23</v>
      </c>
      <c r="C648" s="107">
        <v>13</v>
      </c>
      <c r="D648" s="11" t="s">
        <v>24</v>
      </c>
      <c r="E648" s="108">
        <v>37823</v>
      </c>
      <c r="F648" s="30">
        <v>2003</v>
      </c>
      <c r="G648" s="142" t="s">
        <v>1489</v>
      </c>
      <c r="H648" s="162" t="s">
        <v>1490</v>
      </c>
      <c r="I648" s="33" t="s">
        <v>33</v>
      </c>
      <c r="J648" s="30" t="s">
        <v>81</v>
      </c>
      <c r="K648" s="138" t="s">
        <v>180</v>
      </c>
      <c r="L648" s="137" t="s">
        <v>40</v>
      </c>
      <c r="M648" s="137" t="s">
        <v>804</v>
      </c>
      <c r="N648" s="137"/>
      <c r="O648" s="138" t="s">
        <v>1491</v>
      </c>
      <c r="P648" s="138" t="s">
        <v>1492</v>
      </c>
      <c r="Q648" s="15" t="s">
        <v>282</v>
      </c>
      <c r="R648" s="132">
        <v>38895</v>
      </c>
      <c r="S648" s="16" t="s">
        <v>44</v>
      </c>
      <c r="T648" s="133">
        <v>39325</v>
      </c>
      <c r="U648" s="623"/>
      <c r="V648" s="624"/>
      <c r="W648" s="185"/>
      <c r="X648" s="7"/>
      <c r="Y648" s="7">
        <f t="shared" si="20"/>
        <v>0</v>
      </c>
      <c r="Z648" s="7"/>
      <c r="AA648" s="469"/>
      <c r="AB648" s="513" t="s">
        <v>586</v>
      </c>
      <c r="AC648" s="147"/>
      <c r="AD648" s="639">
        <v>0</v>
      </c>
      <c r="AE648" s="639"/>
      <c r="AF648" s="9">
        <f t="shared" si="21"/>
        <v>0</v>
      </c>
      <c r="AG648" s="183" t="s">
        <v>1493</v>
      </c>
      <c r="AH648" s="93"/>
      <c r="AI648" s="93"/>
      <c r="AJ648" s="93"/>
      <c r="AK648" s="30" t="s">
        <v>1185</v>
      </c>
      <c r="AL648" s="93" t="s">
        <v>1175</v>
      </c>
    </row>
    <row r="649" spans="1:38" ht="15" customHeight="1" x14ac:dyDescent="0.3">
      <c r="A649" s="30" t="s">
        <v>22</v>
      </c>
      <c r="B649" s="120" t="s">
        <v>23</v>
      </c>
      <c r="C649" s="107">
        <v>13</v>
      </c>
      <c r="D649" s="11" t="s">
        <v>24</v>
      </c>
      <c r="E649" s="108">
        <v>37823</v>
      </c>
      <c r="F649" s="30">
        <v>2003</v>
      </c>
      <c r="G649" s="142" t="s">
        <v>1489</v>
      </c>
      <c r="H649" s="162" t="s">
        <v>1490</v>
      </c>
      <c r="I649" s="33" t="s">
        <v>33</v>
      </c>
      <c r="J649" s="30" t="s">
        <v>81</v>
      </c>
      <c r="K649" s="138" t="s">
        <v>180</v>
      </c>
      <c r="L649" s="137" t="s">
        <v>40</v>
      </c>
      <c r="M649" s="137" t="s">
        <v>804</v>
      </c>
      <c r="N649" s="137"/>
      <c r="O649" s="138" t="s">
        <v>1491</v>
      </c>
      <c r="P649" s="138" t="s">
        <v>1492</v>
      </c>
      <c r="Q649" s="15" t="s">
        <v>282</v>
      </c>
      <c r="R649" s="132">
        <v>38895</v>
      </c>
      <c r="S649" s="16" t="s">
        <v>44</v>
      </c>
      <c r="T649" s="133">
        <v>39325</v>
      </c>
      <c r="U649" s="623"/>
      <c r="V649" s="624"/>
      <c r="W649" s="185"/>
      <c r="X649" s="7"/>
      <c r="Y649" s="7">
        <f t="shared" si="20"/>
        <v>0</v>
      </c>
      <c r="Z649" s="7"/>
      <c r="AA649" s="469"/>
      <c r="AB649" s="513" t="s">
        <v>586</v>
      </c>
      <c r="AC649" s="147"/>
      <c r="AD649" s="639">
        <v>0</v>
      </c>
      <c r="AE649" s="639"/>
      <c r="AF649" s="9">
        <f t="shared" si="21"/>
        <v>0</v>
      </c>
      <c r="AG649" s="183" t="s">
        <v>1493</v>
      </c>
      <c r="AH649" s="93"/>
      <c r="AI649" s="93"/>
      <c r="AJ649" s="93"/>
      <c r="AK649" s="30" t="s">
        <v>1185</v>
      </c>
      <c r="AL649" s="93" t="s">
        <v>1175</v>
      </c>
    </row>
    <row r="650" spans="1:38" ht="15" customHeight="1" x14ac:dyDescent="0.3">
      <c r="A650" s="30" t="s">
        <v>22</v>
      </c>
      <c r="B650" s="120" t="s">
        <v>23</v>
      </c>
      <c r="C650" s="107">
        <v>13</v>
      </c>
      <c r="D650" s="11" t="s">
        <v>24</v>
      </c>
      <c r="E650" s="108">
        <v>37823</v>
      </c>
      <c r="F650" s="30">
        <v>2003</v>
      </c>
      <c r="G650" s="142" t="s">
        <v>1489</v>
      </c>
      <c r="H650" s="162" t="s">
        <v>1490</v>
      </c>
      <c r="I650" s="33" t="s">
        <v>33</v>
      </c>
      <c r="J650" s="30" t="s">
        <v>81</v>
      </c>
      <c r="K650" s="138" t="s">
        <v>180</v>
      </c>
      <c r="L650" s="137" t="s">
        <v>40</v>
      </c>
      <c r="M650" s="137" t="s">
        <v>804</v>
      </c>
      <c r="N650" s="137"/>
      <c r="O650" s="138" t="s">
        <v>1491</v>
      </c>
      <c r="P650" s="138" t="s">
        <v>1492</v>
      </c>
      <c r="Q650" s="15" t="s">
        <v>282</v>
      </c>
      <c r="R650" s="132">
        <v>38895</v>
      </c>
      <c r="S650" s="16" t="s">
        <v>44</v>
      </c>
      <c r="T650" s="133">
        <v>39325</v>
      </c>
      <c r="U650" s="623"/>
      <c r="V650" s="624"/>
      <c r="W650" s="185"/>
      <c r="X650" s="7"/>
      <c r="Y650" s="7">
        <f t="shared" si="20"/>
        <v>0</v>
      </c>
      <c r="Z650" s="7"/>
      <c r="AA650" s="469"/>
      <c r="AB650" s="513" t="s">
        <v>586</v>
      </c>
      <c r="AC650" s="147"/>
      <c r="AD650" s="639">
        <v>0</v>
      </c>
      <c r="AE650" s="639"/>
      <c r="AF650" s="9">
        <f t="shared" si="21"/>
        <v>0</v>
      </c>
      <c r="AG650" s="183" t="s">
        <v>1493</v>
      </c>
      <c r="AH650" s="93"/>
      <c r="AI650" s="93"/>
      <c r="AJ650" s="93"/>
      <c r="AK650" s="30" t="s">
        <v>1185</v>
      </c>
      <c r="AL650" s="93" t="s">
        <v>1175</v>
      </c>
    </row>
    <row r="651" spans="1:38" ht="15" customHeight="1" x14ac:dyDescent="0.3">
      <c r="A651" s="30" t="s">
        <v>22</v>
      </c>
      <c r="B651" s="112" t="s">
        <v>23</v>
      </c>
      <c r="C651" s="107">
        <v>13</v>
      </c>
      <c r="D651" s="11" t="s">
        <v>24</v>
      </c>
      <c r="E651" s="108">
        <v>37823</v>
      </c>
      <c r="F651" s="30">
        <v>2003</v>
      </c>
      <c r="G651" s="142" t="s">
        <v>1489</v>
      </c>
      <c r="H651" s="162" t="s">
        <v>1490</v>
      </c>
      <c r="I651" s="33" t="s">
        <v>33</v>
      </c>
      <c r="J651" s="30" t="s">
        <v>81</v>
      </c>
      <c r="K651" s="138" t="s">
        <v>180</v>
      </c>
      <c r="L651" s="137" t="s">
        <v>40</v>
      </c>
      <c r="M651" s="137" t="s">
        <v>804</v>
      </c>
      <c r="N651" s="137"/>
      <c r="O651" s="138" t="s">
        <v>1491</v>
      </c>
      <c r="P651" s="138" t="s">
        <v>1492</v>
      </c>
      <c r="Q651" s="15" t="s">
        <v>282</v>
      </c>
      <c r="R651" s="132">
        <v>38895</v>
      </c>
      <c r="S651" s="16" t="s">
        <v>44</v>
      </c>
      <c r="T651" s="133">
        <v>39325</v>
      </c>
      <c r="U651" s="623"/>
      <c r="V651" s="624"/>
      <c r="W651" s="185"/>
      <c r="X651" s="7"/>
      <c r="Y651" s="7">
        <f t="shared" si="20"/>
        <v>0</v>
      </c>
      <c r="Z651" s="7"/>
      <c r="AA651" s="469"/>
      <c r="AB651" s="513" t="s">
        <v>586</v>
      </c>
      <c r="AC651" s="147"/>
      <c r="AD651" s="639">
        <v>0</v>
      </c>
      <c r="AE651" s="639"/>
      <c r="AF651" s="9">
        <f t="shared" si="21"/>
        <v>0</v>
      </c>
      <c r="AG651" s="183" t="s">
        <v>1493</v>
      </c>
      <c r="AH651" s="93"/>
      <c r="AI651" s="93"/>
      <c r="AJ651" s="93"/>
      <c r="AK651" s="30" t="s">
        <v>1185</v>
      </c>
      <c r="AL651" s="93" t="s">
        <v>1175</v>
      </c>
    </row>
    <row r="652" spans="1:38" ht="15" customHeight="1" x14ac:dyDescent="0.3">
      <c r="A652" s="30" t="s">
        <v>22</v>
      </c>
      <c r="B652" s="120" t="s">
        <v>23</v>
      </c>
      <c r="C652" s="107">
        <v>13</v>
      </c>
      <c r="D652" s="11" t="s">
        <v>24</v>
      </c>
      <c r="E652" s="108">
        <v>37823</v>
      </c>
      <c r="F652" s="30">
        <v>2003</v>
      </c>
      <c r="G652" s="142" t="s">
        <v>1489</v>
      </c>
      <c r="H652" s="162" t="s">
        <v>1490</v>
      </c>
      <c r="I652" s="33" t="s">
        <v>33</v>
      </c>
      <c r="J652" s="30" t="s">
        <v>81</v>
      </c>
      <c r="K652" s="138" t="s">
        <v>180</v>
      </c>
      <c r="L652" s="137" t="s">
        <v>40</v>
      </c>
      <c r="M652" s="137" t="s">
        <v>804</v>
      </c>
      <c r="N652" s="137"/>
      <c r="O652" s="138" t="s">
        <v>1491</v>
      </c>
      <c r="P652" s="138" t="s">
        <v>1492</v>
      </c>
      <c r="Q652" s="15" t="s">
        <v>282</v>
      </c>
      <c r="R652" s="132">
        <v>38895</v>
      </c>
      <c r="S652" s="16" t="s">
        <v>44</v>
      </c>
      <c r="T652" s="133">
        <v>39325</v>
      </c>
      <c r="U652" s="623"/>
      <c r="V652" s="624"/>
      <c r="W652" s="185"/>
      <c r="X652" s="7"/>
      <c r="Y652" s="7">
        <f t="shared" si="20"/>
        <v>0</v>
      </c>
      <c r="Z652" s="7"/>
      <c r="AA652" s="469"/>
      <c r="AB652" s="513" t="s">
        <v>586</v>
      </c>
      <c r="AC652" s="147"/>
      <c r="AD652" s="639">
        <v>0</v>
      </c>
      <c r="AE652" s="639"/>
      <c r="AF652" s="9">
        <f t="shared" si="21"/>
        <v>0</v>
      </c>
      <c r="AG652" s="183" t="s">
        <v>1493</v>
      </c>
      <c r="AH652" s="93"/>
      <c r="AI652" s="93"/>
      <c r="AJ652" s="93"/>
      <c r="AK652" s="30" t="s">
        <v>1185</v>
      </c>
      <c r="AL652" s="93" t="s">
        <v>1175</v>
      </c>
    </row>
    <row r="653" spans="1:38" ht="15" customHeight="1" x14ac:dyDescent="0.3">
      <c r="A653" s="30" t="s">
        <v>22</v>
      </c>
      <c r="B653" s="120" t="s">
        <v>23</v>
      </c>
      <c r="C653" s="107">
        <v>13</v>
      </c>
      <c r="D653" s="11" t="s">
        <v>24</v>
      </c>
      <c r="E653" s="108">
        <v>37823</v>
      </c>
      <c r="F653" s="30">
        <v>2003</v>
      </c>
      <c r="G653" s="142" t="s">
        <v>1489</v>
      </c>
      <c r="H653" s="162" t="s">
        <v>1490</v>
      </c>
      <c r="I653" s="33" t="s">
        <v>33</v>
      </c>
      <c r="J653" s="30" t="s">
        <v>81</v>
      </c>
      <c r="K653" s="138" t="s">
        <v>180</v>
      </c>
      <c r="L653" s="137" t="s">
        <v>40</v>
      </c>
      <c r="M653" s="137" t="s">
        <v>804</v>
      </c>
      <c r="N653" s="137"/>
      <c r="O653" s="138" t="s">
        <v>1491</v>
      </c>
      <c r="P653" s="138" t="s">
        <v>1492</v>
      </c>
      <c r="Q653" s="15" t="s">
        <v>282</v>
      </c>
      <c r="R653" s="132">
        <v>38895</v>
      </c>
      <c r="S653" s="16" t="s">
        <v>44</v>
      </c>
      <c r="T653" s="133">
        <v>39325</v>
      </c>
      <c r="U653" s="623"/>
      <c r="V653" s="624"/>
      <c r="W653" s="185"/>
      <c r="X653" s="7"/>
      <c r="Y653" s="7">
        <f t="shared" si="20"/>
        <v>0</v>
      </c>
      <c r="Z653" s="7"/>
      <c r="AA653" s="469"/>
      <c r="AB653" s="513" t="s">
        <v>586</v>
      </c>
      <c r="AC653" s="147"/>
      <c r="AD653" s="639">
        <v>0</v>
      </c>
      <c r="AE653" s="639"/>
      <c r="AF653" s="9">
        <f t="shared" si="21"/>
        <v>0</v>
      </c>
      <c r="AG653" s="183" t="s">
        <v>1493</v>
      </c>
      <c r="AH653" s="93"/>
      <c r="AI653" s="93"/>
      <c r="AJ653" s="93"/>
      <c r="AK653" s="30" t="s">
        <v>1185</v>
      </c>
      <c r="AL653" s="93" t="s">
        <v>1175</v>
      </c>
    </row>
    <row r="654" spans="1:38" ht="15" customHeight="1" x14ac:dyDescent="0.3">
      <c r="A654" s="30" t="s">
        <v>22</v>
      </c>
      <c r="B654" s="120" t="s">
        <v>23</v>
      </c>
      <c r="C654" s="107">
        <v>13</v>
      </c>
      <c r="D654" s="11" t="s">
        <v>24</v>
      </c>
      <c r="E654" s="108">
        <v>37823</v>
      </c>
      <c r="F654" s="30">
        <v>2003</v>
      </c>
      <c r="G654" s="142" t="s">
        <v>1489</v>
      </c>
      <c r="H654" s="162" t="s">
        <v>1490</v>
      </c>
      <c r="I654" s="33" t="s">
        <v>33</v>
      </c>
      <c r="J654" s="30" t="s">
        <v>81</v>
      </c>
      <c r="K654" s="138" t="s">
        <v>180</v>
      </c>
      <c r="L654" s="137" t="s">
        <v>40</v>
      </c>
      <c r="M654" s="137" t="s">
        <v>804</v>
      </c>
      <c r="N654" s="137"/>
      <c r="O654" s="138" t="s">
        <v>1491</v>
      </c>
      <c r="P654" s="138" t="s">
        <v>1492</v>
      </c>
      <c r="Q654" s="15" t="s">
        <v>282</v>
      </c>
      <c r="R654" s="132">
        <v>38895</v>
      </c>
      <c r="S654" s="16" t="s">
        <v>44</v>
      </c>
      <c r="T654" s="133">
        <v>39325</v>
      </c>
      <c r="U654" s="623"/>
      <c r="V654" s="624"/>
      <c r="W654" s="185"/>
      <c r="X654" s="7"/>
      <c r="Y654" s="7">
        <f t="shared" si="20"/>
        <v>0</v>
      </c>
      <c r="Z654" s="7"/>
      <c r="AA654" s="469"/>
      <c r="AB654" s="513" t="s">
        <v>586</v>
      </c>
      <c r="AC654" s="147"/>
      <c r="AD654" s="639">
        <v>0</v>
      </c>
      <c r="AE654" s="639"/>
      <c r="AF654" s="9">
        <f t="shared" si="21"/>
        <v>0</v>
      </c>
      <c r="AG654" s="183" t="s">
        <v>1493</v>
      </c>
      <c r="AH654" s="93"/>
      <c r="AI654" s="93"/>
      <c r="AJ654" s="93"/>
      <c r="AK654" s="30" t="s">
        <v>1185</v>
      </c>
      <c r="AL654" s="93" t="s">
        <v>1175</v>
      </c>
    </row>
    <row r="655" spans="1:38" ht="15" customHeight="1" x14ac:dyDescent="0.3">
      <c r="A655" s="30" t="s">
        <v>22</v>
      </c>
      <c r="B655" s="120" t="s">
        <v>23</v>
      </c>
      <c r="C655" s="107">
        <v>13</v>
      </c>
      <c r="D655" s="11" t="s">
        <v>24</v>
      </c>
      <c r="E655" s="108">
        <v>37823</v>
      </c>
      <c r="F655" s="30">
        <v>2003</v>
      </c>
      <c r="G655" s="142" t="s">
        <v>1489</v>
      </c>
      <c r="H655" s="162" t="s">
        <v>1490</v>
      </c>
      <c r="I655" s="33" t="s">
        <v>33</v>
      </c>
      <c r="J655" s="30" t="s">
        <v>81</v>
      </c>
      <c r="K655" s="138" t="s">
        <v>180</v>
      </c>
      <c r="L655" s="137" t="s">
        <v>40</v>
      </c>
      <c r="M655" s="137" t="s">
        <v>804</v>
      </c>
      <c r="N655" s="137"/>
      <c r="O655" s="138" t="s">
        <v>1491</v>
      </c>
      <c r="P655" s="138" t="s">
        <v>1492</v>
      </c>
      <c r="Q655" s="15" t="s">
        <v>282</v>
      </c>
      <c r="R655" s="132">
        <v>38895</v>
      </c>
      <c r="S655" s="16" t="s">
        <v>44</v>
      </c>
      <c r="T655" s="133">
        <v>39325</v>
      </c>
      <c r="U655" s="623"/>
      <c r="V655" s="624"/>
      <c r="W655" s="185"/>
      <c r="X655" s="7"/>
      <c r="Y655" s="7">
        <f t="shared" si="20"/>
        <v>0</v>
      </c>
      <c r="Z655" s="7"/>
      <c r="AA655" s="469"/>
      <c r="AB655" s="513" t="s">
        <v>586</v>
      </c>
      <c r="AC655" s="147"/>
      <c r="AD655" s="639">
        <v>0</v>
      </c>
      <c r="AE655" s="639"/>
      <c r="AF655" s="9">
        <f t="shared" si="21"/>
        <v>0</v>
      </c>
      <c r="AG655" s="183" t="s">
        <v>1493</v>
      </c>
      <c r="AH655" s="93"/>
      <c r="AI655" s="93"/>
      <c r="AJ655" s="93"/>
      <c r="AK655" s="30" t="s">
        <v>1185</v>
      </c>
      <c r="AL655" s="93" t="s">
        <v>1175</v>
      </c>
    </row>
    <row r="656" spans="1:38" ht="15" customHeight="1" x14ac:dyDescent="0.3">
      <c r="A656" s="30" t="s">
        <v>22</v>
      </c>
      <c r="B656" s="120" t="s">
        <v>23</v>
      </c>
      <c r="C656" s="107">
        <v>13</v>
      </c>
      <c r="D656" s="11" t="s">
        <v>24</v>
      </c>
      <c r="E656" s="108">
        <v>37823</v>
      </c>
      <c r="F656" s="30">
        <v>2003</v>
      </c>
      <c r="G656" s="142" t="s">
        <v>1489</v>
      </c>
      <c r="H656" s="162" t="s">
        <v>1490</v>
      </c>
      <c r="I656" s="33" t="s">
        <v>33</v>
      </c>
      <c r="J656" s="30" t="s">
        <v>81</v>
      </c>
      <c r="K656" s="138" t="s">
        <v>180</v>
      </c>
      <c r="L656" s="137" t="s">
        <v>40</v>
      </c>
      <c r="M656" s="137" t="s">
        <v>804</v>
      </c>
      <c r="N656" s="137"/>
      <c r="O656" s="138" t="s">
        <v>1491</v>
      </c>
      <c r="P656" s="138" t="s">
        <v>1492</v>
      </c>
      <c r="Q656" s="15" t="s">
        <v>282</v>
      </c>
      <c r="R656" s="132">
        <v>38895</v>
      </c>
      <c r="S656" s="16" t="s">
        <v>44</v>
      </c>
      <c r="T656" s="133">
        <v>39325</v>
      </c>
      <c r="U656" s="623"/>
      <c r="V656" s="624"/>
      <c r="W656" s="185"/>
      <c r="X656" s="7"/>
      <c r="Y656" s="7">
        <f t="shared" si="20"/>
        <v>0</v>
      </c>
      <c r="Z656" s="7"/>
      <c r="AA656" s="469"/>
      <c r="AB656" s="513" t="s">
        <v>586</v>
      </c>
      <c r="AC656" s="147"/>
      <c r="AD656" s="639">
        <v>0</v>
      </c>
      <c r="AE656" s="639"/>
      <c r="AF656" s="9">
        <f t="shared" si="21"/>
        <v>0</v>
      </c>
      <c r="AG656" s="183" t="s">
        <v>1493</v>
      </c>
      <c r="AH656" s="93"/>
      <c r="AI656" s="93"/>
      <c r="AJ656" s="93"/>
      <c r="AK656" s="30" t="s">
        <v>1185</v>
      </c>
      <c r="AL656" s="93" t="s">
        <v>1175</v>
      </c>
    </row>
    <row r="657" spans="1:38" ht="15" customHeight="1" x14ac:dyDescent="0.3">
      <c r="A657" s="30" t="s">
        <v>22</v>
      </c>
      <c r="B657" s="120" t="s">
        <v>23</v>
      </c>
      <c r="C657" s="107">
        <v>13</v>
      </c>
      <c r="D657" s="11" t="s">
        <v>24</v>
      </c>
      <c r="E657" s="108">
        <v>37823</v>
      </c>
      <c r="F657" s="30">
        <v>2003</v>
      </c>
      <c r="G657" s="142" t="s">
        <v>1489</v>
      </c>
      <c r="H657" s="162" t="s">
        <v>1490</v>
      </c>
      <c r="I657" s="33" t="s">
        <v>33</v>
      </c>
      <c r="J657" s="30" t="s">
        <v>81</v>
      </c>
      <c r="K657" s="138" t="s">
        <v>180</v>
      </c>
      <c r="L657" s="137" t="s">
        <v>40</v>
      </c>
      <c r="M657" s="137" t="s">
        <v>804</v>
      </c>
      <c r="N657" s="137"/>
      <c r="O657" s="138" t="s">
        <v>1491</v>
      </c>
      <c r="P657" s="138" t="s">
        <v>1492</v>
      </c>
      <c r="Q657" s="15" t="s">
        <v>282</v>
      </c>
      <c r="R657" s="132">
        <v>38895</v>
      </c>
      <c r="S657" s="16" t="s">
        <v>44</v>
      </c>
      <c r="T657" s="133">
        <v>39325</v>
      </c>
      <c r="U657" s="623"/>
      <c r="V657" s="624"/>
      <c r="W657" s="185"/>
      <c r="X657" s="7"/>
      <c r="Y657" s="7">
        <f t="shared" si="20"/>
        <v>0</v>
      </c>
      <c r="Z657" s="7"/>
      <c r="AA657" s="469"/>
      <c r="AB657" s="513" t="s">
        <v>586</v>
      </c>
      <c r="AC657" s="147"/>
      <c r="AD657" s="639">
        <v>0</v>
      </c>
      <c r="AE657" s="639"/>
      <c r="AF657" s="9">
        <f t="shared" si="21"/>
        <v>0</v>
      </c>
      <c r="AG657" s="183" t="s">
        <v>1493</v>
      </c>
      <c r="AH657" s="93"/>
      <c r="AI657" s="93"/>
      <c r="AJ657" s="93"/>
      <c r="AK657" s="30" t="s">
        <v>1185</v>
      </c>
      <c r="AL657" s="93" t="s">
        <v>1175</v>
      </c>
    </row>
    <row r="658" spans="1:38" ht="15" customHeight="1" x14ac:dyDescent="0.3">
      <c r="A658" s="30" t="s">
        <v>22</v>
      </c>
      <c r="B658" s="120" t="s">
        <v>23</v>
      </c>
      <c r="C658" s="107">
        <v>13</v>
      </c>
      <c r="D658" s="11" t="s">
        <v>24</v>
      </c>
      <c r="E658" s="108">
        <v>37823</v>
      </c>
      <c r="F658" s="30">
        <v>2003</v>
      </c>
      <c r="G658" s="142" t="s">
        <v>1489</v>
      </c>
      <c r="H658" s="162" t="s">
        <v>1490</v>
      </c>
      <c r="I658" s="33" t="s">
        <v>33</v>
      </c>
      <c r="J658" s="30" t="s">
        <v>81</v>
      </c>
      <c r="K658" s="138" t="s">
        <v>180</v>
      </c>
      <c r="L658" s="137" t="s">
        <v>40</v>
      </c>
      <c r="M658" s="137" t="s">
        <v>804</v>
      </c>
      <c r="N658" s="137"/>
      <c r="O658" s="138" t="s">
        <v>1491</v>
      </c>
      <c r="P658" s="138" t="s">
        <v>1492</v>
      </c>
      <c r="Q658" s="15" t="s">
        <v>282</v>
      </c>
      <c r="R658" s="132">
        <v>38895</v>
      </c>
      <c r="S658" s="16" t="s">
        <v>44</v>
      </c>
      <c r="T658" s="133">
        <v>39325</v>
      </c>
      <c r="U658" s="623"/>
      <c r="V658" s="624"/>
      <c r="W658" s="185"/>
      <c r="X658" s="7"/>
      <c r="Y658" s="7">
        <f t="shared" si="20"/>
        <v>0</v>
      </c>
      <c r="Z658" s="7"/>
      <c r="AA658" s="469"/>
      <c r="AB658" s="513" t="s">
        <v>586</v>
      </c>
      <c r="AC658" s="147"/>
      <c r="AD658" s="639">
        <v>0</v>
      </c>
      <c r="AE658" s="639"/>
      <c r="AF658" s="9">
        <f t="shared" si="21"/>
        <v>0</v>
      </c>
      <c r="AG658" s="183" t="s">
        <v>1493</v>
      </c>
      <c r="AH658" s="93"/>
      <c r="AI658" s="93"/>
      <c r="AJ658" s="93"/>
      <c r="AK658" s="30" t="s">
        <v>1185</v>
      </c>
      <c r="AL658" s="93" t="s">
        <v>1175</v>
      </c>
    </row>
    <row r="659" spans="1:38" ht="15" customHeight="1" x14ac:dyDescent="0.3">
      <c r="A659" s="30" t="s">
        <v>22</v>
      </c>
      <c r="B659" s="120" t="s">
        <v>23</v>
      </c>
      <c r="C659" s="107">
        <v>13</v>
      </c>
      <c r="D659" s="11" t="s">
        <v>24</v>
      </c>
      <c r="E659" s="108">
        <v>37823</v>
      </c>
      <c r="F659" s="30">
        <v>2003</v>
      </c>
      <c r="G659" s="142" t="s">
        <v>1489</v>
      </c>
      <c r="H659" s="162" t="s">
        <v>1490</v>
      </c>
      <c r="I659" s="33" t="s">
        <v>33</v>
      </c>
      <c r="J659" s="30" t="s">
        <v>81</v>
      </c>
      <c r="K659" s="138" t="s">
        <v>180</v>
      </c>
      <c r="L659" s="137" t="s">
        <v>40</v>
      </c>
      <c r="M659" s="137" t="s">
        <v>804</v>
      </c>
      <c r="N659" s="137"/>
      <c r="O659" s="138" t="s">
        <v>1491</v>
      </c>
      <c r="P659" s="138" t="s">
        <v>1492</v>
      </c>
      <c r="Q659" s="15" t="s">
        <v>282</v>
      </c>
      <c r="R659" s="132">
        <v>38895</v>
      </c>
      <c r="S659" s="16" t="s">
        <v>44</v>
      </c>
      <c r="T659" s="133">
        <v>39325</v>
      </c>
      <c r="U659" s="623"/>
      <c r="V659" s="624"/>
      <c r="W659" s="185"/>
      <c r="X659" s="7"/>
      <c r="Y659" s="7">
        <f t="shared" si="20"/>
        <v>0</v>
      </c>
      <c r="Z659" s="7"/>
      <c r="AA659" s="469"/>
      <c r="AB659" s="513" t="s">
        <v>586</v>
      </c>
      <c r="AC659" s="147"/>
      <c r="AD659" s="639">
        <v>0</v>
      </c>
      <c r="AE659" s="639"/>
      <c r="AF659" s="9">
        <f t="shared" si="21"/>
        <v>0</v>
      </c>
      <c r="AG659" s="183" t="s">
        <v>1493</v>
      </c>
      <c r="AH659" s="93"/>
      <c r="AI659" s="93"/>
      <c r="AJ659" s="93"/>
      <c r="AK659" s="30" t="s">
        <v>1185</v>
      </c>
      <c r="AL659" s="93" t="s">
        <v>1175</v>
      </c>
    </row>
    <row r="660" spans="1:38" ht="15" customHeight="1" x14ac:dyDescent="0.3">
      <c r="A660" s="30" t="s">
        <v>883</v>
      </c>
      <c r="B660" s="88" t="s">
        <v>422</v>
      </c>
      <c r="C660" s="107">
        <v>2</v>
      </c>
      <c r="D660" s="12" t="s">
        <v>190</v>
      </c>
      <c r="E660" s="108">
        <v>36739</v>
      </c>
      <c r="F660" s="33">
        <v>2000</v>
      </c>
      <c r="G660" s="142"/>
      <c r="H660" s="162"/>
      <c r="I660" s="33" t="s">
        <v>33</v>
      </c>
      <c r="J660" s="32" t="s">
        <v>26</v>
      </c>
      <c r="K660" s="197" t="s">
        <v>392</v>
      </c>
      <c r="L660" s="137" t="s">
        <v>1319</v>
      </c>
      <c r="M660" s="137" t="s">
        <v>804</v>
      </c>
      <c r="N660" s="137"/>
      <c r="O660" s="93" t="s">
        <v>1494</v>
      </c>
      <c r="P660" s="138" t="s">
        <v>1495</v>
      </c>
      <c r="Q660" s="15" t="s">
        <v>282</v>
      </c>
      <c r="R660" s="91" t="s">
        <v>1496</v>
      </c>
      <c r="S660" s="16" t="s">
        <v>44</v>
      </c>
      <c r="T660" s="133">
        <v>38251</v>
      </c>
      <c r="U660" s="623"/>
      <c r="V660" s="624"/>
      <c r="W660" s="185"/>
      <c r="X660" s="7"/>
      <c r="Y660" s="7">
        <f t="shared" si="20"/>
        <v>0</v>
      </c>
      <c r="Z660" s="7"/>
      <c r="AA660" s="469"/>
      <c r="AB660" s="513" t="s">
        <v>424</v>
      </c>
      <c r="AC660" s="147"/>
      <c r="AD660" s="639">
        <v>0</v>
      </c>
      <c r="AE660" s="639"/>
      <c r="AF660" s="9">
        <f t="shared" si="21"/>
        <v>0</v>
      </c>
      <c r="AG660" s="183" t="s">
        <v>1344</v>
      </c>
      <c r="AH660" s="93" t="s">
        <v>994</v>
      </c>
      <c r="AI660" s="93"/>
      <c r="AJ660" s="93"/>
      <c r="AK660" s="30" t="s">
        <v>1185</v>
      </c>
      <c r="AL660" s="93" t="s">
        <v>1175</v>
      </c>
    </row>
    <row r="661" spans="1:38" ht="15" customHeight="1" x14ac:dyDescent="0.3">
      <c r="A661" s="30" t="s">
        <v>22</v>
      </c>
      <c r="B661" s="140" t="s">
        <v>23</v>
      </c>
      <c r="C661" s="107">
        <v>11</v>
      </c>
      <c r="D661" s="11" t="s">
        <v>24</v>
      </c>
      <c r="E661" s="114">
        <v>38749</v>
      </c>
      <c r="F661" s="12">
        <v>2006</v>
      </c>
      <c r="G661" s="142" t="s">
        <v>1497</v>
      </c>
      <c r="H661" s="162" t="s">
        <v>1498</v>
      </c>
      <c r="I661" s="33" t="s">
        <v>33</v>
      </c>
      <c r="J661" s="32" t="s">
        <v>26</v>
      </c>
      <c r="K661" s="138" t="s">
        <v>1194</v>
      </c>
      <c r="L661" s="137" t="s">
        <v>1116</v>
      </c>
      <c r="M661" s="137" t="s">
        <v>804</v>
      </c>
      <c r="N661" s="137"/>
      <c r="O661" s="93" t="s">
        <v>1499</v>
      </c>
      <c r="P661" s="138" t="s">
        <v>1500</v>
      </c>
      <c r="Q661" s="15" t="s">
        <v>282</v>
      </c>
      <c r="R661" s="132">
        <v>39238</v>
      </c>
      <c r="S661" s="16" t="s">
        <v>35</v>
      </c>
      <c r="T661" s="133">
        <v>39423</v>
      </c>
      <c r="U661" s="623"/>
      <c r="V661" s="624"/>
      <c r="W661" s="185" t="s">
        <v>1501</v>
      </c>
      <c r="X661" s="7"/>
      <c r="Y661" s="7" t="e">
        <f t="shared" si="20"/>
        <v>#VALUE!</v>
      </c>
      <c r="Z661" s="7"/>
      <c r="AA661" s="469"/>
      <c r="AB661" s="479" t="s">
        <v>49</v>
      </c>
      <c r="AC661" s="480"/>
      <c r="AD661" s="639">
        <v>0</v>
      </c>
      <c r="AE661" s="639"/>
      <c r="AF661" s="9">
        <f t="shared" si="21"/>
        <v>0</v>
      </c>
      <c r="AG661" s="183" t="s">
        <v>1325</v>
      </c>
      <c r="AH661" s="93"/>
      <c r="AI661" s="93" t="s">
        <v>1502</v>
      </c>
      <c r="AJ661" s="93"/>
      <c r="AK661" s="30" t="s">
        <v>1185</v>
      </c>
      <c r="AL661" s="93" t="s">
        <v>1178</v>
      </c>
    </row>
    <row r="662" spans="1:38" ht="15" customHeight="1" x14ac:dyDescent="0.3">
      <c r="A662" s="30" t="s">
        <v>22</v>
      </c>
      <c r="B662" s="153" t="s">
        <v>105</v>
      </c>
      <c r="C662" s="107">
        <v>1</v>
      </c>
      <c r="D662" s="11" t="s">
        <v>5936</v>
      </c>
      <c r="E662" s="108">
        <v>36922</v>
      </c>
      <c r="F662" s="30">
        <v>2001</v>
      </c>
      <c r="G662" s="142" t="s">
        <v>1503</v>
      </c>
      <c r="H662" s="162" t="s">
        <v>1504</v>
      </c>
      <c r="I662" s="33" t="s">
        <v>33</v>
      </c>
      <c r="J662" s="32" t="s">
        <v>26</v>
      </c>
      <c r="K662" s="197" t="s">
        <v>636</v>
      </c>
      <c r="L662" s="137" t="s">
        <v>40</v>
      </c>
      <c r="M662" s="137" t="s">
        <v>804</v>
      </c>
      <c r="N662" s="137"/>
      <c r="O662" s="93" t="s">
        <v>1505</v>
      </c>
      <c r="P662" s="138" t="s">
        <v>1506</v>
      </c>
      <c r="Q662" s="15" t="s">
        <v>282</v>
      </c>
      <c r="R662" s="132">
        <v>38933</v>
      </c>
      <c r="S662" s="16" t="s">
        <v>44</v>
      </c>
      <c r="T662" s="133">
        <v>39435</v>
      </c>
      <c r="U662" s="623"/>
      <c r="V662" s="624"/>
      <c r="W662" s="185"/>
      <c r="X662" s="7"/>
      <c r="Y662" s="7">
        <f t="shared" si="20"/>
        <v>0</v>
      </c>
      <c r="Z662" s="7"/>
      <c r="AA662" s="469"/>
      <c r="AB662" s="513" t="s">
        <v>1231</v>
      </c>
      <c r="AC662" s="147"/>
      <c r="AD662" s="639">
        <v>0</v>
      </c>
      <c r="AE662" s="639"/>
      <c r="AF662" s="9">
        <f t="shared" si="21"/>
        <v>0</v>
      </c>
      <c r="AG662" s="183" t="s">
        <v>1192</v>
      </c>
      <c r="AH662" s="93" t="s">
        <v>1507</v>
      </c>
      <c r="AI662" s="93"/>
      <c r="AJ662" s="93"/>
      <c r="AK662" s="30" t="s">
        <v>1185</v>
      </c>
      <c r="AL662" s="93" t="s">
        <v>1178</v>
      </c>
    </row>
    <row r="663" spans="1:38" ht="15" customHeight="1" x14ac:dyDescent="0.3">
      <c r="A663" s="30" t="s">
        <v>22</v>
      </c>
      <c r="B663" s="153" t="s">
        <v>105</v>
      </c>
      <c r="C663" s="109">
        <v>4</v>
      </c>
      <c r="D663" s="11" t="s">
        <v>5936</v>
      </c>
      <c r="E663" s="108">
        <v>37104</v>
      </c>
      <c r="F663" s="12">
        <v>2001</v>
      </c>
      <c r="G663" s="142" t="s">
        <v>1508</v>
      </c>
      <c r="H663" s="162" t="s">
        <v>1509</v>
      </c>
      <c r="I663" s="33" t="s">
        <v>33</v>
      </c>
      <c r="J663" s="37" t="s">
        <v>81</v>
      </c>
      <c r="K663" s="138" t="s">
        <v>180</v>
      </c>
      <c r="L663" s="137" t="s">
        <v>40</v>
      </c>
      <c r="M663" s="137" t="s">
        <v>804</v>
      </c>
      <c r="N663" s="137"/>
      <c r="O663" s="718" t="s">
        <v>1510</v>
      </c>
      <c r="P663" s="138" t="s">
        <v>1511</v>
      </c>
      <c r="Q663" s="15" t="s">
        <v>35</v>
      </c>
      <c r="R663" s="132">
        <v>38289</v>
      </c>
      <c r="S663" s="16" t="s">
        <v>35</v>
      </c>
      <c r="T663" s="133">
        <v>39429</v>
      </c>
      <c r="U663" s="623"/>
      <c r="V663" s="624"/>
      <c r="W663" s="185"/>
      <c r="X663" s="7"/>
      <c r="Y663" s="7">
        <f t="shared" si="20"/>
        <v>0</v>
      </c>
      <c r="Z663" s="7"/>
      <c r="AA663" s="469"/>
      <c r="AB663" s="513" t="s">
        <v>1231</v>
      </c>
      <c r="AC663" s="563"/>
      <c r="AD663" s="665">
        <v>0</v>
      </c>
      <c r="AE663" s="665"/>
      <c r="AF663" s="9">
        <f t="shared" si="21"/>
        <v>0</v>
      </c>
      <c r="AG663" s="183" t="s">
        <v>1192</v>
      </c>
      <c r="AH663" s="93"/>
      <c r="AI663" s="719" t="s">
        <v>1512</v>
      </c>
      <c r="AJ663" s="93"/>
      <c r="AK663" s="30" t="s">
        <v>1185</v>
      </c>
      <c r="AL663" s="93" t="s">
        <v>1178</v>
      </c>
    </row>
    <row r="664" spans="1:38" ht="15" customHeight="1" x14ac:dyDescent="0.3">
      <c r="A664" s="30" t="s">
        <v>22</v>
      </c>
      <c r="B664" s="120" t="s">
        <v>105</v>
      </c>
      <c r="C664" s="109">
        <v>5</v>
      </c>
      <c r="D664" s="11" t="s">
        <v>5936</v>
      </c>
      <c r="E664" s="108">
        <v>36663</v>
      </c>
      <c r="F664" s="37">
        <v>2000</v>
      </c>
      <c r="G664" s="142" t="s">
        <v>1326</v>
      </c>
      <c r="H664" s="162" t="s">
        <v>1327</v>
      </c>
      <c r="I664" s="109" t="s">
        <v>25</v>
      </c>
      <c r="J664" s="32" t="s">
        <v>26</v>
      </c>
      <c r="K664" s="197" t="s">
        <v>636</v>
      </c>
      <c r="L664" s="137" t="s">
        <v>40</v>
      </c>
      <c r="M664" s="137" t="s">
        <v>804</v>
      </c>
      <c r="N664" s="238"/>
      <c r="O664" s="146" t="s">
        <v>1328</v>
      </c>
      <c r="P664" s="138" t="s">
        <v>1513</v>
      </c>
      <c r="Q664" s="15" t="s">
        <v>282</v>
      </c>
      <c r="R664" s="132">
        <v>38518</v>
      </c>
      <c r="S664" s="16" t="s">
        <v>44</v>
      </c>
      <c r="T664" s="133">
        <v>39065</v>
      </c>
      <c r="U664" s="623"/>
      <c r="V664" s="624"/>
      <c r="W664" s="185"/>
      <c r="X664" s="7"/>
      <c r="Y664" s="7">
        <f t="shared" si="20"/>
        <v>0</v>
      </c>
      <c r="Z664" s="7"/>
      <c r="AA664" s="469"/>
      <c r="AB664" s="513" t="s">
        <v>1231</v>
      </c>
      <c r="AC664" s="563"/>
      <c r="AD664" s="665">
        <v>0</v>
      </c>
      <c r="AE664" s="665"/>
      <c r="AF664" s="9">
        <f t="shared" si="21"/>
        <v>0</v>
      </c>
      <c r="AG664" s="183" t="s">
        <v>1192</v>
      </c>
      <c r="AH664" s="93" t="s">
        <v>1330</v>
      </c>
      <c r="AI664" s="146"/>
      <c r="AJ664" s="93"/>
      <c r="AK664" s="30" t="s">
        <v>1185</v>
      </c>
      <c r="AL664" s="93" t="s">
        <v>1178</v>
      </c>
    </row>
    <row r="665" spans="1:38" ht="15" customHeight="1" x14ac:dyDescent="0.3">
      <c r="A665" s="30" t="s">
        <v>22</v>
      </c>
      <c r="B665" s="145" t="s">
        <v>105</v>
      </c>
      <c r="C665" s="109">
        <v>6</v>
      </c>
      <c r="D665" s="11" t="s">
        <v>5936</v>
      </c>
      <c r="E665" s="108">
        <v>36923</v>
      </c>
      <c r="F665" s="33">
        <v>2001</v>
      </c>
      <c r="G665" s="142" t="s">
        <v>1514</v>
      </c>
      <c r="H665" s="162" t="s">
        <v>1515</v>
      </c>
      <c r="I665" s="33" t="s">
        <v>33</v>
      </c>
      <c r="J665" s="32" t="s">
        <v>26</v>
      </c>
      <c r="K665" s="138" t="s">
        <v>636</v>
      </c>
      <c r="L665" s="137" t="s">
        <v>40</v>
      </c>
      <c r="M665" s="137" t="s">
        <v>804</v>
      </c>
      <c r="N665" s="137"/>
      <c r="O665" s="93" t="s">
        <v>1516</v>
      </c>
      <c r="P665" s="200" t="s">
        <v>1517</v>
      </c>
      <c r="Q665" s="15" t="s">
        <v>282</v>
      </c>
      <c r="R665" s="132">
        <v>38622</v>
      </c>
      <c r="S665" s="16" t="s">
        <v>44</v>
      </c>
      <c r="T665" s="133">
        <v>39113</v>
      </c>
      <c r="U665" s="623"/>
      <c r="V665" s="624"/>
      <c r="W665" s="185"/>
      <c r="X665" s="7"/>
      <c r="Y665" s="7">
        <f t="shared" si="20"/>
        <v>0</v>
      </c>
      <c r="Z665" s="7"/>
      <c r="AA665" s="469"/>
      <c r="AB665" s="513" t="s">
        <v>1231</v>
      </c>
      <c r="AC665" s="563"/>
      <c r="AD665" s="665">
        <v>0</v>
      </c>
      <c r="AE665" s="665"/>
      <c r="AF665" s="9">
        <f t="shared" si="21"/>
        <v>0</v>
      </c>
      <c r="AG665" s="183" t="s">
        <v>1192</v>
      </c>
      <c r="AH665" s="93"/>
      <c r="AI665" s="146"/>
      <c r="AJ665" s="93"/>
      <c r="AK665" s="30" t="s">
        <v>1185</v>
      </c>
      <c r="AL665" s="93" t="s">
        <v>1178</v>
      </c>
    </row>
    <row r="666" spans="1:38" ht="15" customHeight="1" x14ac:dyDescent="0.3">
      <c r="A666" s="30" t="s">
        <v>883</v>
      </c>
      <c r="B666" s="145" t="s">
        <v>105</v>
      </c>
      <c r="C666" s="107">
        <v>13</v>
      </c>
      <c r="D666" s="11" t="s">
        <v>5936</v>
      </c>
      <c r="E666" s="114">
        <v>38530</v>
      </c>
      <c r="F666" s="12">
        <v>2005</v>
      </c>
      <c r="G666" s="142" t="s">
        <v>1518</v>
      </c>
      <c r="H666" s="162" t="s">
        <v>1519</v>
      </c>
      <c r="I666" s="33" t="s">
        <v>33</v>
      </c>
      <c r="J666" s="32" t="s">
        <v>26</v>
      </c>
      <c r="K666" s="197" t="s">
        <v>662</v>
      </c>
      <c r="L666" s="137" t="s">
        <v>1171</v>
      </c>
      <c r="M666" s="137" t="s">
        <v>804</v>
      </c>
      <c r="N666" s="137"/>
      <c r="O666" s="93" t="s">
        <v>1520</v>
      </c>
      <c r="P666" s="138" t="s">
        <v>1521</v>
      </c>
      <c r="Q666" s="15" t="s">
        <v>282</v>
      </c>
      <c r="R666" s="132">
        <v>39282</v>
      </c>
      <c r="S666" s="16" t="s">
        <v>44</v>
      </c>
      <c r="T666" s="133">
        <v>39478</v>
      </c>
      <c r="U666" s="623"/>
      <c r="V666" s="624"/>
      <c r="W666" s="185"/>
      <c r="X666" s="7"/>
      <c r="Y666" s="7">
        <f t="shared" si="20"/>
        <v>0</v>
      </c>
      <c r="Z666" s="7"/>
      <c r="AA666" s="469"/>
      <c r="AB666" s="564" t="s">
        <v>1073</v>
      </c>
      <c r="AC666" s="693"/>
      <c r="AD666" s="639">
        <v>0</v>
      </c>
      <c r="AE666" s="639"/>
      <c r="AF666" s="9">
        <f t="shared" si="21"/>
        <v>0</v>
      </c>
      <c r="AG666" s="183" t="s">
        <v>727</v>
      </c>
      <c r="AH666" s="93" t="s">
        <v>1522</v>
      </c>
      <c r="AI666" s="93"/>
      <c r="AJ666" s="93"/>
      <c r="AK666" s="30" t="s">
        <v>1185</v>
      </c>
      <c r="AL666" s="93" t="s">
        <v>1178</v>
      </c>
    </row>
    <row r="667" spans="1:38" ht="15" customHeight="1" x14ac:dyDescent="0.3">
      <c r="A667" s="30" t="s">
        <v>22</v>
      </c>
      <c r="B667" s="112" t="s">
        <v>105</v>
      </c>
      <c r="C667" s="107">
        <v>13</v>
      </c>
      <c r="D667" s="12" t="s">
        <v>190</v>
      </c>
      <c r="E667" s="108">
        <v>36368</v>
      </c>
      <c r="F667" s="33">
        <v>1999</v>
      </c>
      <c r="G667" s="142" t="s">
        <v>1523</v>
      </c>
      <c r="H667" s="162" t="s">
        <v>1524</v>
      </c>
      <c r="I667" s="33" t="s">
        <v>33</v>
      </c>
      <c r="J667" s="32" t="s">
        <v>26</v>
      </c>
      <c r="K667" s="138" t="s">
        <v>103</v>
      </c>
      <c r="L667" s="137" t="s">
        <v>40</v>
      </c>
      <c r="M667" s="137" t="s">
        <v>804</v>
      </c>
      <c r="N667" s="137"/>
      <c r="O667" s="137" t="s">
        <v>1525</v>
      </c>
      <c r="P667" s="200" t="s">
        <v>1526</v>
      </c>
      <c r="Q667" s="15" t="s">
        <v>282</v>
      </c>
      <c r="R667" s="132">
        <v>38219</v>
      </c>
      <c r="S667" s="16" t="s">
        <v>44</v>
      </c>
      <c r="T667" s="133">
        <v>39113</v>
      </c>
      <c r="U667" s="623"/>
      <c r="V667" s="624"/>
      <c r="W667" s="185"/>
      <c r="X667" s="7"/>
      <c r="Y667" s="7">
        <f t="shared" si="20"/>
        <v>0</v>
      </c>
      <c r="Z667" s="7"/>
      <c r="AA667" s="469"/>
      <c r="AB667" s="513" t="s">
        <v>1231</v>
      </c>
      <c r="AC667" s="563"/>
      <c r="AD667" s="665">
        <v>0</v>
      </c>
      <c r="AE667" s="665"/>
      <c r="AF667" s="9">
        <f t="shared" si="21"/>
        <v>0</v>
      </c>
      <c r="AG667" s="182" t="s">
        <v>1192</v>
      </c>
      <c r="AH667" s="93"/>
      <c r="AI667" s="93"/>
      <c r="AJ667" s="93"/>
      <c r="AK667" s="30" t="s">
        <v>1185</v>
      </c>
      <c r="AL667" s="93" t="s">
        <v>1175</v>
      </c>
    </row>
    <row r="668" spans="1:38" ht="15" customHeight="1" x14ac:dyDescent="0.3">
      <c r="A668" s="30" t="s">
        <v>22</v>
      </c>
      <c r="B668" s="112" t="s">
        <v>105</v>
      </c>
      <c r="C668" s="107">
        <v>13</v>
      </c>
      <c r="D668" s="12" t="s">
        <v>190</v>
      </c>
      <c r="E668" s="108">
        <v>36368</v>
      </c>
      <c r="F668" s="33">
        <v>1999</v>
      </c>
      <c r="G668" s="142" t="s">
        <v>1523</v>
      </c>
      <c r="H668" s="162" t="s">
        <v>1524</v>
      </c>
      <c r="I668" s="33" t="s">
        <v>33</v>
      </c>
      <c r="J668" s="32" t="s">
        <v>26</v>
      </c>
      <c r="K668" s="138" t="s">
        <v>103</v>
      </c>
      <c r="L668" s="137" t="s">
        <v>40</v>
      </c>
      <c r="M668" s="137" t="s">
        <v>804</v>
      </c>
      <c r="N668" s="137"/>
      <c r="O668" s="93" t="s">
        <v>1525</v>
      </c>
      <c r="P668" s="138" t="s">
        <v>1527</v>
      </c>
      <c r="Q668" s="15" t="s">
        <v>282</v>
      </c>
      <c r="R668" s="132">
        <v>38219</v>
      </c>
      <c r="S668" s="16" t="s">
        <v>44</v>
      </c>
      <c r="T668" s="133">
        <v>39113</v>
      </c>
      <c r="U668" s="623"/>
      <c r="V668" s="624"/>
      <c r="W668" s="185"/>
      <c r="X668" s="7"/>
      <c r="Y668" s="7">
        <f t="shared" si="20"/>
        <v>0</v>
      </c>
      <c r="Z668" s="7"/>
      <c r="AA668" s="469"/>
      <c r="AB668" s="513" t="s">
        <v>1231</v>
      </c>
      <c r="AC668" s="147"/>
      <c r="AD668" s="639">
        <v>0</v>
      </c>
      <c r="AE668" s="639"/>
      <c r="AF668" s="9">
        <f t="shared" si="21"/>
        <v>0</v>
      </c>
      <c r="AG668" s="183" t="s">
        <v>1192</v>
      </c>
      <c r="AH668" s="93"/>
      <c r="AI668" s="93"/>
      <c r="AJ668" s="93"/>
      <c r="AK668" s="30" t="s">
        <v>1185</v>
      </c>
      <c r="AL668" s="93" t="s">
        <v>1175</v>
      </c>
    </row>
    <row r="669" spans="1:38" ht="15" customHeight="1" x14ac:dyDescent="0.3">
      <c r="A669" s="30" t="s">
        <v>22</v>
      </c>
      <c r="B669" s="119" t="s">
        <v>193</v>
      </c>
      <c r="C669" s="107">
        <v>2</v>
      </c>
      <c r="D669" s="12" t="s">
        <v>190</v>
      </c>
      <c r="E669" s="114">
        <v>38869</v>
      </c>
      <c r="F669" s="33">
        <v>2006</v>
      </c>
      <c r="G669" s="142" t="s">
        <v>1528</v>
      </c>
      <c r="H669" s="162" t="s">
        <v>1529</v>
      </c>
      <c r="I669" s="12" t="s">
        <v>938</v>
      </c>
      <c r="J669" s="32" t="s">
        <v>26</v>
      </c>
      <c r="K669" s="197" t="s">
        <v>636</v>
      </c>
      <c r="L669" s="197" t="s">
        <v>1530</v>
      </c>
      <c r="M669" s="137" t="s">
        <v>804</v>
      </c>
      <c r="N669" s="197"/>
      <c r="O669" s="138" t="s">
        <v>1531</v>
      </c>
      <c r="P669" s="138" t="s">
        <v>1532</v>
      </c>
      <c r="Q669" s="15" t="s">
        <v>282</v>
      </c>
      <c r="R669" s="132">
        <v>39181</v>
      </c>
      <c r="S669" s="16" t="s">
        <v>44</v>
      </c>
      <c r="T669" s="133">
        <v>39426</v>
      </c>
      <c r="U669" s="623"/>
      <c r="V669" s="624"/>
      <c r="W669" s="189"/>
      <c r="X669" s="7"/>
      <c r="Y669" s="7">
        <f t="shared" si="20"/>
        <v>0</v>
      </c>
      <c r="Z669" s="7"/>
      <c r="AA669" s="469"/>
      <c r="AB669" s="706" t="s">
        <v>1295</v>
      </c>
      <c r="AC669" s="200"/>
      <c r="AD669" s="639">
        <v>0</v>
      </c>
      <c r="AE669" s="639"/>
      <c r="AF669" s="9">
        <f t="shared" si="21"/>
        <v>0</v>
      </c>
      <c r="AG669" s="138" t="s">
        <v>1533</v>
      </c>
      <c r="AH669" s="138" t="s">
        <v>1534</v>
      </c>
      <c r="AI669" s="138"/>
      <c r="AJ669" s="138"/>
      <c r="AK669" s="138" t="s">
        <v>1185</v>
      </c>
      <c r="AL669" s="93" t="s">
        <v>1178</v>
      </c>
    </row>
    <row r="670" spans="1:38" ht="15" customHeight="1" x14ac:dyDescent="0.3">
      <c r="A670" s="30" t="s">
        <v>22</v>
      </c>
      <c r="B670" s="120" t="s">
        <v>193</v>
      </c>
      <c r="C670" s="107">
        <v>3</v>
      </c>
      <c r="D670" s="12" t="s">
        <v>190</v>
      </c>
      <c r="E670" s="108">
        <v>37694</v>
      </c>
      <c r="F670" s="33">
        <v>2003</v>
      </c>
      <c r="G670" s="142"/>
      <c r="H670" s="162"/>
      <c r="I670" s="33" t="s">
        <v>33</v>
      </c>
      <c r="J670" s="32" t="s">
        <v>26</v>
      </c>
      <c r="K670" s="197" t="s">
        <v>636</v>
      </c>
      <c r="L670" s="137" t="s">
        <v>40</v>
      </c>
      <c r="M670" s="137" t="s">
        <v>804</v>
      </c>
      <c r="N670" s="137"/>
      <c r="O670" s="93" t="s">
        <v>1535</v>
      </c>
      <c r="P670" s="138" t="s">
        <v>1536</v>
      </c>
      <c r="Q670" s="15" t="s">
        <v>282</v>
      </c>
      <c r="R670" s="132">
        <v>38889</v>
      </c>
      <c r="S670" s="16" t="s">
        <v>44</v>
      </c>
      <c r="T670" s="133">
        <v>39248</v>
      </c>
      <c r="U670" s="623" t="s">
        <v>370</v>
      </c>
      <c r="V670" s="624"/>
      <c r="W670" s="185"/>
      <c r="X670" s="7"/>
      <c r="Y670" s="7">
        <f t="shared" si="20"/>
        <v>0</v>
      </c>
      <c r="Z670" s="7"/>
      <c r="AA670" s="469"/>
      <c r="AB670" s="706" t="s">
        <v>1295</v>
      </c>
      <c r="AC670" s="200"/>
      <c r="AD670" s="639">
        <v>0</v>
      </c>
      <c r="AE670" s="639"/>
      <c r="AF670" s="9">
        <f t="shared" si="21"/>
        <v>0</v>
      </c>
      <c r="AG670" s="183">
        <v>7.5</v>
      </c>
      <c r="AH670" s="93" t="s">
        <v>1537</v>
      </c>
      <c r="AI670" s="93"/>
      <c r="AJ670" s="93"/>
      <c r="AK670" s="30" t="s">
        <v>1185</v>
      </c>
      <c r="AL670" s="93" t="s">
        <v>1178</v>
      </c>
    </row>
    <row r="671" spans="1:38" ht="15" customHeight="1" x14ac:dyDescent="0.3">
      <c r="A671" s="30" t="s">
        <v>22</v>
      </c>
      <c r="B671" s="153" t="s">
        <v>144</v>
      </c>
      <c r="C671" s="135">
        <v>9</v>
      </c>
      <c r="D671" s="11" t="s">
        <v>143</v>
      </c>
      <c r="E671" s="108">
        <v>37592</v>
      </c>
      <c r="F671" s="12">
        <v>2002</v>
      </c>
      <c r="G671" s="142"/>
      <c r="H671" s="162"/>
      <c r="I671" s="33" t="s">
        <v>33</v>
      </c>
      <c r="J671" s="181" t="s">
        <v>81</v>
      </c>
      <c r="K671" s="138" t="s">
        <v>180</v>
      </c>
      <c r="L671" s="137" t="s">
        <v>40</v>
      </c>
      <c r="M671" s="137" t="s">
        <v>804</v>
      </c>
      <c r="N671" s="197"/>
      <c r="O671" s="138" t="s">
        <v>1538</v>
      </c>
      <c r="P671" s="138" t="s">
        <v>1539</v>
      </c>
      <c r="Q671" s="15" t="s">
        <v>282</v>
      </c>
      <c r="R671" s="132">
        <v>38603</v>
      </c>
      <c r="S671" s="16" t="s">
        <v>44</v>
      </c>
      <c r="T671" s="133">
        <v>39178</v>
      </c>
      <c r="U671" s="710"/>
      <c r="V671" s="711"/>
      <c r="W671" s="185"/>
      <c r="X671" s="185"/>
      <c r="Y671" s="7">
        <f t="shared" si="20"/>
        <v>0</v>
      </c>
      <c r="Z671" s="185"/>
      <c r="AA671" s="469"/>
      <c r="AB671" s="513" t="s">
        <v>147</v>
      </c>
      <c r="AC671" s="147"/>
      <c r="AD671" s="681">
        <v>0</v>
      </c>
      <c r="AE671" s="681"/>
      <c r="AF671" s="9">
        <f t="shared" si="21"/>
        <v>0</v>
      </c>
      <c r="AG671" s="656"/>
      <c r="AH671" s="138" t="s">
        <v>1540</v>
      </c>
      <c r="AI671" s="138"/>
      <c r="AJ671" s="181"/>
      <c r="AK671" s="181" t="s">
        <v>1185</v>
      </c>
      <c r="AL671" s="93" t="s">
        <v>1178</v>
      </c>
    </row>
    <row r="672" spans="1:38" ht="15" customHeight="1" x14ac:dyDescent="0.3">
      <c r="A672" s="30" t="s">
        <v>22</v>
      </c>
      <c r="B672" s="154" t="s">
        <v>1541</v>
      </c>
      <c r="C672" s="107" t="s">
        <v>1542</v>
      </c>
      <c r="D672" s="11" t="s">
        <v>143</v>
      </c>
      <c r="E672" s="114">
        <v>38626</v>
      </c>
      <c r="F672" s="12">
        <v>2005</v>
      </c>
      <c r="G672" s="142"/>
      <c r="H672" s="162" t="s">
        <v>1543</v>
      </c>
      <c r="I672" s="33" t="s">
        <v>33</v>
      </c>
      <c r="J672" s="32" t="s">
        <v>26</v>
      </c>
      <c r="K672" s="138" t="s">
        <v>392</v>
      </c>
      <c r="L672" s="137" t="s">
        <v>1122</v>
      </c>
      <c r="M672" s="137" t="s">
        <v>804</v>
      </c>
      <c r="N672" s="137"/>
      <c r="O672" s="93" t="s">
        <v>1544</v>
      </c>
      <c r="P672" s="138" t="s">
        <v>1545</v>
      </c>
      <c r="Q672" s="15" t="s">
        <v>35</v>
      </c>
      <c r="R672" s="132">
        <v>39282</v>
      </c>
      <c r="S672" s="16" t="s">
        <v>35</v>
      </c>
      <c r="T672" s="133">
        <v>39359</v>
      </c>
      <c r="U672" s="623"/>
      <c r="V672" s="624"/>
      <c r="W672" s="185">
        <v>117</v>
      </c>
      <c r="X672" s="185"/>
      <c r="Y672" s="7">
        <f t="shared" si="20"/>
        <v>0</v>
      </c>
      <c r="Z672" s="185"/>
      <c r="AA672" s="469"/>
      <c r="AB672" s="579" t="s">
        <v>5975</v>
      </c>
      <c r="AC672" s="580"/>
      <c r="AD672" s="639">
        <v>0</v>
      </c>
      <c r="AE672" s="639"/>
      <c r="AF672" s="9">
        <f t="shared" si="21"/>
        <v>0</v>
      </c>
      <c r="AG672" s="183"/>
      <c r="AH672" s="93"/>
      <c r="AI672" s="93"/>
      <c r="AJ672" s="93"/>
      <c r="AK672" s="30" t="s">
        <v>1185</v>
      </c>
      <c r="AL672" s="93" t="s">
        <v>1175</v>
      </c>
    </row>
    <row r="673" spans="1:38" ht="15" customHeight="1" x14ac:dyDescent="0.3">
      <c r="A673" s="30" t="s">
        <v>140</v>
      </c>
      <c r="B673" s="145" t="s">
        <v>159</v>
      </c>
      <c r="C673" s="107">
        <v>2</v>
      </c>
      <c r="D673" s="11" t="s">
        <v>143</v>
      </c>
      <c r="E673" s="108">
        <v>38292</v>
      </c>
      <c r="F673" s="12">
        <v>2004</v>
      </c>
      <c r="G673" s="142"/>
      <c r="H673" s="162"/>
      <c r="I673" s="33" t="s">
        <v>33</v>
      </c>
      <c r="J673" s="30" t="s">
        <v>81</v>
      </c>
      <c r="K673" s="197" t="s">
        <v>141</v>
      </c>
      <c r="L673" s="137" t="s">
        <v>1049</v>
      </c>
      <c r="M673" s="137" t="s">
        <v>42</v>
      </c>
      <c r="N673" s="137"/>
      <c r="O673" s="138" t="s">
        <v>1546</v>
      </c>
      <c r="P673" s="138" t="s">
        <v>1547</v>
      </c>
      <c r="Q673" s="15" t="s">
        <v>35</v>
      </c>
      <c r="R673" s="132">
        <v>39266</v>
      </c>
      <c r="S673" s="16" t="s">
        <v>35</v>
      </c>
      <c r="T673" s="133">
        <v>39321</v>
      </c>
      <c r="U673" s="623"/>
      <c r="V673" s="623"/>
      <c r="W673" s="93" t="s">
        <v>1548</v>
      </c>
      <c r="X673" s="185"/>
      <c r="Y673" s="7" t="e">
        <f t="shared" si="20"/>
        <v>#VALUE!</v>
      </c>
      <c r="Z673" s="185"/>
      <c r="AA673" s="469"/>
      <c r="AB673" s="579" t="s">
        <v>5975</v>
      </c>
      <c r="AC673" s="580"/>
      <c r="AD673" s="639">
        <v>0</v>
      </c>
      <c r="AE673" s="639"/>
      <c r="AF673" s="9">
        <f t="shared" si="21"/>
        <v>0</v>
      </c>
      <c r="AG673" s="183"/>
      <c r="AH673" s="93" t="s">
        <v>1304</v>
      </c>
      <c r="AI673" s="93" t="s">
        <v>1549</v>
      </c>
      <c r="AJ673" s="93"/>
      <c r="AK673" s="30" t="s">
        <v>1185</v>
      </c>
      <c r="AL673" s="93" t="s">
        <v>1178</v>
      </c>
    </row>
    <row r="674" spans="1:38" ht="15" customHeight="1" x14ac:dyDescent="0.3">
      <c r="A674" s="30" t="s">
        <v>22</v>
      </c>
      <c r="B674" s="120" t="s">
        <v>1550</v>
      </c>
      <c r="C674" s="107" t="s">
        <v>1039</v>
      </c>
      <c r="D674" s="12" t="s">
        <v>190</v>
      </c>
      <c r="E674" s="108">
        <v>38443</v>
      </c>
      <c r="F674" s="33">
        <v>2005</v>
      </c>
      <c r="G674" s="142" t="s">
        <v>1551</v>
      </c>
      <c r="H674" s="162"/>
      <c r="I674" s="33" t="s">
        <v>33</v>
      </c>
      <c r="J674" s="32" t="s">
        <v>26</v>
      </c>
      <c r="K674" s="197" t="s">
        <v>392</v>
      </c>
      <c r="L674" s="137" t="s">
        <v>1319</v>
      </c>
      <c r="M674" s="137" t="s">
        <v>804</v>
      </c>
      <c r="N674" s="137"/>
      <c r="O674" s="93" t="s">
        <v>1552</v>
      </c>
      <c r="P674" s="138" t="s">
        <v>1553</v>
      </c>
      <c r="Q674" s="15" t="s">
        <v>35</v>
      </c>
      <c r="R674" s="132">
        <v>39126</v>
      </c>
      <c r="S674" s="92"/>
      <c r="T674" s="92"/>
      <c r="U674" s="623"/>
      <c r="V674" s="624"/>
      <c r="W674" s="185" t="s">
        <v>1554</v>
      </c>
      <c r="X674" s="7"/>
      <c r="Y674" s="7" t="e">
        <f t="shared" si="20"/>
        <v>#VALUE!</v>
      </c>
      <c r="Z674" s="7"/>
      <c r="AA674" s="469"/>
      <c r="AB674" s="513" t="s">
        <v>5996</v>
      </c>
      <c r="AC674" s="563"/>
      <c r="AD674" s="665">
        <v>0</v>
      </c>
      <c r="AE674" s="665"/>
      <c r="AF674" s="9">
        <f t="shared" si="21"/>
        <v>0</v>
      </c>
      <c r="AG674" s="183">
        <v>7.5</v>
      </c>
      <c r="AH674" s="93" t="s">
        <v>1555</v>
      </c>
      <c r="AI674" s="93"/>
      <c r="AJ674" s="93"/>
      <c r="AK674" s="30" t="s">
        <v>1185</v>
      </c>
      <c r="AL674" s="93" t="s">
        <v>1175</v>
      </c>
    </row>
    <row r="675" spans="1:38" ht="15" customHeight="1" x14ac:dyDescent="0.3">
      <c r="A675" s="30" t="s">
        <v>22</v>
      </c>
      <c r="B675" s="120" t="s">
        <v>105</v>
      </c>
      <c r="C675" s="107">
        <v>3</v>
      </c>
      <c r="D675" s="11" t="s">
        <v>143</v>
      </c>
      <c r="E675" s="108">
        <v>34393</v>
      </c>
      <c r="F675" s="12">
        <v>1994</v>
      </c>
      <c r="G675" s="142" t="s">
        <v>1556</v>
      </c>
      <c r="H675" s="162" t="s">
        <v>1557</v>
      </c>
      <c r="I675" s="33" t="s">
        <v>33</v>
      </c>
      <c r="J675" s="32" t="s">
        <v>26</v>
      </c>
      <c r="K675" s="197" t="s">
        <v>1194</v>
      </c>
      <c r="L675" s="137" t="s">
        <v>40</v>
      </c>
      <c r="M675" s="137" t="s">
        <v>804</v>
      </c>
      <c r="N675" s="137"/>
      <c r="O675" s="93" t="s">
        <v>1558</v>
      </c>
      <c r="P675" s="138" t="s">
        <v>1559</v>
      </c>
      <c r="Q675" s="15" t="s">
        <v>282</v>
      </c>
      <c r="R675" s="132">
        <v>38383</v>
      </c>
      <c r="S675" s="16" t="s">
        <v>44</v>
      </c>
      <c r="T675" s="133">
        <v>39381</v>
      </c>
      <c r="U675" s="623"/>
      <c r="V675" s="624"/>
      <c r="W675" s="185"/>
      <c r="X675" s="185"/>
      <c r="Y675" s="7">
        <f t="shared" si="20"/>
        <v>0</v>
      </c>
      <c r="Z675" s="185"/>
      <c r="AA675" s="469"/>
      <c r="AB675" s="513" t="s">
        <v>1231</v>
      </c>
      <c r="AC675" s="563"/>
      <c r="AD675" s="665">
        <v>0</v>
      </c>
      <c r="AE675" s="665"/>
      <c r="AF675" s="9">
        <f t="shared" si="21"/>
        <v>0</v>
      </c>
      <c r="AG675" s="183" t="s">
        <v>1192</v>
      </c>
      <c r="AH675" s="93" t="s">
        <v>1560</v>
      </c>
      <c r="AI675" s="93" t="s">
        <v>1561</v>
      </c>
      <c r="AJ675" s="93"/>
      <c r="AK675" s="30" t="s">
        <v>1185</v>
      </c>
      <c r="AL675" s="93" t="s">
        <v>1178</v>
      </c>
    </row>
    <row r="676" spans="1:38" ht="15" customHeight="1" x14ac:dyDescent="0.3">
      <c r="A676" s="30" t="s">
        <v>22</v>
      </c>
      <c r="B676" s="120" t="s">
        <v>23</v>
      </c>
      <c r="C676" s="107">
        <v>12</v>
      </c>
      <c r="D676" s="11" t="s">
        <v>24</v>
      </c>
      <c r="E676" s="114">
        <v>37777</v>
      </c>
      <c r="F676" s="12">
        <v>2003</v>
      </c>
      <c r="G676" s="142" t="s">
        <v>1562</v>
      </c>
      <c r="H676" s="162" t="s">
        <v>1563</v>
      </c>
      <c r="I676" s="12" t="s">
        <v>938</v>
      </c>
      <c r="J676" s="32" t="s">
        <v>26</v>
      </c>
      <c r="K676" s="197" t="s">
        <v>636</v>
      </c>
      <c r="L676" s="137" t="s">
        <v>1564</v>
      </c>
      <c r="M676" s="137" t="s">
        <v>804</v>
      </c>
      <c r="N676" s="93"/>
      <c r="O676" s="93" t="s">
        <v>1565</v>
      </c>
      <c r="P676" s="138" t="s">
        <v>1566</v>
      </c>
      <c r="Q676" s="15" t="s">
        <v>282</v>
      </c>
      <c r="R676" s="164">
        <v>39157</v>
      </c>
      <c r="S676" s="16" t="s">
        <v>35</v>
      </c>
      <c r="T676" s="165">
        <v>39427</v>
      </c>
      <c r="U676" s="624"/>
      <c r="V676" s="624"/>
      <c r="W676" s="185"/>
      <c r="X676" s="7"/>
      <c r="Y676" s="7">
        <f t="shared" si="20"/>
        <v>0</v>
      </c>
      <c r="Z676" s="7"/>
      <c r="AA676" s="469"/>
      <c r="AB676" s="513" t="s">
        <v>1077</v>
      </c>
      <c r="AC676" s="147"/>
      <c r="AD676" s="639">
        <v>0</v>
      </c>
      <c r="AE676" s="639"/>
      <c r="AF676" s="9">
        <f t="shared" si="21"/>
        <v>0</v>
      </c>
      <c r="AG676" s="183" t="s">
        <v>656</v>
      </c>
      <c r="AH676" s="93"/>
      <c r="AI676" s="93" t="s">
        <v>1567</v>
      </c>
      <c r="AJ676" s="93"/>
      <c r="AK676" s="30" t="s">
        <v>1185</v>
      </c>
      <c r="AL676" s="93" t="s">
        <v>1178</v>
      </c>
    </row>
    <row r="677" spans="1:38" ht="15" customHeight="1" x14ac:dyDescent="0.3">
      <c r="A677" s="30" t="s">
        <v>22</v>
      </c>
      <c r="B677" s="145" t="s">
        <v>105</v>
      </c>
      <c r="C677" s="107">
        <v>11</v>
      </c>
      <c r="D677" s="11" t="s">
        <v>5936</v>
      </c>
      <c r="E677" s="108">
        <v>36892</v>
      </c>
      <c r="F677" s="93">
        <v>2001</v>
      </c>
      <c r="G677" s="142" t="s">
        <v>1568</v>
      </c>
      <c r="H677" s="162" t="s">
        <v>1569</v>
      </c>
      <c r="I677" s="33" t="s">
        <v>33</v>
      </c>
      <c r="J677" s="32" t="s">
        <v>26</v>
      </c>
      <c r="K677" s="138" t="s">
        <v>392</v>
      </c>
      <c r="L677" s="137" t="s">
        <v>40</v>
      </c>
      <c r="M677" s="137" t="s">
        <v>804</v>
      </c>
      <c r="N677" s="137"/>
      <c r="O677" s="93" t="s">
        <v>1570</v>
      </c>
      <c r="P677" s="200" t="s">
        <v>1571</v>
      </c>
      <c r="Q677" s="15" t="s">
        <v>282</v>
      </c>
      <c r="R677" s="132">
        <v>38252</v>
      </c>
      <c r="S677" s="16" t="s">
        <v>44</v>
      </c>
      <c r="T677" s="133">
        <v>39496</v>
      </c>
      <c r="U677" s="623"/>
      <c r="V677" s="624"/>
      <c r="W677" s="185"/>
      <c r="X677" s="7"/>
      <c r="Y677" s="7">
        <f t="shared" si="20"/>
        <v>0</v>
      </c>
      <c r="Z677" s="7"/>
      <c r="AA677" s="469"/>
      <c r="AB677" s="513" t="s">
        <v>1231</v>
      </c>
      <c r="AC677" s="147"/>
      <c r="AD677" s="639">
        <v>0</v>
      </c>
      <c r="AE677" s="639"/>
      <c r="AF677" s="9">
        <f t="shared" si="21"/>
        <v>0</v>
      </c>
      <c r="AG677" s="183" t="s">
        <v>1192</v>
      </c>
      <c r="AH677" s="93"/>
      <c r="AI677" s="93"/>
      <c r="AJ677" s="93"/>
      <c r="AK677" s="30" t="s">
        <v>1185</v>
      </c>
      <c r="AL677" s="93" t="s">
        <v>1175</v>
      </c>
    </row>
    <row r="678" spans="1:38" ht="15" customHeight="1" x14ac:dyDescent="0.3">
      <c r="A678" s="30" t="s">
        <v>22</v>
      </c>
      <c r="B678" s="145" t="s">
        <v>144</v>
      </c>
      <c r="C678" s="107">
        <v>7</v>
      </c>
      <c r="D678" s="11" t="s">
        <v>143</v>
      </c>
      <c r="E678" s="108">
        <v>36892</v>
      </c>
      <c r="F678" s="93">
        <v>2001</v>
      </c>
      <c r="G678" s="142" t="s">
        <v>1572</v>
      </c>
      <c r="H678" s="162" t="s">
        <v>1573</v>
      </c>
      <c r="I678" s="33" t="s">
        <v>33</v>
      </c>
      <c r="J678" s="32" t="s">
        <v>26</v>
      </c>
      <c r="K678" s="197" t="s">
        <v>392</v>
      </c>
      <c r="L678" s="137" t="s">
        <v>40</v>
      </c>
      <c r="M678" s="137" t="s">
        <v>804</v>
      </c>
      <c r="N678" s="137"/>
      <c r="O678" s="93" t="s">
        <v>1574</v>
      </c>
      <c r="P678" s="138" t="s">
        <v>1575</v>
      </c>
      <c r="Q678" s="15" t="s">
        <v>282</v>
      </c>
      <c r="R678" s="132">
        <v>39000</v>
      </c>
      <c r="S678" s="16" t="s">
        <v>44</v>
      </c>
      <c r="T678" s="133">
        <v>39385</v>
      </c>
      <c r="U678" s="623"/>
      <c r="V678" s="624"/>
      <c r="W678" s="185"/>
      <c r="X678" s="7"/>
      <c r="Y678" s="7">
        <f t="shared" si="20"/>
        <v>0</v>
      </c>
      <c r="Z678" s="7"/>
      <c r="AA678" s="469"/>
      <c r="AB678" s="513" t="s">
        <v>147</v>
      </c>
      <c r="AC678" s="147"/>
      <c r="AD678" s="639">
        <v>0</v>
      </c>
      <c r="AE678" s="639"/>
      <c r="AF678" s="9">
        <f t="shared" si="21"/>
        <v>0</v>
      </c>
      <c r="AG678" s="183"/>
      <c r="AH678" s="93"/>
      <c r="AI678" s="93"/>
      <c r="AJ678" s="93"/>
      <c r="AK678" s="30" t="s">
        <v>1185</v>
      </c>
      <c r="AL678" s="93" t="s">
        <v>1175</v>
      </c>
    </row>
    <row r="679" spans="1:38" ht="15" customHeight="1" x14ac:dyDescent="0.3">
      <c r="A679" s="30" t="s">
        <v>22</v>
      </c>
      <c r="B679" s="153" t="s">
        <v>142</v>
      </c>
      <c r="C679" s="107">
        <v>1</v>
      </c>
      <c r="D679" s="11" t="s">
        <v>143</v>
      </c>
      <c r="E679" s="108">
        <v>37305</v>
      </c>
      <c r="F679" s="12">
        <v>2002</v>
      </c>
      <c r="G679" s="142"/>
      <c r="H679" s="162"/>
      <c r="I679" s="12" t="s">
        <v>25</v>
      </c>
      <c r="J679" s="32" t="s">
        <v>26</v>
      </c>
      <c r="K679" s="197" t="s">
        <v>636</v>
      </c>
      <c r="L679" s="137" t="s">
        <v>40</v>
      </c>
      <c r="M679" s="137" t="s">
        <v>804</v>
      </c>
      <c r="N679" s="137"/>
      <c r="O679" s="93" t="s">
        <v>1576</v>
      </c>
      <c r="P679" s="138" t="s">
        <v>1577</v>
      </c>
      <c r="Q679" s="15" t="s">
        <v>282</v>
      </c>
      <c r="R679" s="132">
        <v>38562</v>
      </c>
      <c r="S679" s="16" t="s">
        <v>44</v>
      </c>
      <c r="T679" s="133">
        <v>38741</v>
      </c>
      <c r="U679" s="623"/>
      <c r="V679" s="624"/>
      <c r="W679" s="185"/>
      <c r="X679" s="185"/>
      <c r="Y679" s="7">
        <f t="shared" si="20"/>
        <v>0</v>
      </c>
      <c r="Z679" s="185"/>
      <c r="AA679" s="469"/>
      <c r="AB679" s="513" t="s">
        <v>147</v>
      </c>
      <c r="AC679" s="147"/>
      <c r="AD679" s="639">
        <v>0</v>
      </c>
      <c r="AE679" s="639"/>
      <c r="AF679" s="9">
        <f t="shared" si="21"/>
        <v>0</v>
      </c>
      <c r="AG679" s="183"/>
      <c r="AH679" s="93" t="s">
        <v>500</v>
      </c>
      <c r="AI679" s="93" t="s">
        <v>1578</v>
      </c>
      <c r="AJ679" s="93"/>
      <c r="AK679" s="30" t="s">
        <v>99</v>
      </c>
      <c r="AL679" s="93" t="s">
        <v>1178</v>
      </c>
    </row>
    <row r="680" spans="1:38" ht="15" customHeight="1" x14ac:dyDescent="0.3">
      <c r="A680" s="30" t="s">
        <v>22</v>
      </c>
      <c r="B680" s="145" t="s">
        <v>105</v>
      </c>
      <c r="C680" s="107">
        <v>11</v>
      </c>
      <c r="D680" s="11" t="s">
        <v>5936</v>
      </c>
      <c r="E680" s="108">
        <v>37321</v>
      </c>
      <c r="F680" s="33">
        <v>2002</v>
      </c>
      <c r="G680" s="142" t="s">
        <v>1579</v>
      </c>
      <c r="H680" s="162" t="s">
        <v>1580</v>
      </c>
      <c r="I680" s="12" t="s">
        <v>25</v>
      </c>
      <c r="J680" s="32" t="s">
        <v>26</v>
      </c>
      <c r="K680" s="197" t="s">
        <v>636</v>
      </c>
      <c r="L680" s="137" t="s">
        <v>40</v>
      </c>
      <c r="M680" s="137" t="s">
        <v>804</v>
      </c>
      <c r="N680" s="137"/>
      <c r="O680" s="93" t="s">
        <v>1581</v>
      </c>
      <c r="P680" s="138" t="s">
        <v>1582</v>
      </c>
      <c r="Q680" s="15" t="s">
        <v>35</v>
      </c>
      <c r="R680" s="166">
        <v>39016</v>
      </c>
      <c r="S680" s="92" t="s">
        <v>1583</v>
      </c>
      <c r="T680" s="133">
        <v>39535</v>
      </c>
      <c r="U680" s="623"/>
      <c r="V680" s="623"/>
      <c r="W680" s="93" t="s">
        <v>1584</v>
      </c>
      <c r="X680" s="7"/>
      <c r="Y680" s="7" t="e">
        <f t="shared" si="20"/>
        <v>#VALUE!</v>
      </c>
      <c r="Z680" s="7"/>
      <c r="AA680" s="469"/>
      <c r="AB680" s="513" t="s">
        <v>1231</v>
      </c>
      <c r="AC680" s="147"/>
      <c r="AD680" s="639">
        <v>0</v>
      </c>
      <c r="AE680" s="639"/>
      <c r="AF680" s="9">
        <f t="shared" si="21"/>
        <v>0</v>
      </c>
      <c r="AG680" s="183" t="s">
        <v>1192</v>
      </c>
      <c r="AH680" s="93" t="s">
        <v>1585</v>
      </c>
      <c r="AI680" s="93"/>
      <c r="AJ680" s="93"/>
      <c r="AK680" s="30" t="s">
        <v>1185</v>
      </c>
      <c r="AL680" s="93" t="s">
        <v>1178</v>
      </c>
    </row>
    <row r="681" spans="1:38" ht="15" customHeight="1" x14ac:dyDescent="0.3">
      <c r="A681" s="30" t="s">
        <v>22</v>
      </c>
      <c r="B681" s="145" t="s">
        <v>188</v>
      </c>
      <c r="C681" s="107" t="s">
        <v>1586</v>
      </c>
      <c r="D681" s="11" t="s">
        <v>143</v>
      </c>
      <c r="E681" s="108">
        <v>37561</v>
      </c>
      <c r="F681" s="12">
        <v>2002</v>
      </c>
      <c r="G681" s="142"/>
      <c r="H681" s="162"/>
      <c r="I681" s="33" t="s">
        <v>33</v>
      </c>
      <c r="J681" s="32" t="s">
        <v>191</v>
      </c>
      <c r="K681" s="197" t="s">
        <v>1173</v>
      </c>
      <c r="L681" s="137" t="s">
        <v>40</v>
      </c>
      <c r="M681" s="137" t="s">
        <v>804</v>
      </c>
      <c r="N681" s="137"/>
      <c r="O681" s="93" t="s">
        <v>1587</v>
      </c>
      <c r="P681" s="138" t="s">
        <v>1588</v>
      </c>
      <c r="Q681" s="15" t="s">
        <v>35</v>
      </c>
      <c r="R681" s="132">
        <v>38940</v>
      </c>
      <c r="S681" s="16" t="s">
        <v>44</v>
      </c>
      <c r="T681" s="133">
        <v>39190</v>
      </c>
      <c r="U681" s="623" t="s">
        <v>1589</v>
      </c>
      <c r="V681" s="180">
        <v>39576</v>
      </c>
      <c r="W681" s="185"/>
      <c r="X681" s="185"/>
      <c r="Y681" s="7">
        <f t="shared" si="20"/>
        <v>0</v>
      </c>
      <c r="Z681" s="185"/>
      <c r="AA681" s="469"/>
      <c r="AB681" s="513" t="s">
        <v>147</v>
      </c>
      <c r="AC681" s="147"/>
      <c r="AD681" s="639">
        <v>0</v>
      </c>
      <c r="AE681" s="639"/>
      <c r="AF681" s="9">
        <f t="shared" si="21"/>
        <v>0</v>
      </c>
      <c r="AG681" s="183">
        <v>10</v>
      </c>
      <c r="AH681" s="93" t="s">
        <v>1590</v>
      </c>
      <c r="AI681" s="93"/>
      <c r="AJ681" s="93"/>
      <c r="AK681" s="30" t="s">
        <v>1177</v>
      </c>
      <c r="AL681" s="93" t="s">
        <v>1175</v>
      </c>
    </row>
    <row r="682" spans="1:38" ht="15" customHeight="1" x14ac:dyDescent="0.3">
      <c r="A682" s="30" t="s">
        <v>22</v>
      </c>
      <c r="B682" s="120" t="s">
        <v>23</v>
      </c>
      <c r="C682" s="107">
        <v>3</v>
      </c>
      <c r="D682" s="11" t="s">
        <v>24</v>
      </c>
      <c r="E682" s="108">
        <v>37685</v>
      </c>
      <c r="F682" s="30">
        <v>2003</v>
      </c>
      <c r="G682" s="142" t="s">
        <v>1591</v>
      </c>
      <c r="H682" s="162" t="s">
        <v>1592</v>
      </c>
      <c r="I682" s="12" t="s">
        <v>25</v>
      </c>
      <c r="J682" s="32" t="s">
        <v>26</v>
      </c>
      <c r="K682" s="197" t="s">
        <v>636</v>
      </c>
      <c r="L682" s="137" t="s">
        <v>40</v>
      </c>
      <c r="M682" s="137" t="s">
        <v>804</v>
      </c>
      <c r="N682" s="137"/>
      <c r="O682" s="138" t="s">
        <v>1593</v>
      </c>
      <c r="P682" s="720" t="s">
        <v>1594</v>
      </c>
      <c r="Q682" s="15" t="s">
        <v>282</v>
      </c>
      <c r="R682" s="132">
        <v>38761</v>
      </c>
      <c r="S682" s="16" t="s">
        <v>44</v>
      </c>
      <c r="T682" s="133">
        <v>39568</v>
      </c>
      <c r="U682" s="623"/>
      <c r="V682" s="624"/>
      <c r="W682" s="185"/>
      <c r="X682" s="7"/>
      <c r="Y682" s="7">
        <f t="shared" si="20"/>
        <v>0</v>
      </c>
      <c r="Z682" s="7"/>
      <c r="AA682" s="469"/>
      <c r="AB682" s="518" t="s">
        <v>933</v>
      </c>
      <c r="AC682" s="519"/>
      <c r="AD682" s="639">
        <v>0</v>
      </c>
      <c r="AE682" s="639"/>
      <c r="AF682" s="9">
        <f t="shared" si="21"/>
        <v>0</v>
      </c>
      <c r="AG682" s="183" t="s">
        <v>1099</v>
      </c>
      <c r="AH682" s="93" t="s">
        <v>5970</v>
      </c>
      <c r="AI682" s="93"/>
      <c r="AJ682" s="93"/>
      <c r="AK682" s="30" t="s">
        <v>1177</v>
      </c>
      <c r="AL682" s="93" t="s">
        <v>1178</v>
      </c>
    </row>
    <row r="683" spans="1:38" ht="15" customHeight="1" x14ac:dyDescent="0.3">
      <c r="A683" s="30" t="s">
        <v>22</v>
      </c>
      <c r="B683" s="153" t="s">
        <v>246</v>
      </c>
      <c r="C683" s="107">
        <v>3</v>
      </c>
      <c r="D683" s="11" t="s">
        <v>225</v>
      </c>
      <c r="E683" s="108">
        <v>36892</v>
      </c>
      <c r="F683" s="30">
        <v>2001</v>
      </c>
      <c r="G683" s="142"/>
      <c r="H683" s="162"/>
      <c r="I683" s="33" t="s">
        <v>33</v>
      </c>
      <c r="J683" s="32" t="s">
        <v>26</v>
      </c>
      <c r="K683" s="197" t="s">
        <v>1194</v>
      </c>
      <c r="L683" s="238" t="s">
        <v>40</v>
      </c>
      <c r="M683" s="137" t="s">
        <v>804</v>
      </c>
      <c r="N683" s="137"/>
      <c r="O683" s="197" t="s">
        <v>1595</v>
      </c>
      <c r="P683" s="197" t="s">
        <v>1596</v>
      </c>
      <c r="Q683" s="15" t="s">
        <v>282</v>
      </c>
      <c r="R683" s="164">
        <v>38477</v>
      </c>
      <c r="S683" s="16" t="s">
        <v>44</v>
      </c>
      <c r="T683" s="165">
        <v>38834</v>
      </c>
      <c r="U683" s="624" t="s">
        <v>1597</v>
      </c>
      <c r="V683" s="180">
        <v>39546</v>
      </c>
      <c r="W683" s="185"/>
      <c r="X683" s="185"/>
      <c r="Y683" s="7">
        <f t="shared" si="20"/>
        <v>0</v>
      </c>
      <c r="Z683" s="185"/>
      <c r="AA683" s="469"/>
      <c r="AB683" s="500" t="s">
        <v>5953</v>
      </c>
      <c r="AC683" s="501"/>
      <c r="AD683" s="639">
        <v>0</v>
      </c>
      <c r="AE683" s="690"/>
      <c r="AF683" s="9">
        <f t="shared" si="21"/>
        <v>0</v>
      </c>
      <c r="AG683" s="708" t="s">
        <v>664</v>
      </c>
      <c r="AH683" s="137"/>
      <c r="AI683" s="137"/>
      <c r="AJ683" s="137"/>
      <c r="AK683" s="30" t="s">
        <v>99</v>
      </c>
      <c r="AL683" s="93" t="s">
        <v>1178</v>
      </c>
    </row>
    <row r="684" spans="1:38" ht="15" customHeight="1" x14ac:dyDescent="0.3">
      <c r="A684" s="30" t="s">
        <v>22</v>
      </c>
      <c r="B684" s="120" t="s">
        <v>23</v>
      </c>
      <c r="C684" s="107">
        <v>2</v>
      </c>
      <c r="D684" s="11" t="s">
        <v>24</v>
      </c>
      <c r="E684" s="108">
        <v>37736</v>
      </c>
      <c r="F684" s="30">
        <v>2003</v>
      </c>
      <c r="G684" s="142" t="s">
        <v>1598</v>
      </c>
      <c r="H684" s="162" t="s">
        <v>1599</v>
      </c>
      <c r="I684" s="12" t="s">
        <v>25</v>
      </c>
      <c r="J684" s="32" t="s">
        <v>26</v>
      </c>
      <c r="K684" s="138" t="s">
        <v>636</v>
      </c>
      <c r="L684" s="137" t="s">
        <v>40</v>
      </c>
      <c r="M684" s="137" t="s">
        <v>804</v>
      </c>
      <c r="N684" s="137"/>
      <c r="O684" s="138" t="s">
        <v>1600</v>
      </c>
      <c r="P684" s="138" t="s">
        <v>1601</v>
      </c>
      <c r="Q684" s="15" t="s">
        <v>282</v>
      </c>
      <c r="R684" s="132">
        <v>39024</v>
      </c>
      <c r="S684" s="16" t="s">
        <v>44</v>
      </c>
      <c r="T684" s="133">
        <v>39380</v>
      </c>
      <c r="U684" s="623" t="s">
        <v>1602</v>
      </c>
      <c r="V684" s="180">
        <v>39603</v>
      </c>
      <c r="W684" s="185"/>
      <c r="X684" s="7"/>
      <c r="Y684" s="7">
        <f t="shared" si="20"/>
        <v>0</v>
      </c>
      <c r="Z684" s="7"/>
      <c r="AA684" s="469"/>
      <c r="AB684" s="513" t="s">
        <v>5976</v>
      </c>
      <c r="AC684" s="147"/>
      <c r="AD684" s="639">
        <v>0</v>
      </c>
      <c r="AE684" s="639"/>
      <c r="AF684" s="9">
        <f t="shared" si="21"/>
        <v>0</v>
      </c>
      <c r="AG684" s="183" t="s">
        <v>667</v>
      </c>
      <c r="AH684" s="93"/>
      <c r="AI684" s="93" t="s">
        <v>1603</v>
      </c>
      <c r="AJ684" s="181"/>
      <c r="AK684" s="30" t="s">
        <v>1185</v>
      </c>
      <c r="AL684" s="93" t="s">
        <v>1178</v>
      </c>
    </row>
    <row r="685" spans="1:38" ht="15" customHeight="1" x14ac:dyDescent="0.3">
      <c r="A685" s="30" t="s">
        <v>22</v>
      </c>
      <c r="B685" s="145" t="s">
        <v>105</v>
      </c>
      <c r="C685" s="109">
        <v>7</v>
      </c>
      <c r="D685" s="11" t="s">
        <v>5936</v>
      </c>
      <c r="E685" s="108">
        <v>37321</v>
      </c>
      <c r="F685" s="33">
        <v>2002</v>
      </c>
      <c r="G685" s="142" t="s">
        <v>1604</v>
      </c>
      <c r="H685" s="162" t="s">
        <v>1605</v>
      </c>
      <c r="I685" s="33" t="s">
        <v>33</v>
      </c>
      <c r="J685" s="32" t="s">
        <v>26</v>
      </c>
      <c r="K685" s="197" t="s">
        <v>640</v>
      </c>
      <c r="L685" s="137" t="s">
        <v>40</v>
      </c>
      <c r="M685" s="137" t="s">
        <v>804</v>
      </c>
      <c r="N685" s="137"/>
      <c r="O685" s="93" t="s">
        <v>1606</v>
      </c>
      <c r="P685" s="200" t="s">
        <v>1607</v>
      </c>
      <c r="Q685" s="15" t="s">
        <v>282</v>
      </c>
      <c r="R685" s="132">
        <v>39188</v>
      </c>
      <c r="S685" s="16" t="s">
        <v>44</v>
      </c>
      <c r="T685" s="133">
        <v>39534</v>
      </c>
      <c r="U685" s="623"/>
      <c r="V685" s="624"/>
      <c r="W685" s="185"/>
      <c r="X685" s="7"/>
      <c r="Y685" s="7">
        <f t="shared" si="20"/>
        <v>0</v>
      </c>
      <c r="Z685" s="7"/>
      <c r="AA685" s="469"/>
      <c r="AB685" s="513" t="s">
        <v>1231</v>
      </c>
      <c r="AC685" s="563"/>
      <c r="AD685" s="665">
        <v>0</v>
      </c>
      <c r="AE685" s="665"/>
      <c r="AF685" s="9">
        <f t="shared" si="21"/>
        <v>0</v>
      </c>
      <c r="AG685" s="182" t="s">
        <v>1192</v>
      </c>
      <c r="AH685" s="93" t="s">
        <v>1608</v>
      </c>
      <c r="AI685" s="146" t="s">
        <v>1609</v>
      </c>
      <c r="AJ685" s="93"/>
      <c r="AK685" s="30" t="s">
        <v>1177</v>
      </c>
      <c r="AL685" s="93" t="s">
        <v>1178</v>
      </c>
    </row>
    <row r="686" spans="1:38" ht="15" customHeight="1" x14ac:dyDescent="0.3">
      <c r="A686" s="181" t="s">
        <v>22</v>
      </c>
      <c r="B686" s="167" t="s">
        <v>148</v>
      </c>
      <c r="C686" s="135">
        <v>4</v>
      </c>
      <c r="D686" s="11" t="s">
        <v>143</v>
      </c>
      <c r="E686" s="168">
        <v>39384</v>
      </c>
      <c r="F686" s="12">
        <v>2007</v>
      </c>
      <c r="G686" s="168" t="s">
        <v>1610</v>
      </c>
      <c r="H686" s="162" t="s">
        <v>1611</v>
      </c>
      <c r="I686" s="30" t="s">
        <v>38</v>
      </c>
      <c r="J686" s="30" t="s">
        <v>81</v>
      </c>
      <c r="K686" s="197" t="s">
        <v>1612</v>
      </c>
      <c r="L686" s="197" t="s">
        <v>40</v>
      </c>
      <c r="M686" s="137" t="s">
        <v>804</v>
      </c>
      <c r="N686" s="197"/>
      <c r="O686" s="138" t="s">
        <v>1613</v>
      </c>
      <c r="P686" s="153" t="s">
        <v>1614</v>
      </c>
      <c r="Q686" s="138"/>
      <c r="R686" s="138"/>
      <c r="S686" s="138"/>
      <c r="T686" s="138"/>
      <c r="U686" s="138"/>
      <c r="V686" s="197"/>
      <c r="W686" s="189"/>
      <c r="X686" s="185"/>
      <c r="Y686" s="7">
        <f t="shared" si="20"/>
        <v>0</v>
      </c>
      <c r="Z686" s="185"/>
      <c r="AA686" s="469"/>
      <c r="AB686" s="564" t="s">
        <v>147</v>
      </c>
      <c r="AC686" s="693"/>
      <c r="AD686" s="639">
        <v>0</v>
      </c>
      <c r="AE686" s="639"/>
      <c r="AF686" s="9">
        <f t="shared" si="21"/>
        <v>0</v>
      </c>
      <c r="AG686" s="138"/>
      <c r="AH686" s="138" t="s">
        <v>1615</v>
      </c>
      <c r="AI686" s="138" t="s">
        <v>1616</v>
      </c>
      <c r="AJ686" s="138"/>
      <c r="AK686" s="138" t="s">
        <v>1177</v>
      </c>
      <c r="AL686" s="93" t="s">
        <v>1178</v>
      </c>
    </row>
    <row r="687" spans="1:38" ht="15" customHeight="1" x14ac:dyDescent="0.3">
      <c r="A687" s="30" t="s">
        <v>140</v>
      </c>
      <c r="B687" s="140" t="s">
        <v>1541</v>
      </c>
      <c r="C687" s="107" t="s">
        <v>1617</v>
      </c>
      <c r="D687" s="11" t="s">
        <v>143</v>
      </c>
      <c r="E687" s="168">
        <v>39371</v>
      </c>
      <c r="F687" s="12">
        <v>2007</v>
      </c>
      <c r="G687" s="142" t="s">
        <v>1618</v>
      </c>
      <c r="H687" s="162"/>
      <c r="I687" s="33" t="s">
        <v>33</v>
      </c>
      <c r="J687" s="30" t="s">
        <v>81</v>
      </c>
      <c r="K687" s="197" t="s">
        <v>141</v>
      </c>
      <c r="L687" s="197" t="s">
        <v>1049</v>
      </c>
      <c r="M687" s="137" t="s">
        <v>804</v>
      </c>
      <c r="N687" s="553" t="s">
        <v>122</v>
      </c>
      <c r="O687" s="138" t="s">
        <v>1619</v>
      </c>
      <c r="P687" s="138" t="s">
        <v>1620</v>
      </c>
      <c r="Q687" s="15" t="s">
        <v>35</v>
      </c>
      <c r="R687" s="132">
        <v>39503</v>
      </c>
      <c r="S687" s="16" t="s">
        <v>35</v>
      </c>
      <c r="T687" s="133">
        <v>39575</v>
      </c>
      <c r="U687" s="623"/>
      <c r="V687" s="624"/>
      <c r="W687" s="189"/>
      <c r="X687" s="185"/>
      <c r="Y687" s="7">
        <f t="shared" si="20"/>
        <v>0</v>
      </c>
      <c r="Z687" s="185"/>
      <c r="AA687" s="469"/>
      <c r="AB687" s="564" t="s">
        <v>578</v>
      </c>
      <c r="AC687" s="693"/>
      <c r="AD687" s="639">
        <v>0</v>
      </c>
      <c r="AE687" s="639"/>
      <c r="AF687" s="9">
        <f t="shared" si="21"/>
        <v>0</v>
      </c>
      <c r="AG687" s="138"/>
      <c r="AH687" s="138"/>
      <c r="AI687" s="138"/>
      <c r="AJ687" s="138"/>
      <c r="AK687" s="138" t="s">
        <v>1177</v>
      </c>
      <c r="AL687" s="93" t="s">
        <v>1178</v>
      </c>
    </row>
    <row r="688" spans="1:38" ht="15" customHeight="1" x14ac:dyDescent="0.3">
      <c r="A688" s="30" t="s">
        <v>883</v>
      </c>
      <c r="B688" s="145" t="s">
        <v>105</v>
      </c>
      <c r="C688" s="109" t="s">
        <v>1621</v>
      </c>
      <c r="D688" s="11" t="s">
        <v>5936</v>
      </c>
      <c r="E688" s="114">
        <v>38504</v>
      </c>
      <c r="F688" s="12">
        <v>2005</v>
      </c>
      <c r="G688" s="142" t="s">
        <v>1622</v>
      </c>
      <c r="H688" s="162" t="s">
        <v>1623</v>
      </c>
      <c r="I688" s="33" t="s">
        <v>33</v>
      </c>
      <c r="J688" s="32" t="s">
        <v>191</v>
      </c>
      <c r="K688" s="197" t="s">
        <v>1173</v>
      </c>
      <c r="L688" s="137" t="s">
        <v>1122</v>
      </c>
      <c r="M688" s="137" t="s">
        <v>804</v>
      </c>
      <c r="N688" s="137"/>
      <c r="O688" s="93" t="s">
        <v>1624</v>
      </c>
      <c r="P688" s="200" t="s">
        <v>1625</v>
      </c>
      <c r="Q688" s="15" t="s">
        <v>35</v>
      </c>
      <c r="R688" s="132">
        <v>38762</v>
      </c>
      <c r="S688" s="16" t="s">
        <v>35</v>
      </c>
      <c r="T688" s="133">
        <v>39258</v>
      </c>
      <c r="U688" s="623"/>
      <c r="V688" s="624"/>
      <c r="W688" s="185"/>
      <c r="X688" s="7"/>
      <c r="Y688" s="7">
        <f t="shared" si="20"/>
        <v>0</v>
      </c>
      <c r="Z688" s="7"/>
      <c r="AA688" s="469"/>
      <c r="AB688" s="513" t="s">
        <v>1231</v>
      </c>
      <c r="AC688" s="147"/>
      <c r="AD688" s="639">
        <v>0</v>
      </c>
      <c r="AE688" s="665"/>
      <c r="AF688" s="9">
        <f t="shared" si="21"/>
        <v>0</v>
      </c>
      <c r="AG688" s="182" t="s">
        <v>1192</v>
      </c>
      <c r="AH688" s="93" t="s">
        <v>1626</v>
      </c>
      <c r="AI688" s="146" t="s">
        <v>1627</v>
      </c>
      <c r="AJ688" s="93"/>
      <c r="AK688" s="30" t="s">
        <v>1185</v>
      </c>
      <c r="AL688" s="93" t="s">
        <v>1175</v>
      </c>
    </row>
    <row r="689" spans="1:38" ht="15" customHeight="1" x14ac:dyDescent="0.3">
      <c r="A689" s="30" t="s">
        <v>22</v>
      </c>
      <c r="B689" s="153" t="s">
        <v>23</v>
      </c>
      <c r="C689" s="107">
        <v>2</v>
      </c>
      <c r="D689" s="11" t="s">
        <v>24</v>
      </c>
      <c r="E689" s="114">
        <v>39141</v>
      </c>
      <c r="F689" s="12">
        <v>2007</v>
      </c>
      <c r="G689" s="142" t="s">
        <v>1628</v>
      </c>
      <c r="H689" s="162" t="s">
        <v>1629</v>
      </c>
      <c r="I689" s="12" t="s">
        <v>25</v>
      </c>
      <c r="J689" s="32" t="s">
        <v>26</v>
      </c>
      <c r="K689" s="197" t="s">
        <v>1194</v>
      </c>
      <c r="L689" s="137" t="s">
        <v>1319</v>
      </c>
      <c r="M689" s="137" t="s">
        <v>804</v>
      </c>
      <c r="N689" s="137"/>
      <c r="O689" s="93" t="s">
        <v>1630</v>
      </c>
      <c r="P689" s="138" t="s">
        <v>1631</v>
      </c>
      <c r="Q689" s="93"/>
      <c r="R689" s="93"/>
      <c r="S689" s="93"/>
      <c r="T689" s="137"/>
      <c r="U689" s="137"/>
      <c r="V689" s="137"/>
      <c r="W689" s="185"/>
      <c r="X689" s="7"/>
      <c r="Y689" s="7">
        <f t="shared" si="20"/>
        <v>0</v>
      </c>
      <c r="Z689" s="7"/>
      <c r="AA689" s="469"/>
      <c r="AB689" s="479" t="s">
        <v>49</v>
      </c>
      <c r="AC689" s="480"/>
      <c r="AD689" s="639">
        <v>0</v>
      </c>
      <c r="AE689" s="639"/>
      <c r="AF689" s="9">
        <f t="shared" si="21"/>
        <v>0</v>
      </c>
      <c r="AG689" s="183" t="s">
        <v>667</v>
      </c>
      <c r="AH689" s="93" t="s">
        <v>5970</v>
      </c>
      <c r="AI689" s="93" t="s">
        <v>1632</v>
      </c>
      <c r="AJ689" s="93"/>
      <c r="AK689" s="30" t="s">
        <v>1177</v>
      </c>
      <c r="AL689" s="93" t="s">
        <v>1178</v>
      </c>
    </row>
    <row r="690" spans="1:38" ht="15" customHeight="1" x14ac:dyDescent="0.3">
      <c r="A690" s="30" t="s">
        <v>22</v>
      </c>
      <c r="B690" s="167" t="s">
        <v>23</v>
      </c>
      <c r="C690" s="107">
        <v>5</v>
      </c>
      <c r="D690" s="11" t="s">
        <v>24</v>
      </c>
      <c r="E690" s="114">
        <v>38814</v>
      </c>
      <c r="F690" s="12">
        <v>2006</v>
      </c>
      <c r="G690" s="142" t="s">
        <v>1633</v>
      </c>
      <c r="H690" s="162" t="s">
        <v>1634</v>
      </c>
      <c r="I690" s="33" t="s">
        <v>33</v>
      </c>
      <c r="J690" s="32" t="s">
        <v>26</v>
      </c>
      <c r="K690" s="197" t="s">
        <v>636</v>
      </c>
      <c r="L690" s="137" t="s">
        <v>1564</v>
      </c>
      <c r="M690" s="137" t="s">
        <v>804</v>
      </c>
      <c r="N690" s="137"/>
      <c r="O690" s="93" t="s">
        <v>1635</v>
      </c>
      <c r="P690" s="138" t="s">
        <v>1636</v>
      </c>
      <c r="Q690" s="93"/>
      <c r="R690" s="93"/>
      <c r="S690" s="93"/>
      <c r="T690" s="93"/>
      <c r="U690" s="93"/>
      <c r="V690" s="137"/>
      <c r="W690" s="185"/>
      <c r="X690" s="7"/>
      <c r="Y690" s="7">
        <f t="shared" si="20"/>
        <v>0</v>
      </c>
      <c r="Z690" s="7"/>
      <c r="AA690" s="469"/>
      <c r="AB690" s="518" t="s">
        <v>933</v>
      </c>
      <c r="AC690" s="519"/>
      <c r="AD690" s="639">
        <v>0</v>
      </c>
      <c r="AE690" s="639"/>
      <c r="AF690" s="9">
        <f t="shared" si="21"/>
        <v>0</v>
      </c>
      <c r="AG690" s="183" t="s">
        <v>1099</v>
      </c>
      <c r="AH690" s="93"/>
      <c r="AI690" s="93" t="s">
        <v>1637</v>
      </c>
      <c r="AJ690" s="93"/>
      <c r="AK690" s="30" t="s">
        <v>1177</v>
      </c>
      <c r="AL690" s="93" t="s">
        <v>1178</v>
      </c>
    </row>
    <row r="691" spans="1:38" ht="15" customHeight="1" x14ac:dyDescent="0.3">
      <c r="A691" s="30" t="s">
        <v>22</v>
      </c>
      <c r="B691" s="153" t="s">
        <v>188</v>
      </c>
      <c r="C691" s="107" t="s">
        <v>1097</v>
      </c>
      <c r="D691" s="11" t="s">
        <v>143</v>
      </c>
      <c r="E691" s="108">
        <v>38134</v>
      </c>
      <c r="F691" s="12">
        <v>2004</v>
      </c>
      <c r="G691" s="142"/>
      <c r="H691" s="162"/>
      <c r="I691" s="33" t="s">
        <v>33</v>
      </c>
      <c r="J691" s="32" t="s">
        <v>26</v>
      </c>
      <c r="K691" s="197" t="s">
        <v>392</v>
      </c>
      <c r="L691" s="137" t="s">
        <v>40</v>
      </c>
      <c r="M691" s="137" t="s">
        <v>804</v>
      </c>
      <c r="N691" s="197"/>
      <c r="O691" s="93" t="s">
        <v>1638</v>
      </c>
      <c r="P691" s="138" t="s">
        <v>1639</v>
      </c>
      <c r="Q691" s="15" t="s">
        <v>35</v>
      </c>
      <c r="R691" s="132">
        <v>38834</v>
      </c>
      <c r="S691" s="16" t="s">
        <v>44</v>
      </c>
      <c r="T691" s="133">
        <v>39163</v>
      </c>
      <c r="U691" s="623"/>
      <c r="V691" s="624"/>
      <c r="W691" s="243"/>
      <c r="X691" s="185"/>
      <c r="Y691" s="7">
        <f t="shared" si="20"/>
        <v>0</v>
      </c>
      <c r="Z691" s="185"/>
      <c r="AA691" s="469"/>
      <c r="AB691" s="513" t="s">
        <v>147</v>
      </c>
      <c r="AC691" s="147"/>
      <c r="AD691" s="639">
        <v>0</v>
      </c>
      <c r="AE691" s="639"/>
      <c r="AF691" s="9">
        <f t="shared" si="21"/>
        <v>0</v>
      </c>
      <c r="AG691" s="183"/>
      <c r="AH691" s="93" t="s">
        <v>1640</v>
      </c>
      <c r="AI691" s="185" t="s">
        <v>1641</v>
      </c>
      <c r="AJ691" s="93"/>
      <c r="AK691" s="30" t="s">
        <v>1177</v>
      </c>
      <c r="AL691" s="93" t="s">
        <v>1175</v>
      </c>
    </row>
    <row r="692" spans="1:38" ht="15" customHeight="1" x14ac:dyDescent="0.3">
      <c r="A692" s="30" t="s">
        <v>22</v>
      </c>
      <c r="B692" s="153" t="s">
        <v>1642</v>
      </c>
      <c r="C692" s="120" t="s">
        <v>1643</v>
      </c>
      <c r="D692" s="11" t="s">
        <v>143</v>
      </c>
      <c r="E692" s="108">
        <v>37966</v>
      </c>
      <c r="F692" s="12">
        <v>2003</v>
      </c>
      <c r="G692" s="142" t="s">
        <v>1644</v>
      </c>
      <c r="H692" s="162"/>
      <c r="I692" s="12" t="s">
        <v>25</v>
      </c>
      <c r="J692" s="32" t="s">
        <v>26</v>
      </c>
      <c r="K692" s="197" t="s">
        <v>636</v>
      </c>
      <c r="L692" s="137" t="s">
        <v>40</v>
      </c>
      <c r="M692" s="137" t="s">
        <v>804</v>
      </c>
      <c r="N692" s="137"/>
      <c r="O692" s="93" t="s">
        <v>1645</v>
      </c>
      <c r="P692" s="138" t="s">
        <v>1646</v>
      </c>
      <c r="Q692" s="15" t="s">
        <v>282</v>
      </c>
      <c r="R692" s="132">
        <v>38762</v>
      </c>
      <c r="S692" s="16" t="s">
        <v>44</v>
      </c>
      <c r="T692" s="133">
        <v>38911</v>
      </c>
      <c r="U692" s="623"/>
      <c r="V692" s="624"/>
      <c r="W692" s="185"/>
      <c r="X692" s="185"/>
      <c r="Y692" s="7">
        <f t="shared" si="20"/>
        <v>0</v>
      </c>
      <c r="Z692" s="185"/>
      <c r="AA692" s="469"/>
      <c r="AB692" s="564" t="s">
        <v>578</v>
      </c>
      <c r="AC692" s="693"/>
      <c r="AD692" s="639">
        <v>0</v>
      </c>
      <c r="AE692" s="639"/>
      <c r="AF692" s="9">
        <f t="shared" si="21"/>
        <v>0</v>
      </c>
      <c r="AG692" s="183"/>
      <c r="AH692" s="93"/>
      <c r="AI692" s="93" t="s">
        <v>1647</v>
      </c>
      <c r="AJ692" s="93"/>
      <c r="AK692" s="30" t="s">
        <v>1177</v>
      </c>
      <c r="AL692" s="93" t="s">
        <v>1178</v>
      </c>
    </row>
    <row r="693" spans="1:38" ht="15" customHeight="1" x14ac:dyDescent="0.3">
      <c r="A693" s="30" t="s">
        <v>22</v>
      </c>
      <c r="B693" s="153" t="s">
        <v>23</v>
      </c>
      <c r="C693" s="107">
        <v>1</v>
      </c>
      <c r="D693" s="11" t="s">
        <v>24</v>
      </c>
      <c r="E693" s="114">
        <v>38595</v>
      </c>
      <c r="F693" s="12">
        <v>2005</v>
      </c>
      <c r="G693" s="142" t="s">
        <v>1648</v>
      </c>
      <c r="H693" s="162" t="s">
        <v>1649</v>
      </c>
      <c r="I693" s="12" t="s">
        <v>25</v>
      </c>
      <c r="J693" s="32" t="s">
        <v>26</v>
      </c>
      <c r="K693" s="138" t="s">
        <v>636</v>
      </c>
      <c r="L693" s="93" t="s">
        <v>1122</v>
      </c>
      <c r="M693" s="137" t="s">
        <v>804</v>
      </c>
      <c r="N693" s="93"/>
      <c r="O693" s="93" t="s">
        <v>1650</v>
      </c>
      <c r="P693" s="138" t="s">
        <v>1651</v>
      </c>
      <c r="Q693" s="15" t="s">
        <v>282</v>
      </c>
      <c r="R693" s="132">
        <v>39230</v>
      </c>
      <c r="S693" s="16" t="s">
        <v>44</v>
      </c>
      <c r="T693" s="133">
        <v>39367</v>
      </c>
      <c r="U693" s="623" t="s">
        <v>1602</v>
      </c>
      <c r="V693" s="721">
        <v>39638</v>
      </c>
      <c r="W693" s="7"/>
      <c r="X693" s="7"/>
      <c r="Y693" s="7">
        <f t="shared" si="20"/>
        <v>0</v>
      </c>
      <c r="Z693" s="7"/>
      <c r="AA693" s="469"/>
      <c r="AB693" s="518" t="s">
        <v>933</v>
      </c>
      <c r="AC693" s="519"/>
      <c r="AD693" s="639">
        <v>0</v>
      </c>
      <c r="AE693" s="639"/>
      <c r="AF693" s="9">
        <f t="shared" si="21"/>
        <v>0</v>
      </c>
      <c r="AG693" s="183" t="s">
        <v>1099</v>
      </c>
      <c r="AH693" s="93" t="s">
        <v>1652</v>
      </c>
      <c r="AI693" s="93" t="s">
        <v>1653</v>
      </c>
      <c r="AJ693" s="93"/>
      <c r="AK693" s="30" t="s">
        <v>1185</v>
      </c>
      <c r="AL693" s="93" t="s">
        <v>1178</v>
      </c>
    </row>
    <row r="694" spans="1:38" ht="15" customHeight="1" x14ac:dyDescent="0.3">
      <c r="A694" s="30" t="s">
        <v>22</v>
      </c>
      <c r="B694" s="145" t="s">
        <v>105</v>
      </c>
      <c r="C694" s="109">
        <v>9</v>
      </c>
      <c r="D694" s="11" t="s">
        <v>5936</v>
      </c>
      <c r="E694" s="108">
        <v>37347</v>
      </c>
      <c r="F694" s="37">
        <v>2002</v>
      </c>
      <c r="G694" s="142" t="s">
        <v>1654</v>
      </c>
      <c r="H694" s="162" t="s">
        <v>1655</v>
      </c>
      <c r="I694" s="33" t="s">
        <v>33</v>
      </c>
      <c r="J694" s="32" t="s">
        <v>26</v>
      </c>
      <c r="K694" s="138" t="s">
        <v>180</v>
      </c>
      <c r="L694" s="137" t="s">
        <v>40</v>
      </c>
      <c r="M694" s="137" t="s">
        <v>804</v>
      </c>
      <c r="N694" s="137"/>
      <c r="O694" s="93" t="s">
        <v>1656</v>
      </c>
      <c r="P694" s="647" t="s">
        <v>1657</v>
      </c>
      <c r="Q694" s="15" t="s">
        <v>282</v>
      </c>
      <c r="R694" s="132">
        <v>38296</v>
      </c>
      <c r="S694" s="16" t="s">
        <v>44</v>
      </c>
      <c r="T694" s="133">
        <v>39430</v>
      </c>
      <c r="U694" s="623" t="s">
        <v>1658</v>
      </c>
      <c r="V694" s="180">
        <v>39694</v>
      </c>
      <c r="W694" s="185"/>
      <c r="X694" s="7"/>
      <c r="Y694" s="7">
        <f t="shared" si="20"/>
        <v>0</v>
      </c>
      <c r="Z694" s="7"/>
      <c r="AA694" s="469"/>
      <c r="AB694" s="513" t="s">
        <v>1231</v>
      </c>
      <c r="AC694" s="563"/>
      <c r="AD694" s="665">
        <v>0</v>
      </c>
      <c r="AE694" s="665"/>
      <c r="AF694" s="9">
        <f t="shared" si="21"/>
        <v>0</v>
      </c>
      <c r="AG694" s="182" t="s">
        <v>1192</v>
      </c>
      <c r="AH694" s="93"/>
      <c r="AI694" s="146" t="s">
        <v>1659</v>
      </c>
      <c r="AJ694" s="93"/>
      <c r="AK694" s="30" t="s">
        <v>1185</v>
      </c>
      <c r="AL694" s="93" t="s">
        <v>1178</v>
      </c>
    </row>
    <row r="695" spans="1:38" ht="15" customHeight="1" x14ac:dyDescent="0.3">
      <c r="A695" s="30" t="s">
        <v>22</v>
      </c>
      <c r="B695" s="120" t="s">
        <v>227</v>
      </c>
      <c r="C695" s="107">
        <v>3</v>
      </c>
      <c r="D695" s="11" t="s">
        <v>225</v>
      </c>
      <c r="E695" s="108">
        <v>37395</v>
      </c>
      <c r="F695" s="12">
        <v>2002</v>
      </c>
      <c r="G695" s="142" t="s">
        <v>1660</v>
      </c>
      <c r="H695" s="162" t="s">
        <v>1661</v>
      </c>
      <c r="I695" s="33" t="s">
        <v>33</v>
      </c>
      <c r="J695" s="32" t="s">
        <v>26</v>
      </c>
      <c r="K695" s="197" t="s">
        <v>636</v>
      </c>
      <c r="L695" s="137" t="s">
        <v>40</v>
      </c>
      <c r="M695" s="137" t="s">
        <v>804</v>
      </c>
      <c r="N695" s="137"/>
      <c r="O695" s="138" t="s">
        <v>1662</v>
      </c>
      <c r="P695" s="138" t="s">
        <v>1663</v>
      </c>
      <c r="Q695" s="15" t="s">
        <v>282</v>
      </c>
      <c r="R695" s="132">
        <v>39028</v>
      </c>
      <c r="S695" s="16" t="s">
        <v>44</v>
      </c>
      <c r="T695" s="133">
        <v>39671</v>
      </c>
      <c r="U695" s="623"/>
      <c r="V695" s="624"/>
      <c r="W695" s="185"/>
      <c r="X695" s="185"/>
      <c r="Y695" s="7">
        <f t="shared" si="20"/>
        <v>0</v>
      </c>
      <c r="Z695" s="185"/>
      <c r="AA695" s="469"/>
      <c r="AB695" s="500" t="s">
        <v>5953</v>
      </c>
      <c r="AC695" s="501"/>
      <c r="AD695" s="639">
        <v>0</v>
      </c>
      <c r="AE695" s="639"/>
      <c r="AF695" s="9">
        <f t="shared" si="21"/>
        <v>0</v>
      </c>
      <c r="AG695" s="183" t="s">
        <v>664</v>
      </c>
      <c r="AH695" s="93"/>
      <c r="AI695" s="93" t="s">
        <v>1664</v>
      </c>
      <c r="AJ695" s="93"/>
      <c r="AK695" s="30" t="s">
        <v>1185</v>
      </c>
      <c r="AL695" s="93" t="s">
        <v>1178</v>
      </c>
    </row>
    <row r="696" spans="1:38" ht="15" customHeight="1" x14ac:dyDescent="0.3">
      <c r="A696" s="722" t="s">
        <v>22</v>
      </c>
      <c r="B696" s="169" t="s">
        <v>189</v>
      </c>
      <c r="C696" s="170">
        <v>3</v>
      </c>
      <c r="D696" s="723" t="s">
        <v>190</v>
      </c>
      <c r="E696" s="171">
        <v>37622</v>
      </c>
      <c r="F696" s="12">
        <v>2003</v>
      </c>
      <c r="G696" s="173"/>
      <c r="H696" s="724"/>
      <c r="I696" s="57" t="s">
        <v>6176</v>
      </c>
      <c r="J696" s="32" t="s">
        <v>26</v>
      </c>
      <c r="K696" s="725" t="s">
        <v>392</v>
      </c>
      <c r="L696" s="725" t="s">
        <v>40</v>
      </c>
      <c r="M696" s="137" t="s">
        <v>804</v>
      </c>
      <c r="N696" s="725"/>
      <c r="O696" s="172" t="s">
        <v>985</v>
      </c>
      <c r="P696" s="172" t="s">
        <v>1665</v>
      </c>
      <c r="Q696" s="15" t="s">
        <v>282</v>
      </c>
      <c r="R696" s="91">
        <v>2007</v>
      </c>
      <c r="S696" s="16" t="s">
        <v>44</v>
      </c>
      <c r="T696" s="92" t="s">
        <v>1666</v>
      </c>
      <c r="U696" s="623"/>
      <c r="V696" s="624"/>
      <c r="W696" s="726"/>
      <c r="X696" s="185"/>
      <c r="Y696" s="7">
        <f t="shared" si="20"/>
        <v>0</v>
      </c>
      <c r="Z696" s="185"/>
      <c r="AA696" s="469"/>
      <c r="AB696" s="727" t="s">
        <v>5979</v>
      </c>
      <c r="AC696" s="728"/>
      <c r="AD696" s="729">
        <v>0</v>
      </c>
      <c r="AE696" s="729"/>
      <c r="AF696" s="9">
        <f t="shared" si="21"/>
        <v>0</v>
      </c>
      <c r="AG696" s="175"/>
      <c r="AH696" s="172" t="s">
        <v>986</v>
      </c>
      <c r="AI696" s="730"/>
      <c r="AJ696" s="172"/>
      <c r="AK696" s="174"/>
      <c r="AL696" s="176"/>
    </row>
    <row r="697" spans="1:38" ht="15" customHeight="1" x14ac:dyDescent="0.3">
      <c r="A697" s="30" t="s">
        <v>22</v>
      </c>
      <c r="B697" s="120" t="s">
        <v>105</v>
      </c>
      <c r="C697" s="107">
        <v>1</v>
      </c>
      <c r="D697" s="11" t="s">
        <v>5936</v>
      </c>
      <c r="E697" s="108">
        <v>35752</v>
      </c>
      <c r="F697" s="30">
        <v>1997</v>
      </c>
      <c r="G697" s="142">
        <v>58234</v>
      </c>
      <c r="H697" s="162" t="s">
        <v>1667</v>
      </c>
      <c r="I697" s="33" t="s">
        <v>33</v>
      </c>
      <c r="J697" s="32" t="s">
        <v>26</v>
      </c>
      <c r="K697" s="197" t="s">
        <v>1668</v>
      </c>
      <c r="L697" s="137" t="s">
        <v>40</v>
      </c>
      <c r="M697" s="137" t="s">
        <v>804</v>
      </c>
      <c r="N697" s="137"/>
      <c r="O697" s="93" t="s">
        <v>865</v>
      </c>
      <c r="P697" s="647" t="s">
        <v>1669</v>
      </c>
      <c r="Q697" s="15" t="s">
        <v>282</v>
      </c>
      <c r="R697" s="132">
        <v>37187</v>
      </c>
      <c r="S697" s="16" t="s">
        <v>44</v>
      </c>
      <c r="T697" s="165">
        <v>39268</v>
      </c>
      <c r="U697" s="624" t="s">
        <v>1670</v>
      </c>
      <c r="V697" s="180">
        <v>39724</v>
      </c>
      <c r="W697" s="185"/>
      <c r="X697" s="7"/>
      <c r="Y697" s="7">
        <f t="shared" si="20"/>
        <v>0</v>
      </c>
      <c r="Z697" s="7"/>
      <c r="AA697" s="469"/>
      <c r="AB697" s="513" t="s">
        <v>1231</v>
      </c>
      <c r="AC697" s="147"/>
      <c r="AD697" s="639">
        <v>0.5</v>
      </c>
      <c r="AE697" s="639"/>
      <c r="AF697" s="9">
        <f t="shared" si="21"/>
        <v>0.5</v>
      </c>
      <c r="AG697" s="183" t="s">
        <v>1192</v>
      </c>
      <c r="AH697" s="93"/>
      <c r="AI697" s="93" t="s">
        <v>1653</v>
      </c>
      <c r="AJ697" s="93" t="s">
        <v>1671</v>
      </c>
      <c r="AK697" s="30" t="s">
        <v>1185</v>
      </c>
      <c r="AL697" s="93" t="s">
        <v>1175</v>
      </c>
    </row>
    <row r="698" spans="1:38" ht="15" customHeight="1" x14ac:dyDescent="0.3">
      <c r="A698" s="30" t="s">
        <v>22</v>
      </c>
      <c r="B698" s="153" t="s">
        <v>105</v>
      </c>
      <c r="C698" s="109">
        <v>17</v>
      </c>
      <c r="D698" s="11" t="s">
        <v>5936</v>
      </c>
      <c r="E698" s="108">
        <v>37226</v>
      </c>
      <c r="F698" s="33">
        <v>2001</v>
      </c>
      <c r="G698" s="142" t="s">
        <v>1672</v>
      </c>
      <c r="H698" s="162" t="s">
        <v>1673</v>
      </c>
      <c r="I698" s="33" t="s">
        <v>33</v>
      </c>
      <c r="J698" s="32" t="s">
        <v>26</v>
      </c>
      <c r="K698" s="197" t="s">
        <v>636</v>
      </c>
      <c r="L698" s="137" t="s">
        <v>40</v>
      </c>
      <c r="M698" s="137" t="s">
        <v>804</v>
      </c>
      <c r="N698" s="137"/>
      <c r="O698" s="93" t="s">
        <v>1674</v>
      </c>
      <c r="P698" s="647" t="s">
        <v>1675</v>
      </c>
      <c r="Q698" s="15" t="s">
        <v>282</v>
      </c>
      <c r="R698" s="132">
        <v>37935</v>
      </c>
      <c r="S698" s="16" t="s">
        <v>35</v>
      </c>
      <c r="T698" s="133">
        <v>38625</v>
      </c>
      <c r="U698" s="623" t="s">
        <v>1676</v>
      </c>
      <c r="V698" s="721">
        <v>39651</v>
      </c>
      <c r="W698" s="93" t="s">
        <v>1677</v>
      </c>
      <c r="X698" s="7"/>
      <c r="Y698" s="7" t="e">
        <f t="shared" si="20"/>
        <v>#VALUE!</v>
      </c>
      <c r="Z698" s="7"/>
      <c r="AA698" s="469"/>
      <c r="AB698" s="513" t="s">
        <v>1231</v>
      </c>
      <c r="AC698" s="563"/>
      <c r="AD698" s="665">
        <v>1</v>
      </c>
      <c r="AE698" s="665"/>
      <c r="AF698" s="9">
        <f t="shared" si="21"/>
        <v>1</v>
      </c>
      <c r="AG698" s="183" t="s">
        <v>1192</v>
      </c>
      <c r="AH698" s="93"/>
      <c r="AI698" s="146" t="s">
        <v>1677</v>
      </c>
      <c r="AJ698" s="93"/>
      <c r="AK698" s="30" t="s">
        <v>1185</v>
      </c>
      <c r="AL698" s="93" t="s">
        <v>1178</v>
      </c>
    </row>
    <row r="699" spans="1:38" ht="15" customHeight="1" x14ac:dyDescent="0.3">
      <c r="A699" s="30" t="s">
        <v>22</v>
      </c>
      <c r="B699" s="153" t="s">
        <v>23</v>
      </c>
      <c r="C699" s="109">
        <v>16</v>
      </c>
      <c r="D699" s="11" t="s">
        <v>24</v>
      </c>
      <c r="E699" s="114">
        <v>39675</v>
      </c>
      <c r="F699" s="33">
        <v>2008</v>
      </c>
      <c r="G699" s="142" t="s">
        <v>1678</v>
      </c>
      <c r="H699" s="162" t="s">
        <v>1679</v>
      </c>
      <c r="I699" s="12" t="s">
        <v>25</v>
      </c>
      <c r="J699" s="37" t="s">
        <v>81</v>
      </c>
      <c r="K699" s="197" t="s">
        <v>1680</v>
      </c>
      <c r="L699" s="137" t="s">
        <v>1319</v>
      </c>
      <c r="M699" s="137" t="s">
        <v>804</v>
      </c>
      <c r="N699" s="137"/>
      <c r="O699" s="93" t="s">
        <v>1681</v>
      </c>
      <c r="P699" s="138" t="s">
        <v>1682</v>
      </c>
      <c r="Q699" s="91" t="s">
        <v>6173</v>
      </c>
      <c r="R699" s="91"/>
      <c r="S699" s="92"/>
      <c r="T699" s="139"/>
      <c r="U699" s="624"/>
      <c r="V699" s="624"/>
      <c r="W699" s="185"/>
      <c r="X699" s="7"/>
      <c r="Y699" s="7">
        <f t="shared" si="20"/>
        <v>0</v>
      </c>
      <c r="Z699" s="7"/>
      <c r="AA699" s="469"/>
      <c r="AB699" s="479" t="s">
        <v>49</v>
      </c>
      <c r="AC699" s="480"/>
      <c r="AD699" s="639">
        <v>0.5</v>
      </c>
      <c r="AE699" s="639"/>
      <c r="AF699" s="9">
        <f t="shared" si="21"/>
        <v>0.5</v>
      </c>
      <c r="AG699" s="183"/>
      <c r="AH699" s="93" t="s">
        <v>58</v>
      </c>
      <c r="AI699" s="146" t="s">
        <v>1683</v>
      </c>
      <c r="AJ699" s="93"/>
      <c r="AK699" s="197" t="s">
        <v>3457</v>
      </c>
      <c r="AL699" s="93" t="s">
        <v>1178</v>
      </c>
    </row>
    <row r="700" spans="1:38" ht="15" customHeight="1" x14ac:dyDescent="0.3">
      <c r="A700" s="30" t="s">
        <v>22</v>
      </c>
      <c r="B700" s="153" t="s">
        <v>23</v>
      </c>
      <c r="C700" s="107">
        <v>4</v>
      </c>
      <c r="D700" s="11" t="s">
        <v>24</v>
      </c>
      <c r="E700" s="114">
        <v>38673</v>
      </c>
      <c r="F700" s="12">
        <v>2005</v>
      </c>
      <c r="G700" s="142" t="s">
        <v>1684</v>
      </c>
      <c r="H700" s="162" t="s">
        <v>1685</v>
      </c>
      <c r="I700" s="12" t="s">
        <v>938</v>
      </c>
      <c r="J700" s="32" t="s">
        <v>26</v>
      </c>
      <c r="K700" s="197" t="s">
        <v>636</v>
      </c>
      <c r="L700" s="137" t="s">
        <v>1122</v>
      </c>
      <c r="M700" s="137" t="s">
        <v>804</v>
      </c>
      <c r="N700" s="137"/>
      <c r="O700" s="93" t="s">
        <v>1686</v>
      </c>
      <c r="P700" s="138" t="s">
        <v>1687</v>
      </c>
      <c r="Q700" s="15" t="s">
        <v>282</v>
      </c>
      <c r="R700" s="132">
        <v>39336</v>
      </c>
      <c r="S700" s="16" t="s">
        <v>44</v>
      </c>
      <c r="T700" s="133">
        <v>39568</v>
      </c>
      <c r="U700" s="623"/>
      <c r="V700" s="624"/>
      <c r="W700" s="185"/>
      <c r="X700" s="7"/>
      <c r="Y700" s="7">
        <f t="shared" si="20"/>
        <v>0</v>
      </c>
      <c r="Z700" s="7"/>
      <c r="AA700" s="469"/>
      <c r="AB700" s="513" t="s">
        <v>36</v>
      </c>
      <c r="AC700" s="147"/>
      <c r="AD700" s="639">
        <v>0.5</v>
      </c>
      <c r="AE700" s="639"/>
      <c r="AF700" s="9">
        <f t="shared" si="21"/>
        <v>0.5</v>
      </c>
      <c r="AG700" s="183" t="s">
        <v>1688</v>
      </c>
      <c r="AH700" s="93"/>
      <c r="AI700" s="93" t="s">
        <v>1689</v>
      </c>
      <c r="AJ700" s="93"/>
      <c r="AK700" s="30" t="s">
        <v>1185</v>
      </c>
      <c r="AL700" s="93" t="s">
        <v>1178</v>
      </c>
    </row>
    <row r="701" spans="1:38" ht="15" customHeight="1" x14ac:dyDescent="0.3">
      <c r="A701" s="30" t="s">
        <v>22</v>
      </c>
      <c r="B701" s="120" t="s">
        <v>23</v>
      </c>
      <c r="C701" s="177">
        <v>3</v>
      </c>
      <c r="D701" s="11" t="s">
        <v>24</v>
      </c>
      <c r="E701" s="114">
        <v>38313</v>
      </c>
      <c r="F701" s="12">
        <v>2004</v>
      </c>
      <c r="G701" s="142" t="s">
        <v>1690</v>
      </c>
      <c r="H701" s="162" t="s">
        <v>1691</v>
      </c>
      <c r="I701" s="12" t="s">
        <v>938</v>
      </c>
      <c r="J701" s="32" t="s">
        <v>26</v>
      </c>
      <c r="K701" s="197" t="s">
        <v>636</v>
      </c>
      <c r="L701" s="137" t="s">
        <v>1564</v>
      </c>
      <c r="M701" s="137" t="s">
        <v>804</v>
      </c>
      <c r="N701" s="137"/>
      <c r="O701" s="137" t="s">
        <v>1692</v>
      </c>
      <c r="P701" s="138" t="s">
        <v>1693</v>
      </c>
      <c r="Q701" s="15" t="s">
        <v>282</v>
      </c>
      <c r="R701" s="164">
        <v>39349</v>
      </c>
      <c r="S701" s="16" t="s">
        <v>44</v>
      </c>
      <c r="T701" s="165">
        <v>39680</v>
      </c>
      <c r="U701" s="624"/>
      <c r="V701" s="624"/>
      <c r="W701" s="185"/>
      <c r="X701" s="7"/>
      <c r="Y701" s="7">
        <f t="shared" si="20"/>
        <v>0</v>
      </c>
      <c r="Z701" s="7"/>
      <c r="AA701" s="469"/>
      <c r="AB701" s="513" t="s">
        <v>36</v>
      </c>
      <c r="AC701" s="651"/>
      <c r="AD701" s="690">
        <v>0.5</v>
      </c>
      <c r="AE701" s="690"/>
      <c r="AF701" s="9">
        <f t="shared" si="21"/>
        <v>0.5</v>
      </c>
      <c r="AG701" s="183"/>
      <c r="AH701" s="137"/>
      <c r="AI701" s="137" t="s">
        <v>1664</v>
      </c>
      <c r="AJ701" s="93"/>
      <c r="AK701" s="30" t="s">
        <v>1185</v>
      </c>
      <c r="AL701" s="93" t="s">
        <v>1178</v>
      </c>
    </row>
    <row r="702" spans="1:38" ht="15" customHeight="1" x14ac:dyDescent="0.3">
      <c r="A702" s="30" t="s">
        <v>22</v>
      </c>
      <c r="B702" s="153" t="s">
        <v>105</v>
      </c>
      <c r="C702" s="107">
        <v>7</v>
      </c>
      <c r="D702" s="11" t="s">
        <v>143</v>
      </c>
      <c r="E702" s="108">
        <v>35902</v>
      </c>
      <c r="F702" s="12">
        <v>1998</v>
      </c>
      <c r="G702" s="142" t="s">
        <v>1694</v>
      </c>
      <c r="H702" s="217" t="s">
        <v>1695</v>
      </c>
      <c r="I702" s="33" t="s">
        <v>33</v>
      </c>
      <c r="J702" s="32" t="s">
        <v>26</v>
      </c>
      <c r="K702" s="138" t="s">
        <v>180</v>
      </c>
      <c r="L702" s="137" t="s">
        <v>40</v>
      </c>
      <c r="M702" s="137" t="s">
        <v>804</v>
      </c>
      <c r="N702" s="137"/>
      <c r="O702" s="93" t="s">
        <v>1696</v>
      </c>
      <c r="P702" s="138" t="s">
        <v>1697</v>
      </c>
      <c r="Q702" s="15" t="s">
        <v>35</v>
      </c>
      <c r="R702" s="132">
        <v>38065</v>
      </c>
      <c r="S702" s="16" t="s">
        <v>44</v>
      </c>
      <c r="T702" s="92">
        <v>2008</v>
      </c>
      <c r="U702" s="623"/>
      <c r="V702" s="624"/>
      <c r="W702" s="185"/>
      <c r="X702" s="185"/>
      <c r="Y702" s="7">
        <f t="shared" si="20"/>
        <v>0</v>
      </c>
      <c r="Z702" s="185"/>
      <c r="AA702" s="469"/>
      <c r="AB702" s="513" t="s">
        <v>1231</v>
      </c>
      <c r="AC702" s="147"/>
      <c r="AD702" s="639">
        <v>0.75</v>
      </c>
      <c r="AE702" s="639"/>
      <c r="AF702" s="9">
        <f t="shared" si="21"/>
        <v>0.75</v>
      </c>
      <c r="AG702" s="183" t="s">
        <v>1192</v>
      </c>
      <c r="AH702" s="93"/>
      <c r="AI702" s="93" t="s">
        <v>1698</v>
      </c>
      <c r="AJ702" s="93"/>
      <c r="AK702" s="30" t="s">
        <v>1185</v>
      </c>
      <c r="AL702" s="93" t="s">
        <v>1178</v>
      </c>
    </row>
    <row r="703" spans="1:38" ht="15" customHeight="1" x14ac:dyDescent="0.3">
      <c r="A703" s="30" t="s">
        <v>140</v>
      </c>
      <c r="B703" s="112" t="s">
        <v>227</v>
      </c>
      <c r="C703" s="107">
        <v>10</v>
      </c>
      <c r="D703" s="11" t="s">
        <v>225</v>
      </c>
      <c r="E703" s="108">
        <v>36375</v>
      </c>
      <c r="F703" s="12">
        <v>1999</v>
      </c>
      <c r="G703" s="142" t="s">
        <v>1699</v>
      </c>
      <c r="H703" s="162" t="s">
        <v>1700</v>
      </c>
      <c r="I703" s="12" t="s">
        <v>25</v>
      </c>
      <c r="J703" s="30" t="s">
        <v>81</v>
      </c>
      <c r="K703" s="197" t="s">
        <v>141</v>
      </c>
      <c r="L703" s="137" t="s">
        <v>1049</v>
      </c>
      <c r="M703" s="137" t="s">
        <v>804</v>
      </c>
      <c r="N703" s="137"/>
      <c r="O703" s="93" t="s">
        <v>1701</v>
      </c>
      <c r="P703" s="138" t="s">
        <v>1702</v>
      </c>
      <c r="Q703" s="15" t="s">
        <v>35</v>
      </c>
      <c r="R703" s="132">
        <v>38883</v>
      </c>
      <c r="S703" s="16" t="s">
        <v>35</v>
      </c>
      <c r="T703" s="133">
        <v>39598</v>
      </c>
      <c r="U703" s="623"/>
      <c r="V703" s="623"/>
      <c r="W703" s="93" t="s">
        <v>1703</v>
      </c>
      <c r="X703" s="185"/>
      <c r="Y703" s="7" t="e">
        <f t="shared" si="20"/>
        <v>#VALUE!</v>
      </c>
      <c r="Z703" s="185"/>
      <c r="AA703" s="469"/>
      <c r="AB703" s="504" t="s">
        <v>6115</v>
      </c>
      <c r="AC703" s="138"/>
      <c r="AD703" s="639">
        <v>0.75</v>
      </c>
      <c r="AE703" s="639"/>
      <c r="AF703" s="9">
        <f t="shared" si="21"/>
        <v>0.75</v>
      </c>
      <c r="AG703" s="183" t="s">
        <v>1704</v>
      </c>
      <c r="AH703" s="93"/>
      <c r="AI703" s="93" t="s">
        <v>1705</v>
      </c>
      <c r="AJ703" s="93"/>
      <c r="AK703" s="30" t="s">
        <v>1185</v>
      </c>
      <c r="AL703" s="93" t="s">
        <v>1178</v>
      </c>
    </row>
    <row r="704" spans="1:38" ht="15" customHeight="1" x14ac:dyDescent="0.3">
      <c r="A704" s="181" t="s">
        <v>22</v>
      </c>
      <c r="B704" s="167" t="s">
        <v>105</v>
      </c>
      <c r="C704" s="135">
        <v>21</v>
      </c>
      <c r="D704" s="11" t="s">
        <v>5936</v>
      </c>
      <c r="E704" s="168">
        <v>39507</v>
      </c>
      <c r="F704" s="136">
        <v>2008</v>
      </c>
      <c r="G704" s="178" t="s">
        <v>1706</v>
      </c>
      <c r="H704" s="204" t="s">
        <v>1707</v>
      </c>
      <c r="I704" s="33" t="s">
        <v>33</v>
      </c>
      <c r="J704" s="32" t="s">
        <v>26</v>
      </c>
      <c r="K704" s="138" t="s">
        <v>1708</v>
      </c>
      <c r="L704" s="138" t="s">
        <v>40</v>
      </c>
      <c r="M704" s="137" t="s">
        <v>804</v>
      </c>
      <c r="N704" s="197"/>
      <c r="O704" s="138" t="s">
        <v>1709</v>
      </c>
      <c r="P704" s="138" t="s">
        <v>1710</v>
      </c>
      <c r="Q704" s="15" t="s">
        <v>282</v>
      </c>
      <c r="R704" s="132">
        <v>39756</v>
      </c>
      <c r="S704" s="92"/>
      <c r="T704" s="92"/>
      <c r="U704" s="623"/>
      <c r="V704" s="623"/>
      <c r="W704" s="201"/>
      <c r="X704" s="189"/>
      <c r="Y704" s="7">
        <f t="shared" si="20"/>
        <v>0</v>
      </c>
      <c r="Z704" s="189"/>
      <c r="AA704" s="469"/>
      <c r="AB704" s="564" t="s">
        <v>1073</v>
      </c>
      <c r="AC704" s="693"/>
      <c r="AD704" s="702">
        <v>0.5</v>
      </c>
      <c r="AE704" s="702"/>
      <c r="AF704" s="9">
        <f t="shared" si="21"/>
        <v>0.5</v>
      </c>
      <c r="AG704" s="138" t="s">
        <v>1711</v>
      </c>
      <c r="AH704" s="138"/>
      <c r="AI704" s="138" t="s">
        <v>1712</v>
      </c>
      <c r="AJ704" s="138"/>
      <c r="AK704" s="138" t="s">
        <v>1177</v>
      </c>
      <c r="AL704" s="138" t="s">
        <v>1178</v>
      </c>
    </row>
    <row r="705" spans="1:38" ht="15" customHeight="1" x14ac:dyDescent="0.3">
      <c r="A705" s="30" t="s">
        <v>140</v>
      </c>
      <c r="B705" s="112" t="s">
        <v>780</v>
      </c>
      <c r="C705" s="107">
        <v>2</v>
      </c>
      <c r="D705" s="12" t="s">
        <v>190</v>
      </c>
      <c r="E705" s="108">
        <v>37622</v>
      </c>
      <c r="F705" s="146">
        <v>2003</v>
      </c>
      <c r="G705" s="142" t="s">
        <v>1713</v>
      </c>
      <c r="H705" s="162"/>
      <c r="I705" s="33" t="s">
        <v>33</v>
      </c>
      <c r="J705" s="30" t="s">
        <v>81</v>
      </c>
      <c r="K705" s="197" t="s">
        <v>141</v>
      </c>
      <c r="L705" s="137" t="s">
        <v>1049</v>
      </c>
      <c r="M705" s="137" t="s">
        <v>804</v>
      </c>
      <c r="N705" s="137"/>
      <c r="O705" s="93" t="s">
        <v>1714</v>
      </c>
      <c r="P705" s="138" t="s">
        <v>1715</v>
      </c>
      <c r="Q705" s="15" t="s">
        <v>35</v>
      </c>
      <c r="R705" s="91">
        <v>2006</v>
      </c>
      <c r="S705" s="16" t="s">
        <v>35</v>
      </c>
      <c r="T705" s="133">
        <v>39791</v>
      </c>
      <c r="U705" s="623"/>
      <c r="V705" s="624"/>
      <c r="W705" s="185"/>
      <c r="X705" s="7"/>
      <c r="Y705" s="7">
        <f t="shared" si="20"/>
        <v>0</v>
      </c>
      <c r="Z705" s="7"/>
      <c r="AA705" s="469"/>
      <c r="AB705" s="513" t="s">
        <v>5997</v>
      </c>
      <c r="AC705" s="147"/>
      <c r="AD705" s="639">
        <v>1</v>
      </c>
      <c r="AE705" s="639"/>
      <c r="AF705" s="9">
        <f t="shared" si="21"/>
        <v>1</v>
      </c>
      <c r="AG705" s="183"/>
      <c r="AH705" s="93"/>
      <c r="AI705" s="718" t="s">
        <v>1716</v>
      </c>
      <c r="AJ705" s="93"/>
      <c r="AK705" s="30" t="s">
        <v>1177</v>
      </c>
      <c r="AL705" s="93" t="s">
        <v>1178</v>
      </c>
    </row>
    <row r="706" spans="1:38" ht="15" customHeight="1" x14ac:dyDescent="0.3">
      <c r="A706" s="30" t="s">
        <v>22</v>
      </c>
      <c r="B706" s="120" t="s">
        <v>227</v>
      </c>
      <c r="C706" s="107">
        <v>6</v>
      </c>
      <c r="D706" s="11" t="s">
        <v>225</v>
      </c>
      <c r="E706" s="108">
        <v>36780</v>
      </c>
      <c r="F706" s="12">
        <v>2000</v>
      </c>
      <c r="G706" s="142" t="s">
        <v>1717</v>
      </c>
      <c r="H706" s="162" t="s">
        <v>1718</v>
      </c>
      <c r="I706" s="33" t="s">
        <v>33</v>
      </c>
      <c r="J706" s="32" t="s">
        <v>26</v>
      </c>
      <c r="K706" s="197" t="s">
        <v>636</v>
      </c>
      <c r="L706" s="137" t="s">
        <v>40</v>
      </c>
      <c r="M706" s="137" t="s">
        <v>804</v>
      </c>
      <c r="N706" s="137"/>
      <c r="O706" s="93" t="s">
        <v>1719</v>
      </c>
      <c r="P706" s="138" t="s">
        <v>1720</v>
      </c>
      <c r="Q706" s="15" t="s">
        <v>282</v>
      </c>
      <c r="R706" s="132">
        <v>39315</v>
      </c>
      <c r="S706" s="16" t="s">
        <v>35</v>
      </c>
      <c r="T706" s="133">
        <v>39745</v>
      </c>
      <c r="U706" s="623"/>
      <c r="V706" s="623"/>
      <c r="W706" s="731">
        <v>33038696</v>
      </c>
      <c r="X706" s="185"/>
      <c r="Y706" s="7">
        <f t="shared" ref="Y706:Y769" si="22">W706*AE706</f>
        <v>0</v>
      </c>
      <c r="Z706" s="185"/>
      <c r="AA706" s="469"/>
      <c r="AB706" s="500" t="s">
        <v>5953</v>
      </c>
      <c r="AC706" s="501"/>
      <c r="AD706" s="639">
        <v>1</v>
      </c>
      <c r="AE706" s="639"/>
      <c r="AF706" s="9">
        <f t="shared" si="21"/>
        <v>1</v>
      </c>
      <c r="AG706" s="183" t="s">
        <v>664</v>
      </c>
      <c r="AH706" s="93" t="s">
        <v>5998</v>
      </c>
      <c r="AI706" s="718" t="s">
        <v>1722</v>
      </c>
      <c r="AJ706" s="93"/>
      <c r="AK706" s="30" t="s">
        <v>1177</v>
      </c>
      <c r="AL706" s="93" t="s">
        <v>1178</v>
      </c>
    </row>
    <row r="707" spans="1:38" ht="15" customHeight="1" x14ac:dyDescent="0.3">
      <c r="A707" s="30" t="s">
        <v>22</v>
      </c>
      <c r="B707" s="145" t="s">
        <v>105</v>
      </c>
      <c r="C707" s="107">
        <v>11</v>
      </c>
      <c r="D707" s="11" t="s">
        <v>5936</v>
      </c>
      <c r="E707" s="108">
        <v>37106</v>
      </c>
      <c r="F707" s="12">
        <v>2001</v>
      </c>
      <c r="G707" s="142" t="s">
        <v>1723</v>
      </c>
      <c r="H707" s="162" t="s">
        <v>1724</v>
      </c>
      <c r="I707" s="33" t="s">
        <v>33</v>
      </c>
      <c r="J707" s="32" t="s">
        <v>26</v>
      </c>
      <c r="K707" s="197" t="s">
        <v>636</v>
      </c>
      <c r="L707" s="137" t="s">
        <v>40</v>
      </c>
      <c r="M707" s="137" t="s">
        <v>804</v>
      </c>
      <c r="N707" s="137"/>
      <c r="O707" s="93" t="s">
        <v>1725</v>
      </c>
      <c r="P707" s="138" t="s">
        <v>1726</v>
      </c>
      <c r="Q707" s="15" t="s">
        <v>282</v>
      </c>
      <c r="R707" s="132">
        <v>39310</v>
      </c>
      <c r="S707" s="16" t="s">
        <v>44</v>
      </c>
      <c r="T707" s="133">
        <v>39689</v>
      </c>
      <c r="U707" s="623"/>
      <c r="V707" s="624"/>
      <c r="W707" s="185"/>
      <c r="X707" s="7"/>
      <c r="Y707" s="7">
        <f t="shared" si="22"/>
        <v>0</v>
      </c>
      <c r="Z707" s="7"/>
      <c r="AA707" s="469"/>
      <c r="AB707" s="513" t="s">
        <v>1231</v>
      </c>
      <c r="AC707" s="147"/>
      <c r="AD707" s="639">
        <v>0.5</v>
      </c>
      <c r="AE707" s="639"/>
      <c r="AF707" s="9">
        <f t="shared" ref="AF707:AF770" si="23">AD707+AE707</f>
        <v>0.5</v>
      </c>
      <c r="AG707" s="183" t="s">
        <v>1192</v>
      </c>
      <c r="AH707" s="93"/>
      <c r="AI707" s="93" t="s">
        <v>1727</v>
      </c>
      <c r="AJ707" s="93"/>
      <c r="AK707" s="30" t="s">
        <v>1185</v>
      </c>
      <c r="AL707" s="93" t="s">
        <v>1178</v>
      </c>
    </row>
    <row r="708" spans="1:38" ht="15" customHeight="1" x14ac:dyDescent="0.3">
      <c r="A708" s="30" t="s">
        <v>22</v>
      </c>
      <c r="B708" s="120" t="s">
        <v>105</v>
      </c>
      <c r="C708" s="109">
        <v>12</v>
      </c>
      <c r="D708" s="11" t="s">
        <v>5936</v>
      </c>
      <c r="E708" s="108">
        <v>37987</v>
      </c>
      <c r="F708" s="146">
        <v>2004</v>
      </c>
      <c r="G708" s="142" t="s">
        <v>1728</v>
      </c>
      <c r="H708" s="162" t="s">
        <v>1729</v>
      </c>
      <c r="I708" s="33" t="s">
        <v>33</v>
      </c>
      <c r="J708" s="32" t="s">
        <v>26</v>
      </c>
      <c r="K708" s="197" t="s">
        <v>636</v>
      </c>
      <c r="L708" s="137" t="s">
        <v>1319</v>
      </c>
      <c r="M708" s="137" t="s">
        <v>804</v>
      </c>
      <c r="N708" s="137"/>
      <c r="O708" s="93" t="s">
        <v>1730</v>
      </c>
      <c r="P708" s="138" t="s">
        <v>1731</v>
      </c>
      <c r="Q708" s="15" t="s">
        <v>282</v>
      </c>
      <c r="R708" s="166">
        <v>39568</v>
      </c>
      <c r="S708" s="16" t="s">
        <v>44</v>
      </c>
      <c r="T708" s="133">
        <v>39781</v>
      </c>
      <c r="U708" s="623"/>
      <c r="V708" s="624"/>
      <c r="W708" s="185"/>
      <c r="X708" s="7"/>
      <c r="Y708" s="7">
        <f t="shared" si="22"/>
        <v>0</v>
      </c>
      <c r="Z708" s="7"/>
      <c r="AA708" s="469"/>
      <c r="AB708" s="513" t="s">
        <v>1231</v>
      </c>
      <c r="AC708" s="147"/>
      <c r="AD708" s="639">
        <v>0.5</v>
      </c>
      <c r="AE708" s="639"/>
      <c r="AF708" s="9">
        <f t="shared" si="23"/>
        <v>0.5</v>
      </c>
      <c r="AG708" s="183" t="s">
        <v>1192</v>
      </c>
      <c r="AH708" s="93"/>
      <c r="AI708" s="93" t="s">
        <v>1732</v>
      </c>
      <c r="AJ708" s="93"/>
      <c r="AK708" s="30" t="s">
        <v>1185</v>
      </c>
      <c r="AL708" s="93" t="s">
        <v>1178</v>
      </c>
    </row>
    <row r="709" spans="1:38" ht="15" customHeight="1" x14ac:dyDescent="0.3">
      <c r="A709" s="30" t="s">
        <v>22</v>
      </c>
      <c r="B709" s="154" t="s">
        <v>144</v>
      </c>
      <c r="C709" s="107">
        <v>7</v>
      </c>
      <c r="D709" s="11" t="s">
        <v>143</v>
      </c>
      <c r="E709" s="114">
        <v>38297</v>
      </c>
      <c r="F709" s="12">
        <v>2004</v>
      </c>
      <c r="G709" s="142" t="s">
        <v>1733</v>
      </c>
      <c r="H709" s="162" t="s">
        <v>1734</v>
      </c>
      <c r="I709" s="33" t="s">
        <v>33</v>
      </c>
      <c r="J709" s="32" t="s">
        <v>26</v>
      </c>
      <c r="K709" s="197" t="s">
        <v>1708</v>
      </c>
      <c r="L709" s="137" t="s">
        <v>1564</v>
      </c>
      <c r="M709" s="137" t="s">
        <v>804</v>
      </c>
      <c r="N709" s="137"/>
      <c r="O709" s="93" t="s">
        <v>1735</v>
      </c>
      <c r="P709" s="138" t="s">
        <v>1736</v>
      </c>
      <c r="Q709" s="15" t="s">
        <v>282</v>
      </c>
      <c r="R709" s="132">
        <v>39140</v>
      </c>
      <c r="S709" s="16" t="s">
        <v>44</v>
      </c>
      <c r="T709" s="133">
        <v>39752</v>
      </c>
      <c r="U709" s="623"/>
      <c r="V709" s="624"/>
      <c r="W709" s="185"/>
      <c r="X709" s="7"/>
      <c r="Y709" s="7">
        <f t="shared" si="22"/>
        <v>0</v>
      </c>
      <c r="Z709" s="7"/>
      <c r="AA709" s="469"/>
      <c r="AB709" s="564" t="s">
        <v>578</v>
      </c>
      <c r="AC709" s="565"/>
      <c r="AD709" s="665">
        <v>0.5</v>
      </c>
      <c r="AE709" s="665"/>
      <c r="AF709" s="9">
        <f t="shared" si="23"/>
        <v>0.5</v>
      </c>
      <c r="AG709" s="183" t="s">
        <v>1737</v>
      </c>
      <c r="AH709" s="93" t="s">
        <v>1738</v>
      </c>
      <c r="AI709" s="93" t="s">
        <v>1739</v>
      </c>
      <c r="AJ709" s="93"/>
      <c r="AK709" s="30" t="s">
        <v>1185</v>
      </c>
      <c r="AL709" s="93" t="s">
        <v>1175</v>
      </c>
    </row>
    <row r="710" spans="1:38" ht="15" customHeight="1" x14ac:dyDescent="0.3">
      <c r="A710" s="30" t="s">
        <v>22</v>
      </c>
      <c r="B710" s="112" t="s">
        <v>195</v>
      </c>
      <c r="C710" s="107">
        <v>1</v>
      </c>
      <c r="D710" s="12" t="s">
        <v>190</v>
      </c>
      <c r="E710" s="108">
        <v>37987</v>
      </c>
      <c r="F710" s="146">
        <v>2004</v>
      </c>
      <c r="G710" s="142" t="s">
        <v>1740</v>
      </c>
      <c r="H710" s="162"/>
      <c r="I710" s="33" t="s">
        <v>33</v>
      </c>
      <c r="J710" s="32" t="s">
        <v>26</v>
      </c>
      <c r="K710" s="197" t="s">
        <v>636</v>
      </c>
      <c r="L710" s="137" t="s">
        <v>1319</v>
      </c>
      <c r="M710" s="137" t="s">
        <v>804</v>
      </c>
      <c r="N710" s="137"/>
      <c r="O710" s="93" t="s">
        <v>1741</v>
      </c>
      <c r="P710" s="138" t="s">
        <v>1742</v>
      </c>
      <c r="Q710" s="15" t="s">
        <v>282</v>
      </c>
      <c r="R710" s="132">
        <v>39002</v>
      </c>
      <c r="S710" s="16" t="s">
        <v>44</v>
      </c>
      <c r="T710" s="133">
        <v>39693</v>
      </c>
      <c r="U710" s="623"/>
      <c r="V710" s="624"/>
      <c r="W710" s="185"/>
      <c r="X710" s="7"/>
      <c r="Y710" s="7">
        <f t="shared" si="22"/>
        <v>0</v>
      </c>
      <c r="Z710" s="7"/>
      <c r="AA710" s="469"/>
      <c r="AB710" s="604" t="s">
        <v>6081</v>
      </c>
      <c r="AC710" s="88"/>
      <c r="AD710" s="665">
        <v>0.5</v>
      </c>
      <c r="AE710" s="665"/>
      <c r="AF710" s="9">
        <f t="shared" si="23"/>
        <v>0.5</v>
      </c>
      <c r="AG710" s="183">
        <v>9</v>
      </c>
      <c r="AH710" s="93"/>
      <c r="AI710" s="93" t="s">
        <v>1739</v>
      </c>
      <c r="AJ710" s="93"/>
      <c r="AK710" s="30" t="s">
        <v>1185</v>
      </c>
      <c r="AL710" s="93" t="s">
        <v>1178</v>
      </c>
    </row>
    <row r="711" spans="1:38" ht="15" customHeight="1" x14ac:dyDescent="0.3">
      <c r="A711" s="30" t="s">
        <v>22</v>
      </c>
      <c r="B711" s="153" t="s">
        <v>105</v>
      </c>
      <c r="C711" s="109">
        <v>8</v>
      </c>
      <c r="D711" s="11" t="s">
        <v>5936</v>
      </c>
      <c r="E711" s="108">
        <v>37653</v>
      </c>
      <c r="F711" s="33">
        <v>2003</v>
      </c>
      <c r="G711" s="142" t="s">
        <v>1743</v>
      </c>
      <c r="H711" s="162" t="s">
        <v>1744</v>
      </c>
      <c r="I711" s="33" t="s">
        <v>33</v>
      </c>
      <c r="J711" s="32" t="s">
        <v>191</v>
      </c>
      <c r="K711" s="138" t="s">
        <v>180</v>
      </c>
      <c r="L711" s="137" t="s">
        <v>40</v>
      </c>
      <c r="M711" s="137" t="s">
        <v>804</v>
      </c>
      <c r="N711" s="137"/>
      <c r="O711" s="138" t="s">
        <v>1745</v>
      </c>
      <c r="P711" s="647" t="s">
        <v>1746</v>
      </c>
      <c r="Q711" s="15" t="s">
        <v>282</v>
      </c>
      <c r="R711" s="132">
        <v>38779</v>
      </c>
      <c r="S711" s="16" t="s">
        <v>44</v>
      </c>
      <c r="T711" s="133">
        <v>39024</v>
      </c>
      <c r="U711" s="623" t="s">
        <v>1747</v>
      </c>
      <c r="V711" s="180">
        <v>39729</v>
      </c>
      <c r="W711" s="185"/>
      <c r="X711" s="7"/>
      <c r="Y711" s="7">
        <f t="shared" si="22"/>
        <v>0</v>
      </c>
      <c r="Z711" s="7"/>
      <c r="AA711" s="469"/>
      <c r="AB711" s="513" t="s">
        <v>1231</v>
      </c>
      <c r="AC711" s="147"/>
      <c r="AD711" s="639">
        <v>0.5</v>
      </c>
      <c r="AE711" s="639"/>
      <c r="AF711" s="9">
        <f t="shared" si="23"/>
        <v>0.5</v>
      </c>
      <c r="AG711" s="183" t="s">
        <v>1192</v>
      </c>
      <c r="AH711" s="476" t="s">
        <v>851</v>
      </c>
      <c r="AI711" s="146" t="s">
        <v>1748</v>
      </c>
      <c r="AJ711" s="93"/>
      <c r="AK711" s="30" t="s">
        <v>1185</v>
      </c>
      <c r="AL711" s="93" t="s">
        <v>1178</v>
      </c>
    </row>
    <row r="712" spans="1:38" ht="15" customHeight="1" x14ac:dyDescent="0.3">
      <c r="A712" s="30" t="s">
        <v>22</v>
      </c>
      <c r="B712" s="153" t="s">
        <v>105</v>
      </c>
      <c r="C712" s="109">
        <v>5</v>
      </c>
      <c r="D712" s="11" t="s">
        <v>5936</v>
      </c>
      <c r="E712" s="108">
        <v>37223</v>
      </c>
      <c r="F712" s="12">
        <v>2001</v>
      </c>
      <c r="G712" s="142" t="s">
        <v>1749</v>
      </c>
      <c r="H712" s="162" t="s">
        <v>1750</v>
      </c>
      <c r="I712" s="109" t="s">
        <v>25</v>
      </c>
      <c r="J712" s="32" t="s">
        <v>26</v>
      </c>
      <c r="K712" s="197" t="s">
        <v>111</v>
      </c>
      <c r="L712" s="137" t="s">
        <v>40</v>
      </c>
      <c r="M712" s="137" t="s">
        <v>804</v>
      </c>
      <c r="N712" s="238"/>
      <c r="O712" s="146" t="s">
        <v>1751</v>
      </c>
      <c r="P712" s="138" t="s">
        <v>1752</v>
      </c>
      <c r="Q712" s="15" t="s">
        <v>282</v>
      </c>
      <c r="R712" s="179">
        <v>38898</v>
      </c>
      <c r="S712" s="16" t="s">
        <v>44</v>
      </c>
      <c r="T712" s="133">
        <v>39538</v>
      </c>
      <c r="U712" s="623"/>
      <c r="V712" s="624"/>
      <c r="W712" s="185"/>
      <c r="X712" s="7"/>
      <c r="Y712" s="7">
        <f t="shared" si="22"/>
        <v>0</v>
      </c>
      <c r="Z712" s="7"/>
      <c r="AA712" s="469"/>
      <c r="AB712" s="513" t="s">
        <v>1231</v>
      </c>
      <c r="AC712" s="563"/>
      <c r="AD712" s="665">
        <v>0.5</v>
      </c>
      <c r="AE712" s="665"/>
      <c r="AF712" s="9">
        <f t="shared" si="23"/>
        <v>0.5</v>
      </c>
      <c r="AG712" s="182" t="s">
        <v>1192</v>
      </c>
      <c r="AH712" s="93" t="s">
        <v>1753</v>
      </c>
      <c r="AI712" s="146" t="s">
        <v>1754</v>
      </c>
      <c r="AJ712" s="93"/>
      <c r="AK712" s="30" t="s">
        <v>1185</v>
      </c>
      <c r="AL712" s="93" t="s">
        <v>1178</v>
      </c>
    </row>
    <row r="713" spans="1:38" ht="15" customHeight="1" x14ac:dyDescent="0.3">
      <c r="A713" s="30" t="s">
        <v>22</v>
      </c>
      <c r="B713" s="153" t="s">
        <v>105</v>
      </c>
      <c r="C713" s="109">
        <v>5</v>
      </c>
      <c r="D713" s="11" t="s">
        <v>5936</v>
      </c>
      <c r="E713" s="108">
        <v>37224</v>
      </c>
      <c r="F713" s="33">
        <v>2001</v>
      </c>
      <c r="G713" s="142" t="s">
        <v>1755</v>
      </c>
      <c r="H713" s="162" t="s">
        <v>1756</v>
      </c>
      <c r="I713" s="107" t="s">
        <v>25</v>
      </c>
      <c r="J713" s="32" t="s">
        <v>26</v>
      </c>
      <c r="K713" s="197" t="s">
        <v>111</v>
      </c>
      <c r="L713" s="137" t="s">
        <v>40</v>
      </c>
      <c r="M713" s="137" t="s">
        <v>804</v>
      </c>
      <c r="N713" s="238"/>
      <c r="O713" s="146" t="s">
        <v>1757</v>
      </c>
      <c r="P713" s="138" t="s">
        <v>1758</v>
      </c>
      <c r="Q713" s="15" t="s">
        <v>282</v>
      </c>
      <c r="R713" s="179">
        <v>39038</v>
      </c>
      <c r="S713" s="16" t="s">
        <v>44</v>
      </c>
      <c r="T713" s="133">
        <v>39752</v>
      </c>
      <c r="U713" s="623"/>
      <c r="V713" s="624"/>
      <c r="W713" s="185"/>
      <c r="X713" s="7"/>
      <c r="Y713" s="7">
        <f t="shared" si="22"/>
        <v>0</v>
      </c>
      <c r="Z713" s="7"/>
      <c r="AA713" s="469"/>
      <c r="AB713" s="513" t="s">
        <v>1231</v>
      </c>
      <c r="AC713" s="563"/>
      <c r="AD713" s="665">
        <v>0.5</v>
      </c>
      <c r="AE713" s="665"/>
      <c r="AF713" s="9">
        <f t="shared" si="23"/>
        <v>0.5</v>
      </c>
      <c r="AG713" s="183" t="s">
        <v>1192</v>
      </c>
      <c r="AH713" s="93"/>
      <c r="AI713" s="146" t="s">
        <v>1754</v>
      </c>
      <c r="AJ713" s="93"/>
      <c r="AK713" s="30" t="s">
        <v>1185</v>
      </c>
      <c r="AL713" s="93" t="s">
        <v>1178</v>
      </c>
    </row>
    <row r="714" spans="1:38" ht="15" customHeight="1" x14ac:dyDescent="0.3">
      <c r="A714" s="30" t="s">
        <v>22</v>
      </c>
      <c r="B714" s="153" t="s">
        <v>105</v>
      </c>
      <c r="C714" s="109">
        <v>5</v>
      </c>
      <c r="D714" s="11" t="s">
        <v>5936</v>
      </c>
      <c r="E714" s="108">
        <v>37377</v>
      </c>
      <c r="F714" s="33">
        <v>2002</v>
      </c>
      <c r="G714" s="142" t="s">
        <v>1759</v>
      </c>
      <c r="H714" s="162" t="s">
        <v>1760</v>
      </c>
      <c r="I714" s="33" t="s">
        <v>33</v>
      </c>
      <c r="J714" s="32" t="s">
        <v>26</v>
      </c>
      <c r="K714" s="197" t="s">
        <v>111</v>
      </c>
      <c r="L714" s="137" t="s">
        <v>40</v>
      </c>
      <c r="M714" s="137" t="s">
        <v>804</v>
      </c>
      <c r="N714" s="137"/>
      <c r="O714" s="93" t="s">
        <v>1761</v>
      </c>
      <c r="P714" s="138" t="s">
        <v>1762</v>
      </c>
      <c r="Q714" s="15" t="s">
        <v>282</v>
      </c>
      <c r="R714" s="132">
        <v>39035</v>
      </c>
      <c r="S714" s="16" t="s">
        <v>44</v>
      </c>
      <c r="T714" s="92" t="s">
        <v>1763</v>
      </c>
      <c r="U714" s="623"/>
      <c r="V714" s="624"/>
      <c r="W714" s="185"/>
      <c r="X714" s="7"/>
      <c r="Y714" s="7">
        <f t="shared" si="22"/>
        <v>0</v>
      </c>
      <c r="Z714" s="7"/>
      <c r="AA714" s="469"/>
      <c r="AB714" s="513" t="s">
        <v>1231</v>
      </c>
      <c r="AC714" s="563"/>
      <c r="AD714" s="665">
        <v>0.5</v>
      </c>
      <c r="AE714" s="665"/>
      <c r="AF714" s="9">
        <f t="shared" si="23"/>
        <v>0.5</v>
      </c>
      <c r="AG714" s="182" t="s">
        <v>1192</v>
      </c>
      <c r="AH714" s="93"/>
      <c r="AI714" s="146" t="s">
        <v>1698</v>
      </c>
      <c r="AJ714" s="93"/>
      <c r="AK714" s="30" t="s">
        <v>1185</v>
      </c>
      <c r="AL714" s="93" t="s">
        <v>1178</v>
      </c>
    </row>
    <row r="715" spans="1:38" ht="15" customHeight="1" x14ac:dyDescent="0.3">
      <c r="A715" s="30" t="s">
        <v>22</v>
      </c>
      <c r="B715" s="120" t="s">
        <v>105</v>
      </c>
      <c r="C715" s="109">
        <v>7</v>
      </c>
      <c r="D715" s="11" t="s">
        <v>5936</v>
      </c>
      <c r="E715" s="108">
        <v>37622</v>
      </c>
      <c r="F715" s="146">
        <v>2003</v>
      </c>
      <c r="G715" s="142" t="s">
        <v>1764</v>
      </c>
      <c r="H715" s="162" t="s">
        <v>1765</v>
      </c>
      <c r="I715" s="33" t="s">
        <v>33</v>
      </c>
      <c r="J715" s="32" t="s">
        <v>26</v>
      </c>
      <c r="K715" s="197" t="s">
        <v>111</v>
      </c>
      <c r="L715" s="137" t="s">
        <v>40</v>
      </c>
      <c r="M715" s="137" t="s">
        <v>804</v>
      </c>
      <c r="N715" s="137"/>
      <c r="O715" s="93" t="s">
        <v>1766</v>
      </c>
      <c r="P715" s="200" t="s">
        <v>1767</v>
      </c>
      <c r="Q715" s="15" t="s">
        <v>282</v>
      </c>
      <c r="R715" s="132">
        <v>38593</v>
      </c>
      <c r="S715" s="16" t="s">
        <v>44</v>
      </c>
      <c r="T715" s="133">
        <v>39598</v>
      </c>
      <c r="U715" s="623"/>
      <c r="V715" s="624"/>
      <c r="W715" s="185"/>
      <c r="X715" s="7"/>
      <c r="Y715" s="7">
        <f t="shared" si="22"/>
        <v>0</v>
      </c>
      <c r="Z715" s="7"/>
      <c r="AA715" s="469"/>
      <c r="AB715" s="513" t="s">
        <v>1231</v>
      </c>
      <c r="AC715" s="563"/>
      <c r="AD715" s="665">
        <v>0.5</v>
      </c>
      <c r="AE715" s="665"/>
      <c r="AF715" s="9">
        <f t="shared" si="23"/>
        <v>0.5</v>
      </c>
      <c r="AG715" s="183" t="s">
        <v>1192</v>
      </c>
      <c r="AH715" s="93" t="s">
        <v>1768</v>
      </c>
      <c r="AI715" s="146" t="s">
        <v>1664</v>
      </c>
      <c r="AJ715" s="181"/>
      <c r="AK715" s="30" t="s">
        <v>1185</v>
      </c>
      <c r="AL715" s="93" t="s">
        <v>1178</v>
      </c>
    </row>
    <row r="716" spans="1:38" ht="15" customHeight="1" x14ac:dyDescent="0.3">
      <c r="A716" s="30" t="s">
        <v>22</v>
      </c>
      <c r="B716" s="120" t="s">
        <v>105</v>
      </c>
      <c r="C716" s="109">
        <v>8</v>
      </c>
      <c r="D716" s="11" t="s">
        <v>5936</v>
      </c>
      <c r="E716" s="108">
        <v>37742</v>
      </c>
      <c r="F716" s="33">
        <v>2003</v>
      </c>
      <c r="G716" s="142" t="s">
        <v>1769</v>
      </c>
      <c r="H716" s="162" t="s">
        <v>1770</v>
      </c>
      <c r="I716" s="33" t="s">
        <v>33</v>
      </c>
      <c r="J716" s="32" t="s">
        <v>26</v>
      </c>
      <c r="K716" s="197" t="s">
        <v>111</v>
      </c>
      <c r="L716" s="137" t="s">
        <v>40</v>
      </c>
      <c r="M716" s="137" t="s">
        <v>804</v>
      </c>
      <c r="N716" s="137"/>
      <c r="O716" s="138" t="s">
        <v>1771</v>
      </c>
      <c r="P716" s="200" t="s">
        <v>1772</v>
      </c>
      <c r="Q716" s="15" t="s">
        <v>282</v>
      </c>
      <c r="R716" s="91"/>
      <c r="S716" s="16" t="s">
        <v>44</v>
      </c>
      <c r="T716" s="133">
        <v>39617</v>
      </c>
      <c r="U716" s="623"/>
      <c r="V716" s="624"/>
      <c r="W716" s="185"/>
      <c r="X716" s="7"/>
      <c r="Y716" s="7">
        <f t="shared" si="22"/>
        <v>0</v>
      </c>
      <c r="Z716" s="7"/>
      <c r="AA716" s="469"/>
      <c r="AB716" s="513" t="s">
        <v>1231</v>
      </c>
      <c r="AC716" s="563"/>
      <c r="AD716" s="665">
        <v>0.5</v>
      </c>
      <c r="AE716" s="665"/>
      <c r="AF716" s="9">
        <f t="shared" si="23"/>
        <v>0.5</v>
      </c>
      <c r="AG716" s="183" t="s">
        <v>1192</v>
      </c>
      <c r="AH716" s="93"/>
      <c r="AI716" s="146" t="s">
        <v>1773</v>
      </c>
      <c r="AJ716" s="181"/>
      <c r="AK716" s="30" t="s">
        <v>1185</v>
      </c>
      <c r="AL716" s="93" t="s">
        <v>1178</v>
      </c>
    </row>
    <row r="717" spans="1:38" ht="15" customHeight="1" x14ac:dyDescent="0.3">
      <c r="A717" s="30" t="s">
        <v>22</v>
      </c>
      <c r="B717" s="145" t="s">
        <v>105</v>
      </c>
      <c r="C717" s="109">
        <v>10</v>
      </c>
      <c r="D717" s="11" t="s">
        <v>5936</v>
      </c>
      <c r="E717" s="108">
        <v>36892</v>
      </c>
      <c r="F717" s="146">
        <v>2001</v>
      </c>
      <c r="G717" s="142" t="s">
        <v>1774</v>
      </c>
      <c r="H717" s="162" t="s">
        <v>1775</v>
      </c>
      <c r="I717" s="107" t="s">
        <v>868</v>
      </c>
      <c r="J717" s="32" t="s">
        <v>26</v>
      </c>
      <c r="K717" s="197" t="s">
        <v>111</v>
      </c>
      <c r="L717" s="137" t="s">
        <v>40</v>
      </c>
      <c r="M717" s="137" t="s">
        <v>804</v>
      </c>
      <c r="N717" s="137"/>
      <c r="O717" s="93" t="s">
        <v>1776</v>
      </c>
      <c r="P717" s="138" t="s">
        <v>1777</v>
      </c>
      <c r="Q717" s="15" t="s">
        <v>282</v>
      </c>
      <c r="R717" s="132">
        <v>38527</v>
      </c>
      <c r="S717" s="16" t="s">
        <v>44</v>
      </c>
      <c r="T717" s="133">
        <v>39598</v>
      </c>
      <c r="U717" s="623"/>
      <c r="V717" s="624"/>
      <c r="W717" s="185"/>
      <c r="X717" s="7"/>
      <c r="Y717" s="7">
        <f t="shared" si="22"/>
        <v>0</v>
      </c>
      <c r="Z717" s="7"/>
      <c r="AA717" s="469"/>
      <c r="AB717" s="513" t="s">
        <v>1231</v>
      </c>
      <c r="AC717" s="563"/>
      <c r="AD717" s="665">
        <v>0.5</v>
      </c>
      <c r="AE717" s="665"/>
      <c r="AF717" s="9">
        <f t="shared" si="23"/>
        <v>0.5</v>
      </c>
      <c r="AG717" s="182" t="s">
        <v>1192</v>
      </c>
      <c r="AH717" s="93"/>
      <c r="AI717" s="146" t="s">
        <v>1778</v>
      </c>
      <c r="AJ717" s="93"/>
      <c r="AK717" s="30" t="s">
        <v>1185</v>
      </c>
      <c r="AL717" s="93" t="s">
        <v>1178</v>
      </c>
    </row>
    <row r="718" spans="1:38" ht="15" customHeight="1" x14ac:dyDescent="0.3">
      <c r="A718" s="30" t="s">
        <v>22</v>
      </c>
      <c r="B718" s="112" t="s">
        <v>189</v>
      </c>
      <c r="C718" s="109">
        <v>4</v>
      </c>
      <c r="D718" s="33" t="s">
        <v>190</v>
      </c>
      <c r="E718" s="108">
        <v>38200</v>
      </c>
      <c r="F718" s="33">
        <v>2004</v>
      </c>
      <c r="G718" s="142" t="s">
        <v>1779</v>
      </c>
      <c r="H718" s="162" t="s">
        <v>1780</v>
      </c>
      <c r="I718" s="12" t="s">
        <v>25</v>
      </c>
      <c r="J718" s="32" t="s">
        <v>26</v>
      </c>
      <c r="K718" s="197" t="s">
        <v>111</v>
      </c>
      <c r="L718" s="137" t="s">
        <v>40</v>
      </c>
      <c r="M718" s="137" t="s">
        <v>804</v>
      </c>
      <c r="N718" s="137"/>
      <c r="O718" s="93" t="s">
        <v>1781</v>
      </c>
      <c r="P718" s="718" t="s">
        <v>1782</v>
      </c>
      <c r="Q718" s="15" t="s">
        <v>282</v>
      </c>
      <c r="R718" s="132">
        <v>39276</v>
      </c>
      <c r="S718" s="16" t="s">
        <v>44</v>
      </c>
      <c r="T718" s="133">
        <v>39492</v>
      </c>
      <c r="U718" s="623" t="s">
        <v>1783</v>
      </c>
      <c r="V718" s="180">
        <v>40204</v>
      </c>
      <c r="W718" s="185">
        <v>56</v>
      </c>
      <c r="X718" s="7">
        <v>28</v>
      </c>
      <c r="Y718" s="7">
        <f t="shared" si="22"/>
        <v>0</v>
      </c>
      <c r="Z718" s="7">
        <v>28</v>
      </c>
      <c r="AA718" s="469"/>
      <c r="AB718" s="513" t="s">
        <v>505</v>
      </c>
      <c r="AC718" s="147"/>
      <c r="AD718" s="639">
        <v>0.5</v>
      </c>
      <c r="AE718" s="639"/>
      <c r="AF718" s="9">
        <f t="shared" si="23"/>
        <v>0.5</v>
      </c>
      <c r="AG718" s="183">
        <v>7.5</v>
      </c>
      <c r="AH718" s="93" t="s">
        <v>1784</v>
      </c>
      <c r="AI718" s="719" t="s">
        <v>1785</v>
      </c>
      <c r="AJ718" s="93"/>
      <c r="AK718" s="30" t="s">
        <v>1185</v>
      </c>
      <c r="AL718" s="93" t="s">
        <v>1178</v>
      </c>
    </row>
    <row r="719" spans="1:38" ht="15" customHeight="1" x14ac:dyDescent="0.3">
      <c r="A719" s="30" t="s">
        <v>22</v>
      </c>
      <c r="B719" s="112" t="s">
        <v>23</v>
      </c>
      <c r="C719" s="107">
        <v>7</v>
      </c>
      <c r="D719" s="11" t="s">
        <v>24</v>
      </c>
      <c r="E719" s="108">
        <v>37926</v>
      </c>
      <c r="F719" s="30">
        <v>2003</v>
      </c>
      <c r="G719" s="142" t="s">
        <v>1786</v>
      </c>
      <c r="H719" s="162" t="s">
        <v>1787</v>
      </c>
      <c r="I719" s="12" t="s">
        <v>25</v>
      </c>
      <c r="J719" s="32" t="s">
        <v>26</v>
      </c>
      <c r="K719" s="138" t="s">
        <v>1708</v>
      </c>
      <c r="L719" s="137" t="s">
        <v>40</v>
      </c>
      <c r="M719" s="137" t="s">
        <v>804</v>
      </c>
      <c r="N719" s="137"/>
      <c r="O719" s="138" t="s">
        <v>1788</v>
      </c>
      <c r="P719" s="138" t="s">
        <v>1789</v>
      </c>
      <c r="Q719" s="15" t="s">
        <v>35</v>
      </c>
      <c r="R719" s="132">
        <v>39402</v>
      </c>
      <c r="S719" s="16" t="s">
        <v>44</v>
      </c>
      <c r="T719" s="133">
        <v>39756</v>
      </c>
      <c r="U719" s="623"/>
      <c r="V719" s="624"/>
      <c r="W719" s="185"/>
      <c r="X719" s="7"/>
      <c r="Y719" s="7">
        <f t="shared" si="22"/>
        <v>0</v>
      </c>
      <c r="Z719" s="7"/>
      <c r="AA719" s="469"/>
      <c r="AB719" s="518" t="s">
        <v>933</v>
      </c>
      <c r="AC719" s="519"/>
      <c r="AD719" s="639">
        <v>0.75</v>
      </c>
      <c r="AE719" s="639"/>
      <c r="AF719" s="9">
        <f t="shared" si="23"/>
        <v>0.75</v>
      </c>
      <c r="AG719" s="183" t="s">
        <v>1099</v>
      </c>
      <c r="AH719" s="93"/>
      <c r="AI719" s="93" t="s">
        <v>1790</v>
      </c>
      <c r="AJ719" s="181"/>
      <c r="AK719" s="30" t="s">
        <v>1185</v>
      </c>
      <c r="AL719" s="93" t="s">
        <v>1175</v>
      </c>
    </row>
    <row r="720" spans="1:38" ht="15" customHeight="1" x14ac:dyDescent="0.3">
      <c r="A720" s="30" t="s">
        <v>22</v>
      </c>
      <c r="B720" s="153" t="s">
        <v>23</v>
      </c>
      <c r="C720" s="107">
        <v>7</v>
      </c>
      <c r="D720" s="11" t="s">
        <v>24</v>
      </c>
      <c r="E720" s="114">
        <v>38749</v>
      </c>
      <c r="F720" s="12">
        <v>2006</v>
      </c>
      <c r="G720" s="142" t="s">
        <v>1791</v>
      </c>
      <c r="H720" s="162" t="s">
        <v>1792</v>
      </c>
      <c r="I720" s="12" t="s">
        <v>25</v>
      </c>
      <c r="J720" s="32" t="s">
        <v>191</v>
      </c>
      <c r="K720" s="197" t="s">
        <v>1173</v>
      </c>
      <c r="L720" s="137" t="s">
        <v>1319</v>
      </c>
      <c r="M720" s="137" t="s">
        <v>804</v>
      </c>
      <c r="N720" s="137"/>
      <c r="O720" s="93" t="s">
        <v>1793</v>
      </c>
      <c r="P720" s="138" t="s">
        <v>1794</v>
      </c>
      <c r="Q720" s="15" t="s">
        <v>282</v>
      </c>
      <c r="R720" s="132">
        <v>39787</v>
      </c>
      <c r="S720" s="92"/>
      <c r="T720" s="139"/>
      <c r="U720" s="624"/>
      <c r="V720" s="624"/>
      <c r="W720" s="185"/>
      <c r="X720" s="7"/>
      <c r="Y720" s="7">
        <f t="shared" si="22"/>
        <v>0</v>
      </c>
      <c r="Z720" s="7"/>
      <c r="AA720" s="469"/>
      <c r="AB720" s="479" t="s">
        <v>49</v>
      </c>
      <c r="AC720" s="480"/>
      <c r="AD720" s="639">
        <v>0.5</v>
      </c>
      <c r="AE720" s="639"/>
      <c r="AF720" s="9">
        <f t="shared" si="23"/>
        <v>0.5</v>
      </c>
      <c r="AG720" s="183" t="s">
        <v>667</v>
      </c>
      <c r="AH720" s="93" t="s">
        <v>1795</v>
      </c>
      <c r="AI720" s="718" t="s">
        <v>1796</v>
      </c>
      <c r="AJ720" s="93"/>
      <c r="AK720" s="30" t="s">
        <v>1185</v>
      </c>
      <c r="AL720" s="93" t="s">
        <v>1178</v>
      </c>
    </row>
    <row r="721" spans="1:38" ht="15" customHeight="1" x14ac:dyDescent="0.3">
      <c r="A721" s="181" t="s">
        <v>883</v>
      </c>
      <c r="B721" s="167" t="s">
        <v>105</v>
      </c>
      <c r="C721" s="135">
        <v>20</v>
      </c>
      <c r="D721" s="11" t="s">
        <v>5936</v>
      </c>
      <c r="E721" s="168">
        <v>39532</v>
      </c>
      <c r="F721" s="136">
        <v>2008</v>
      </c>
      <c r="G721" s="178" t="s">
        <v>1797</v>
      </c>
      <c r="H721" s="204" t="s">
        <v>1798</v>
      </c>
      <c r="I721" s="33" t="s">
        <v>33</v>
      </c>
      <c r="J721" s="32" t="s">
        <v>26</v>
      </c>
      <c r="K721" s="138" t="s">
        <v>1708</v>
      </c>
      <c r="L721" s="138" t="s">
        <v>1319</v>
      </c>
      <c r="M721" s="137" t="s">
        <v>804</v>
      </c>
      <c r="N721" s="137"/>
      <c r="O721" s="138" t="s">
        <v>1799</v>
      </c>
      <c r="P721" s="138" t="s">
        <v>1800</v>
      </c>
      <c r="Q721" s="138"/>
      <c r="R721" s="138"/>
      <c r="S721" s="138"/>
      <c r="T721" s="138"/>
      <c r="U721" s="138"/>
      <c r="V721" s="138"/>
      <c r="W721" s="201"/>
      <c r="X721" s="189"/>
      <c r="Y721" s="7">
        <f t="shared" si="22"/>
        <v>0</v>
      </c>
      <c r="Z721" s="189"/>
      <c r="AA721" s="469"/>
      <c r="AB721" s="564" t="s">
        <v>1073</v>
      </c>
      <c r="AC721" s="693"/>
      <c r="AD721" s="702">
        <v>0.2</v>
      </c>
      <c r="AE721" s="702"/>
      <c r="AF721" s="9">
        <f t="shared" si="23"/>
        <v>0.2</v>
      </c>
      <c r="AG721" s="138" t="s">
        <v>1454</v>
      </c>
      <c r="AH721" s="138"/>
      <c r="AI721" s="138" t="s">
        <v>1801</v>
      </c>
      <c r="AJ721" s="138"/>
      <c r="AK721" s="138" t="s">
        <v>1177</v>
      </c>
      <c r="AL721" s="138" t="s">
        <v>1178</v>
      </c>
    </row>
    <row r="722" spans="1:38" ht="15" customHeight="1" x14ac:dyDescent="0.3">
      <c r="A722" s="30" t="s">
        <v>22</v>
      </c>
      <c r="B722" s="153" t="s">
        <v>23</v>
      </c>
      <c r="C722" s="107">
        <v>6</v>
      </c>
      <c r="D722" s="11" t="s">
        <v>24</v>
      </c>
      <c r="E722" s="114">
        <v>38596</v>
      </c>
      <c r="F722" s="12">
        <v>2005</v>
      </c>
      <c r="G722" s="142" t="s">
        <v>1802</v>
      </c>
      <c r="H722" s="162" t="s">
        <v>1803</v>
      </c>
      <c r="I722" s="12" t="s">
        <v>25</v>
      </c>
      <c r="J722" s="32" t="s">
        <v>26</v>
      </c>
      <c r="K722" s="197" t="s">
        <v>1194</v>
      </c>
      <c r="L722" s="137" t="s">
        <v>1564</v>
      </c>
      <c r="M722" s="137" t="s">
        <v>804</v>
      </c>
      <c r="N722" s="137"/>
      <c r="O722" s="93" t="s">
        <v>1804</v>
      </c>
      <c r="P722" s="138" t="s">
        <v>1805</v>
      </c>
      <c r="Q722" s="15" t="s">
        <v>282</v>
      </c>
      <c r="R722" s="132">
        <v>39650</v>
      </c>
      <c r="S722" s="16" t="s">
        <v>44</v>
      </c>
      <c r="T722" s="133">
        <v>39797</v>
      </c>
      <c r="U722" s="623"/>
      <c r="V722" s="624"/>
      <c r="W722" s="185"/>
      <c r="X722" s="7"/>
      <c r="Y722" s="7">
        <f t="shared" si="22"/>
        <v>0</v>
      </c>
      <c r="Z722" s="7"/>
      <c r="AA722" s="469"/>
      <c r="AB722" s="513" t="s">
        <v>586</v>
      </c>
      <c r="AC722" s="147"/>
      <c r="AD722" s="639">
        <v>0.5</v>
      </c>
      <c r="AE722" s="639"/>
      <c r="AF722" s="9">
        <f t="shared" si="23"/>
        <v>0.5</v>
      </c>
      <c r="AG722" s="183" t="s">
        <v>1099</v>
      </c>
      <c r="AH722" s="93"/>
      <c r="AI722" s="93" t="s">
        <v>1806</v>
      </c>
      <c r="AJ722" s="93"/>
      <c r="AK722" s="30" t="s">
        <v>1185</v>
      </c>
      <c r="AL722" s="93" t="s">
        <v>1178</v>
      </c>
    </row>
    <row r="723" spans="1:38" ht="15" customHeight="1" x14ac:dyDescent="0.3">
      <c r="A723" s="181" t="s">
        <v>22</v>
      </c>
      <c r="B723" s="167" t="s">
        <v>105</v>
      </c>
      <c r="C723" s="135">
        <v>18</v>
      </c>
      <c r="D723" s="11" t="s">
        <v>5936</v>
      </c>
      <c r="E723" s="168">
        <v>39507</v>
      </c>
      <c r="F723" s="136">
        <v>2008</v>
      </c>
      <c r="G723" s="178" t="s">
        <v>1807</v>
      </c>
      <c r="H723" s="204" t="s">
        <v>1808</v>
      </c>
      <c r="I723" s="33" t="s">
        <v>33</v>
      </c>
      <c r="J723" s="32" t="s">
        <v>26</v>
      </c>
      <c r="K723" s="138" t="s">
        <v>1708</v>
      </c>
      <c r="L723" s="138" t="s">
        <v>40</v>
      </c>
      <c r="M723" s="137" t="s">
        <v>804</v>
      </c>
      <c r="N723" s="137"/>
      <c r="O723" s="138" t="s">
        <v>1809</v>
      </c>
      <c r="P723" s="138" t="s">
        <v>5999</v>
      </c>
      <c r="Q723" s="138"/>
      <c r="R723" s="138"/>
      <c r="S723" s="138"/>
      <c r="T723" s="138"/>
      <c r="U723" s="138"/>
      <c r="V723" s="138"/>
      <c r="W723" s="201"/>
      <c r="X723" s="189"/>
      <c r="Y723" s="7">
        <f t="shared" si="22"/>
        <v>0</v>
      </c>
      <c r="Z723" s="189"/>
      <c r="AA723" s="469"/>
      <c r="AB723" s="564" t="s">
        <v>1073</v>
      </c>
      <c r="AC723" s="693"/>
      <c r="AD723" s="702">
        <v>0.5</v>
      </c>
      <c r="AE723" s="702"/>
      <c r="AF723" s="9">
        <f t="shared" si="23"/>
        <v>0.5</v>
      </c>
      <c r="AG723" s="138" t="s">
        <v>1810</v>
      </c>
      <c r="AH723" s="475"/>
      <c r="AI723" s="732" t="s">
        <v>1811</v>
      </c>
      <c r="AJ723" s="10"/>
      <c r="AK723" s="628" t="s">
        <v>1177</v>
      </c>
      <c r="AL723" s="628" t="s">
        <v>1178</v>
      </c>
    </row>
    <row r="724" spans="1:38" ht="15" customHeight="1" x14ac:dyDescent="0.3">
      <c r="A724" s="30" t="s">
        <v>920</v>
      </c>
      <c r="B724" s="145" t="s">
        <v>159</v>
      </c>
      <c r="C724" s="107">
        <v>2</v>
      </c>
      <c r="D724" s="11" t="s">
        <v>143</v>
      </c>
      <c r="E724" s="108">
        <v>38078</v>
      </c>
      <c r="F724" s="12">
        <v>2004</v>
      </c>
      <c r="G724" s="142"/>
      <c r="H724" s="162"/>
      <c r="I724" s="33" t="s">
        <v>33</v>
      </c>
      <c r="J724" s="30" t="s">
        <v>81</v>
      </c>
      <c r="K724" s="197" t="s">
        <v>1680</v>
      </c>
      <c r="L724" s="137" t="s">
        <v>40</v>
      </c>
      <c r="M724" s="137" t="s">
        <v>804</v>
      </c>
      <c r="N724" s="137"/>
      <c r="O724" s="93" t="s">
        <v>1812</v>
      </c>
      <c r="P724" s="138" t="s">
        <v>1813</v>
      </c>
      <c r="Q724" s="15" t="s">
        <v>282</v>
      </c>
      <c r="R724" s="132">
        <v>38492</v>
      </c>
      <c r="S724" s="92"/>
      <c r="T724" s="92"/>
      <c r="U724" s="623"/>
      <c r="V724" s="624"/>
      <c r="W724" s="185"/>
      <c r="X724" s="185"/>
      <c r="Y724" s="7">
        <f t="shared" si="22"/>
        <v>0</v>
      </c>
      <c r="Z724" s="185"/>
      <c r="AA724" s="469"/>
      <c r="AB724" s="579" t="s">
        <v>5975</v>
      </c>
      <c r="AC724" s="580"/>
      <c r="AD724" s="639">
        <v>0.5</v>
      </c>
      <c r="AE724" s="639"/>
      <c r="AF724" s="9">
        <f t="shared" si="23"/>
        <v>0.5</v>
      </c>
      <c r="AG724" s="183"/>
      <c r="AH724" s="93" t="s">
        <v>1304</v>
      </c>
      <c r="AI724" s="93" t="s">
        <v>1814</v>
      </c>
      <c r="AJ724" s="93" t="s">
        <v>309</v>
      </c>
      <c r="AK724" s="30" t="s">
        <v>1177</v>
      </c>
      <c r="AL724" s="93" t="s">
        <v>1178</v>
      </c>
    </row>
    <row r="725" spans="1:38" ht="15" customHeight="1" x14ac:dyDescent="0.3">
      <c r="A725" s="30" t="s">
        <v>22</v>
      </c>
      <c r="B725" s="112" t="s">
        <v>197</v>
      </c>
      <c r="C725" s="109">
        <v>1</v>
      </c>
      <c r="D725" s="12" t="s">
        <v>190</v>
      </c>
      <c r="E725" s="108">
        <v>37987</v>
      </c>
      <c r="F725" s="146">
        <v>2004</v>
      </c>
      <c r="G725" s="142" t="s">
        <v>1815</v>
      </c>
      <c r="H725" s="162" t="s">
        <v>1816</v>
      </c>
      <c r="I725" s="33" t="s">
        <v>33</v>
      </c>
      <c r="J725" s="32" t="s">
        <v>26</v>
      </c>
      <c r="K725" s="197" t="s">
        <v>1708</v>
      </c>
      <c r="L725" s="137" t="s">
        <v>1319</v>
      </c>
      <c r="M725" s="137" t="s">
        <v>804</v>
      </c>
      <c r="N725" s="137"/>
      <c r="O725" s="93" t="s">
        <v>1817</v>
      </c>
      <c r="P725" s="483" t="s">
        <v>1818</v>
      </c>
      <c r="Q725" s="15" t="s">
        <v>282</v>
      </c>
      <c r="R725" s="132">
        <v>38629</v>
      </c>
      <c r="S725" s="16" t="s">
        <v>44</v>
      </c>
      <c r="T725" s="133">
        <v>39045</v>
      </c>
      <c r="U725" s="623"/>
      <c r="V725" s="624"/>
      <c r="W725" s="185"/>
      <c r="X725" s="7"/>
      <c r="Y725" s="7">
        <f t="shared" si="22"/>
        <v>0</v>
      </c>
      <c r="Z725" s="7"/>
      <c r="AA725" s="469"/>
      <c r="AB725" s="513" t="s">
        <v>1027</v>
      </c>
      <c r="AC725" s="147"/>
      <c r="AD725" s="639">
        <v>1</v>
      </c>
      <c r="AE725" s="639"/>
      <c r="AF725" s="9">
        <f t="shared" si="23"/>
        <v>1</v>
      </c>
      <c r="AG725" s="183">
        <v>10</v>
      </c>
      <c r="AH725" s="93" t="s">
        <v>6000</v>
      </c>
      <c r="AI725" s="93" t="s">
        <v>1819</v>
      </c>
      <c r="AJ725" s="93" t="s">
        <v>309</v>
      </c>
      <c r="AK725" s="30" t="s">
        <v>1185</v>
      </c>
      <c r="AL725" s="93" t="s">
        <v>1175</v>
      </c>
    </row>
    <row r="726" spans="1:38" ht="15" customHeight="1" x14ac:dyDescent="0.3">
      <c r="A726" s="30" t="s">
        <v>140</v>
      </c>
      <c r="B726" s="145" t="s">
        <v>197</v>
      </c>
      <c r="C726" s="107">
        <v>2</v>
      </c>
      <c r="D726" s="12" t="s">
        <v>190</v>
      </c>
      <c r="E726" s="108">
        <v>38443</v>
      </c>
      <c r="F726" s="33">
        <v>2005</v>
      </c>
      <c r="G726" s="142" t="s">
        <v>1820</v>
      </c>
      <c r="H726" s="162" t="s">
        <v>1821</v>
      </c>
      <c r="I726" s="33" t="s">
        <v>33</v>
      </c>
      <c r="J726" s="30" t="s">
        <v>81</v>
      </c>
      <c r="K726" s="197" t="s">
        <v>141</v>
      </c>
      <c r="L726" s="137" t="s">
        <v>1049</v>
      </c>
      <c r="M726" s="137" t="s">
        <v>804</v>
      </c>
      <c r="N726" s="137"/>
      <c r="O726" s="93" t="s">
        <v>1822</v>
      </c>
      <c r="P726" s="138" t="s">
        <v>1823</v>
      </c>
      <c r="Q726" s="15" t="s">
        <v>35</v>
      </c>
      <c r="R726" s="132">
        <v>39129</v>
      </c>
      <c r="S726" s="16" t="s">
        <v>35</v>
      </c>
      <c r="T726" s="133">
        <v>39692</v>
      </c>
      <c r="U726" s="623"/>
      <c r="V726" s="624"/>
      <c r="W726" s="185"/>
      <c r="X726" s="7"/>
      <c r="Y726" s="7">
        <f t="shared" si="22"/>
        <v>0</v>
      </c>
      <c r="Z726" s="7"/>
      <c r="AA726" s="469"/>
      <c r="AB726" s="513" t="s">
        <v>1027</v>
      </c>
      <c r="AC726" s="147"/>
      <c r="AD726" s="639">
        <v>0.75</v>
      </c>
      <c r="AE726" s="639"/>
      <c r="AF726" s="9">
        <f t="shared" si="23"/>
        <v>0.75</v>
      </c>
      <c r="AG726" s="183" t="s">
        <v>1824</v>
      </c>
      <c r="AH726" s="93"/>
      <c r="AI726" s="93" t="s">
        <v>1825</v>
      </c>
      <c r="AJ726" s="93" t="s">
        <v>1188</v>
      </c>
      <c r="AK726" s="30" t="s">
        <v>1185</v>
      </c>
      <c r="AL726" s="93" t="s">
        <v>1178</v>
      </c>
    </row>
    <row r="727" spans="1:38" ht="15" customHeight="1" x14ac:dyDescent="0.3">
      <c r="A727" s="30" t="s">
        <v>22</v>
      </c>
      <c r="B727" s="88" t="s">
        <v>422</v>
      </c>
      <c r="C727" s="107">
        <v>3</v>
      </c>
      <c r="D727" s="12" t="s">
        <v>190</v>
      </c>
      <c r="E727" s="108">
        <v>37773</v>
      </c>
      <c r="F727" s="33">
        <v>2003</v>
      </c>
      <c r="G727" s="142" t="s">
        <v>1826</v>
      </c>
      <c r="H727" s="162" t="s">
        <v>1827</v>
      </c>
      <c r="I727" s="33" t="s">
        <v>33</v>
      </c>
      <c r="J727" s="32" t="s">
        <v>26</v>
      </c>
      <c r="K727" s="197" t="s">
        <v>1708</v>
      </c>
      <c r="L727" s="137" t="s">
        <v>40</v>
      </c>
      <c r="M727" s="137" t="s">
        <v>804</v>
      </c>
      <c r="N727" s="137"/>
      <c r="O727" s="93" t="s">
        <v>805</v>
      </c>
      <c r="P727" s="138" t="s">
        <v>1828</v>
      </c>
      <c r="Q727" s="93"/>
      <c r="R727" s="93"/>
      <c r="S727" s="93"/>
      <c r="T727" s="93"/>
      <c r="U727" s="93"/>
      <c r="V727" s="137"/>
      <c r="W727" s="185"/>
      <c r="X727" s="7"/>
      <c r="Y727" s="7">
        <f t="shared" si="22"/>
        <v>0</v>
      </c>
      <c r="Z727" s="7"/>
      <c r="AA727" s="469"/>
      <c r="AB727" s="513" t="s">
        <v>424</v>
      </c>
      <c r="AC727" s="563"/>
      <c r="AD727" s="665">
        <v>0.5</v>
      </c>
      <c r="AE727" s="665"/>
      <c r="AF727" s="9">
        <f t="shared" si="23"/>
        <v>0.5</v>
      </c>
      <c r="AG727" s="183"/>
      <c r="AH727" s="93"/>
      <c r="AI727" s="93" t="s">
        <v>1819</v>
      </c>
      <c r="AJ727" s="181" t="s">
        <v>1188</v>
      </c>
      <c r="AK727" s="30" t="s">
        <v>1177</v>
      </c>
      <c r="AL727" s="93" t="s">
        <v>1175</v>
      </c>
    </row>
    <row r="728" spans="1:38" ht="15" customHeight="1" x14ac:dyDescent="0.3">
      <c r="A728" s="30" t="s">
        <v>22</v>
      </c>
      <c r="B728" s="120" t="s">
        <v>1127</v>
      </c>
      <c r="C728" s="107" t="s">
        <v>1128</v>
      </c>
      <c r="D728" s="12" t="s">
        <v>190</v>
      </c>
      <c r="E728" s="108">
        <v>37622</v>
      </c>
      <c r="F728" s="93">
        <v>2003</v>
      </c>
      <c r="G728" s="142"/>
      <c r="H728" s="162"/>
      <c r="I728" s="33" t="s">
        <v>33</v>
      </c>
      <c r="J728" s="32" t="s">
        <v>26</v>
      </c>
      <c r="K728" s="138" t="s">
        <v>103</v>
      </c>
      <c r="L728" s="137" t="s">
        <v>40</v>
      </c>
      <c r="M728" s="137" t="s">
        <v>804</v>
      </c>
      <c r="N728" s="137"/>
      <c r="O728" s="138" t="s">
        <v>1829</v>
      </c>
      <c r="P728" s="138" t="s">
        <v>1830</v>
      </c>
      <c r="Q728" s="15" t="s">
        <v>282</v>
      </c>
      <c r="R728" s="91">
        <v>2004</v>
      </c>
      <c r="S728" s="16" t="s">
        <v>35</v>
      </c>
      <c r="T728" s="133">
        <v>38896</v>
      </c>
      <c r="U728" s="623" t="s">
        <v>1831</v>
      </c>
      <c r="V728" s="180">
        <v>39652</v>
      </c>
      <c r="W728" s="185"/>
      <c r="X728" s="7"/>
      <c r="Y728" s="7">
        <f t="shared" si="22"/>
        <v>0</v>
      </c>
      <c r="Z728" s="7"/>
      <c r="AA728" s="469"/>
      <c r="AB728" s="513" t="s">
        <v>505</v>
      </c>
      <c r="AC728" s="563"/>
      <c r="AD728" s="665">
        <v>1</v>
      </c>
      <c r="AE728" s="665"/>
      <c r="AF728" s="9">
        <f t="shared" si="23"/>
        <v>1</v>
      </c>
      <c r="AG728" s="705">
        <v>1666</v>
      </c>
      <c r="AH728" s="93" t="s">
        <v>1843</v>
      </c>
      <c r="AI728" s="93" t="s">
        <v>1832</v>
      </c>
      <c r="AJ728" s="93" t="s">
        <v>1833</v>
      </c>
      <c r="AK728" s="30" t="s">
        <v>1185</v>
      </c>
      <c r="AL728" s="93" t="s">
        <v>1175</v>
      </c>
    </row>
    <row r="729" spans="1:38" ht="15" customHeight="1" x14ac:dyDescent="0.3">
      <c r="A729" s="30" t="s">
        <v>22</v>
      </c>
      <c r="B729" s="120" t="s">
        <v>1127</v>
      </c>
      <c r="C729" s="107" t="s">
        <v>1128</v>
      </c>
      <c r="D729" s="12" t="s">
        <v>190</v>
      </c>
      <c r="E729" s="108">
        <v>37622</v>
      </c>
      <c r="F729" s="146">
        <v>2003</v>
      </c>
      <c r="G729" s="142"/>
      <c r="H729" s="162"/>
      <c r="I729" s="33" t="s">
        <v>33</v>
      </c>
      <c r="J729" s="32" t="s">
        <v>26</v>
      </c>
      <c r="K729" s="138" t="s">
        <v>103</v>
      </c>
      <c r="L729" s="137" t="s">
        <v>40</v>
      </c>
      <c r="M729" s="137" t="s">
        <v>804</v>
      </c>
      <c r="N729" s="137"/>
      <c r="O729" s="138" t="s">
        <v>1290</v>
      </c>
      <c r="P729" s="138" t="s">
        <v>1834</v>
      </c>
      <c r="Q729" s="15" t="s">
        <v>282</v>
      </c>
      <c r="R729" s="91">
        <v>2004</v>
      </c>
      <c r="S729" s="16" t="s">
        <v>35</v>
      </c>
      <c r="T729" s="133">
        <v>38896</v>
      </c>
      <c r="U729" s="623" t="s">
        <v>1831</v>
      </c>
      <c r="V729" s="180">
        <v>39652</v>
      </c>
      <c r="W729" s="185"/>
      <c r="X729" s="7"/>
      <c r="Y729" s="7">
        <f t="shared" si="22"/>
        <v>0</v>
      </c>
      <c r="Z729" s="7"/>
      <c r="AA729" s="469"/>
      <c r="AB729" s="513" t="s">
        <v>505</v>
      </c>
      <c r="AC729" s="147"/>
      <c r="AD729" s="639">
        <v>1</v>
      </c>
      <c r="AE729" s="639"/>
      <c r="AF729" s="9">
        <f t="shared" si="23"/>
        <v>1</v>
      </c>
      <c r="AG729" s="705">
        <v>1666</v>
      </c>
      <c r="AH729" s="93" t="s">
        <v>1843</v>
      </c>
      <c r="AI729" s="93" t="s">
        <v>1835</v>
      </c>
      <c r="AJ729" s="93" t="s">
        <v>309</v>
      </c>
      <c r="AK729" s="30" t="s">
        <v>1185</v>
      </c>
      <c r="AL729" s="93" t="s">
        <v>1175</v>
      </c>
    </row>
    <row r="730" spans="1:38" ht="15" customHeight="1" x14ac:dyDescent="0.3">
      <c r="A730" s="30" t="s">
        <v>22</v>
      </c>
      <c r="B730" s="120" t="s">
        <v>1127</v>
      </c>
      <c r="C730" s="107" t="s">
        <v>1128</v>
      </c>
      <c r="D730" s="12" t="s">
        <v>190</v>
      </c>
      <c r="E730" s="108">
        <v>37712</v>
      </c>
      <c r="F730" s="109">
        <v>2003</v>
      </c>
      <c r="G730" s="142"/>
      <c r="H730" s="162"/>
      <c r="I730" s="33" t="s">
        <v>33</v>
      </c>
      <c r="J730" s="32" t="s">
        <v>26</v>
      </c>
      <c r="K730" s="138" t="s">
        <v>103</v>
      </c>
      <c r="L730" s="137" t="s">
        <v>40</v>
      </c>
      <c r="M730" s="137" t="s">
        <v>804</v>
      </c>
      <c r="N730" s="137"/>
      <c r="O730" s="138" t="s">
        <v>1836</v>
      </c>
      <c r="P730" s="138" t="s">
        <v>1830</v>
      </c>
      <c r="Q730" s="15" t="s">
        <v>282</v>
      </c>
      <c r="R730" s="91">
        <v>2004</v>
      </c>
      <c r="S730" s="16" t="s">
        <v>35</v>
      </c>
      <c r="T730" s="133">
        <v>38896</v>
      </c>
      <c r="U730" s="623" t="s">
        <v>1831</v>
      </c>
      <c r="V730" s="180">
        <v>39652</v>
      </c>
      <c r="W730" s="185"/>
      <c r="X730" s="7"/>
      <c r="Y730" s="7">
        <f t="shared" si="22"/>
        <v>0</v>
      </c>
      <c r="Z730" s="7"/>
      <c r="AA730" s="469"/>
      <c r="AB730" s="513" t="s">
        <v>505</v>
      </c>
      <c r="AC730" s="563"/>
      <c r="AD730" s="665">
        <v>1</v>
      </c>
      <c r="AE730" s="665"/>
      <c r="AF730" s="9">
        <f t="shared" si="23"/>
        <v>1</v>
      </c>
      <c r="AG730" s="705">
        <v>1666</v>
      </c>
      <c r="AH730" s="93" t="s">
        <v>1843</v>
      </c>
      <c r="AI730" s="93" t="s">
        <v>1832</v>
      </c>
      <c r="AJ730" s="93" t="s">
        <v>309</v>
      </c>
      <c r="AK730" s="30" t="s">
        <v>1185</v>
      </c>
      <c r="AL730" s="93" t="s">
        <v>1175</v>
      </c>
    </row>
    <row r="731" spans="1:38" ht="15" customHeight="1" x14ac:dyDescent="0.3">
      <c r="A731" s="30" t="s">
        <v>22</v>
      </c>
      <c r="B731" s="120" t="s">
        <v>1127</v>
      </c>
      <c r="C731" s="107" t="s">
        <v>1837</v>
      </c>
      <c r="D731" s="12" t="s">
        <v>190</v>
      </c>
      <c r="E731" s="108">
        <v>37895</v>
      </c>
      <c r="F731" s="109">
        <v>2003</v>
      </c>
      <c r="G731" s="142"/>
      <c r="H731" s="162"/>
      <c r="I731" s="33" t="s">
        <v>33</v>
      </c>
      <c r="J731" s="32" t="s">
        <v>26</v>
      </c>
      <c r="K731" s="197" t="s">
        <v>1708</v>
      </c>
      <c r="L731" s="137" t="s">
        <v>40</v>
      </c>
      <c r="M731" s="137" t="s">
        <v>804</v>
      </c>
      <c r="N731" s="137"/>
      <c r="O731" s="137" t="s">
        <v>1838</v>
      </c>
      <c r="P731" s="138" t="s">
        <v>1577</v>
      </c>
      <c r="Q731" s="15" t="s">
        <v>282</v>
      </c>
      <c r="R731" s="91">
        <v>2004</v>
      </c>
      <c r="S731" s="16" t="s">
        <v>35</v>
      </c>
      <c r="T731" s="133">
        <v>38896</v>
      </c>
      <c r="U731" s="623" t="s">
        <v>1831</v>
      </c>
      <c r="V731" s="180">
        <v>39652</v>
      </c>
      <c r="W731" s="185"/>
      <c r="X731" s="7"/>
      <c r="Y731" s="7">
        <f t="shared" si="22"/>
        <v>0</v>
      </c>
      <c r="Z731" s="7"/>
      <c r="AA731" s="469"/>
      <c r="AB731" s="513" t="s">
        <v>505</v>
      </c>
      <c r="AC731" s="147"/>
      <c r="AD731" s="639">
        <v>1</v>
      </c>
      <c r="AE731" s="639"/>
      <c r="AF731" s="9">
        <f t="shared" si="23"/>
        <v>1</v>
      </c>
      <c r="AG731" s="183"/>
      <c r="AH731" s="93"/>
      <c r="AI731" s="93" t="s">
        <v>1832</v>
      </c>
      <c r="AJ731" s="181" t="s">
        <v>1188</v>
      </c>
      <c r="AK731" s="30" t="s">
        <v>1185</v>
      </c>
      <c r="AL731" s="93" t="s">
        <v>1175</v>
      </c>
    </row>
    <row r="732" spans="1:38" ht="15" customHeight="1" x14ac:dyDescent="0.3">
      <c r="A732" s="30" t="s">
        <v>22</v>
      </c>
      <c r="B732" s="112" t="s">
        <v>1550</v>
      </c>
      <c r="C732" s="109" t="s">
        <v>1839</v>
      </c>
      <c r="D732" s="12" t="s">
        <v>190</v>
      </c>
      <c r="E732" s="108">
        <v>37987</v>
      </c>
      <c r="F732" s="146">
        <v>2004</v>
      </c>
      <c r="G732" s="142" t="s">
        <v>1840</v>
      </c>
      <c r="H732" s="162"/>
      <c r="I732" s="33" t="s">
        <v>33</v>
      </c>
      <c r="J732" s="32" t="s">
        <v>26</v>
      </c>
      <c r="K732" s="138" t="s">
        <v>103</v>
      </c>
      <c r="L732" s="137" t="s">
        <v>40</v>
      </c>
      <c r="M732" s="137" t="s">
        <v>804</v>
      </c>
      <c r="N732" s="137"/>
      <c r="O732" s="93" t="s">
        <v>1841</v>
      </c>
      <c r="P732" s="138" t="s">
        <v>1842</v>
      </c>
      <c r="Q732" s="15" t="s">
        <v>282</v>
      </c>
      <c r="R732" s="132">
        <v>39050</v>
      </c>
      <c r="S732" s="16" t="s">
        <v>44</v>
      </c>
      <c r="T732" s="133">
        <v>39393</v>
      </c>
      <c r="U732" s="623"/>
      <c r="V732" s="624"/>
      <c r="W732" s="185"/>
      <c r="X732" s="7"/>
      <c r="Y732" s="7">
        <f t="shared" si="22"/>
        <v>0</v>
      </c>
      <c r="Z732" s="7"/>
      <c r="AA732" s="469"/>
      <c r="AB732" s="513" t="s">
        <v>505</v>
      </c>
      <c r="AC732" s="147"/>
      <c r="AD732" s="639">
        <v>0.5</v>
      </c>
      <c r="AE732" s="639"/>
      <c r="AF732" s="9">
        <f t="shared" si="23"/>
        <v>0.5</v>
      </c>
      <c r="AG732" s="183"/>
      <c r="AH732" s="93" t="s">
        <v>1843</v>
      </c>
      <c r="AI732" s="146" t="s">
        <v>1825</v>
      </c>
      <c r="AJ732" s="93" t="s">
        <v>309</v>
      </c>
      <c r="AK732" s="30" t="s">
        <v>1185</v>
      </c>
      <c r="AL732" s="93" t="s">
        <v>1175</v>
      </c>
    </row>
    <row r="733" spans="1:38" ht="15" customHeight="1" x14ac:dyDescent="0.3">
      <c r="A733" s="30" t="s">
        <v>22</v>
      </c>
      <c r="B733" s="112" t="s">
        <v>1550</v>
      </c>
      <c r="C733" s="109" t="s">
        <v>1839</v>
      </c>
      <c r="D733" s="12" t="s">
        <v>190</v>
      </c>
      <c r="E733" s="108">
        <v>37987</v>
      </c>
      <c r="F733" s="146">
        <v>2004</v>
      </c>
      <c r="G733" s="142" t="s">
        <v>1844</v>
      </c>
      <c r="H733" s="162"/>
      <c r="I733" s="33" t="s">
        <v>33</v>
      </c>
      <c r="J733" s="32" t="s">
        <v>26</v>
      </c>
      <c r="K733" s="138" t="s">
        <v>103</v>
      </c>
      <c r="L733" s="137" t="s">
        <v>40</v>
      </c>
      <c r="M733" s="137" t="s">
        <v>804</v>
      </c>
      <c r="N733" s="137"/>
      <c r="O733" s="93" t="s">
        <v>1841</v>
      </c>
      <c r="P733" s="138" t="s">
        <v>1845</v>
      </c>
      <c r="Q733" s="15" t="s">
        <v>282</v>
      </c>
      <c r="R733" s="132">
        <v>39050</v>
      </c>
      <c r="S733" s="16" t="s">
        <v>44</v>
      </c>
      <c r="T733" s="133">
        <v>39393</v>
      </c>
      <c r="U733" s="623"/>
      <c r="V733" s="624"/>
      <c r="W733" s="185"/>
      <c r="X733" s="7"/>
      <c r="Y733" s="7">
        <f t="shared" si="22"/>
        <v>0</v>
      </c>
      <c r="Z733" s="7"/>
      <c r="AA733" s="469"/>
      <c r="AB733" s="513" t="s">
        <v>505</v>
      </c>
      <c r="AC733" s="563"/>
      <c r="AD733" s="665">
        <v>0.5</v>
      </c>
      <c r="AE733" s="665"/>
      <c r="AF733" s="9">
        <f t="shared" si="23"/>
        <v>0.5</v>
      </c>
      <c r="AG733" s="183"/>
      <c r="AH733" s="93" t="s">
        <v>1843</v>
      </c>
      <c r="AI733" s="146" t="s">
        <v>1825</v>
      </c>
      <c r="AJ733" s="93" t="s">
        <v>309</v>
      </c>
      <c r="AK733" s="30" t="s">
        <v>1185</v>
      </c>
      <c r="AL733" s="93" t="s">
        <v>1175</v>
      </c>
    </row>
    <row r="734" spans="1:38" ht="15" customHeight="1" x14ac:dyDescent="0.3">
      <c r="A734" s="30" t="s">
        <v>22</v>
      </c>
      <c r="B734" s="112" t="s">
        <v>1550</v>
      </c>
      <c r="C734" s="107" t="s">
        <v>1839</v>
      </c>
      <c r="D734" s="12" t="s">
        <v>190</v>
      </c>
      <c r="E734" s="108">
        <v>38164</v>
      </c>
      <c r="F734" s="33">
        <v>2004</v>
      </c>
      <c r="G734" s="142" t="s">
        <v>1846</v>
      </c>
      <c r="H734" s="162"/>
      <c r="I734" s="33" t="s">
        <v>33</v>
      </c>
      <c r="J734" s="32" t="s">
        <v>26</v>
      </c>
      <c r="K734" s="138" t="s">
        <v>103</v>
      </c>
      <c r="L734" s="137" t="s">
        <v>40</v>
      </c>
      <c r="M734" s="137" t="s">
        <v>804</v>
      </c>
      <c r="N734" s="137"/>
      <c r="O734" s="93" t="s">
        <v>1841</v>
      </c>
      <c r="P734" s="138" t="s">
        <v>1847</v>
      </c>
      <c r="Q734" s="15" t="s">
        <v>282</v>
      </c>
      <c r="R734" s="132">
        <v>39050</v>
      </c>
      <c r="S734" s="16" t="s">
        <v>44</v>
      </c>
      <c r="T734" s="133">
        <v>39393</v>
      </c>
      <c r="U734" s="623"/>
      <c r="V734" s="624"/>
      <c r="W734" s="185"/>
      <c r="X734" s="7"/>
      <c r="Y734" s="7">
        <f t="shared" si="22"/>
        <v>0</v>
      </c>
      <c r="Z734" s="7"/>
      <c r="AA734" s="469"/>
      <c r="AB734" s="513" t="s">
        <v>505</v>
      </c>
      <c r="AC734" s="563"/>
      <c r="AD734" s="665">
        <v>0.5</v>
      </c>
      <c r="AE734" s="665"/>
      <c r="AF734" s="9">
        <f t="shared" si="23"/>
        <v>0.5</v>
      </c>
      <c r="AG734" s="183"/>
      <c r="AH734" s="93" t="s">
        <v>1843</v>
      </c>
      <c r="AI734" s="93" t="s">
        <v>1825</v>
      </c>
      <c r="AJ734" s="93" t="s">
        <v>309</v>
      </c>
      <c r="AK734" s="30" t="s">
        <v>1185</v>
      </c>
      <c r="AL734" s="93" t="s">
        <v>1175</v>
      </c>
    </row>
    <row r="735" spans="1:38" ht="15" customHeight="1" x14ac:dyDescent="0.3">
      <c r="A735" s="30" t="s">
        <v>22</v>
      </c>
      <c r="B735" s="112" t="s">
        <v>1550</v>
      </c>
      <c r="C735" s="107" t="s">
        <v>1839</v>
      </c>
      <c r="D735" s="12" t="s">
        <v>190</v>
      </c>
      <c r="E735" s="108">
        <v>37987</v>
      </c>
      <c r="F735" s="146">
        <v>2004</v>
      </c>
      <c r="G735" s="142" t="s">
        <v>1848</v>
      </c>
      <c r="H735" s="162"/>
      <c r="I735" s="33" t="s">
        <v>33</v>
      </c>
      <c r="J735" s="32" t="s">
        <v>26</v>
      </c>
      <c r="K735" s="138" t="s">
        <v>103</v>
      </c>
      <c r="L735" s="137" t="s">
        <v>40</v>
      </c>
      <c r="M735" s="137" t="s">
        <v>804</v>
      </c>
      <c r="N735" s="137"/>
      <c r="O735" s="93" t="s">
        <v>1841</v>
      </c>
      <c r="P735" s="138" t="s">
        <v>1847</v>
      </c>
      <c r="Q735" s="15" t="s">
        <v>282</v>
      </c>
      <c r="R735" s="132">
        <v>39050</v>
      </c>
      <c r="S735" s="16" t="s">
        <v>44</v>
      </c>
      <c r="T735" s="133">
        <v>39393</v>
      </c>
      <c r="U735" s="623"/>
      <c r="V735" s="624"/>
      <c r="W735" s="185"/>
      <c r="X735" s="7"/>
      <c r="Y735" s="7">
        <f t="shared" si="22"/>
        <v>0</v>
      </c>
      <c r="Z735" s="7"/>
      <c r="AA735" s="469"/>
      <c r="AB735" s="513" t="s">
        <v>505</v>
      </c>
      <c r="AC735" s="147"/>
      <c r="AD735" s="639">
        <v>0.5</v>
      </c>
      <c r="AE735" s="639"/>
      <c r="AF735" s="9">
        <f t="shared" si="23"/>
        <v>0.5</v>
      </c>
      <c r="AG735" s="183"/>
      <c r="AH735" s="93" t="s">
        <v>1843</v>
      </c>
      <c r="AI735" s="93" t="s">
        <v>1825</v>
      </c>
      <c r="AJ735" s="93" t="s">
        <v>309</v>
      </c>
      <c r="AK735" s="30" t="s">
        <v>1185</v>
      </c>
      <c r="AL735" s="93" t="s">
        <v>1175</v>
      </c>
    </row>
    <row r="736" spans="1:38" ht="15" customHeight="1" x14ac:dyDescent="0.3">
      <c r="A736" s="30" t="s">
        <v>22</v>
      </c>
      <c r="B736" s="112" t="s">
        <v>1550</v>
      </c>
      <c r="C736" s="109" t="s">
        <v>1839</v>
      </c>
      <c r="D736" s="12" t="s">
        <v>190</v>
      </c>
      <c r="E736" s="108">
        <v>37987</v>
      </c>
      <c r="F736" s="146">
        <v>2004</v>
      </c>
      <c r="G736" s="142" t="s">
        <v>1849</v>
      </c>
      <c r="H736" s="162"/>
      <c r="I736" s="33" t="s">
        <v>33</v>
      </c>
      <c r="J736" s="32" t="s">
        <v>26</v>
      </c>
      <c r="K736" s="138" t="s">
        <v>103</v>
      </c>
      <c r="L736" s="137" t="s">
        <v>40</v>
      </c>
      <c r="M736" s="137" t="s">
        <v>804</v>
      </c>
      <c r="N736" s="137"/>
      <c r="O736" s="137" t="s">
        <v>1850</v>
      </c>
      <c r="P736" s="138" t="s">
        <v>1847</v>
      </c>
      <c r="Q736" s="15" t="s">
        <v>282</v>
      </c>
      <c r="R736" s="132">
        <v>39050</v>
      </c>
      <c r="S736" s="16" t="s">
        <v>44</v>
      </c>
      <c r="T736" s="133">
        <v>39393</v>
      </c>
      <c r="U736" s="623"/>
      <c r="V736" s="624"/>
      <c r="W736" s="185"/>
      <c r="X736" s="7"/>
      <c r="Y736" s="7">
        <f t="shared" si="22"/>
        <v>0</v>
      </c>
      <c r="Z736" s="7"/>
      <c r="AA736" s="469"/>
      <c r="AB736" s="513" t="s">
        <v>505</v>
      </c>
      <c r="AC736" s="147"/>
      <c r="AD736" s="639">
        <v>0.5</v>
      </c>
      <c r="AE736" s="639"/>
      <c r="AF736" s="9">
        <f t="shared" si="23"/>
        <v>0.5</v>
      </c>
      <c r="AG736" s="183"/>
      <c r="AH736" s="93" t="s">
        <v>1843</v>
      </c>
      <c r="AI736" s="93" t="s">
        <v>1825</v>
      </c>
      <c r="AJ736" s="93" t="s">
        <v>309</v>
      </c>
      <c r="AK736" s="30" t="s">
        <v>1185</v>
      </c>
      <c r="AL736" s="93" t="s">
        <v>1175</v>
      </c>
    </row>
    <row r="737" spans="1:38" ht="15" customHeight="1" x14ac:dyDescent="0.3">
      <c r="A737" s="30" t="s">
        <v>22</v>
      </c>
      <c r="B737" s="145" t="s">
        <v>211</v>
      </c>
      <c r="C737" s="107">
        <v>2</v>
      </c>
      <c r="D737" s="12" t="s">
        <v>190</v>
      </c>
      <c r="E737" s="108">
        <v>37590</v>
      </c>
      <c r="F737" s="33">
        <v>2002</v>
      </c>
      <c r="G737" s="142" t="s">
        <v>1851</v>
      </c>
      <c r="H737" s="162" t="s">
        <v>1852</v>
      </c>
      <c r="I737" s="57" t="s">
        <v>6176</v>
      </c>
      <c r="J737" s="30" t="s">
        <v>67</v>
      </c>
      <c r="K737" s="197" t="s">
        <v>1612</v>
      </c>
      <c r="L737" s="137" t="s">
        <v>40</v>
      </c>
      <c r="M737" s="137" t="s">
        <v>804</v>
      </c>
      <c r="N737" s="137"/>
      <c r="O737" s="93" t="s">
        <v>1853</v>
      </c>
      <c r="P737" s="138" t="s">
        <v>1854</v>
      </c>
      <c r="Q737" s="15" t="s">
        <v>282</v>
      </c>
      <c r="R737" s="132">
        <v>39600</v>
      </c>
      <c r="S737" s="16" t="s">
        <v>44</v>
      </c>
      <c r="T737" s="133">
        <v>39742</v>
      </c>
      <c r="U737" s="623"/>
      <c r="V737" s="624"/>
      <c r="W737" s="185"/>
      <c r="X737" s="7"/>
      <c r="Y737" s="7">
        <f t="shared" si="22"/>
        <v>0</v>
      </c>
      <c r="Z737" s="7"/>
      <c r="AA737" s="469"/>
      <c r="AB737" s="513" t="s">
        <v>660</v>
      </c>
      <c r="AC737" s="147"/>
      <c r="AD737" s="639">
        <v>0.5</v>
      </c>
      <c r="AE737" s="639"/>
      <c r="AF737" s="9">
        <f t="shared" si="23"/>
        <v>0.5</v>
      </c>
      <c r="AG737" s="656"/>
      <c r="AH737" s="93"/>
      <c r="AI737" s="93" t="s">
        <v>1855</v>
      </c>
      <c r="AJ737" s="93" t="s">
        <v>1188</v>
      </c>
      <c r="AK737" s="30" t="s">
        <v>1185</v>
      </c>
      <c r="AL737" s="93" t="s">
        <v>1178</v>
      </c>
    </row>
    <row r="738" spans="1:38" ht="15" customHeight="1" x14ac:dyDescent="0.3">
      <c r="A738" s="30" t="s">
        <v>22</v>
      </c>
      <c r="B738" s="145" t="s">
        <v>694</v>
      </c>
      <c r="C738" s="107" t="s">
        <v>1039</v>
      </c>
      <c r="D738" s="12" t="s">
        <v>190</v>
      </c>
      <c r="E738" s="108">
        <v>37377</v>
      </c>
      <c r="F738" s="33">
        <v>2002</v>
      </c>
      <c r="G738" s="142"/>
      <c r="H738" s="162"/>
      <c r="I738" s="12" t="s">
        <v>25</v>
      </c>
      <c r="J738" s="32" t="s">
        <v>26</v>
      </c>
      <c r="K738" s="197" t="s">
        <v>1194</v>
      </c>
      <c r="L738" s="137" t="s">
        <v>40</v>
      </c>
      <c r="M738" s="137" t="s">
        <v>804</v>
      </c>
      <c r="N738" s="137"/>
      <c r="O738" s="93" t="s">
        <v>1856</v>
      </c>
      <c r="P738" s="647" t="s">
        <v>1857</v>
      </c>
      <c r="Q738" s="15" t="s">
        <v>282</v>
      </c>
      <c r="R738" s="132">
        <v>38422</v>
      </c>
      <c r="S738" s="16" t="s">
        <v>44</v>
      </c>
      <c r="T738" s="133">
        <v>38540</v>
      </c>
      <c r="U738" s="623"/>
      <c r="V738" s="624"/>
      <c r="W738" s="185"/>
      <c r="X738" s="7"/>
      <c r="Y738" s="7">
        <f t="shared" si="22"/>
        <v>0</v>
      </c>
      <c r="Z738" s="7"/>
      <c r="AA738" s="469"/>
      <c r="AB738" s="604" t="s">
        <v>6081</v>
      </c>
      <c r="AC738" s="163"/>
      <c r="AD738" s="639">
        <v>0.5</v>
      </c>
      <c r="AE738" s="639"/>
      <c r="AF738" s="9">
        <f t="shared" si="23"/>
        <v>0.5</v>
      </c>
      <c r="AG738" s="183">
        <v>6.5</v>
      </c>
      <c r="AH738" s="93"/>
      <c r="AI738" s="93" t="s">
        <v>1858</v>
      </c>
      <c r="AJ738" s="93" t="s">
        <v>309</v>
      </c>
      <c r="AK738" s="30" t="s">
        <v>1185</v>
      </c>
      <c r="AL738" s="93" t="s">
        <v>1178</v>
      </c>
    </row>
    <row r="739" spans="1:38" ht="15" customHeight="1" x14ac:dyDescent="0.3">
      <c r="A739" s="30" t="s">
        <v>22</v>
      </c>
      <c r="B739" s="112" t="s">
        <v>197</v>
      </c>
      <c r="C739" s="107">
        <v>1</v>
      </c>
      <c r="D739" s="12" t="s">
        <v>190</v>
      </c>
      <c r="E739" s="108">
        <v>36526</v>
      </c>
      <c r="F739" s="146">
        <v>2000</v>
      </c>
      <c r="G739" s="142" t="s">
        <v>1859</v>
      </c>
      <c r="H739" s="162" t="s">
        <v>1860</v>
      </c>
      <c r="I739" s="57" t="s">
        <v>6176</v>
      </c>
      <c r="J739" s="30" t="s">
        <v>67</v>
      </c>
      <c r="K739" s="197" t="s">
        <v>1612</v>
      </c>
      <c r="L739" s="137" t="s">
        <v>1319</v>
      </c>
      <c r="M739" s="137" t="s">
        <v>804</v>
      </c>
      <c r="N739" s="137"/>
      <c r="O739" s="93" t="s">
        <v>1861</v>
      </c>
      <c r="P739" s="138" t="s">
        <v>1862</v>
      </c>
      <c r="Q739" s="15" t="s">
        <v>282</v>
      </c>
      <c r="R739" s="132">
        <v>38748</v>
      </c>
      <c r="S739" s="16" t="s">
        <v>44</v>
      </c>
      <c r="T739" s="133">
        <v>39262</v>
      </c>
      <c r="U739" s="623"/>
      <c r="V739" s="624"/>
      <c r="W739" s="185"/>
      <c r="X739" s="7"/>
      <c r="Y739" s="7">
        <f t="shared" si="22"/>
        <v>0</v>
      </c>
      <c r="Z739" s="7"/>
      <c r="AA739" s="469"/>
      <c r="AB739" s="513" t="s">
        <v>1027</v>
      </c>
      <c r="AC739" s="147"/>
      <c r="AD739" s="639">
        <v>0.5</v>
      </c>
      <c r="AE739" s="639"/>
      <c r="AF739" s="9">
        <f t="shared" si="23"/>
        <v>0.5</v>
      </c>
      <c r="AG739" s="183">
        <v>7</v>
      </c>
      <c r="AH739" s="93" t="s">
        <v>1863</v>
      </c>
      <c r="AI739" s="93" t="s">
        <v>1864</v>
      </c>
      <c r="AJ739" s="93" t="s">
        <v>309</v>
      </c>
      <c r="AK739" s="30" t="s">
        <v>1185</v>
      </c>
      <c r="AL739" s="93" t="s">
        <v>1178</v>
      </c>
    </row>
    <row r="740" spans="1:38" ht="15" customHeight="1" x14ac:dyDescent="0.3">
      <c r="A740" s="30" t="s">
        <v>22</v>
      </c>
      <c r="B740" s="145" t="s">
        <v>105</v>
      </c>
      <c r="C740" s="109">
        <v>20</v>
      </c>
      <c r="D740" s="11" t="s">
        <v>5936</v>
      </c>
      <c r="E740" s="108">
        <v>37987</v>
      </c>
      <c r="F740" s="93">
        <v>2004</v>
      </c>
      <c r="G740" s="142" t="s">
        <v>1865</v>
      </c>
      <c r="H740" s="162" t="s">
        <v>1866</v>
      </c>
      <c r="I740" s="33" t="s">
        <v>33</v>
      </c>
      <c r="J740" s="30" t="s">
        <v>81</v>
      </c>
      <c r="K740" s="197" t="s">
        <v>71</v>
      </c>
      <c r="L740" s="137" t="s">
        <v>1319</v>
      </c>
      <c r="M740" s="137" t="s">
        <v>804</v>
      </c>
      <c r="N740" s="137"/>
      <c r="O740" s="93" t="s">
        <v>1867</v>
      </c>
      <c r="P740" s="200" t="s">
        <v>1868</v>
      </c>
      <c r="Q740" s="15" t="s">
        <v>282</v>
      </c>
      <c r="R740" s="132">
        <v>38635</v>
      </c>
      <c r="S740" s="16" t="s">
        <v>44</v>
      </c>
      <c r="T740" s="133">
        <v>39688</v>
      </c>
      <c r="U740" s="623"/>
      <c r="V740" s="624"/>
      <c r="W740" s="185"/>
      <c r="X740" s="7"/>
      <c r="Y740" s="7">
        <f t="shared" si="22"/>
        <v>0</v>
      </c>
      <c r="Z740" s="7"/>
      <c r="AA740" s="469"/>
      <c r="AB740" s="513" t="s">
        <v>1231</v>
      </c>
      <c r="AC740" s="563"/>
      <c r="AD740" s="665">
        <v>0.5</v>
      </c>
      <c r="AE740" s="665"/>
      <c r="AF740" s="9">
        <f t="shared" si="23"/>
        <v>0.5</v>
      </c>
      <c r="AG740" s="183" t="s">
        <v>1192</v>
      </c>
      <c r="AH740" s="93"/>
      <c r="AI740" s="146" t="s">
        <v>1698</v>
      </c>
      <c r="AJ740" s="93" t="s">
        <v>309</v>
      </c>
      <c r="AK740" s="30" t="s">
        <v>1185</v>
      </c>
      <c r="AL740" s="93" t="s">
        <v>1178</v>
      </c>
    </row>
    <row r="741" spans="1:38" ht="15" customHeight="1" x14ac:dyDescent="0.3">
      <c r="A741" s="30" t="s">
        <v>858</v>
      </c>
      <c r="B741" s="113" t="s">
        <v>506</v>
      </c>
      <c r="C741" s="109">
        <v>2</v>
      </c>
      <c r="D741" s="11" t="s">
        <v>225</v>
      </c>
      <c r="E741" s="156">
        <v>38822</v>
      </c>
      <c r="F741" s="33">
        <v>2006</v>
      </c>
      <c r="G741" s="157" t="s">
        <v>1869</v>
      </c>
      <c r="H741" s="162"/>
      <c r="I741" s="33" t="s">
        <v>33</v>
      </c>
      <c r="J741" s="30" t="s">
        <v>81</v>
      </c>
      <c r="K741" s="138" t="s">
        <v>141</v>
      </c>
      <c r="L741" s="93" t="s">
        <v>1049</v>
      </c>
      <c r="M741" s="137" t="s">
        <v>804</v>
      </c>
      <c r="N741" s="137"/>
      <c r="O741" s="93" t="s">
        <v>1870</v>
      </c>
      <c r="P741" s="138" t="s">
        <v>1871</v>
      </c>
      <c r="Q741" s="15" t="s">
        <v>282</v>
      </c>
      <c r="R741" s="179">
        <v>39384</v>
      </c>
      <c r="S741" s="16" t="s">
        <v>44</v>
      </c>
      <c r="T741" s="92">
        <v>2007</v>
      </c>
      <c r="U741" s="623"/>
      <c r="V741" s="623"/>
      <c r="W741" s="7"/>
      <c r="X741" s="185"/>
      <c r="Y741" s="7">
        <f t="shared" si="22"/>
        <v>0</v>
      </c>
      <c r="Z741" s="185"/>
      <c r="AA741" s="469"/>
      <c r="AB741" s="564" t="s">
        <v>1073</v>
      </c>
      <c r="AC741" s="693"/>
      <c r="AD741" s="639">
        <v>0.5</v>
      </c>
      <c r="AE741" s="639"/>
      <c r="AF741" s="9">
        <f t="shared" si="23"/>
        <v>0.5</v>
      </c>
      <c r="AG741" s="183" t="s">
        <v>656</v>
      </c>
      <c r="AH741" s="93"/>
      <c r="AI741" s="93" t="s">
        <v>1814</v>
      </c>
      <c r="AJ741" s="93" t="s">
        <v>1188</v>
      </c>
      <c r="AK741" s="30" t="s">
        <v>1185</v>
      </c>
      <c r="AL741" s="146" t="s">
        <v>1178</v>
      </c>
    </row>
    <row r="742" spans="1:38" ht="15" customHeight="1" x14ac:dyDescent="0.3">
      <c r="A742" s="30" t="s">
        <v>22</v>
      </c>
      <c r="B742" s="154" t="s">
        <v>197</v>
      </c>
      <c r="C742" s="107">
        <v>3</v>
      </c>
      <c r="D742" s="12" t="s">
        <v>190</v>
      </c>
      <c r="E742" s="114">
        <v>38657</v>
      </c>
      <c r="F742" s="33">
        <v>2005</v>
      </c>
      <c r="G742" s="142"/>
      <c r="H742" s="162" t="s">
        <v>1872</v>
      </c>
      <c r="I742" s="30" t="s">
        <v>38</v>
      </c>
      <c r="J742" s="32" t="s">
        <v>26</v>
      </c>
      <c r="K742" s="197" t="s">
        <v>111</v>
      </c>
      <c r="L742" s="137" t="s">
        <v>40</v>
      </c>
      <c r="M742" s="137" t="s">
        <v>804</v>
      </c>
      <c r="N742" s="137"/>
      <c r="O742" s="93" t="s">
        <v>1873</v>
      </c>
      <c r="P742" s="138" t="s">
        <v>1874</v>
      </c>
      <c r="Q742" s="15" t="s">
        <v>282</v>
      </c>
      <c r="R742" s="132">
        <v>39596</v>
      </c>
      <c r="S742" s="16" t="s">
        <v>44</v>
      </c>
      <c r="T742" s="133">
        <v>39870</v>
      </c>
      <c r="U742" s="623"/>
      <c r="V742" s="624"/>
      <c r="W742" s="185"/>
      <c r="X742" s="7"/>
      <c r="Y742" s="7">
        <f t="shared" si="22"/>
        <v>0</v>
      </c>
      <c r="Z742" s="7"/>
      <c r="AA742" s="469"/>
      <c r="AB742" s="513" t="s">
        <v>1027</v>
      </c>
      <c r="AC742" s="563"/>
      <c r="AD742" s="665">
        <v>0.5</v>
      </c>
      <c r="AE742" s="665"/>
      <c r="AF742" s="9">
        <f t="shared" si="23"/>
        <v>0.5</v>
      </c>
      <c r="AG742" s="183"/>
      <c r="AH742" s="93"/>
      <c r="AI742" s="93" t="s">
        <v>1875</v>
      </c>
      <c r="AJ742" s="93" t="s">
        <v>1188</v>
      </c>
      <c r="AK742" s="30" t="s">
        <v>1185</v>
      </c>
      <c r="AL742" s="93" t="s">
        <v>1178</v>
      </c>
    </row>
    <row r="743" spans="1:38" ht="15" customHeight="1" x14ac:dyDescent="0.3">
      <c r="A743" s="30" t="s">
        <v>22</v>
      </c>
      <c r="B743" s="112" t="s">
        <v>105</v>
      </c>
      <c r="C743" s="109">
        <v>6</v>
      </c>
      <c r="D743" s="11" t="s">
        <v>5936</v>
      </c>
      <c r="E743" s="108">
        <v>36595</v>
      </c>
      <c r="F743" s="12">
        <v>2000</v>
      </c>
      <c r="G743" s="142" t="s">
        <v>1876</v>
      </c>
      <c r="H743" s="162" t="s">
        <v>1877</v>
      </c>
      <c r="I743" s="33" t="s">
        <v>33</v>
      </c>
      <c r="J743" s="32" t="s">
        <v>26</v>
      </c>
      <c r="K743" s="197" t="s">
        <v>111</v>
      </c>
      <c r="L743" s="137" t="s">
        <v>40</v>
      </c>
      <c r="M743" s="137" t="s">
        <v>804</v>
      </c>
      <c r="N743" s="137"/>
      <c r="O743" s="93" t="s">
        <v>1878</v>
      </c>
      <c r="P743" s="200" t="s">
        <v>1879</v>
      </c>
      <c r="Q743" s="15" t="s">
        <v>282</v>
      </c>
      <c r="R743" s="132">
        <v>38317</v>
      </c>
      <c r="S743" s="16" t="s">
        <v>44</v>
      </c>
      <c r="T743" s="133">
        <v>39233</v>
      </c>
      <c r="U743" s="623"/>
      <c r="V743" s="624"/>
      <c r="W743" s="185"/>
      <c r="X743" s="7"/>
      <c r="Y743" s="7">
        <f t="shared" si="22"/>
        <v>0</v>
      </c>
      <c r="Z743" s="7"/>
      <c r="AA743" s="469"/>
      <c r="AB743" s="513" t="s">
        <v>1231</v>
      </c>
      <c r="AC743" s="563"/>
      <c r="AD743" s="665">
        <v>0.5</v>
      </c>
      <c r="AE743" s="665"/>
      <c r="AF743" s="9">
        <f t="shared" si="23"/>
        <v>0.5</v>
      </c>
      <c r="AG743" s="183" t="s">
        <v>1192</v>
      </c>
      <c r="AH743" s="93" t="s">
        <v>1608</v>
      </c>
      <c r="AI743" s="146" t="s">
        <v>1825</v>
      </c>
      <c r="AJ743" s="93" t="s">
        <v>309</v>
      </c>
      <c r="AK743" s="30" t="s">
        <v>1185</v>
      </c>
      <c r="AL743" s="93" t="s">
        <v>1178</v>
      </c>
    </row>
    <row r="744" spans="1:38" ht="15" customHeight="1" x14ac:dyDescent="0.3">
      <c r="A744" s="30" t="s">
        <v>22</v>
      </c>
      <c r="B744" s="120" t="s">
        <v>105</v>
      </c>
      <c r="C744" s="107">
        <v>1</v>
      </c>
      <c r="D744" s="11" t="s">
        <v>5936</v>
      </c>
      <c r="E744" s="108">
        <v>36698</v>
      </c>
      <c r="F744" s="30">
        <v>2000</v>
      </c>
      <c r="G744" s="142" t="s">
        <v>369</v>
      </c>
      <c r="H744" s="162"/>
      <c r="I744" s="33" t="s">
        <v>33</v>
      </c>
      <c r="J744" s="32" t="s">
        <v>26</v>
      </c>
      <c r="K744" s="197" t="s">
        <v>111</v>
      </c>
      <c r="L744" s="137" t="s">
        <v>40</v>
      </c>
      <c r="M744" s="137" t="s">
        <v>804</v>
      </c>
      <c r="N744" s="137"/>
      <c r="O744" s="93" t="s">
        <v>1881</v>
      </c>
      <c r="P744" s="138" t="s">
        <v>1882</v>
      </c>
      <c r="Q744" s="15" t="s">
        <v>282</v>
      </c>
      <c r="R744" s="132">
        <v>38544</v>
      </c>
      <c r="S744" s="16" t="s">
        <v>44</v>
      </c>
      <c r="T744" s="133">
        <v>39281</v>
      </c>
      <c r="U744" s="623"/>
      <c r="V744" s="624"/>
      <c r="W744" s="185"/>
      <c r="X744" s="7"/>
      <c r="Y744" s="7">
        <f t="shared" si="22"/>
        <v>0</v>
      </c>
      <c r="Z744" s="7"/>
      <c r="AA744" s="469"/>
      <c r="AB744" s="513" t="s">
        <v>1231</v>
      </c>
      <c r="AC744" s="147"/>
      <c r="AD744" s="639">
        <v>0.5</v>
      </c>
      <c r="AE744" s="639"/>
      <c r="AF744" s="9">
        <f t="shared" si="23"/>
        <v>0.5</v>
      </c>
      <c r="AG744" s="183" t="s">
        <v>1192</v>
      </c>
      <c r="AH744" s="93" t="s">
        <v>1880</v>
      </c>
      <c r="AI744" s="93" t="s">
        <v>1875</v>
      </c>
      <c r="AJ744" s="93" t="s">
        <v>1188</v>
      </c>
      <c r="AK744" s="30" t="s">
        <v>1185</v>
      </c>
      <c r="AL744" s="93" t="s">
        <v>1178</v>
      </c>
    </row>
    <row r="745" spans="1:38" ht="15" customHeight="1" x14ac:dyDescent="0.3">
      <c r="A745" s="30" t="s">
        <v>22</v>
      </c>
      <c r="B745" s="153" t="s">
        <v>105</v>
      </c>
      <c r="C745" s="107">
        <v>1</v>
      </c>
      <c r="D745" s="11" t="s">
        <v>5936</v>
      </c>
      <c r="E745" s="108">
        <v>37376</v>
      </c>
      <c r="F745" s="12">
        <v>2002</v>
      </c>
      <c r="G745" s="142" t="s">
        <v>1883</v>
      </c>
      <c r="H745" s="162" t="s">
        <v>1884</v>
      </c>
      <c r="I745" s="33" t="s">
        <v>33</v>
      </c>
      <c r="J745" s="32" t="s">
        <v>191</v>
      </c>
      <c r="K745" s="197" t="s">
        <v>1173</v>
      </c>
      <c r="L745" s="137" t="s">
        <v>40</v>
      </c>
      <c r="M745" s="137" t="s">
        <v>804</v>
      </c>
      <c r="N745" s="137"/>
      <c r="O745" s="93" t="s">
        <v>1885</v>
      </c>
      <c r="P745" s="138" t="s">
        <v>1886</v>
      </c>
      <c r="Q745" s="15" t="s">
        <v>282</v>
      </c>
      <c r="R745" s="132">
        <v>38649</v>
      </c>
      <c r="S745" s="16" t="s">
        <v>44</v>
      </c>
      <c r="T745" s="133">
        <v>39144</v>
      </c>
      <c r="U745" s="623"/>
      <c r="V745" s="624"/>
      <c r="W745" s="185"/>
      <c r="X745" s="7"/>
      <c r="Y745" s="7">
        <f t="shared" si="22"/>
        <v>0</v>
      </c>
      <c r="Z745" s="7"/>
      <c r="AA745" s="469"/>
      <c r="AB745" s="513" t="s">
        <v>1231</v>
      </c>
      <c r="AC745" s="147"/>
      <c r="AD745" s="639">
        <v>0.5</v>
      </c>
      <c r="AE745" s="639"/>
      <c r="AF745" s="9">
        <f t="shared" si="23"/>
        <v>0.5</v>
      </c>
      <c r="AG745" s="183" t="s">
        <v>1887</v>
      </c>
      <c r="AH745" s="93"/>
      <c r="AI745" s="93" t="s">
        <v>1888</v>
      </c>
      <c r="AJ745" s="93" t="s">
        <v>309</v>
      </c>
      <c r="AK745" s="30" t="s">
        <v>1185</v>
      </c>
      <c r="AL745" s="93" t="s">
        <v>1175</v>
      </c>
    </row>
    <row r="746" spans="1:38" ht="15" customHeight="1" x14ac:dyDescent="0.3">
      <c r="A746" s="30" t="s">
        <v>22</v>
      </c>
      <c r="B746" s="153" t="s">
        <v>105</v>
      </c>
      <c r="C746" s="109">
        <v>1</v>
      </c>
      <c r="D746" s="11" t="s">
        <v>5936</v>
      </c>
      <c r="E746" s="108">
        <v>37376</v>
      </c>
      <c r="F746" s="33">
        <v>2002</v>
      </c>
      <c r="G746" s="142" t="s">
        <v>1883</v>
      </c>
      <c r="H746" s="162" t="s">
        <v>1884</v>
      </c>
      <c r="I746" s="33" t="s">
        <v>33</v>
      </c>
      <c r="J746" s="32" t="s">
        <v>191</v>
      </c>
      <c r="K746" s="197" t="s">
        <v>1173</v>
      </c>
      <c r="L746" s="137" t="s">
        <v>40</v>
      </c>
      <c r="M746" s="137" t="s">
        <v>804</v>
      </c>
      <c r="N746" s="238"/>
      <c r="O746" s="146" t="s">
        <v>1885</v>
      </c>
      <c r="P746" s="138" t="s">
        <v>1886</v>
      </c>
      <c r="Q746" s="15" t="s">
        <v>282</v>
      </c>
      <c r="R746" s="132">
        <v>38649</v>
      </c>
      <c r="S746" s="16" t="s">
        <v>44</v>
      </c>
      <c r="T746" s="133">
        <v>39144</v>
      </c>
      <c r="U746" s="623"/>
      <c r="V746" s="624"/>
      <c r="W746" s="185"/>
      <c r="X746" s="7"/>
      <c r="Y746" s="7">
        <f t="shared" si="22"/>
        <v>0</v>
      </c>
      <c r="Z746" s="7"/>
      <c r="AA746" s="469"/>
      <c r="AB746" s="513" t="s">
        <v>1231</v>
      </c>
      <c r="AC746" s="147"/>
      <c r="AD746" s="639">
        <v>0.5</v>
      </c>
      <c r="AE746" s="639"/>
      <c r="AF746" s="9">
        <f t="shared" si="23"/>
        <v>0.5</v>
      </c>
      <c r="AG746" s="183" t="s">
        <v>1192</v>
      </c>
      <c r="AH746" s="93"/>
      <c r="AI746" s="146" t="s">
        <v>1888</v>
      </c>
      <c r="AJ746" s="93" t="s">
        <v>309</v>
      </c>
      <c r="AK746" s="30" t="s">
        <v>1185</v>
      </c>
      <c r="AL746" s="93" t="s">
        <v>1175</v>
      </c>
    </row>
    <row r="747" spans="1:38" ht="15" customHeight="1" x14ac:dyDescent="0.3">
      <c r="A747" s="30" t="s">
        <v>22</v>
      </c>
      <c r="B747" s="153" t="s">
        <v>105</v>
      </c>
      <c r="C747" s="109">
        <v>1</v>
      </c>
      <c r="D747" s="11" t="s">
        <v>5936</v>
      </c>
      <c r="E747" s="108">
        <v>37376</v>
      </c>
      <c r="F747" s="33">
        <v>2002</v>
      </c>
      <c r="G747" s="142" t="s">
        <v>1883</v>
      </c>
      <c r="H747" s="162" t="s">
        <v>1884</v>
      </c>
      <c r="I747" s="33" t="s">
        <v>33</v>
      </c>
      <c r="J747" s="32" t="s">
        <v>191</v>
      </c>
      <c r="K747" s="197" t="s">
        <v>1173</v>
      </c>
      <c r="L747" s="137" t="s">
        <v>40</v>
      </c>
      <c r="M747" s="137" t="s">
        <v>804</v>
      </c>
      <c r="N747" s="238"/>
      <c r="O747" s="146" t="s">
        <v>1885</v>
      </c>
      <c r="P747" s="138" t="s">
        <v>1886</v>
      </c>
      <c r="Q747" s="15" t="s">
        <v>282</v>
      </c>
      <c r="R747" s="132">
        <v>38649</v>
      </c>
      <c r="S747" s="16" t="s">
        <v>44</v>
      </c>
      <c r="T747" s="133">
        <v>39144</v>
      </c>
      <c r="U747" s="623"/>
      <c r="V747" s="624"/>
      <c r="W747" s="185"/>
      <c r="X747" s="7"/>
      <c r="Y747" s="7">
        <f t="shared" si="22"/>
        <v>0</v>
      </c>
      <c r="Z747" s="7"/>
      <c r="AA747" s="469"/>
      <c r="AB747" s="513" t="s">
        <v>1231</v>
      </c>
      <c r="AC747" s="563"/>
      <c r="AD747" s="665">
        <v>0.5</v>
      </c>
      <c r="AE747" s="665"/>
      <c r="AF747" s="9">
        <f t="shared" si="23"/>
        <v>0.5</v>
      </c>
      <c r="AG747" s="183" t="s">
        <v>1192</v>
      </c>
      <c r="AH747" s="93"/>
      <c r="AI747" s="146" t="s">
        <v>1888</v>
      </c>
      <c r="AJ747" s="93" t="s">
        <v>309</v>
      </c>
      <c r="AK747" s="30" t="s">
        <v>1185</v>
      </c>
      <c r="AL747" s="93" t="s">
        <v>1175</v>
      </c>
    </row>
    <row r="748" spans="1:38" ht="15" customHeight="1" x14ac:dyDescent="0.3">
      <c r="A748" s="30" t="s">
        <v>22</v>
      </c>
      <c r="B748" s="153" t="s">
        <v>105</v>
      </c>
      <c r="C748" s="109">
        <v>1</v>
      </c>
      <c r="D748" s="11" t="s">
        <v>5936</v>
      </c>
      <c r="E748" s="108">
        <v>37376</v>
      </c>
      <c r="F748" s="33">
        <v>2002</v>
      </c>
      <c r="G748" s="142" t="s">
        <v>1883</v>
      </c>
      <c r="H748" s="162" t="s">
        <v>1884</v>
      </c>
      <c r="I748" s="33" t="s">
        <v>33</v>
      </c>
      <c r="J748" s="32" t="s">
        <v>191</v>
      </c>
      <c r="K748" s="197" t="s">
        <v>1173</v>
      </c>
      <c r="L748" s="137" t="s">
        <v>40</v>
      </c>
      <c r="M748" s="137" t="s">
        <v>804</v>
      </c>
      <c r="N748" s="137"/>
      <c r="O748" s="93" t="s">
        <v>1885</v>
      </c>
      <c r="P748" s="138" t="s">
        <v>1886</v>
      </c>
      <c r="Q748" s="15" t="s">
        <v>282</v>
      </c>
      <c r="R748" s="132">
        <v>38649</v>
      </c>
      <c r="S748" s="16" t="s">
        <v>44</v>
      </c>
      <c r="T748" s="133">
        <v>39144</v>
      </c>
      <c r="U748" s="623"/>
      <c r="V748" s="624"/>
      <c r="W748" s="185"/>
      <c r="X748" s="7"/>
      <c r="Y748" s="7">
        <f t="shared" si="22"/>
        <v>0</v>
      </c>
      <c r="Z748" s="7"/>
      <c r="AA748" s="469"/>
      <c r="AB748" s="513" t="s">
        <v>1231</v>
      </c>
      <c r="AC748" s="563"/>
      <c r="AD748" s="665">
        <v>0.5</v>
      </c>
      <c r="AE748" s="665"/>
      <c r="AF748" s="9">
        <f t="shared" si="23"/>
        <v>0.5</v>
      </c>
      <c r="AG748" s="183" t="s">
        <v>1192</v>
      </c>
      <c r="AH748" s="93"/>
      <c r="AI748" s="146" t="s">
        <v>1888</v>
      </c>
      <c r="AJ748" s="93" t="s">
        <v>309</v>
      </c>
      <c r="AK748" s="30" t="s">
        <v>1185</v>
      </c>
      <c r="AL748" s="93" t="s">
        <v>1175</v>
      </c>
    </row>
    <row r="749" spans="1:38" ht="15" customHeight="1" x14ac:dyDescent="0.3">
      <c r="A749" s="30" t="s">
        <v>22</v>
      </c>
      <c r="B749" s="153" t="s">
        <v>105</v>
      </c>
      <c r="C749" s="109">
        <v>1</v>
      </c>
      <c r="D749" s="11" t="s">
        <v>5936</v>
      </c>
      <c r="E749" s="108">
        <v>37376</v>
      </c>
      <c r="F749" s="33">
        <v>2002</v>
      </c>
      <c r="G749" s="142" t="s">
        <v>1883</v>
      </c>
      <c r="H749" s="162" t="s">
        <v>1884</v>
      </c>
      <c r="I749" s="33" t="s">
        <v>33</v>
      </c>
      <c r="J749" s="32" t="s">
        <v>191</v>
      </c>
      <c r="K749" s="197" t="s">
        <v>1173</v>
      </c>
      <c r="L749" s="137" t="s">
        <v>40</v>
      </c>
      <c r="M749" s="137" t="s">
        <v>804</v>
      </c>
      <c r="N749" s="238"/>
      <c r="O749" s="146" t="s">
        <v>1885</v>
      </c>
      <c r="P749" s="138" t="s">
        <v>1886</v>
      </c>
      <c r="Q749" s="15" t="s">
        <v>282</v>
      </c>
      <c r="R749" s="132">
        <v>38649</v>
      </c>
      <c r="S749" s="16" t="s">
        <v>44</v>
      </c>
      <c r="T749" s="133">
        <v>39144</v>
      </c>
      <c r="U749" s="623"/>
      <c r="V749" s="624"/>
      <c r="W749" s="185"/>
      <c r="X749" s="7"/>
      <c r="Y749" s="7">
        <f t="shared" si="22"/>
        <v>0</v>
      </c>
      <c r="Z749" s="7"/>
      <c r="AA749" s="469"/>
      <c r="AB749" s="513" t="s">
        <v>1231</v>
      </c>
      <c r="AC749" s="563"/>
      <c r="AD749" s="665">
        <v>0.5</v>
      </c>
      <c r="AE749" s="665"/>
      <c r="AF749" s="9">
        <f t="shared" si="23"/>
        <v>0.5</v>
      </c>
      <c r="AG749" s="183" t="s">
        <v>1192</v>
      </c>
      <c r="AH749" s="93"/>
      <c r="AI749" s="146" t="s">
        <v>1888</v>
      </c>
      <c r="AJ749" s="93" t="s">
        <v>309</v>
      </c>
      <c r="AK749" s="30" t="s">
        <v>1185</v>
      </c>
      <c r="AL749" s="93" t="s">
        <v>1175</v>
      </c>
    </row>
    <row r="750" spans="1:38" ht="15" customHeight="1" x14ac:dyDescent="0.3">
      <c r="A750" s="30" t="s">
        <v>22</v>
      </c>
      <c r="B750" s="153" t="s">
        <v>105</v>
      </c>
      <c r="C750" s="109">
        <v>4</v>
      </c>
      <c r="D750" s="11" t="s">
        <v>5936</v>
      </c>
      <c r="E750" s="108">
        <v>37377</v>
      </c>
      <c r="F750" s="33">
        <v>2002</v>
      </c>
      <c r="G750" s="142" t="s">
        <v>1890</v>
      </c>
      <c r="H750" s="162" t="s">
        <v>1891</v>
      </c>
      <c r="I750" s="33" t="s">
        <v>25</v>
      </c>
      <c r="J750" s="32" t="s">
        <v>26</v>
      </c>
      <c r="K750" s="197" t="s">
        <v>111</v>
      </c>
      <c r="L750" s="137" t="s">
        <v>40</v>
      </c>
      <c r="M750" s="137" t="s">
        <v>804</v>
      </c>
      <c r="N750" s="238"/>
      <c r="O750" s="146" t="s">
        <v>1892</v>
      </c>
      <c r="P750" s="138" t="s">
        <v>1893</v>
      </c>
      <c r="Q750" s="15" t="s">
        <v>282</v>
      </c>
      <c r="R750" s="132">
        <v>39325</v>
      </c>
      <c r="S750" s="16" t="s">
        <v>44</v>
      </c>
      <c r="T750" s="133">
        <v>39395</v>
      </c>
      <c r="U750" s="623"/>
      <c r="V750" s="624"/>
      <c r="W750" s="185"/>
      <c r="X750" s="7"/>
      <c r="Y750" s="7">
        <f t="shared" si="22"/>
        <v>0</v>
      </c>
      <c r="Z750" s="7"/>
      <c r="AA750" s="469"/>
      <c r="AB750" s="513" t="s">
        <v>1231</v>
      </c>
      <c r="AC750" s="563"/>
      <c r="AD750" s="665">
        <v>0.5</v>
      </c>
      <c r="AE750" s="665"/>
      <c r="AF750" s="9">
        <f t="shared" si="23"/>
        <v>0.5</v>
      </c>
      <c r="AG750" s="183" t="s">
        <v>1192</v>
      </c>
      <c r="AH750" s="93" t="s">
        <v>1889</v>
      </c>
      <c r="AI750" s="146" t="s">
        <v>1825</v>
      </c>
      <c r="AJ750" s="93" t="s">
        <v>309</v>
      </c>
      <c r="AK750" s="30" t="s">
        <v>1185</v>
      </c>
      <c r="AL750" s="93" t="s">
        <v>1178</v>
      </c>
    </row>
    <row r="751" spans="1:38" ht="15" customHeight="1" x14ac:dyDescent="0.3">
      <c r="A751" s="30" t="s">
        <v>22</v>
      </c>
      <c r="B751" s="145" t="s">
        <v>227</v>
      </c>
      <c r="C751" s="135">
        <v>7</v>
      </c>
      <c r="D751" s="11" t="s">
        <v>225</v>
      </c>
      <c r="E751" s="108">
        <v>37770</v>
      </c>
      <c r="F751" s="12">
        <v>2003</v>
      </c>
      <c r="G751" s="142" t="s">
        <v>1895</v>
      </c>
      <c r="H751" s="162" t="s">
        <v>1896</v>
      </c>
      <c r="I751" s="181" t="s">
        <v>25</v>
      </c>
      <c r="J751" s="32" t="s">
        <v>26</v>
      </c>
      <c r="K751" s="197" t="s">
        <v>111</v>
      </c>
      <c r="L751" s="137" t="s">
        <v>40</v>
      </c>
      <c r="M751" s="137" t="s">
        <v>804</v>
      </c>
      <c r="N751" s="137"/>
      <c r="O751" s="197" t="s">
        <v>1897</v>
      </c>
      <c r="P751" s="197" t="s">
        <v>1898</v>
      </c>
      <c r="Q751" s="15" t="s">
        <v>282</v>
      </c>
      <c r="R751" s="164">
        <v>38979</v>
      </c>
      <c r="S751" s="16" t="s">
        <v>44</v>
      </c>
      <c r="T751" s="165">
        <v>39584</v>
      </c>
      <c r="U751" s="733"/>
      <c r="V751" s="733"/>
      <c r="W751" s="185"/>
      <c r="X751" s="185"/>
      <c r="Y751" s="7">
        <f t="shared" si="22"/>
        <v>0</v>
      </c>
      <c r="Z751" s="185"/>
      <c r="AA751" s="469"/>
      <c r="AB751" s="500" t="s">
        <v>5953</v>
      </c>
      <c r="AC751" s="501"/>
      <c r="AD751" s="702">
        <v>0.5</v>
      </c>
      <c r="AE751" s="703"/>
      <c r="AF751" s="9">
        <f t="shared" si="23"/>
        <v>0.5</v>
      </c>
      <c r="AG751" s="708" t="s">
        <v>664</v>
      </c>
      <c r="AH751" s="181" t="s">
        <v>1894</v>
      </c>
      <c r="AI751" s="181" t="s">
        <v>1900</v>
      </c>
      <c r="AJ751" s="138" t="s">
        <v>1188</v>
      </c>
      <c r="AK751" s="279" t="s">
        <v>1185</v>
      </c>
      <c r="AL751" s="93" t="s">
        <v>1178</v>
      </c>
    </row>
    <row r="752" spans="1:38" ht="15" customHeight="1" x14ac:dyDescent="0.3">
      <c r="A752" s="30" t="s">
        <v>22</v>
      </c>
      <c r="B752" s="112" t="s">
        <v>227</v>
      </c>
      <c r="C752" s="107">
        <v>9</v>
      </c>
      <c r="D752" s="11" t="s">
        <v>225</v>
      </c>
      <c r="E752" s="108">
        <v>36752</v>
      </c>
      <c r="F752" s="12">
        <v>2000</v>
      </c>
      <c r="G752" s="142" t="s">
        <v>1901</v>
      </c>
      <c r="H752" s="162" t="s">
        <v>1902</v>
      </c>
      <c r="I752" s="12" t="s">
        <v>25</v>
      </c>
      <c r="J752" s="32" t="s">
        <v>26</v>
      </c>
      <c r="K752" s="197" t="s">
        <v>111</v>
      </c>
      <c r="L752" s="137" t="s">
        <v>40</v>
      </c>
      <c r="M752" s="137" t="s">
        <v>804</v>
      </c>
      <c r="N752" s="137"/>
      <c r="O752" s="137" t="s">
        <v>1903</v>
      </c>
      <c r="P752" s="138" t="s">
        <v>1904</v>
      </c>
      <c r="Q752" s="15" t="s">
        <v>282</v>
      </c>
      <c r="R752" s="164">
        <v>38961</v>
      </c>
      <c r="S752" s="16" t="s">
        <v>44</v>
      </c>
      <c r="T752" s="165">
        <v>39556</v>
      </c>
      <c r="U752" s="624"/>
      <c r="V752" s="624"/>
      <c r="W752" s="185"/>
      <c r="X752" s="185"/>
      <c r="Y752" s="7">
        <f t="shared" si="22"/>
        <v>0</v>
      </c>
      <c r="Z752" s="185"/>
      <c r="AA752" s="469"/>
      <c r="AB752" s="500" t="s">
        <v>5953</v>
      </c>
      <c r="AC752" s="501"/>
      <c r="AD752" s="639">
        <v>0.5</v>
      </c>
      <c r="AE752" s="690"/>
      <c r="AF752" s="9">
        <f t="shared" si="23"/>
        <v>0.5</v>
      </c>
      <c r="AG752" s="708" t="s">
        <v>664</v>
      </c>
      <c r="AH752" s="137" t="s">
        <v>1899</v>
      </c>
      <c r="AI752" s="137" t="s">
        <v>1900</v>
      </c>
      <c r="AJ752" s="137" t="s">
        <v>309</v>
      </c>
      <c r="AK752" s="660" t="s">
        <v>1185</v>
      </c>
      <c r="AL752" s="93" t="s">
        <v>1178</v>
      </c>
    </row>
    <row r="753" spans="1:38" ht="15" customHeight="1" x14ac:dyDescent="0.3">
      <c r="A753" s="30" t="s">
        <v>22</v>
      </c>
      <c r="B753" s="145" t="s">
        <v>227</v>
      </c>
      <c r="C753" s="135">
        <v>9</v>
      </c>
      <c r="D753" s="11" t="s">
        <v>225</v>
      </c>
      <c r="E753" s="108">
        <v>37377</v>
      </c>
      <c r="F753" s="12">
        <v>2002</v>
      </c>
      <c r="G753" s="142" t="s">
        <v>1905</v>
      </c>
      <c r="H753" s="162" t="s">
        <v>1906</v>
      </c>
      <c r="I753" s="33" t="s">
        <v>33</v>
      </c>
      <c r="J753" s="32" t="s">
        <v>26</v>
      </c>
      <c r="K753" s="197" t="s">
        <v>111</v>
      </c>
      <c r="L753" s="137" t="s">
        <v>40</v>
      </c>
      <c r="M753" s="137" t="s">
        <v>804</v>
      </c>
      <c r="N753" s="137"/>
      <c r="O753" s="138" t="s">
        <v>1112</v>
      </c>
      <c r="P753" s="138" t="s">
        <v>1907</v>
      </c>
      <c r="Q753" s="15" t="s">
        <v>35</v>
      </c>
      <c r="R753" s="132">
        <v>38986</v>
      </c>
      <c r="S753" s="16" t="s">
        <v>35</v>
      </c>
      <c r="T753" s="133">
        <v>39507</v>
      </c>
      <c r="U753" s="623"/>
      <c r="V753" s="624"/>
      <c r="W753" s="185">
        <v>30</v>
      </c>
      <c r="X753" s="185"/>
      <c r="Y753" s="7">
        <f t="shared" si="22"/>
        <v>0</v>
      </c>
      <c r="Z753" s="185"/>
      <c r="AA753" s="469"/>
      <c r="AB753" s="500" t="s">
        <v>5953</v>
      </c>
      <c r="AC753" s="501"/>
      <c r="AD753" s="702">
        <v>1</v>
      </c>
      <c r="AE753" s="702"/>
      <c r="AF753" s="9">
        <f t="shared" si="23"/>
        <v>1</v>
      </c>
      <c r="AG753" s="183" t="s">
        <v>664</v>
      </c>
      <c r="AH753" s="138" t="s">
        <v>6001</v>
      </c>
      <c r="AI753" s="138"/>
      <c r="AJ753" s="138" t="s">
        <v>309</v>
      </c>
      <c r="AK753" s="30" t="s">
        <v>1185</v>
      </c>
      <c r="AL753" s="93" t="s">
        <v>1178</v>
      </c>
    </row>
    <row r="754" spans="1:38" ht="15" customHeight="1" x14ac:dyDescent="0.3">
      <c r="A754" s="30" t="s">
        <v>883</v>
      </c>
      <c r="B754" s="140" t="s">
        <v>193</v>
      </c>
      <c r="C754" s="107">
        <v>2</v>
      </c>
      <c r="D754" s="12" t="s">
        <v>190</v>
      </c>
      <c r="E754" s="114">
        <v>39083</v>
      </c>
      <c r="F754" s="12">
        <v>2007</v>
      </c>
      <c r="G754" s="142" t="s">
        <v>1909</v>
      </c>
      <c r="H754" s="162"/>
      <c r="I754" s="33" t="s">
        <v>33</v>
      </c>
      <c r="J754" s="32" t="s">
        <v>26</v>
      </c>
      <c r="K754" s="162" t="s">
        <v>1708</v>
      </c>
      <c r="L754" s="138" t="s">
        <v>1319</v>
      </c>
      <c r="M754" s="137" t="s">
        <v>804</v>
      </c>
      <c r="N754" s="238"/>
      <c r="O754" s="146" t="s">
        <v>1910</v>
      </c>
      <c r="P754" s="138" t="s">
        <v>1911</v>
      </c>
      <c r="Q754" s="15" t="s">
        <v>282</v>
      </c>
      <c r="R754" s="132">
        <v>39304</v>
      </c>
      <c r="S754" s="16" t="s">
        <v>44</v>
      </c>
      <c r="T754" s="133">
        <v>39643</v>
      </c>
      <c r="U754" s="623"/>
      <c r="V754" s="623"/>
      <c r="W754" s="201"/>
      <c r="X754" s="185"/>
      <c r="Y754" s="7">
        <f t="shared" si="22"/>
        <v>0</v>
      </c>
      <c r="Z754" s="185"/>
      <c r="AA754" s="469"/>
      <c r="AB754" s="706" t="s">
        <v>1295</v>
      </c>
      <c r="AC754" s="200"/>
      <c r="AD754" s="639">
        <v>0.5</v>
      </c>
      <c r="AE754" s="639"/>
      <c r="AF754" s="9">
        <f t="shared" si="23"/>
        <v>0.5</v>
      </c>
      <c r="AG754" s="138" t="s">
        <v>1454</v>
      </c>
      <c r="AH754" s="138" t="s">
        <v>1908</v>
      </c>
      <c r="AI754" s="138" t="s">
        <v>1912</v>
      </c>
      <c r="AJ754" s="138" t="s">
        <v>1188</v>
      </c>
      <c r="AK754" s="138" t="s">
        <v>1185</v>
      </c>
      <c r="AL754" s="93" t="s">
        <v>1178</v>
      </c>
    </row>
    <row r="755" spans="1:38" ht="15" customHeight="1" x14ac:dyDescent="0.3">
      <c r="A755" s="30" t="s">
        <v>22</v>
      </c>
      <c r="B755" s="120" t="s">
        <v>105</v>
      </c>
      <c r="C755" s="107">
        <v>3</v>
      </c>
      <c r="D755" s="11" t="s">
        <v>225</v>
      </c>
      <c r="E755" s="108">
        <v>36705</v>
      </c>
      <c r="F755" s="12">
        <v>2000</v>
      </c>
      <c r="G755" s="142" t="s">
        <v>1913</v>
      </c>
      <c r="H755" s="162"/>
      <c r="I755" s="33" t="s">
        <v>33</v>
      </c>
      <c r="J755" s="32" t="s">
        <v>26</v>
      </c>
      <c r="K755" s="197" t="s">
        <v>1708</v>
      </c>
      <c r="L755" s="137" t="s">
        <v>40</v>
      </c>
      <c r="M755" s="137" t="s">
        <v>804</v>
      </c>
      <c r="N755" s="137"/>
      <c r="O755" s="93" t="s">
        <v>1914</v>
      </c>
      <c r="P755" s="138" t="s">
        <v>1915</v>
      </c>
      <c r="Q755" s="15" t="s">
        <v>35</v>
      </c>
      <c r="R755" s="132">
        <v>37391</v>
      </c>
      <c r="S755" s="16" t="s">
        <v>35</v>
      </c>
      <c r="T755" s="133">
        <v>39150</v>
      </c>
      <c r="U755" s="623" t="s">
        <v>1916</v>
      </c>
      <c r="V755" s="180">
        <v>39742</v>
      </c>
      <c r="W755" s="185">
        <v>56</v>
      </c>
      <c r="X755" s="185"/>
      <c r="Y755" s="7">
        <f t="shared" si="22"/>
        <v>0</v>
      </c>
      <c r="Z755" s="185"/>
      <c r="AA755" s="469"/>
      <c r="AB755" s="513" t="s">
        <v>1231</v>
      </c>
      <c r="AC755" s="147"/>
      <c r="AD755" s="639">
        <v>1</v>
      </c>
      <c r="AE755" s="639"/>
      <c r="AF755" s="9">
        <f t="shared" si="23"/>
        <v>1</v>
      </c>
      <c r="AG755" s="163" t="s">
        <v>1192</v>
      </c>
      <c r="AH755" s="476" t="s">
        <v>851</v>
      </c>
      <c r="AI755" s="93" t="s">
        <v>1917</v>
      </c>
      <c r="AJ755" s="93" t="s">
        <v>1188</v>
      </c>
      <c r="AK755" s="30" t="s">
        <v>1185</v>
      </c>
      <c r="AL755" s="93" t="s">
        <v>1175</v>
      </c>
    </row>
    <row r="756" spans="1:38" ht="15" customHeight="1" x14ac:dyDescent="0.3">
      <c r="A756" s="30" t="s">
        <v>22</v>
      </c>
      <c r="B756" s="145" t="s">
        <v>105</v>
      </c>
      <c r="C756" s="109">
        <v>10</v>
      </c>
      <c r="D756" s="11" t="s">
        <v>5936</v>
      </c>
      <c r="E756" s="108">
        <v>37008</v>
      </c>
      <c r="F756" s="146">
        <v>2001</v>
      </c>
      <c r="G756" s="142" t="s">
        <v>1918</v>
      </c>
      <c r="H756" s="162" t="s">
        <v>1919</v>
      </c>
      <c r="I756" s="33" t="s">
        <v>33</v>
      </c>
      <c r="J756" s="32" t="s">
        <v>26</v>
      </c>
      <c r="K756" s="197" t="s">
        <v>1708</v>
      </c>
      <c r="L756" s="137" t="s">
        <v>40</v>
      </c>
      <c r="M756" s="137" t="s">
        <v>804</v>
      </c>
      <c r="N756" s="137"/>
      <c r="O756" s="93" t="s">
        <v>1920</v>
      </c>
      <c r="P756" s="647" t="s">
        <v>1921</v>
      </c>
      <c r="Q756" s="15" t="s">
        <v>282</v>
      </c>
      <c r="R756" s="132">
        <v>38499</v>
      </c>
      <c r="S756" s="16" t="s">
        <v>44</v>
      </c>
      <c r="T756" s="133">
        <v>39206</v>
      </c>
      <c r="U756" s="623" t="s">
        <v>1916</v>
      </c>
      <c r="V756" s="180">
        <v>39889</v>
      </c>
      <c r="W756" s="185"/>
      <c r="X756" s="7"/>
      <c r="Y756" s="7">
        <f t="shared" si="22"/>
        <v>0</v>
      </c>
      <c r="Z756" s="7"/>
      <c r="AA756" s="469"/>
      <c r="AB756" s="513" t="s">
        <v>1231</v>
      </c>
      <c r="AC756" s="563"/>
      <c r="AD756" s="665">
        <v>0.5</v>
      </c>
      <c r="AE756" s="665"/>
      <c r="AF756" s="9">
        <f t="shared" si="23"/>
        <v>0.5</v>
      </c>
      <c r="AG756" s="182" t="s">
        <v>1192</v>
      </c>
      <c r="AH756" s="476" t="s">
        <v>851</v>
      </c>
      <c r="AI756" s="146" t="s">
        <v>1659</v>
      </c>
      <c r="AJ756" s="93" t="s">
        <v>1188</v>
      </c>
      <c r="AK756" s="30" t="s">
        <v>1185</v>
      </c>
      <c r="AL756" s="93" t="s">
        <v>1175</v>
      </c>
    </row>
    <row r="757" spans="1:38" ht="15" customHeight="1" x14ac:dyDescent="0.3">
      <c r="A757" s="30" t="s">
        <v>22</v>
      </c>
      <c r="B757" s="120" t="s">
        <v>105</v>
      </c>
      <c r="C757" s="107">
        <v>1</v>
      </c>
      <c r="D757" s="11" t="s">
        <v>5936</v>
      </c>
      <c r="E757" s="108">
        <v>35776</v>
      </c>
      <c r="F757" s="30">
        <v>1997</v>
      </c>
      <c r="G757" s="142">
        <v>58205</v>
      </c>
      <c r="H757" s="162" t="s">
        <v>1922</v>
      </c>
      <c r="I757" s="33" t="s">
        <v>33</v>
      </c>
      <c r="J757" s="32" t="s">
        <v>26</v>
      </c>
      <c r="K757" s="197" t="s">
        <v>1668</v>
      </c>
      <c r="L757" s="137" t="s">
        <v>40</v>
      </c>
      <c r="M757" s="137" t="s">
        <v>804</v>
      </c>
      <c r="N757" s="137"/>
      <c r="O757" s="93" t="s">
        <v>865</v>
      </c>
      <c r="P757" s="647" t="s">
        <v>1923</v>
      </c>
      <c r="Q757" s="15" t="s">
        <v>282</v>
      </c>
      <c r="R757" s="132">
        <v>38275</v>
      </c>
      <c r="S757" s="16" t="s">
        <v>44</v>
      </c>
      <c r="T757" s="92">
        <v>2007</v>
      </c>
      <c r="U757" s="623" t="s">
        <v>1676</v>
      </c>
      <c r="V757" s="180">
        <v>39904</v>
      </c>
      <c r="W757" s="185"/>
      <c r="X757" s="7"/>
      <c r="Y757" s="7">
        <f t="shared" si="22"/>
        <v>0</v>
      </c>
      <c r="Z757" s="7"/>
      <c r="AA757" s="469"/>
      <c r="AB757" s="513" t="s">
        <v>1231</v>
      </c>
      <c r="AC757" s="147"/>
      <c r="AD757" s="639">
        <v>0.5</v>
      </c>
      <c r="AE757" s="639"/>
      <c r="AF757" s="9">
        <f t="shared" si="23"/>
        <v>0.5</v>
      </c>
      <c r="AG757" s="183" t="s">
        <v>1192</v>
      </c>
      <c r="AH757" s="93"/>
      <c r="AI757" s="93" t="s">
        <v>1653</v>
      </c>
      <c r="AJ757" s="93" t="s">
        <v>1671</v>
      </c>
      <c r="AK757" s="30" t="s">
        <v>1185</v>
      </c>
      <c r="AL757" s="93" t="s">
        <v>1175</v>
      </c>
    </row>
    <row r="758" spans="1:38" ht="15" customHeight="1" x14ac:dyDescent="0.3">
      <c r="A758" s="181" t="s">
        <v>22</v>
      </c>
      <c r="B758" s="154" t="s">
        <v>105</v>
      </c>
      <c r="C758" s="135">
        <v>21</v>
      </c>
      <c r="D758" s="11" t="s">
        <v>5936</v>
      </c>
      <c r="E758" s="168">
        <v>39448</v>
      </c>
      <c r="F758" s="136">
        <v>2008</v>
      </c>
      <c r="G758" s="178" t="s">
        <v>1924</v>
      </c>
      <c r="H758" s="204" t="s">
        <v>1925</v>
      </c>
      <c r="I758" s="33" t="s">
        <v>33</v>
      </c>
      <c r="J758" s="32" t="s">
        <v>26</v>
      </c>
      <c r="K758" s="138" t="s">
        <v>1708</v>
      </c>
      <c r="L758" s="197" t="s">
        <v>40</v>
      </c>
      <c r="M758" s="137" t="s">
        <v>804</v>
      </c>
      <c r="N758" s="137"/>
      <c r="O758" s="138" t="s">
        <v>1926</v>
      </c>
      <c r="P758" s="138" t="s">
        <v>1927</v>
      </c>
      <c r="Q758" s="15" t="s">
        <v>282</v>
      </c>
      <c r="R758" s="132">
        <v>39770</v>
      </c>
      <c r="S758" s="16" t="s">
        <v>44</v>
      </c>
      <c r="T758" s="133">
        <v>39864</v>
      </c>
      <c r="U758" s="623"/>
      <c r="V758" s="624"/>
      <c r="W758" s="189"/>
      <c r="X758" s="189"/>
      <c r="Y758" s="7">
        <f t="shared" si="22"/>
        <v>0</v>
      </c>
      <c r="Z758" s="189"/>
      <c r="AA758" s="469"/>
      <c r="AB758" s="564" t="s">
        <v>1073</v>
      </c>
      <c r="AC758" s="693"/>
      <c r="AD758" s="702">
        <v>0.5</v>
      </c>
      <c r="AE758" s="702"/>
      <c r="AF758" s="9">
        <f t="shared" si="23"/>
        <v>0.5</v>
      </c>
      <c r="AG758" s="138" t="s">
        <v>1711</v>
      </c>
      <c r="AH758" s="138"/>
      <c r="AI758" s="138" t="s">
        <v>1875</v>
      </c>
      <c r="AJ758" s="138" t="s">
        <v>1188</v>
      </c>
      <c r="AK758" s="138" t="s">
        <v>1185</v>
      </c>
      <c r="AL758" s="138" t="s">
        <v>1178</v>
      </c>
    </row>
    <row r="759" spans="1:38" ht="15" customHeight="1" x14ac:dyDescent="0.3">
      <c r="A759" s="30" t="s">
        <v>22</v>
      </c>
      <c r="B759" s="184" t="s">
        <v>229</v>
      </c>
      <c r="C759" s="109">
        <v>3</v>
      </c>
      <c r="D759" s="11" t="s">
        <v>225</v>
      </c>
      <c r="E759" s="156">
        <v>39330</v>
      </c>
      <c r="F759" s="33">
        <v>2007</v>
      </c>
      <c r="G759" s="157" t="s">
        <v>1928</v>
      </c>
      <c r="H759" s="204" t="s">
        <v>1929</v>
      </c>
      <c r="I759" s="33" t="s">
        <v>80</v>
      </c>
      <c r="J759" s="32" t="s">
        <v>26</v>
      </c>
      <c r="K759" s="138" t="s">
        <v>1930</v>
      </c>
      <c r="L759" s="93" t="s">
        <v>1319</v>
      </c>
      <c r="M759" s="137" t="s">
        <v>804</v>
      </c>
      <c r="N759" s="137"/>
      <c r="O759" s="93" t="s">
        <v>1931</v>
      </c>
      <c r="P759" s="200" t="s">
        <v>1932</v>
      </c>
      <c r="Q759" s="15" t="s">
        <v>35</v>
      </c>
      <c r="R759" s="179">
        <v>39780</v>
      </c>
      <c r="S759" s="16" t="s">
        <v>35</v>
      </c>
      <c r="T759" s="133">
        <v>39877</v>
      </c>
      <c r="U759" s="623"/>
      <c r="V759" s="623"/>
      <c r="W759" s="734">
        <v>35</v>
      </c>
      <c r="X759" s="185">
        <v>35</v>
      </c>
      <c r="Y759" s="7">
        <f t="shared" si="22"/>
        <v>0</v>
      </c>
      <c r="Z759" s="7">
        <f t="shared" ref="Z759:Z822" si="24">IF(Y759="",X759,Y759+X759)</f>
        <v>35</v>
      </c>
      <c r="AA759" s="469"/>
      <c r="AB759" s="504" t="s">
        <v>6126</v>
      </c>
      <c r="AC759" s="200"/>
      <c r="AD759" s="186">
        <v>1</v>
      </c>
      <c r="AE759" s="187"/>
      <c r="AF759" s="9">
        <f t="shared" si="23"/>
        <v>1</v>
      </c>
      <c r="AG759" s="88" t="s">
        <v>1933</v>
      </c>
      <c r="AH759" s="146"/>
      <c r="AI759" s="684" t="s">
        <v>1935</v>
      </c>
      <c r="AJ759" s="146" t="s">
        <v>1188</v>
      </c>
      <c r="AK759" s="37" t="s">
        <v>1185</v>
      </c>
      <c r="AL759" s="146" t="s">
        <v>1178</v>
      </c>
    </row>
    <row r="760" spans="1:38" ht="15" customHeight="1" x14ac:dyDescent="0.3">
      <c r="A760" s="30" t="s">
        <v>22</v>
      </c>
      <c r="B760" s="153" t="s">
        <v>23</v>
      </c>
      <c r="C760" s="107">
        <v>17</v>
      </c>
      <c r="D760" s="11" t="s">
        <v>24</v>
      </c>
      <c r="E760" s="114">
        <v>39500</v>
      </c>
      <c r="F760" s="12">
        <v>2008</v>
      </c>
      <c r="G760" s="142" t="s">
        <v>1936</v>
      </c>
      <c r="H760" s="162" t="s">
        <v>1937</v>
      </c>
      <c r="I760" s="12" t="s">
        <v>25</v>
      </c>
      <c r="J760" s="32" t="s">
        <v>26</v>
      </c>
      <c r="K760" s="197" t="s">
        <v>111</v>
      </c>
      <c r="L760" s="137" t="s">
        <v>1319</v>
      </c>
      <c r="M760" s="137" t="s">
        <v>804</v>
      </c>
      <c r="N760" s="137"/>
      <c r="O760" s="93" t="s">
        <v>1938</v>
      </c>
      <c r="P760" s="138" t="s">
        <v>1939</v>
      </c>
      <c r="Q760" s="220" t="s">
        <v>92</v>
      </c>
      <c r="R760" s="132">
        <v>39967</v>
      </c>
      <c r="S760" s="92"/>
      <c r="T760" s="139"/>
      <c r="U760" s="624"/>
      <c r="V760" s="624"/>
      <c r="W760" s="735">
        <v>136</v>
      </c>
      <c r="X760" s="7">
        <v>68</v>
      </c>
      <c r="Y760" s="7">
        <f t="shared" si="22"/>
        <v>0</v>
      </c>
      <c r="Z760" s="7">
        <f t="shared" si="24"/>
        <v>68</v>
      </c>
      <c r="AA760" s="469"/>
      <c r="AB760" s="479" t="s">
        <v>49</v>
      </c>
      <c r="AC760" s="480"/>
      <c r="AD760" s="187">
        <v>0.5</v>
      </c>
      <c r="AE760" s="187"/>
      <c r="AF760" s="9">
        <f t="shared" si="23"/>
        <v>0.5</v>
      </c>
      <c r="AG760" s="163" t="s">
        <v>667</v>
      </c>
      <c r="AH760" s="93" t="s">
        <v>1934</v>
      </c>
      <c r="AI760" s="647" t="s">
        <v>1940</v>
      </c>
      <c r="AJ760" s="93" t="s">
        <v>1188</v>
      </c>
      <c r="AK760" s="30" t="s">
        <v>1177</v>
      </c>
      <c r="AL760" s="93" t="s">
        <v>1178</v>
      </c>
    </row>
    <row r="761" spans="1:38" ht="15" customHeight="1" x14ac:dyDescent="0.3">
      <c r="A761" s="30" t="s">
        <v>22</v>
      </c>
      <c r="B761" s="153" t="s">
        <v>23</v>
      </c>
      <c r="C761" s="109">
        <v>14</v>
      </c>
      <c r="D761" s="11" t="s">
        <v>24</v>
      </c>
      <c r="E761" s="114">
        <v>39511</v>
      </c>
      <c r="F761" s="33">
        <v>2008</v>
      </c>
      <c r="G761" s="142" t="s">
        <v>1941</v>
      </c>
      <c r="H761" s="162" t="s">
        <v>1942</v>
      </c>
      <c r="I761" s="12" t="s">
        <v>25</v>
      </c>
      <c r="J761" s="32" t="s">
        <v>26</v>
      </c>
      <c r="K761" s="197" t="s">
        <v>111</v>
      </c>
      <c r="L761" s="137" t="s">
        <v>1319</v>
      </c>
      <c r="M761" s="137" t="s">
        <v>804</v>
      </c>
      <c r="N761" s="238"/>
      <c r="O761" s="146" t="s">
        <v>1943</v>
      </c>
      <c r="P761" s="274" t="s">
        <v>6002</v>
      </c>
      <c r="Q761" s="220" t="s">
        <v>92</v>
      </c>
      <c r="R761" s="132">
        <v>39955</v>
      </c>
      <c r="S761" s="92"/>
      <c r="T761" s="139"/>
      <c r="U761" s="624"/>
      <c r="V761" s="624"/>
      <c r="W761" s="735">
        <v>11</v>
      </c>
      <c r="X761" s="7">
        <v>2.2000000000000002</v>
      </c>
      <c r="Y761" s="7">
        <f t="shared" si="22"/>
        <v>0</v>
      </c>
      <c r="Z761" s="7">
        <f t="shared" si="24"/>
        <v>2.2000000000000002</v>
      </c>
      <c r="AA761" s="469"/>
      <c r="AB761" s="479" t="s">
        <v>49</v>
      </c>
      <c r="AC761" s="501"/>
      <c r="AD761" s="186">
        <v>0.2</v>
      </c>
      <c r="AE761" s="187"/>
      <c r="AF761" s="9">
        <f t="shared" si="23"/>
        <v>0.2</v>
      </c>
      <c r="AG761" s="163" t="s">
        <v>667</v>
      </c>
      <c r="AH761" s="93" t="s">
        <v>58</v>
      </c>
      <c r="AI761" s="719" t="s">
        <v>1944</v>
      </c>
      <c r="AJ761" s="93" t="s">
        <v>1188</v>
      </c>
      <c r="AK761" s="30" t="s">
        <v>1177</v>
      </c>
      <c r="AL761" s="93" t="s">
        <v>1178</v>
      </c>
    </row>
    <row r="762" spans="1:38" ht="15" customHeight="1" x14ac:dyDescent="0.3">
      <c r="A762" s="30" t="s">
        <v>22</v>
      </c>
      <c r="B762" s="153" t="s">
        <v>105</v>
      </c>
      <c r="C762" s="109">
        <v>3</v>
      </c>
      <c r="D762" s="11" t="s">
        <v>5936</v>
      </c>
      <c r="E762" s="108">
        <v>37196</v>
      </c>
      <c r="F762" s="33">
        <v>2001</v>
      </c>
      <c r="G762" s="142" t="s">
        <v>1945</v>
      </c>
      <c r="H762" s="162" t="s">
        <v>1946</v>
      </c>
      <c r="I762" s="33" t="s">
        <v>33</v>
      </c>
      <c r="J762" s="32" t="s">
        <v>26</v>
      </c>
      <c r="K762" s="197" t="s">
        <v>111</v>
      </c>
      <c r="L762" s="137" t="s">
        <v>40</v>
      </c>
      <c r="M762" s="137" t="s">
        <v>804</v>
      </c>
      <c r="N762" s="238"/>
      <c r="O762" s="146" t="s">
        <v>1947</v>
      </c>
      <c r="P762" s="138" t="s">
        <v>1948</v>
      </c>
      <c r="Q762" s="15" t="s">
        <v>282</v>
      </c>
      <c r="R762" s="132">
        <v>37652</v>
      </c>
      <c r="S762" s="16" t="s">
        <v>44</v>
      </c>
      <c r="T762" s="92" t="s">
        <v>1949</v>
      </c>
      <c r="U762" s="623" t="s">
        <v>1916</v>
      </c>
      <c r="V762" s="180">
        <v>39981</v>
      </c>
      <c r="W762" s="735">
        <v>53</v>
      </c>
      <c r="X762" s="7">
        <v>26.5</v>
      </c>
      <c r="Y762" s="7">
        <f t="shared" si="22"/>
        <v>0</v>
      </c>
      <c r="Z762" s="7">
        <f t="shared" si="24"/>
        <v>26.5</v>
      </c>
      <c r="AA762" s="469"/>
      <c r="AB762" s="513" t="s">
        <v>1231</v>
      </c>
      <c r="AC762" s="563"/>
      <c r="AD762" s="186">
        <v>0.5</v>
      </c>
      <c r="AE762" s="187"/>
      <c r="AF762" s="9">
        <f t="shared" si="23"/>
        <v>0.5</v>
      </c>
      <c r="AG762" s="163" t="s">
        <v>1192</v>
      </c>
      <c r="AH762" s="93"/>
      <c r="AI762" s="146"/>
      <c r="AJ762" s="93" t="s">
        <v>1188</v>
      </c>
      <c r="AK762" s="30" t="s">
        <v>1185</v>
      </c>
      <c r="AL762" s="93" t="s">
        <v>1178</v>
      </c>
    </row>
    <row r="763" spans="1:38" ht="15" customHeight="1" x14ac:dyDescent="0.3">
      <c r="A763" s="30" t="s">
        <v>22</v>
      </c>
      <c r="B763" s="145" t="s">
        <v>197</v>
      </c>
      <c r="C763" s="107">
        <v>1</v>
      </c>
      <c r="D763" s="12" t="s">
        <v>190</v>
      </c>
      <c r="E763" s="108">
        <v>37106</v>
      </c>
      <c r="F763" s="33">
        <v>2001</v>
      </c>
      <c r="G763" s="142" t="s">
        <v>1950</v>
      </c>
      <c r="H763" s="162" t="s">
        <v>1951</v>
      </c>
      <c r="I763" s="33" t="s">
        <v>33</v>
      </c>
      <c r="J763" s="32" t="s">
        <v>26</v>
      </c>
      <c r="K763" s="197" t="s">
        <v>1194</v>
      </c>
      <c r="L763" s="137" t="s">
        <v>40</v>
      </c>
      <c r="M763" s="137" t="s">
        <v>804</v>
      </c>
      <c r="N763" s="137"/>
      <c r="O763" s="93" t="s">
        <v>1952</v>
      </c>
      <c r="P763" s="647" t="s">
        <v>1953</v>
      </c>
      <c r="Q763" s="15" t="s">
        <v>35</v>
      </c>
      <c r="R763" s="132">
        <v>39195</v>
      </c>
      <c r="S763" s="16" t="s">
        <v>35</v>
      </c>
      <c r="T763" s="133">
        <v>39626</v>
      </c>
      <c r="U763" s="623"/>
      <c r="V763" s="624"/>
      <c r="W763" s="735">
        <v>341.6</v>
      </c>
      <c r="X763" s="7">
        <v>341.6</v>
      </c>
      <c r="Y763" s="7">
        <f t="shared" si="22"/>
        <v>0</v>
      </c>
      <c r="Z763" s="7">
        <f t="shared" si="24"/>
        <v>341.6</v>
      </c>
      <c r="AA763" s="469"/>
      <c r="AB763" s="513" t="s">
        <v>1027</v>
      </c>
      <c r="AC763" s="147"/>
      <c r="AD763" s="187">
        <v>1</v>
      </c>
      <c r="AE763" s="187"/>
      <c r="AF763" s="9">
        <f t="shared" si="23"/>
        <v>1</v>
      </c>
      <c r="AG763" s="88"/>
      <c r="AH763" s="93"/>
      <c r="AI763" s="718" t="s">
        <v>1955</v>
      </c>
      <c r="AJ763" s="93" t="s">
        <v>1188</v>
      </c>
      <c r="AK763" s="30" t="s">
        <v>1185</v>
      </c>
      <c r="AL763" s="93" t="s">
        <v>1178</v>
      </c>
    </row>
    <row r="764" spans="1:38" ht="15" customHeight="1" x14ac:dyDescent="0.3">
      <c r="A764" s="30" t="s">
        <v>22</v>
      </c>
      <c r="B764" s="153" t="s">
        <v>23</v>
      </c>
      <c r="C764" s="109">
        <v>1</v>
      </c>
      <c r="D764" s="11" t="s">
        <v>24</v>
      </c>
      <c r="E764" s="114">
        <v>39764</v>
      </c>
      <c r="F764" s="33">
        <v>2008</v>
      </c>
      <c r="G764" s="142" t="s">
        <v>1956</v>
      </c>
      <c r="H764" s="162" t="s">
        <v>1957</v>
      </c>
      <c r="I764" s="57" t="s">
        <v>6176</v>
      </c>
      <c r="J764" s="37" t="s">
        <v>67</v>
      </c>
      <c r="K764" s="197" t="s">
        <v>180</v>
      </c>
      <c r="L764" s="137" t="s">
        <v>1319</v>
      </c>
      <c r="M764" s="137" t="s">
        <v>804</v>
      </c>
      <c r="N764" s="238"/>
      <c r="O764" s="146" t="s">
        <v>1958</v>
      </c>
      <c r="P764" s="138" t="s">
        <v>1959</v>
      </c>
      <c r="Q764" s="91" t="s">
        <v>6173</v>
      </c>
      <c r="R764" s="132">
        <v>39987</v>
      </c>
      <c r="S764" s="92"/>
      <c r="T764" s="139"/>
      <c r="U764" s="624"/>
      <c r="V764" s="624"/>
      <c r="W764" s="735">
        <v>20</v>
      </c>
      <c r="X764" s="7">
        <v>2</v>
      </c>
      <c r="Y764" s="7">
        <f t="shared" si="22"/>
        <v>0</v>
      </c>
      <c r="Z764" s="7">
        <f t="shared" si="24"/>
        <v>2</v>
      </c>
      <c r="AA764" s="469"/>
      <c r="AB764" s="513" t="s">
        <v>36</v>
      </c>
      <c r="AC764" s="563"/>
      <c r="AD764" s="186">
        <v>0.1</v>
      </c>
      <c r="AE764" s="187"/>
      <c r="AF764" s="9">
        <f t="shared" si="23"/>
        <v>0.1</v>
      </c>
      <c r="AG764" s="163" t="s">
        <v>681</v>
      </c>
      <c r="AH764" s="93" t="s">
        <v>1954</v>
      </c>
      <c r="AI764" s="719" t="s">
        <v>1960</v>
      </c>
      <c r="AJ764" s="93" t="s">
        <v>1188</v>
      </c>
      <c r="AK764" s="30" t="s">
        <v>1177</v>
      </c>
      <c r="AL764" s="93" t="s">
        <v>1178</v>
      </c>
    </row>
    <row r="765" spans="1:38" ht="15" customHeight="1" x14ac:dyDescent="0.3">
      <c r="A765" s="30" t="s">
        <v>22</v>
      </c>
      <c r="B765" s="154" t="s">
        <v>159</v>
      </c>
      <c r="C765" s="109">
        <v>1</v>
      </c>
      <c r="D765" s="11" t="s">
        <v>143</v>
      </c>
      <c r="E765" s="114">
        <v>38384</v>
      </c>
      <c r="F765" s="33">
        <v>2005</v>
      </c>
      <c r="G765" s="142" t="s">
        <v>1961</v>
      </c>
      <c r="H765" s="162" t="s">
        <v>1962</v>
      </c>
      <c r="I765" s="12" t="s">
        <v>25</v>
      </c>
      <c r="J765" s="32" t="s">
        <v>26</v>
      </c>
      <c r="K765" s="197" t="s">
        <v>111</v>
      </c>
      <c r="L765" s="138" t="s">
        <v>1319</v>
      </c>
      <c r="M765" s="137" t="s">
        <v>804</v>
      </c>
      <c r="N765" s="137"/>
      <c r="O765" s="93" t="s">
        <v>1963</v>
      </c>
      <c r="P765" s="138" t="s">
        <v>1964</v>
      </c>
      <c r="Q765" s="15" t="s">
        <v>35</v>
      </c>
      <c r="R765" s="132">
        <v>38548</v>
      </c>
      <c r="S765" s="16" t="s">
        <v>35</v>
      </c>
      <c r="T765" s="133">
        <v>39721</v>
      </c>
      <c r="U765" s="623"/>
      <c r="V765" s="624"/>
      <c r="W765" s="735">
        <v>120</v>
      </c>
      <c r="X765" s="7">
        <v>90</v>
      </c>
      <c r="Y765" s="7">
        <f t="shared" si="22"/>
        <v>0</v>
      </c>
      <c r="Z765" s="7">
        <f t="shared" si="24"/>
        <v>90</v>
      </c>
      <c r="AA765" s="469"/>
      <c r="AB765" s="579" t="s">
        <v>5975</v>
      </c>
      <c r="AC765" s="538"/>
      <c r="AD765" s="186">
        <v>0.75</v>
      </c>
      <c r="AE765" s="187"/>
      <c r="AF765" s="9">
        <f t="shared" si="23"/>
        <v>0.75</v>
      </c>
      <c r="AG765" s="163"/>
      <c r="AH765" s="93"/>
      <c r="AI765" s="719" t="s">
        <v>1965</v>
      </c>
      <c r="AJ765" s="93" t="s">
        <v>1188</v>
      </c>
      <c r="AK765" s="30" t="s">
        <v>1185</v>
      </c>
      <c r="AL765" s="93" t="s">
        <v>1178</v>
      </c>
    </row>
    <row r="766" spans="1:38" ht="15" customHeight="1" x14ac:dyDescent="0.3">
      <c r="A766" s="30" t="s">
        <v>22</v>
      </c>
      <c r="B766" s="153" t="s">
        <v>23</v>
      </c>
      <c r="C766" s="109">
        <v>9</v>
      </c>
      <c r="D766" s="11" t="s">
        <v>24</v>
      </c>
      <c r="E766" s="114">
        <v>39800</v>
      </c>
      <c r="F766" s="33">
        <v>2008</v>
      </c>
      <c r="G766" s="142" t="s">
        <v>1966</v>
      </c>
      <c r="H766" s="162" t="s">
        <v>1967</v>
      </c>
      <c r="I766" s="57" t="s">
        <v>6176</v>
      </c>
      <c r="J766" s="37" t="s">
        <v>67</v>
      </c>
      <c r="K766" s="197" t="s">
        <v>180</v>
      </c>
      <c r="L766" s="137" t="s">
        <v>1319</v>
      </c>
      <c r="M766" s="137" t="s">
        <v>804</v>
      </c>
      <c r="N766" s="238"/>
      <c r="O766" s="146" t="s">
        <v>1958</v>
      </c>
      <c r="P766" s="138" t="s">
        <v>1968</v>
      </c>
      <c r="Q766" s="91" t="s">
        <v>6173</v>
      </c>
      <c r="R766" s="132">
        <v>40009</v>
      </c>
      <c r="S766" s="92"/>
      <c r="T766" s="139"/>
      <c r="U766" s="624"/>
      <c r="V766" s="624"/>
      <c r="W766" s="735">
        <v>20</v>
      </c>
      <c r="X766" s="7">
        <v>2</v>
      </c>
      <c r="Y766" s="7">
        <f t="shared" si="22"/>
        <v>0</v>
      </c>
      <c r="Z766" s="7">
        <f t="shared" si="24"/>
        <v>2</v>
      </c>
      <c r="AA766" s="469"/>
      <c r="AB766" s="513" t="s">
        <v>36</v>
      </c>
      <c r="AC766" s="563"/>
      <c r="AD766" s="186">
        <v>0.1</v>
      </c>
      <c r="AE766" s="187"/>
      <c r="AF766" s="9">
        <f t="shared" si="23"/>
        <v>0.1</v>
      </c>
      <c r="AG766" s="163" t="s">
        <v>681</v>
      </c>
      <c r="AH766" s="93" t="s">
        <v>1954</v>
      </c>
      <c r="AI766" s="719" t="s">
        <v>1969</v>
      </c>
      <c r="AJ766" s="93" t="s">
        <v>1188</v>
      </c>
      <c r="AK766" s="30" t="s">
        <v>1177</v>
      </c>
      <c r="AL766" s="93" t="s">
        <v>1178</v>
      </c>
    </row>
    <row r="767" spans="1:38" ht="15" customHeight="1" x14ac:dyDescent="0.3">
      <c r="A767" s="30" t="s">
        <v>22</v>
      </c>
      <c r="B767" s="153" t="s">
        <v>23</v>
      </c>
      <c r="C767" s="107">
        <v>10</v>
      </c>
      <c r="D767" s="11" t="s">
        <v>24</v>
      </c>
      <c r="E767" s="114">
        <v>39121</v>
      </c>
      <c r="F767" s="12">
        <v>2007</v>
      </c>
      <c r="G767" s="142" t="s">
        <v>1970</v>
      </c>
      <c r="H767" s="162" t="s">
        <v>1971</v>
      </c>
      <c r="I767" s="12" t="s">
        <v>80</v>
      </c>
      <c r="J767" s="32" t="s">
        <v>26</v>
      </c>
      <c r="K767" s="197" t="s">
        <v>111</v>
      </c>
      <c r="L767" s="137" t="s">
        <v>1319</v>
      </c>
      <c r="M767" s="137" t="s">
        <v>804</v>
      </c>
      <c r="N767" s="137"/>
      <c r="O767" s="93" t="s">
        <v>1972</v>
      </c>
      <c r="P767" s="138" t="s">
        <v>1973</v>
      </c>
      <c r="Q767" s="15" t="s">
        <v>282</v>
      </c>
      <c r="R767" s="132">
        <v>39756</v>
      </c>
      <c r="S767" s="16" t="s">
        <v>44</v>
      </c>
      <c r="T767" s="165">
        <v>39919</v>
      </c>
      <c r="U767" s="624"/>
      <c r="V767" s="624"/>
      <c r="W767" s="735">
        <v>25</v>
      </c>
      <c r="X767" s="7">
        <v>12.5</v>
      </c>
      <c r="Y767" s="7">
        <f t="shared" si="22"/>
        <v>0</v>
      </c>
      <c r="Z767" s="7">
        <f t="shared" si="24"/>
        <v>12.5</v>
      </c>
      <c r="AA767" s="469"/>
      <c r="AB767" s="513" t="s">
        <v>36</v>
      </c>
      <c r="AC767" s="147"/>
      <c r="AD767" s="187">
        <v>0.5</v>
      </c>
      <c r="AE767" s="187"/>
      <c r="AF767" s="9">
        <f t="shared" si="23"/>
        <v>0.5</v>
      </c>
      <c r="AG767" s="163" t="s">
        <v>681</v>
      </c>
      <c r="AH767" s="93" t="s">
        <v>58</v>
      </c>
      <c r="AI767" s="93"/>
      <c r="AJ767" s="93" t="s">
        <v>1188</v>
      </c>
      <c r="AK767" s="30" t="s">
        <v>1185</v>
      </c>
      <c r="AL767" s="93" t="s">
        <v>1178</v>
      </c>
    </row>
    <row r="768" spans="1:38" ht="15" customHeight="1" x14ac:dyDescent="0.3">
      <c r="A768" s="30" t="s">
        <v>22</v>
      </c>
      <c r="B768" s="153" t="s">
        <v>23</v>
      </c>
      <c r="C768" s="107">
        <v>13</v>
      </c>
      <c r="D768" s="11" t="s">
        <v>24</v>
      </c>
      <c r="E768" s="114">
        <v>39125</v>
      </c>
      <c r="F768" s="12">
        <v>2007</v>
      </c>
      <c r="G768" s="142" t="s">
        <v>1974</v>
      </c>
      <c r="H768" s="162" t="s">
        <v>1975</v>
      </c>
      <c r="I768" s="30" t="s">
        <v>38</v>
      </c>
      <c r="J768" s="32" t="s">
        <v>26</v>
      </c>
      <c r="K768" s="197" t="s">
        <v>111</v>
      </c>
      <c r="L768" s="137" t="s">
        <v>1319</v>
      </c>
      <c r="M768" s="137" t="s">
        <v>804</v>
      </c>
      <c r="N768" s="137"/>
      <c r="O768" s="93" t="s">
        <v>1976</v>
      </c>
      <c r="P768" s="138" t="s">
        <v>1977</v>
      </c>
      <c r="Q768" s="15" t="s">
        <v>35</v>
      </c>
      <c r="R768" s="132">
        <v>39987</v>
      </c>
      <c r="S768" s="92"/>
      <c r="T768" s="139"/>
      <c r="U768" s="624"/>
      <c r="V768" s="624"/>
      <c r="W768" s="735">
        <v>3.6</v>
      </c>
      <c r="X768" s="7">
        <v>1.8</v>
      </c>
      <c r="Y768" s="7">
        <f t="shared" si="22"/>
        <v>0</v>
      </c>
      <c r="Z768" s="7">
        <f t="shared" si="24"/>
        <v>1.8</v>
      </c>
      <c r="AA768" s="469"/>
      <c r="AB768" s="479" t="s">
        <v>49</v>
      </c>
      <c r="AC768" s="480"/>
      <c r="AD768" s="187">
        <v>0.5</v>
      </c>
      <c r="AE768" s="187"/>
      <c r="AF768" s="9">
        <f t="shared" si="23"/>
        <v>0.5</v>
      </c>
      <c r="AG768" s="163" t="s">
        <v>667</v>
      </c>
      <c r="AH768" s="93" t="s">
        <v>5970</v>
      </c>
      <c r="AI768" s="718" t="s">
        <v>1978</v>
      </c>
      <c r="AJ768" s="93" t="s">
        <v>1188</v>
      </c>
      <c r="AK768" s="30" t="s">
        <v>1177</v>
      </c>
      <c r="AL768" s="93" t="s">
        <v>1178</v>
      </c>
    </row>
    <row r="769" spans="1:38" ht="15" customHeight="1" x14ac:dyDescent="0.3">
      <c r="A769" s="30" t="s">
        <v>883</v>
      </c>
      <c r="B769" s="140" t="s">
        <v>105</v>
      </c>
      <c r="C769" s="107">
        <v>3</v>
      </c>
      <c r="D769" s="11" t="s">
        <v>5936</v>
      </c>
      <c r="E769" s="114">
        <v>39083</v>
      </c>
      <c r="F769" s="12">
        <v>2007</v>
      </c>
      <c r="G769" s="142" t="s">
        <v>1979</v>
      </c>
      <c r="H769" s="162" t="s">
        <v>1980</v>
      </c>
      <c r="I769" s="30" t="s">
        <v>38</v>
      </c>
      <c r="J769" s="32" t="s">
        <v>26</v>
      </c>
      <c r="K769" s="162" t="s">
        <v>1930</v>
      </c>
      <c r="L769" s="200" t="s">
        <v>40</v>
      </c>
      <c r="M769" s="137" t="s">
        <v>804</v>
      </c>
      <c r="N769" s="238"/>
      <c r="O769" s="146" t="s">
        <v>1981</v>
      </c>
      <c r="P769" s="138" t="s">
        <v>1982</v>
      </c>
      <c r="Q769" s="15" t="s">
        <v>35</v>
      </c>
      <c r="R769" s="132">
        <v>39556</v>
      </c>
      <c r="S769" s="16" t="s">
        <v>35</v>
      </c>
      <c r="T769" s="133">
        <v>39976</v>
      </c>
      <c r="U769" s="623"/>
      <c r="V769" s="623"/>
      <c r="W769" s="734">
        <v>40</v>
      </c>
      <c r="X769" s="185">
        <v>30</v>
      </c>
      <c r="Y769" s="7">
        <f t="shared" si="22"/>
        <v>0</v>
      </c>
      <c r="Z769" s="7">
        <f t="shared" si="24"/>
        <v>30</v>
      </c>
      <c r="AA769" s="469"/>
      <c r="AB769" s="564" t="s">
        <v>1073</v>
      </c>
      <c r="AC769" s="693"/>
      <c r="AD769" s="187">
        <v>0.75</v>
      </c>
      <c r="AE769" s="187"/>
      <c r="AF769" s="9">
        <f t="shared" si="23"/>
        <v>0.75</v>
      </c>
      <c r="AG769" s="138"/>
      <c r="AH769" s="138"/>
      <c r="AI769" s="718" t="s">
        <v>1983</v>
      </c>
      <c r="AJ769" s="138" t="s">
        <v>1188</v>
      </c>
      <c r="AK769" s="138" t="s">
        <v>1185</v>
      </c>
      <c r="AL769" s="93" t="s">
        <v>1178</v>
      </c>
    </row>
    <row r="770" spans="1:38" ht="15" customHeight="1" x14ac:dyDescent="0.3">
      <c r="A770" s="30" t="s">
        <v>22</v>
      </c>
      <c r="B770" s="112" t="s">
        <v>105</v>
      </c>
      <c r="C770" s="107">
        <v>16</v>
      </c>
      <c r="D770" s="11" t="s">
        <v>5936</v>
      </c>
      <c r="E770" s="108">
        <v>36854</v>
      </c>
      <c r="F770" s="12">
        <v>2000</v>
      </c>
      <c r="G770" s="142" t="s">
        <v>1984</v>
      </c>
      <c r="H770" s="162" t="s">
        <v>1985</v>
      </c>
      <c r="I770" s="33" t="s">
        <v>33</v>
      </c>
      <c r="J770" s="32" t="s">
        <v>26</v>
      </c>
      <c r="K770" s="197" t="s">
        <v>111</v>
      </c>
      <c r="L770" s="137" t="s">
        <v>40</v>
      </c>
      <c r="M770" s="137" t="s">
        <v>804</v>
      </c>
      <c r="N770" s="137"/>
      <c r="O770" s="93" t="s">
        <v>1986</v>
      </c>
      <c r="P770" s="138" t="s">
        <v>1987</v>
      </c>
      <c r="Q770" s="15" t="s">
        <v>282</v>
      </c>
      <c r="R770" s="132">
        <v>39500</v>
      </c>
      <c r="S770" s="92"/>
      <c r="T770" s="92"/>
      <c r="U770" s="623"/>
      <c r="V770" s="624"/>
      <c r="W770" s="735">
        <v>35</v>
      </c>
      <c r="X770" s="7">
        <v>17.5</v>
      </c>
      <c r="Y770" s="7">
        <f t="shared" ref="Y770:Y833" si="25">W770*AE770</f>
        <v>0</v>
      </c>
      <c r="Z770" s="7">
        <f t="shared" si="24"/>
        <v>17.5</v>
      </c>
      <c r="AA770" s="469"/>
      <c r="AB770" s="513" t="s">
        <v>1231</v>
      </c>
      <c r="AC770" s="147"/>
      <c r="AD770" s="187">
        <v>0.5</v>
      </c>
      <c r="AE770" s="187"/>
      <c r="AF770" s="9">
        <f t="shared" si="23"/>
        <v>0.5</v>
      </c>
      <c r="AG770" s="163" t="s">
        <v>1192</v>
      </c>
      <c r="AH770" s="93" t="s">
        <v>1507</v>
      </c>
      <c r="AI770" s="93"/>
      <c r="AJ770" s="93" t="s">
        <v>1188</v>
      </c>
      <c r="AK770" s="30" t="s">
        <v>1185</v>
      </c>
      <c r="AL770" s="93" t="s">
        <v>1178</v>
      </c>
    </row>
    <row r="771" spans="1:38" ht="15" customHeight="1" x14ac:dyDescent="0.3">
      <c r="A771" s="30" t="s">
        <v>22</v>
      </c>
      <c r="B771" s="87" t="s">
        <v>227</v>
      </c>
      <c r="C771" s="107" t="s">
        <v>1988</v>
      </c>
      <c r="D771" s="11" t="s">
        <v>225</v>
      </c>
      <c r="E771" s="114">
        <v>36475</v>
      </c>
      <c r="F771" s="12">
        <v>1999</v>
      </c>
      <c r="G771" s="142" t="s">
        <v>1989</v>
      </c>
      <c r="H771" s="162" t="s">
        <v>1990</v>
      </c>
      <c r="I771" s="12" t="s">
        <v>938</v>
      </c>
      <c r="J771" s="32" t="s">
        <v>26</v>
      </c>
      <c r="K771" s="197" t="s">
        <v>111</v>
      </c>
      <c r="L771" s="138" t="s">
        <v>1319</v>
      </c>
      <c r="M771" s="137" t="s">
        <v>804</v>
      </c>
      <c r="N771" s="137"/>
      <c r="O771" s="137" t="s">
        <v>1991</v>
      </c>
      <c r="P771" s="197" t="s">
        <v>1992</v>
      </c>
      <c r="Q771" s="15" t="s">
        <v>282</v>
      </c>
      <c r="R771" s="164">
        <v>39009</v>
      </c>
      <c r="S771" s="16" t="s">
        <v>44</v>
      </c>
      <c r="T771" s="165">
        <v>39538</v>
      </c>
      <c r="U771" s="624"/>
      <c r="V771" s="624"/>
      <c r="W771" s="735">
        <v>15</v>
      </c>
      <c r="X771" s="185">
        <v>7.5</v>
      </c>
      <c r="Y771" s="7">
        <f t="shared" si="25"/>
        <v>0</v>
      </c>
      <c r="Z771" s="7">
        <f t="shared" si="24"/>
        <v>7.5</v>
      </c>
      <c r="AA771" s="469"/>
      <c r="AB771" s="500" t="s">
        <v>5953</v>
      </c>
      <c r="AC771" s="501"/>
      <c r="AD771" s="187">
        <v>0.5</v>
      </c>
      <c r="AE771" s="187"/>
      <c r="AF771" s="9">
        <f t="shared" ref="AF771:AF834" si="26">AD771+AE771</f>
        <v>0.5</v>
      </c>
      <c r="AG771" s="188"/>
      <c r="AH771" s="137"/>
      <c r="AI771" s="137"/>
      <c r="AJ771" s="137" t="s">
        <v>1188</v>
      </c>
      <c r="AK771" s="660" t="s">
        <v>1185</v>
      </c>
      <c r="AL771" s="93" t="s">
        <v>1178</v>
      </c>
    </row>
    <row r="772" spans="1:38" ht="15" customHeight="1" x14ac:dyDescent="0.3">
      <c r="A772" s="30" t="s">
        <v>22</v>
      </c>
      <c r="B772" s="87" t="s">
        <v>227</v>
      </c>
      <c r="C772" s="107">
        <v>1</v>
      </c>
      <c r="D772" s="11" t="s">
        <v>225</v>
      </c>
      <c r="E772" s="114">
        <v>37384</v>
      </c>
      <c r="F772" s="12">
        <v>2002</v>
      </c>
      <c r="G772" s="142">
        <v>202091</v>
      </c>
      <c r="H772" s="162" t="s">
        <v>1993</v>
      </c>
      <c r="I772" s="12" t="s">
        <v>938</v>
      </c>
      <c r="J772" s="32" t="s">
        <v>26</v>
      </c>
      <c r="K772" s="197" t="s">
        <v>111</v>
      </c>
      <c r="L772" s="138" t="s">
        <v>1319</v>
      </c>
      <c r="M772" s="137" t="s">
        <v>804</v>
      </c>
      <c r="N772" s="137"/>
      <c r="O772" s="93" t="s">
        <v>1994</v>
      </c>
      <c r="P772" s="138" t="s">
        <v>1995</v>
      </c>
      <c r="Q772" s="15" t="s">
        <v>35</v>
      </c>
      <c r="R772" s="132">
        <v>39107</v>
      </c>
      <c r="S772" s="16" t="s">
        <v>44</v>
      </c>
      <c r="T772" s="133">
        <v>39619</v>
      </c>
      <c r="U772" s="623"/>
      <c r="V772" s="624"/>
      <c r="W772" s="735">
        <v>40</v>
      </c>
      <c r="X772" s="185">
        <v>30</v>
      </c>
      <c r="Y772" s="7">
        <f t="shared" si="25"/>
        <v>0</v>
      </c>
      <c r="Z772" s="7">
        <f t="shared" si="24"/>
        <v>30</v>
      </c>
      <c r="AA772" s="469"/>
      <c r="AB772" s="500" t="s">
        <v>5953</v>
      </c>
      <c r="AC772" s="501"/>
      <c r="AD772" s="187">
        <v>0.75</v>
      </c>
      <c r="AE772" s="187"/>
      <c r="AF772" s="9">
        <f t="shared" si="26"/>
        <v>0.75</v>
      </c>
      <c r="AG772" s="163" t="s">
        <v>664</v>
      </c>
      <c r="AH772" s="93"/>
      <c r="AI772" s="93"/>
      <c r="AJ772" s="93" t="s">
        <v>1188</v>
      </c>
      <c r="AK772" s="30" t="s">
        <v>1185</v>
      </c>
      <c r="AL772" s="93" t="s">
        <v>1178</v>
      </c>
    </row>
    <row r="773" spans="1:38" ht="15" customHeight="1" x14ac:dyDescent="0.3">
      <c r="A773" s="30" t="s">
        <v>22</v>
      </c>
      <c r="B773" s="153" t="s">
        <v>105</v>
      </c>
      <c r="C773" s="109">
        <v>4</v>
      </c>
      <c r="D773" s="11" t="s">
        <v>5936</v>
      </c>
      <c r="E773" s="114">
        <v>38504</v>
      </c>
      <c r="F773" s="33">
        <v>2005</v>
      </c>
      <c r="G773" s="142" t="s">
        <v>1997</v>
      </c>
      <c r="H773" s="162" t="s">
        <v>1998</v>
      </c>
      <c r="I773" s="33" t="s">
        <v>33</v>
      </c>
      <c r="J773" s="32" t="s">
        <v>26</v>
      </c>
      <c r="K773" s="197" t="s">
        <v>111</v>
      </c>
      <c r="L773" s="137" t="s">
        <v>40</v>
      </c>
      <c r="M773" s="137" t="s">
        <v>804</v>
      </c>
      <c r="N773" s="238"/>
      <c r="O773" s="146" t="s">
        <v>1999</v>
      </c>
      <c r="P773" s="138" t="s">
        <v>2000</v>
      </c>
      <c r="Q773" s="15" t="s">
        <v>282</v>
      </c>
      <c r="R773" s="132">
        <v>39568</v>
      </c>
      <c r="S773" s="16" t="s">
        <v>44</v>
      </c>
      <c r="T773" s="133">
        <v>39960</v>
      </c>
      <c r="U773" s="623"/>
      <c r="V773" s="624"/>
      <c r="W773" s="735">
        <v>30</v>
      </c>
      <c r="X773" s="7">
        <v>15</v>
      </c>
      <c r="Y773" s="7">
        <f t="shared" si="25"/>
        <v>0</v>
      </c>
      <c r="Z773" s="7">
        <f t="shared" si="24"/>
        <v>15</v>
      </c>
      <c r="AA773" s="469"/>
      <c r="AB773" s="513" t="s">
        <v>1231</v>
      </c>
      <c r="AC773" s="563"/>
      <c r="AD773" s="186">
        <v>0.5</v>
      </c>
      <c r="AE773" s="187"/>
      <c r="AF773" s="9">
        <f t="shared" si="26"/>
        <v>0.5</v>
      </c>
      <c r="AG773" s="163" t="s">
        <v>1192</v>
      </c>
      <c r="AH773" s="93" t="s">
        <v>1996</v>
      </c>
      <c r="AI773" s="146"/>
      <c r="AJ773" s="93" t="s">
        <v>1188</v>
      </c>
      <c r="AK773" s="30" t="s">
        <v>1185</v>
      </c>
      <c r="AL773" s="93" t="s">
        <v>1178</v>
      </c>
    </row>
    <row r="774" spans="1:38" ht="15" customHeight="1" x14ac:dyDescent="0.3">
      <c r="A774" s="30" t="s">
        <v>22</v>
      </c>
      <c r="B774" s="112" t="s">
        <v>105</v>
      </c>
      <c r="C774" s="109">
        <v>16</v>
      </c>
      <c r="D774" s="11" t="s">
        <v>5936</v>
      </c>
      <c r="E774" s="108">
        <v>37897</v>
      </c>
      <c r="F774" s="33">
        <v>2003</v>
      </c>
      <c r="G774" s="142" t="s">
        <v>2001</v>
      </c>
      <c r="H774" s="162" t="s">
        <v>2002</v>
      </c>
      <c r="I774" s="33" t="s">
        <v>33</v>
      </c>
      <c r="J774" s="32" t="s">
        <v>26</v>
      </c>
      <c r="K774" s="197" t="s">
        <v>111</v>
      </c>
      <c r="L774" s="137" t="s">
        <v>40</v>
      </c>
      <c r="M774" s="137" t="s">
        <v>804</v>
      </c>
      <c r="N774" s="137"/>
      <c r="O774" s="138" t="s">
        <v>2003</v>
      </c>
      <c r="P774" s="138" t="s">
        <v>2004</v>
      </c>
      <c r="Q774" s="15" t="s">
        <v>282</v>
      </c>
      <c r="R774" s="132">
        <v>39500</v>
      </c>
      <c r="S774" s="16" t="s">
        <v>44</v>
      </c>
      <c r="T774" s="133">
        <v>39962</v>
      </c>
      <c r="U774" s="623"/>
      <c r="V774" s="624"/>
      <c r="W774" s="735">
        <v>45</v>
      </c>
      <c r="X774" s="7">
        <v>22.5</v>
      </c>
      <c r="Y774" s="7">
        <f t="shared" si="25"/>
        <v>0</v>
      </c>
      <c r="Z774" s="7">
        <f t="shared" si="24"/>
        <v>22.5</v>
      </c>
      <c r="AA774" s="469"/>
      <c r="AB774" s="513" t="s">
        <v>1231</v>
      </c>
      <c r="AC774" s="147"/>
      <c r="AD774" s="187">
        <v>0.5</v>
      </c>
      <c r="AE774" s="187"/>
      <c r="AF774" s="9">
        <f t="shared" si="26"/>
        <v>0.5</v>
      </c>
      <c r="AG774" s="163" t="s">
        <v>1192</v>
      </c>
      <c r="AH774" s="93"/>
      <c r="AI774" s="146"/>
      <c r="AJ774" s="93" t="s">
        <v>1188</v>
      </c>
      <c r="AK774" s="30" t="s">
        <v>1185</v>
      </c>
      <c r="AL774" s="93" t="s">
        <v>1178</v>
      </c>
    </row>
    <row r="775" spans="1:38" ht="15" customHeight="1" x14ac:dyDescent="0.3">
      <c r="A775" s="30" t="s">
        <v>22</v>
      </c>
      <c r="B775" s="153" t="s">
        <v>105</v>
      </c>
      <c r="C775" s="109">
        <v>4</v>
      </c>
      <c r="D775" s="11" t="s">
        <v>5936</v>
      </c>
      <c r="E775" s="156">
        <v>38565</v>
      </c>
      <c r="F775" s="33">
        <v>2005</v>
      </c>
      <c r="G775" s="142">
        <v>650</v>
      </c>
      <c r="H775" s="162" t="s">
        <v>2005</v>
      </c>
      <c r="I775" s="33" t="s">
        <v>33</v>
      </c>
      <c r="J775" s="32" t="s">
        <v>191</v>
      </c>
      <c r="K775" s="197" t="s">
        <v>1173</v>
      </c>
      <c r="L775" s="138" t="s">
        <v>1319</v>
      </c>
      <c r="M775" s="137" t="s">
        <v>804</v>
      </c>
      <c r="N775" s="137"/>
      <c r="O775" s="93" t="s">
        <v>2006</v>
      </c>
      <c r="P775" s="647" t="s">
        <v>2007</v>
      </c>
      <c r="Q775" s="15" t="s">
        <v>35</v>
      </c>
      <c r="R775" s="132">
        <v>39052</v>
      </c>
      <c r="S775" s="16" t="s">
        <v>35</v>
      </c>
      <c r="T775" s="133">
        <v>39539</v>
      </c>
      <c r="U775" s="623"/>
      <c r="V775" s="624"/>
      <c r="W775" s="735">
        <v>80</v>
      </c>
      <c r="X775" s="7">
        <v>80</v>
      </c>
      <c r="Y775" s="7">
        <f t="shared" si="25"/>
        <v>0</v>
      </c>
      <c r="Z775" s="7">
        <f t="shared" si="24"/>
        <v>80</v>
      </c>
      <c r="AA775" s="469"/>
      <c r="AB775" s="564" t="s">
        <v>1073</v>
      </c>
      <c r="AC775" s="565"/>
      <c r="AD775" s="186">
        <v>1</v>
      </c>
      <c r="AE775" s="187"/>
      <c r="AF775" s="9">
        <f t="shared" si="26"/>
        <v>1</v>
      </c>
      <c r="AG775" s="163" t="s">
        <v>656</v>
      </c>
      <c r="AH775" s="93"/>
      <c r="AI775" s="719" t="s">
        <v>2008</v>
      </c>
      <c r="AJ775" s="93" t="s">
        <v>1188</v>
      </c>
      <c r="AK775" s="30" t="s">
        <v>1185</v>
      </c>
      <c r="AL775" s="93" t="s">
        <v>1175</v>
      </c>
    </row>
    <row r="776" spans="1:38" ht="15" customHeight="1" x14ac:dyDescent="0.3">
      <c r="A776" s="181" t="s">
        <v>22</v>
      </c>
      <c r="B776" s="167" t="s">
        <v>105</v>
      </c>
      <c r="C776" s="135">
        <v>15</v>
      </c>
      <c r="D776" s="11" t="s">
        <v>5936</v>
      </c>
      <c r="E776" s="168">
        <v>39448</v>
      </c>
      <c r="F776" s="136">
        <v>2008</v>
      </c>
      <c r="G776" s="178" t="s">
        <v>2009</v>
      </c>
      <c r="H776" s="204" t="s">
        <v>2010</v>
      </c>
      <c r="I776" s="33" t="s">
        <v>33</v>
      </c>
      <c r="J776" s="32" t="s">
        <v>26</v>
      </c>
      <c r="K776" s="138" t="s">
        <v>1708</v>
      </c>
      <c r="L776" s="138" t="s">
        <v>40</v>
      </c>
      <c r="M776" s="137" t="s">
        <v>804</v>
      </c>
      <c r="N776" s="137"/>
      <c r="O776" s="138" t="s">
        <v>2011</v>
      </c>
      <c r="P776" s="138" t="s">
        <v>2012</v>
      </c>
      <c r="Q776" s="91" t="s">
        <v>1379</v>
      </c>
      <c r="R776" s="132">
        <v>39947</v>
      </c>
      <c r="S776" s="92"/>
      <c r="T776" s="92"/>
      <c r="U776" s="623"/>
      <c r="V776" s="623"/>
      <c r="W776" s="734">
        <v>50</v>
      </c>
      <c r="X776" s="189">
        <v>20</v>
      </c>
      <c r="Y776" s="7">
        <f t="shared" si="25"/>
        <v>0</v>
      </c>
      <c r="Z776" s="7">
        <f t="shared" si="24"/>
        <v>20</v>
      </c>
      <c r="AA776" s="469"/>
      <c r="AB776" s="564" t="s">
        <v>1073</v>
      </c>
      <c r="AC776" s="693"/>
      <c r="AD776" s="187">
        <v>0.4</v>
      </c>
      <c r="AE776" s="187"/>
      <c r="AF776" s="9">
        <f t="shared" si="26"/>
        <v>0.4</v>
      </c>
      <c r="AG776" s="138" t="s">
        <v>1711</v>
      </c>
      <c r="AH776" s="138"/>
      <c r="AI776" s="718" t="s">
        <v>2013</v>
      </c>
      <c r="AJ776" s="138" t="s">
        <v>1188</v>
      </c>
      <c r="AK776" s="138" t="s">
        <v>1177</v>
      </c>
      <c r="AL776" s="138" t="s">
        <v>1175</v>
      </c>
    </row>
    <row r="777" spans="1:38" ht="15" customHeight="1" x14ac:dyDescent="0.3">
      <c r="A777" s="181" t="s">
        <v>22</v>
      </c>
      <c r="B777" s="167" t="s">
        <v>105</v>
      </c>
      <c r="C777" s="135">
        <v>17</v>
      </c>
      <c r="D777" s="11" t="s">
        <v>5936</v>
      </c>
      <c r="E777" s="168">
        <v>39507</v>
      </c>
      <c r="F777" s="136">
        <v>2008</v>
      </c>
      <c r="G777" s="178" t="s">
        <v>2014</v>
      </c>
      <c r="H777" s="204" t="s">
        <v>2015</v>
      </c>
      <c r="I777" s="33" t="s">
        <v>33</v>
      </c>
      <c r="J777" s="32" t="s">
        <v>26</v>
      </c>
      <c r="K777" s="138" t="s">
        <v>1708</v>
      </c>
      <c r="L777" s="138" t="s">
        <v>40</v>
      </c>
      <c r="M777" s="137" t="s">
        <v>804</v>
      </c>
      <c r="N777" s="137"/>
      <c r="O777" s="138" t="s">
        <v>2016</v>
      </c>
      <c r="P777" s="138" t="s">
        <v>2017</v>
      </c>
      <c r="Q777" s="15" t="s">
        <v>282</v>
      </c>
      <c r="R777" s="132">
        <v>39766</v>
      </c>
      <c r="S777" s="16" t="s">
        <v>44</v>
      </c>
      <c r="T777" s="133">
        <v>39850</v>
      </c>
      <c r="U777" s="623"/>
      <c r="V777" s="623"/>
      <c r="W777" s="734">
        <v>30</v>
      </c>
      <c r="X777" s="189">
        <v>15</v>
      </c>
      <c r="Y777" s="7">
        <f t="shared" si="25"/>
        <v>0</v>
      </c>
      <c r="Z777" s="7">
        <f t="shared" si="24"/>
        <v>15</v>
      </c>
      <c r="AA777" s="469"/>
      <c r="AB777" s="564" t="s">
        <v>1073</v>
      </c>
      <c r="AC777" s="693"/>
      <c r="AD777" s="187">
        <v>0.5</v>
      </c>
      <c r="AE777" s="187"/>
      <c r="AF777" s="9">
        <f t="shared" si="26"/>
        <v>0.5</v>
      </c>
      <c r="AG777" s="138" t="s">
        <v>1711</v>
      </c>
      <c r="AH777" s="138"/>
      <c r="AI777" s="138"/>
      <c r="AJ777" s="138" t="s">
        <v>1188</v>
      </c>
      <c r="AK777" s="138" t="s">
        <v>1177</v>
      </c>
      <c r="AL777" s="138" t="s">
        <v>1178</v>
      </c>
    </row>
    <row r="778" spans="1:38" ht="15" customHeight="1" x14ac:dyDescent="0.3">
      <c r="A778" s="30" t="s">
        <v>22</v>
      </c>
      <c r="B778" s="120" t="s">
        <v>105</v>
      </c>
      <c r="C778" s="109">
        <v>5</v>
      </c>
      <c r="D778" s="11" t="s">
        <v>5936</v>
      </c>
      <c r="E778" s="108">
        <v>37622</v>
      </c>
      <c r="F778" s="146">
        <v>2003</v>
      </c>
      <c r="G778" s="142" t="s">
        <v>2018</v>
      </c>
      <c r="H778" s="162" t="s">
        <v>2019</v>
      </c>
      <c r="I778" s="33" t="s">
        <v>33</v>
      </c>
      <c r="J778" s="32" t="s">
        <v>26</v>
      </c>
      <c r="K778" s="197" t="s">
        <v>111</v>
      </c>
      <c r="L778" s="137" t="s">
        <v>40</v>
      </c>
      <c r="M778" s="137" t="s">
        <v>804</v>
      </c>
      <c r="N778" s="137"/>
      <c r="O778" s="93" t="s">
        <v>1963</v>
      </c>
      <c r="P778" s="138" t="s">
        <v>2020</v>
      </c>
      <c r="Q778" s="15" t="s">
        <v>282</v>
      </c>
      <c r="R778" s="132">
        <v>39318</v>
      </c>
      <c r="S778" s="16" t="s">
        <v>44</v>
      </c>
      <c r="T778" s="133">
        <v>39962</v>
      </c>
      <c r="U778" s="623"/>
      <c r="V778" s="624"/>
      <c r="W778" s="735">
        <v>20</v>
      </c>
      <c r="X778" s="7">
        <v>10</v>
      </c>
      <c r="Y778" s="7">
        <f t="shared" si="25"/>
        <v>0</v>
      </c>
      <c r="Z778" s="7">
        <f t="shared" si="24"/>
        <v>10</v>
      </c>
      <c r="AA778" s="469"/>
      <c r="AB778" s="513" t="s">
        <v>1231</v>
      </c>
      <c r="AC778" s="563"/>
      <c r="AD778" s="190">
        <v>0.5</v>
      </c>
      <c r="AE778" s="187"/>
      <c r="AF778" s="9">
        <f t="shared" si="26"/>
        <v>0.5</v>
      </c>
      <c r="AG778" s="163" t="s">
        <v>1192</v>
      </c>
      <c r="AH778" s="93" t="s">
        <v>1507</v>
      </c>
      <c r="AI778" s="37"/>
      <c r="AJ778" s="181" t="s">
        <v>1188</v>
      </c>
      <c r="AK778" s="30" t="s">
        <v>1185</v>
      </c>
      <c r="AL778" s="93" t="s">
        <v>1178</v>
      </c>
    </row>
    <row r="779" spans="1:38" ht="15" customHeight="1" x14ac:dyDescent="0.3">
      <c r="A779" s="30" t="s">
        <v>22</v>
      </c>
      <c r="B779" s="120" t="s">
        <v>228</v>
      </c>
      <c r="C779" s="107">
        <v>2</v>
      </c>
      <c r="D779" s="11" t="s">
        <v>225</v>
      </c>
      <c r="E779" s="108">
        <v>38353</v>
      </c>
      <c r="F779" s="12">
        <v>2005</v>
      </c>
      <c r="G779" s="142"/>
      <c r="H779" s="162"/>
      <c r="I779" s="33" t="s">
        <v>33</v>
      </c>
      <c r="J779" s="32" t="s">
        <v>26</v>
      </c>
      <c r="K779" s="138" t="s">
        <v>180</v>
      </c>
      <c r="L779" s="138" t="s">
        <v>1319</v>
      </c>
      <c r="M779" s="137" t="s">
        <v>804</v>
      </c>
      <c r="N779" s="137"/>
      <c r="O779" s="93" t="s">
        <v>2021</v>
      </c>
      <c r="P779" s="138" t="s">
        <v>2022</v>
      </c>
      <c r="Q779" s="15" t="s">
        <v>282</v>
      </c>
      <c r="R779" s="132">
        <v>39162</v>
      </c>
      <c r="S779" s="16" t="s">
        <v>35</v>
      </c>
      <c r="T779" s="133">
        <v>39591</v>
      </c>
      <c r="U779" s="623"/>
      <c r="V779" s="624"/>
      <c r="W779" s="735">
        <v>20</v>
      </c>
      <c r="X779" s="185">
        <v>10</v>
      </c>
      <c r="Y779" s="7">
        <f t="shared" si="25"/>
        <v>0</v>
      </c>
      <c r="Z779" s="7">
        <f t="shared" si="24"/>
        <v>10</v>
      </c>
      <c r="AA779" s="469"/>
      <c r="AB779" s="504" t="s">
        <v>6115</v>
      </c>
      <c r="AC779" s="138"/>
      <c r="AD779" s="187">
        <v>0.5</v>
      </c>
      <c r="AE779" s="187"/>
      <c r="AF779" s="9">
        <f t="shared" si="26"/>
        <v>0.5</v>
      </c>
      <c r="AG779" s="163" t="s">
        <v>2023</v>
      </c>
      <c r="AH779" s="93"/>
      <c r="AI779" s="718" t="s">
        <v>2025</v>
      </c>
      <c r="AJ779" s="93" t="s">
        <v>1188</v>
      </c>
      <c r="AK779" s="30" t="s">
        <v>1185</v>
      </c>
      <c r="AL779" s="93" t="s">
        <v>1178</v>
      </c>
    </row>
    <row r="780" spans="1:38" ht="15" customHeight="1" x14ac:dyDescent="0.3">
      <c r="A780" s="30" t="s">
        <v>22</v>
      </c>
      <c r="B780" s="112" t="s">
        <v>105</v>
      </c>
      <c r="C780" s="109" t="s">
        <v>1074</v>
      </c>
      <c r="D780" s="11" t="s">
        <v>5936</v>
      </c>
      <c r="E780" s="114">
        <v>38302</v>
      </c>
      <c r="F780" s="33">
        <v>2004</v>
      </c>
      <c r="G780" s="142" t="s">
        <v>2026</v>
      </c>
      <c r="H780" s="162" t="s">
        <v>2027</v>
      </c>
      <c r="I780" s="12" t="s">
        <v>80</v>
      </c>
      <c r="J780" s="32" t="s">
        <v>26</v>
      </c>
      <c r="K780" s="197" t="s">
        <v>111</v>
      </c>
      <c r="L780" s="138" t="s">
        <v>1319</v>
      </c>
      <c r="M780" s="137" t="s">
        <v>804</v>
      </c>
      <c r="N780" s="137"/>
      <c r="O780" s="93" t="s">
        <v>2028</v>
      </c>
      <c r="P780" s="200" t="s">
        <v>2029</v>
      </c>
      <c r="Q780" s="15" t="s">
        <v>282</v>
      </c>
      <c r="R780" s="132">
        <v>39311</v>
      </c>
      <c r="S780" s="16" t="s">
        <v>44</v>
      </c>
      <c r="T780" s="133">
        <v>39994</v>
      </c>
      <c r="U780" s="623"/>
      <c r="V780" s="624"/>
      <c r="W780" s="735">
        <v>30</v>
      </c>
      <c r="X780" s="7">
        <v>15</v>
      </c>
      <c r="Y780" s="7">
        <f t="shared" si="25"/>
        <v>0</v>
      </c>
      <c r="Z780" s="7">
        <f t="shared" si="24"/>
        <v>15</v>
      </c>
      <c r="AA780" s="469"/>
      <c r="AB780" s="513" t="s">
        <v>1057</v>
      </c>
      <c r="AC780" s="563"/>
      <c r="AD780" s="186">
        <v>0.5</v>
      </c>
      <c r="AE780" s="187"/>
      <c r="AF780" s="9">
        <f t="shared" si="26"/>
        <v>0.5</v>
      </c>
      <c r="AG780" s="163" t="s">
        <v>2030</v>
      </c>
      <c r="AH780" s="93" t="s">
        <v>2024</v>
      </c>
      <c r="AI780" s="146"/>
      <c r="AJ780" s="93" t="s">
        <v>1188</v>
      </c>
      <c r="AK780" s="30" t="s">
        <v>1185</v>
      </c>
      <c r="AL780" s="93" t="s">
        <v>1178</v>
      </c>
    </row>
    <row r="781" spans="1:38" ht="15" customHeight="1" x14ac:dyDescent="0.3">
      <c r="A781" s="30" t="s">
        <v>22</v>
      </c>
      <c r="B781" s="140" t="s">
        <v>105</v>
      </c>
      <c r="C781" s="107">
        <v>1</v>
      </c>
      <c r="D781" s="11" t="s">
        <v>5936</v>
      </c>
      <c r="E781" s="114">
        <v>39083</v>
      </c>
      <c r="F781" s="12">
        <v>2007</v>
      </c>
      <c r="G781" s="142" t="s">
        <v>2031</v>
      </c>
      <c r="H781" s="162" t="s">
        <v>2032</v>
      </c>
      <c r="I781" s="33" t="s">
        <v>33</v>
      </c>
      <c r="J781" s="32" t="s">
        <v>26</v>
      </c>
      <c r="K781" s="138" t="s">
        <v>1930</v>
      </c>
      <c r="L781" s="138" t="s">
        <v>1319</v>
      </c>
      <c r="M781" s="137" t="s">
        <v>804</v>
      </c>
      <c r="N781" s="137"/>
      <c r="O781" s="138" t="s">
        <v>2033</v>
      </c>
      <c r="P781" s="138" t="s">
        <v>6003</v>
      </c>
      <c r="Q781" s="15" t="s">
        <v>282</v>
      </c>
      <c r="R781" s="132">
        <v>39962</v>
      </c>
      <c r="S781" s="16" t="s">
        <v>44</v>
      </c>
      <c r="T781" s="133">
        <v>40022</v>
      </c>
      <c r="U781" s="623"/>
      <c r="V781" s="623"/>
      <c r="W781" s="734">
        <v>20</v>
      </c>
      <c r="X781" s="185">
        <v>10</v>
      </c>
      <c r="Y781" s="7">
        <f t="shared" si="25"/>
        <v>0</v>
      </c>
      <c r="Z781" s="7">
        <f t="shared" si="24"/>
        <v>10</v>
      </c>
      <c r="AA781" s="469"/>
      <c r="AB781" s="564" t="s">
        <v>1073</v>
      </c>
      <c r="AC781" s="693"/>
      <c r="AD781" s="187">
        <v>0.5</v>
      </c>
      <c r="AE781" s="187"/>
      <c r="AF781" s="9">
        <f t="shared" si="26"/>
        <v>0.5</v>
      </c>
      <c r="AG781" s="138" t="s">
        <v>1454</v>
      </c>
      <c r="AH781" s="138"/>
      <c r="AI781" s="138"/>
      <c r="AJ781" s="138" t="s">
        <v>1188</v>
      </c>
      <c r="AK781" s="138" t="s">
        <v>1177</v>
      </c>
      <c r="AL781" s="93" t="s">
        <v>1178</v>
      </c>
    </row>
    <row r="782" spans="1:38" ht="15" customHeight="1" x14ac:dyDescent="0.3">
      <c r="A782" s="30" t="s">
        <v>22</v>
      </c>
      <c r="B782" s="153" t="s">
        <v>227</v>
      </c>
      <c r="C782" s="135">
        <v>9</v>
      </c>
      <c r="D782" s="11" t="s">
        <v>225</v>
      </c>
      <c r="E782" s="108">
        <v>37377</v>
      </c>
      <c r="F782" s="12">
        <v>2002</v>
      </c>
      <c r="G782" s="142" t="s">
        <v>2034</v>
      </c>
      <c r="H782" s="162" t="s">
        <v>2035</v>
      </c>
      <c r="I782" s="33" t="s">
        <v>33</v>
      </c>
      <c r="J782" s="32" t="s">
        <v>26</v>
      </c>
      <c r="K782" s="197" t="s">
        <v>111</v>
      </c>
      <c r="L782" s="137" t="s">
        <v>40</v>
      </c>
      <c r="M782" s="137" t="s">
        <v>804</v>
      </c>
      <c r="N782" s="137"/>
      <c r="O782" s="197" t="s">
        <v>2036</v>
      </c>
      <c r="P782" s="197" t="s">
        <v>2037</v>
      </c>
      <c r="Q782" s="15" t="s">
        <v>282</v>
      </c>
      <c r="R782" s="164">
        <v>39485</v>
      </c>
      <c r="S782" s="16" t="s">
        <v>35</v>
      </c>
      <c r="T782" s="165">
        <v>40050</v>
      </c>
      <c r="U782" s="624"/>
      <c r="V782" s="624"/>
      <c r="W782" s="735">
        <v>20</v>
      </c>
      <c r="X782" s="185">
        <v>20</v>
      </c>
      <c r="Y782" s="7">
        <f t="shared" si="25"/>
        <v>0</v>
      </c>
      <c r="Z782" s="7">
        <f t="shared" si="24"/>
        <v>20</v>
      </c>
      <c r="AA782" s="469"/>
      <c r="AB782" s="500" t="s">
        <v>5953</v>
      </c>
      <c r="AC782" s="501"/>
      <c r="AD782" s="187">
        <v>1</v>
      </c>
      <c r="AE782" s="187"/>
      <c r="AF782" s="9">
        <f t="shared" si="26"/>
        <v>1</v>
      </c>
      <c r="AG782" s="163" t="s">
        <v>738</v>
      </c>
      <c r="AH782" s="476" t="s">
        <v>5967</v>
      </c>
      <c r="AI782" s="736" t="s">
        <v>2038</v>
      </c>
      <c r="AJ782" s="138" t="s">
        <v>1188</v>
      </c>
      <c r="AK782" s="660" t="s">
        <v>1185</v>
      </c>
      <c r="AL782" s="93" t="s">
        <v>1178</v>
      </c>
    </row>
    <row r="783" spans="1:38" ht="15" customHeight="1" x14ac:dyDescent="0.3">
      <c r="A783" s="30" t="s">
        <v>22</v>
      </c>
      <c r="B783" s="167" t="s">
        <v>228</v>
      </c>
      <c r="C783" s="107">
        <v>2</v>
      </c>
      <c r="D783" s="11" t="s">
        <v>225</v>
      </c>
      <c r="E783" s="114">
        <v>38504</v>
      </c>
      <c r="F783" s="12">
        <v>2005</v>
      </c>
      <c r="G783" s="142"/>
      <c r="H783" s="162"/>
      <c r="I783" s="33" t="s">
        <v>33</v>
      </c>
      <c r="J783" s="30" t="s">
        <v>67</v>
      </c>
      <c r="K783" s="138" t="s">
        <v>1612</v>
      </c>
      <c r="L783" s="138" t="s">
        <v>1319</v>
      </c>
      <c r="M783" s="137" t="s">
        <v>804</v>
      </c>
      <c r="N783" s="137"/>
      <c r="O783" s="93" t="s">
        <v>2039</v>
      </c>
      <c r="P783" s="138" t="s">
        <v>2040</v>
      </c>
      <c r="Q783" s="15" t="s">
        <v>282</v>
      </c>
      <c r="R783" s="132">
        <v>39277</v>
      </c>
      <c r="S783" s="16" t="s">
        <v>44</v>
      </c>
      <c r="T783" s="133">
        <v>39378</v>
      </c>
      <c r="U783" s="623"/>
      <c r="V783" s="624"/>
      <c r="W783" s="735">
        <v>50</v>
      </c>
      <c r="X783" s="185">
        <v>25</v>
      </c>
      <c r="Y783" s="7">
        <f t="shared" si="25"/>
        <v>0</v>
      </c>
      <c r="Z783" s="7">
        <f t="shared" si="24"/>
        <v>25</v>
      </c>
      <c r="AA783" s="469"/>
      <c r="AB783" s="504" t="s">
        <v>6115</v>
      </c>
      <c r="AC783" s="138"/>
      <c r="AD783" s="187">
        <v>0.5</v>
      </c>
      <c r="AE783" s="187"/>
      <c r="AF783" s="9">
        <f t="shared" si="26"/>
        <v>0.5</v>
      </c>
      <c r="AG783" s="163"/>
      <c r="AH783" s="93"/>
      <c r="AI783" s="93"/>
      <c r="AJ783" s="93" t="s">
        <v>1188</v>
      </c>
      <c r="AK783" s="30" t="s">
        <v>1177</v>
      </c>
      <c r="AL783" s="93" t="s">
        <v>1178</v>
      </c>
    </row>
    <row r="784" spans="1:38" ht="15" customHeight="1" x14ac:dyDescent="0.3">
      <c r="A784" s="30" t="s">
        <v>22</v>
      </c>
      <c r="B784" s="120" t="s">
        <v>227</v>
      </c>
      <c r="C784" s="107">
        <v>1</v>
      </c>
      <c r="D784" s="11" t="s">
        <v>225</v>
      </c>
      <c r="E784" s="108">
        <v>38139</v>
      </c>
      <c r="F784" s="12">
        <v>2004</v>
      </c>
      <c r="G784" s="142"/>
      <c r="H784" s="162"/>
      <c r="I784" s="33" t="s">
        <v>33</v>
      </c>
      <c r="J784" s="32" t="s">
        <v>26</v>
      </c>
      <c r="K784" s="197" t="s">
        <v>111</v>
      </c>
      <c r="L784" s="137" t="s">
        <v>40</v>
      </c>
      <c r="M784" s="137" t="s">
        <v>804</v>
      </c>
      <c r="N784" s="137"/>
      <c r="O784" s="93" t="s">
        <v>2041</v>
      </c>
      <c r="P784" s="138" t="s">
        <v>2042</v>
      </c>
      <c r="Q784" s="15" t="s">
        <v>35</v>
      </c>
      <c r="R784" s="132">
        <v>39650</v>
      </c>
      <c r="S784" s="16" t="s">
        <v>44</v>
      </c>
      <c r="T784" s="133">
        <v>40016</v>
      </c>
      <c r="U784" s="623"/>
      <c r="V784" s="624"/>
      <c r="W784" s="735">
        <v>20</v>
      </c>
      <c r="X784" s="185">
        <v>15</v>
      </c>
      <c r="Y784" s="7">
        <f t="shared" si="25"/>
        <v>0</v>
      </c>
      <c r="Z784" s="7">
        <f t="shared" si="24"/>
        <v>15</v>
      </c>
      <c r="AA784" s="469"/>
      <c r="AB784" s="504" t="s">
        <v>6115</v>
      </c>
      <c r="AC784" s="138"/>
      <c r="AD784" s="187">
        <v>0.75</v>
      </c>
      <c r="AE784" s="187"/>
      <c r="AF784" s="9">
        <f t="shared" si="26"/>
        <v>0.75</v>
      </c>
      <c r="AG784" s="163"/>
      <c r="AH784" s="93"/>
      <c r="AI784" s="93"/>
      <c r="AJ784" s="93" t="s">
        <v>1188</v>
      </c>
      <c r="AK784" s="30" t="s">
        <v>1177</v>
      </c>
      <c r="AL784" s="93" t="s">
        <v>1178</v>
      </c>
    </row>
    <row r="785" spans="1:38" ht="15" customHeight="1" x14ac:dyDescent="0.3">
      <c r="A785" s="30" t="s">
        <v>22</v>
      </c>
      <c r="B785" s="153" t="s">
        <v>227</v>
      </c>
      <c r="C785" s="135">
        <v>3</v>
      </c>
      <c r="D785" s="11" t="s">
        <v>225</v>
      </c>
      <c r="E785" s="108">
        <v>37394</v>
      </c>
      <c r="F785" s="12">
        <v>2002</v>
      </c>
      <c r="G785" s="142" t="s">
        <v>2043</v>
      </c>
      <c r="H785" s="162" t="s">
        <v>2044</v>
      </c>
      <c r="I785" s="181" t="s">
        <v>25</v>
      </c>
      <c r="J785" s="32" t="s">
        <v>26</v>
      </c>
      <c r="K785" s="197" t="s">
        <v>111</v>
      </c>
      <c r="L785" s="137" t="s">
        <v>40</v>
      </c>
      <c r="M785" s="137" t="s">
        <v>804</v>
      </c>
      <c r="N785" s="137"/>
      <c r="O785" s="138" t="s">
        <v>2045</v>
      </c>
      <c r="P785" s="138" t="s">
        <v>2046</v>
      </c>
      <c r="Q785" s="15" t="s">
        <v>282</v>
      </c>
      <c r="R785" s="132">
        <v>39499</v>
      </c>
      <c r="S785" s="16" t="s">
        <v>44</v>
      </c>
      <c r="T785" s="133">
        <v>39918</v>
      </c>
      <c r="U785" s="737"/>
      <c r="V785" s="733"/>
      <c r="W785" s="735">
        <v>25</v>
      </c>
      <c r="X785" s="185">
        <v>12.5</v>
      </c>
      <c r="Y785" s="7">
        <f t="shared" si="25"/>
        <v>0</v>
      </c>
      <c r="Z785" s="7">
        <f t="shared" si="24"/>
        <v>12.5</v>
      </c>
      <c r="AA785" s="469"/>
      <c r="AB785" s="500" t="s">
        <v>5953</v>
      </c>
      <c r="AC785" s="501"/>
      <c r="AD785" s="187">
        <v>0.5</v>
      </c>
      <c r="AE785" s="187"/>
      <c r="AF785" s="9">
        <f t="shared" si="26"/>
        <v>0.5</v>
      </c>
      <c r="AG785" s="163" t="s">
        <v>738</v>
      </c>
      <c r="AH785" s="181" t="s">
        <v>1894</v>
      </c>
      <c r="AI785" s="181" t="s">
        <v>2048</v>
      </c>
      <c r="AJ785" s="138" t="s">
        <v>1188</v>
      </c>
      <c r="AK785" s="181" t="s">
        <v>1185</v>
      </c>
      <c r="AL785" s="93" t="s">
        <v>1178</v>
      </c>
    </row>
    <row r="786" spans="1:38" ht="15" customHeight="1" x14ac:dyDescent="0.3">
      <c r="A786" s="30" t="s">
        <v>22</v>
      </c>
      <c r="B786" s="120" t="s">
        <v>227</v>
      </c>
      <c r="C786" s="107">
        <v>9</v>
      </c>
      <c r="D786" s="11" t="s">
        <v>225</v>
      </c>
      <c r="E786" s="114">
        <v>38914</v>
      </c>
      <c r="F786" s="12">
        <v>2006</v>
      </c>
      <c r="G786" s="142" t="s">
        <v>2050</v>
      </c>
      <c r="H786" s="162" t="s">
        <v>2051</v>
      </c>
      <c r="I786" s="30" t="s">
        <v>38</v>
      </c>
      <c r="J786" s="32" t="s">
        <v>26</v>
      </c>
      <c r="K786" s="197" t="s">
        <v>180</v>
      </c>
      <c r="L786" s="138" t="s">
        <v>1319</v>
      </c>
      <c r="M786" s="137" t="s">
        <v>804</v>
      </c>
      <c r="N786" s="137"/>
      <c r="O786" s="197" t="s">
        <v>2052</v>
      </c>
      <c r="P786" s="197" t="s">
        <v>2053</v>
      </c>
      <c r="Q786" s="15" t="s">
        <v>35</v>
      </c>
      <c r="R786" s="164">
        <v>39107</v>
      </c>
      <c r="S786" s="16" t="s">
        <v>44</v>
      </c>
      <c r="T786" s="165">
        <v>39731</v>
      </c>
      <c r="U786" s="624"/>
      <c r="V786" s="624"/>
      <c r="W786" s="735">
        <v>10</v>
      </c>
      <c r="X786" s="185">
        <v>7.5</v>
      </c>
      <c r="Y786" s="7">
        <f t="shared" si="25"/>
        <v>0</v>
      </c>
      <c r="Z786" s="7">
        <f t="shared" si="24"/>
        <v>7.5</v>
      </c>
      <c r="AA786" s="469"/>
      <c r="AB786" s="500" t="s">
        <v>5953</v>
      </c>
      <c r="AC786" s="501"/>
      <c r="AD786" s="187">
        <v>0.75</v>
      </c>
      <c r="AE786" s="187"/>
      <c r="AF786" s="9">
        <f t="shared" si="26"/>
        <v>0.75</v>
      </c>
      <c r="AG786" s="138"/>
      <c r="AH786" s="197" t="s">
        <v>2047</v>
      </c>
      <c r="AI786" s="197" t="s">
        <v>2054</v>
      </c>
      <c r="AJ786" s="93" t="s">
        <v>1188</v>
      </c>
      <c r="AK786" s="197" t="s">
        <v>1185</v>
      </c>
      <c r="AL786" s="93" t="s">
        <v>1178</v>
      </c>
    </row>
    <row r="787" spans="1:38" ht="15" customHeight="1" x14ac:dyDescent="0.3">
      <c r="A787" s="30" t="s">
        <v>22</v>
      </c>
      <c r="B787" s="112" t="s">
        <v>2049</v>
      </c>
      <c r="C787" s="109">
        <v>2</v>
      </c>
      <c r="D787" s="11" t="s">
        <v>225</v>
      </c>
      <c r="E787" s="90">
        <v>38139</v>
      </c>
      <c r="F787" s="37">
        <v>2004</v>
      </c>
      <c r="G787" s="157"/>
      <c r="H787" s="161"/>
      <c r="I787" s="33" t="s">
        <v>33</v>
      </c>
      <c r="J787" s="32" t="s">
        <v>26</v>
      </c>
      <c r="K787" s="738" t="s">
        <v>111</v>
      </c>
      <c r="L787" s="93" t="s">
        <v>40</v>
      </c>
      <c r="M787" s="137" t="s">
        <v>804</v>
      </c>
      <c r="N787" s="238"/>
      <c r="O787" s="146" t="s">
        <v>2055</v>
      </c>
      <c r="P787" s="200" t="s">
        <v>2056</v>
      </c>
      <c r="Q787" s="15" t="s">
        <v>282</v>
      </c>
      <c r="R787" s="179">
        <v>39434</v>
      </c>
      <c r="S787" s="16" t="s">
        <v>44</v>
      </c>
      <c r="T787" s="191">
        <v>39434</v>
      </c>
      <c r="U787" s="707"/>
      <c r="V787" s="707"/>
      <c r="W787" s="734">
        <v>50</v>
      </c>
      <c r="X787" s="185">
        <v>25</v>
      </c>
      <c r="Y787" s="7">
        <f t="shared" si="25"/>
        <v>0</v>
      </c>
      <c r="Z787" s="7">
        <f t="shared" si="24"/>
        <v>25</v>
      </c>
      <c r="AA787" s="469"/>
      <c r="AB787" s="500" t="s">
        <v>5953</v>
      </c>
      <c r="AC787" s="501"/>
      <c r="AD787" s="187">
        <v>0.5</v>
      </c>
      <c r="AE787" s="187"/>
      <c r="AF787" s="9">
        <f t="shared" si="26"/>
        <v>0.5</v>
      </c>
      <c r="AG787" s="163" t="s">
        <v>738</v>
      </c>
      <c r="AH787" s="93"/>
      <c r="AI787" s="93"/>
      <c r="AJ787" s="93" t="s">
        <v>1188</v>
      </c>
      <c r="AK787" s="30" t="s">
        <v>1177</v>
      </c>
      <c r="AL787" s="146" t="s">
        <v>1178</v>
      </c>
    </row>
    <row r="788" spans="1:38" ht="15" customHeight="1" x14ac:dyDescent="0.3">
      <c r="A788" s="181" t="s">
        <v>883</v>
      </c>
      <c r="B788" s="167" t="s">
        <v>105</v>
      </c>
      <c r="C788" s="135">
        <v>14</v>
      </c>
      <c r="D788" s="11" t="s">
        <v>5936</v>
      </c>
      <c r="E788" s="168">
        <v>39507</v>
      </c>
      <c r="F788" s="136">
        <v>2008</v>
      </c>
      <c r="G788" s="178" t="s">
        <v>2057</v>
      </c>
      <c r="H788" s="204" t="s">
        <v>2058</v>
      </c>
      <c r="I788" s="33" t="s">
        <v>33</v>
      </c>
      <c r="J788" s="32" t="s">
        <v>26</v>
      </c>
      <c r="K788" s="138" t="s">
        <v>1708</v>
      </c>
      <c r="L788" s="138" t="s">
        <v>1319</v>
      </c>
      <c r="M788" s="137" t="s">
        <v>804</v>
      </c>
      <c r="N788" s="137"/>
      <c r="O788" s="138" t="s">
        <v>2059</v>
      </c>
      <c r="P788" s="739" t="s">
        <v>2060</v>
      </c>
      <c r="Q788" s="91" t="s">
        <v>1379</v>
      </c>
      <c r="R788" s="132">
        <v>39996</v>
      </c>
      <c r="S788" s="92"/>
      <c r="T788" s="92"/>
      <c r="U788" s="623"/>
      <c r="V788" s="623"/>
      <c r="W788" s="734">
        <v>50</v>
      </c>
      <c r="X788" s="189">
        <v>25</v>
      </c>
      <c r="Y788" s="7">
        <f t="shared" si="25"/>
        <v>0</v>
      </c>
      <c r="Z788" s="7">
        <f t="shared" si="24"/>
        <v>25</v>
      </c>
      <c r="AA788" s="469"/>
      <c r="AB788" s="564" t="s">
        <v>1073</v>
      </c>
      <c r="AC788" s="693"/>
      <c r="AD788" s="187">
        <v>0.5</v>
      </c>
      <c r="AE788" s="187"/>
      <c r="AF788" s="9">
        <f t="shared" si="26"/>
        <v>0.5</v>
      </c>
      <c r="AG788" s="138" t="s">
        <v>1454</v>
      </c>
      <c r="AH788" s="475"/>
      <c r="AI788" s="732" t="s">
        <v>2013</v>
      </c>
      <c r="AJ788" s="99" t="s">
        <v>1188</v>
      </c>
      <c r="AK788" s="628" t="s">
        <v>1177</v>
      </c>
      <c r="AL788" s="628" t="s">
        <v>1178</v>
      </c>
    </row>
    <row r="789" spans="1:38" ht="15" customHeight="1" x14ac:dyDescent="0.3">
      <c r="A789" s="30" t="s">
        <v>22</v>
      </c>
      <c r="B789" s="153" t="s">
        <v>23</v>
      </c>
      <c r="C789" s="109">
        <v>3</v>
      </c>
      <c r="D789" s="11" t="s">
        <v>24</v>
      </c>
      <c r="E789" s="114">
        <v>39904</v>
      </c>
      <c r="F789" s="33">
        <v>2009</v>
      </c>
      <c r="G789" s="142" t="s">
        <v>2061</v>
      </c>
      <c r="H789" s="162" t="s">
        <v>2062</v>
      </c>
      <c r="I789" s="12" t="s">
        <v>25</v>
      </c>
      <c r="J789" s="32" t="s">
        <v>26</v>
      </c>
      <c r="K789" s="197" t="s">
        <v>1930</v>
      </c>
      <c r="L789" s="137" t="s">
        <v>1319</v>
      </c>
      <c r="M789" s="137" t="s">
        <v>804</v>
      </c>
      <c r="N789" s="137"/>
      <c r="O789" s="93" t="s">
        <v>2063</v>
      </c>
      <c r="P789" s="138" t="s">
        <v>2064</v>
      </c>
      <c r="Q789" s="220" t="s">
        <v>92</v>
      </c>
      <c r="R789" s="132">
        <v>40081</v>
      </c>
      <c r="S789" s="92"/>
      <c r="T789" s="139"/>
      <c r="U789" s="624"/>
      <c r="V789" s="624"/>
      <c r="W789" s="735">
        <v>2</v>
      </c>
      <c r="X789" s="7">
        <v>1.5</v>
      </c>
      <c r="Y789" s="7">
        <f t="shared" si="25"/>
        <v>0</v>
      </c>
      <c r="Z789" s="7">
        <f t="shared" si="24"/>
        <v>1.5</v>
      </c>
      <c r="AA789" s="469"/>
      <c r="AB789" s="479" t="s">
        <v>49</v>
      </c>
      <c r="AC789" s="501"/>
      <c r="AD789" s="186">
        <v>0.75</v>
      </c>
      <c r="AE789" s="187"/>
      <c r="AF789" s="9">
        <f t="shared" si="26"/>
        <v>0.75</v>
      </c>
      <c r="AG789" s="163" t="s">
        <v>667</v>
      </c>
      <c r="AH789" s="93" t="s">
        <v>58</v>
      </c>
      <c r="AI789" s="719" t="s">
        <v>2066</v>
      </c>
      <c r="AJ789" s="93" t="s">
        <v>1188</v>
      </c>
      <c r="AK789" s="30" t="s">
        <v>1177</v>
      </c>
      <c r="AL789" s="93" t="s">
        <v>1178</v>
      </c>
    </row>
    <row r="790" spans="1:38" ht="15" customHeight="1" x14ac:dyDescent="0.3">
      <c r="A790" s="30" t="s">
        <v>22</v>
      </c>
      <c r="B790" s="140" t="s">
        <v>23</v>
      </c>
      <c r="C790" s="107">
        <v>17</v>
      </c>
      <c r="D790" s="11" t="s">
        <v>24</v>
      </c>
      <c r="E790" s="114">
        <v>38966</v>
      </c>
      <c r="F790" s="12">
        <v>2006</v>
      </c>
      <c r="G790" s="114" t="s">
        <v>2067</v>
      </c>
      <c r="H790" s="162" t="s">
        <v>2068</v>
      </c>
      <c r="I790" s="12" t="s">
        <v>938</v>
      </c>
      <c r="J790" s="32" t="s">
        <v>26</v>
      </c>
      <c r="K790" s="197" t="s">
        <v>111</v>
      </c>
      <c r="L790" s="197" t="s">
        <v>2069</v>
      </c>
      <c r="M790" s="137" t="s">
        <v>804</v>
      </c>
      <c r="N790" s="137"/>
      <c r="O790" s="138" t="s">
        <v>2070</v>
      </c>
      <c r="P790" s="138" t="s">
        <v>2071</v>
      </c>
      <c r="Q790" s="15" t="s">
        <v>35</v>
      </c>
      <c r="R790" s="164">
        <v>39612</v>
      </c>
      <c r="S790" s="16" t="s">
        <v>35</v>
      </c>
      <c r="T790" s="165">
        <v>39924</v>
      </c>
      <c r="U790" s="624"/>
      <c r="V790" s="624"/>
      <c r="W790" s="735">
        <v>110</v>
      </c>
      <c r="X790" s="7">
        <v>110</v>
      </c>
      <c r="Y790" s="7">
        <f t="shared" si="25"/>
        <v>0</v>
      </c>
      <c r="Z790" s="7">
        <f t="shared" si="24"/>
        <v>110</v>
      </c>
      <c r="AA790" s="469"/>
      <c r="AB790" s="479" t="s">
        <v>49</v>
      </c>
      <c r="AC790" s="480"/>
      <c r="AD790" s="187">
        <v>1</v>
      </c>
      <c r="AE790" s="187"/>
      <c r="AF790" s="9">
        <f t="shared" si="26"/>
        <v>1</v>
      </c>
      <c r="AG790" s="163" t="s">
        <v>1325</v>
      </c>
      <c r="AH790" s="138" t="s">
        <v>2065</v>
      </c>
      <c r="AI790" s="718" t="s">
        <v>2072</v>
      </c>
      <c r="AJ790" s="93" t="s">
        <v>1188</v>
      </c>
      <c r="AK790" s="138" t="s">
        <v>1185</v>
      </c>
      <c r="AL790" s="93" t="s">
        <v>1178</v>
      </c>
    </row>
    <row r="791" spans="1:38" ht="15" customHeight="1" x14ac:dyDescent="0.3">
      <c r="A791" s="30" t="s">
        <v>22</v>
      </c>
      <c r="B791" s="154" t="s">
        <v>148</v>
      </c>
      <c r="C791" s="107">
        <v>3</v>
      </c>
      <c r="D791" s="11" t="s">
        <v>143</v>
      </c>
      <c r="E791" s="192">
        <v>38826</v>
      </c>
      <c r="F791" s="12">
        <v>2006</v>
      </c>
      <c r="G791" s="142" t="s">
        <v>2073</v>
      </c>
      <c r="H791" s="162" t="s">
        <v>2074</v>
      </c>
      <c r="I791" s="33" t="s">
        <v>33</v>
      </c>
      <c r="J791" s="32" t="s">
        <v>26</v>
      </c>
      <c r="K791" s="197" t="s">
        <v>103</v>
      </c>
      <c r="L791" s="197" t="s">
        <v>40</v>
      </c>
      <c r="M791" s="137" t="s">
        <v>804</v>
      </c>
      <c r="N791" s="137"/>
      <c r="O791" s="138" t="s">
        <v>2075</v>
      </c>
      <c r="P791" s="138" t="s">
        <v>2076</v>
      </c>
      <c r="Q791" s="15" t="s">
        <v>282</v>
      </c>
      <c r="R791" s="132">
        <v>39024</v>
      </c>
      <c r="S791" s="16" t="s">
        <v>44</v>
      </c>
      <c r="T791" s="133">
        <v>39673</v>
      </c>
      <c r="U791" s="623"/>
      <c r="V791" s="624"/>
      <c r="W791" s="735">
        <v>40</v>
      </c>
      <c r="X791" s="185">
        <v>20</v>
      </c>
      <c r="Y791" s="7">
        <f t="shared" si="25"/>
        <v>0</v>
      </c>
      <c r="Z791" s="7">
        <f t="shared" si="24"/>
        <v>20</v>
      </c>
      <c r="AA791" s="469"/>
      <c r="AB791" s="518" t="s">
        <v>5972</v>
      </c>
      <c r="AC791" s="519"/>
      <c r="AD791" s="187">
        <v>0.5</v>
      </c>
      <c r="AE791" s="187"/>
      <c r="AF791" s="9">
        <f t="shared" si="26"/>
        <v>0.5</v>
      </c>
      <c r="AG791" s="138"/>
      <c r="AH791" s="138"/>
      <c r="AI791" s="138"/>
      <c r="AJ791" s="138" t="s">
        <v>1188</v>
      </c>
      <c r="AK791" s="138" t="s">
        <v>1185</v>
      </c>
      <c r="AL791" s="93" t="s">
        <v>1178</v>
      </c>
    </row>
    <row r="792" spans="1:38" ht="15" customHeight="1" x14ac:dyDescent="0.3">
      <c r="A792" s="30" t="s">
        <v>22</v>
      </c>
      <c r="B792" s="167" t="s">
        <v>142</v>
      </c>
      <c r="C792" s="107">
        <v>4</v>
      </c>
      <c r="D792" s="11" t="s">
        <v>143</v>
      </c>
      <c r="E792" s="114">
        <v>38384</v>
      </c>
      <c r="F792" s="12">
        <v>2005</v>
      </c>
      <c r="G792" s="142"/>
      <c r="H792" s="162"/>
      <c r="I792" s="33" t="s">
        <v>33</v>
      </c>
      <c r="J792" s="32" t="s">
        <v>26</v>
      </c>
      <c r="K792" s="197" t="s">
        <v>1708</v>
      </c>
      <c r="L792" s="137" t="s">
        <v>40</v>
      </c>
      <c r="M792" s="137" t="s">
        <v>804</v>
      </c>
      <c r="N792" s="137"/>
      <c r="O792" s="93" t="s">
        <v>1838</v>
      </c>
      <c r="P792" s="138" t="s">
        <v>2077</v>
      </c>
      <c r="Q792" s="15" t="s">
        <v>282</v>
      </c>
      <c r="R792" s="132">
        <v>39507</v>
      </c>
      <c r="S792" s="16" t="s">
        <v>44</v>
      </c>
      <c r="T792" s="133">
        <v>39617</v>
      </c>
      <c r="U792" s="225"/>
      <c r="V792" s="226"/>
      <c r="W792" s="735">
        <v>45</v>
      </c>
      <c r="X792" s="185">
        <v>22.5</v>
      </c>
      <c r="Y792" s="7">
        <f t="shared" si="25"/>
        <v>0</v>
      </c>
      <c r="Z792" s="7">
        <f t="shared" si="24"/>
        <v>22.5</v>
      </c>
      <c r="AA792" s="469"/>
      <c r="AB792" s="513" t="s">
        <v>147</v>
      </c>
      <c r="AC792" s="147"/>
      <c r="AD792" s="187">
        <v>0.5</v>
      </c>
      <c r="AE792" s="187"/>
      <c r="AF792" s="9">
        <f t="shared" si="26"/>
        <v>0.5</v>
      </c>
      <c r="AG792" s="163"/>
      <c r="AH792" s="93"/>
      <c r="AI792" s="93"/>
      <c r="AJ792" s="93" t="s">
        <v>1188</v>
      </c>
      <c r="AK792" s="30" t="s">
        <v>1185</v>
      </c>
      <c r="AL792" s="93" t="s">
        <v>1175</v>
      </c>
    </row>
    <row r="793" spans="1:38" ht="15" customHeight="1" x14ac:dyDescent="0.3">
      <c r="A793" s="30" t="s">
        <v>22</v>
      </c>
      <c r="B793" s="145" t="s">
        <v>144</v>
      </c>
      <c r="C793" s="107">
        <v>3</v>
      </c>
      <c r="D793" s="11" t="s">
        <v>143</v>
      </c>
      <c r="E793" s="108">
        <v>37001</v>
      </c>
      <c r="F793" s="12">
        <v>2001</v>
      </c>
      <c r="G793" s="142" t="s">
        <v>2078</v>
      </c>
      <c r="H793" s="162" t="s">
        <v>2079</v>
      </c>
      <c r="I793" s="33" t="s">
        <v>33</v>
      </c>
      <c r="J793" s="32" t="s">
        <v>26</v>
      </c>
      <c r="K793" s="138" t="s">
        <v>1194</v>
      </c>
      <c r="L793" s="137" t="s">
        <v>40</v>
      </c>
      <c r="M793" s="137" t="s">
        <v>804</v>
      </c>
      <c r="N793" s="137"/>
      <c r="O793" s="93" t="s">
        <v>2080</v>
      </c>
      <c r="P793" s="138" t="s">
        <v>2081</v>
      </c>
      <c r="Q793" s="15" t="s">
        <v>35</v>
      </c>
      <c r="R793" s="132">
        <v>38202</v>
      </c>
      <c r="S793" s="16" t="s">
        <v>44</v>
      </c>
      <c r="T793" s="133">
        <v>39980</v>
      </c>
      <c r="U793" s="623"/>
      <c r="V793" s="624"/>
      <c r="W793" s="735">
        <v>120</v>
      </c>
      <c r="X793" s="7">
        <v>90</v>
      </c>
      <c r="Y793" s="7">
        <f t="shared" si="25"/>
        <v>0</v>
      </c>
      <c r="Z793" s="7">
        <f t="shared" si="24"/>
        <v>90</v>
      </c>
      <c r="AA793" s="469"/>
      <c r="AB793" s="503" t="s">
        <v>6055</v>
      </c>
      <c r="AC793" s="222"/>
      <c r="AD793" s="187">
        <v>0.75</v>
      </c>
      <c r="AE793" s="187"/>
      <c r="AF793" s="9">
        <f t="shared" si="26"/>
        <v>0.75</v>
      </c>
      <c r="AG793" s="163" t="s">
        <v>727</v>
      </c>
      <c r="AH793" s="93" t="s">
        <v>6004</v>
      </c>
      <c r="AI793" s="93"/>
      <c r="AJ793" s="93" t="s">
        <v>1188</v>
      </c>
      <c r="AK793" s="30" t="s">
        <v>1185</v>
      </c>
      <c r="AL793" s="93" t="s">
        <v>1178</v>
      </c>
    </row>
    <row r="794" spans="1:38" ht="15" customHeight="1" x14ac:dyDescent="0.3">
      <c r="A794" s="30" t="s">
        <v>22</v>
      </c>
      <c r="B794" s="155" t="s">
        <v>144</v>
      </c>
      <c r="C794" s="107">
        <v>3</v>
      </c>
      <c r="D794" s="11" t="s">
        <v>143</v>
      </c>
      <c r="E794" s="114">
        <v>35852</v>
      </c>
      <c r="F794" s="12">
        <v>1998</v>
      </c>
      <c r="G794" s="142" t="s">
        <v>2084</v>
      </c>
      <c r="H794" s="162" t="s">
        <v>2085</v>
      </c>
      <c r="I794" s="12" t="s">
        <v>938</v>
      </c>
      <c r="J794" s="32" t="s">
        <v>26</v>
      </c>
      <c r="K794" s="197" t="s">
        <v>1194</v>
      </c>
      <c r="L794" s="138" t="s">
        <v>1319</v>
      </c>
      <c r="M794" s="137" t="s">
        <v>804</v>
      </c>
      <c r="N794" s="137"/>
      <c r="O794" s="93" t="s">
        <v>2086</v>
      </c>
      <c r="P794" s="138" t="s">
        <v>2087</v>
      </c>
      <c r="Q794" s="15" t="s">
        <v>282</v>
      </c>
      <c r="R794" s="91" t="s">
        <v>2088</v>
      </c>
      <c r="S794" s="16" t="s">
        <v>44</v>
      </c>
      <c r="T794" s="133">
        <v>39618</v>
      </c>
      <c r="U794" s="623"/>
      <c r="V794" s="624"/>
      <c r="W794" s="735">
        <v>100</v>
      </c>
      <c r="X794" s="7">
        <v>50</v>
      </c>
      <c r="Y794" s="7">
        <f t="shared" si="25"/>
        <v>0</v>
      </c>
      <c r="Z794" s="7">
        <f t="shared" si="24"/>
        <v>50</v>
      </c>
      <c r="AA794" s="469"/>
      <c r="AB794" s="513" t="s">
        <v>2082</v>
      </c>
      <c r="AC794" s="147"/>
      <c r="AD794" s="187">
        <v>0.5</v>
      </c>
      <c r="AE794" s="187"/>
      <c r="AF794" s="9">
        <f t="shared" si="26"/>
        <v>0.5</v>
      </c>
      <c r="AG794" s="163"/>
      <c r="AH794" s="93"/>
      <c r="AI794" s="93"/>
      <c r="AJ794" s="93" t="s">
        <v>1188</v>
      </c>
      <c r="AK794" s="30" t="s">
        <v>1185</v>
      </c>
      <c r="AL794" s="93" t="s">
        <v>1178</v>
      </c>
    </row>
    <row r="795" spans="1:38" ht="15" customHeight="1" x14ac:dyDescent="0.3">
      <c r="A795" s="30" t="s">
        <v>22</v>
      </c>
      <c r="B795" s="112" t="s">
        <v>2083</v>
      </c>
      <c r="C795" s="107" t="s">
        <v>2089</v>
      </c>
      <c r="D795" s="12" t="s">
        <v>190</v>
      </c>
      <c r="E795" s="108">
        <v>37773</v>
      </c>
      <c r="F795" s="33">
        <v>2003</v>
      </c>
      <c r="G795" s="142"/>
      <c r="H795" s="162"/>
      <c r="I795" s="33" t="s">
        <v>33</v>
      </c>
      <c r="J795" s="32" t="s">
        <v>26</v>
      </c>
      <c r="K795" s="197" t="s">
        <v>1708</v>
      </c>
      <c r="L795" s="137" t="s">
        <v>2090</v>
      </c>
      <c r="M795" s="137" t="s">
        <v>804</v>
      </c>
      <c r="N795" s="137"/>
      <c r="O795" s="138" t="s">
        <v>2091</v>
      </c>
      <c r="P795" s="138" t="s">
        <v>2092</v>
      </c>
      <c r="Q795" s="15" t="s">
        <v>282</v>
      </c>
      <c r="R795" s="132">
        <v>39055</v>
      </c>
      <c r="S795" s="16" t="s">
        <v>44</v>
      </c>
      <c r="T795" s="133">
        <v>39752</v>
      </c>
      <c r="U795" s="623"/>
      <c r="V795" s="624"/>
      <c r="W795" s="735">
        <v>45</v>
      </c>
      <c r="X795" s="7">
        <v>22.5</v>
      </c>
      <c r="Y795" s="7">
        <f t="shared" si="25"/>
        <v>0</v>
      </c>
      <c r="Z795" s="7">
        <f t="shared" si="24"/>
        <v>22.5</v>
      </c>
      <c r="AA795" s="469"/>
      <c r="AB795" s="604" t="s">
        <v>6081</v>
      </c>
      <c r="AC795" s="88"/>
      <c r="AD795" s="186">
        <v>0.5</v>
      </c>
      <c r="AE795" s="187"/>
      <c r="AF795" s="9">
        <f t="shared" si="26"/>
        <v>0.5</v>
      </c>
      <c r="AG795" s="163">
        <v>9</v>
      </c>
      <c r="AH795" s="93" t="s">
        <v>6005</v>
      </c>
      <c r="AI795" s="93"/>
      <c r="AJ795" s="93" t="s">
        <v>1188</v>
      </c>
      <c r="AK795" s="30" t="s">
        <v>1185</v>
      </c>
      <c r="AL795" s="93" t="s">
        <v>1175</v>
      </c>
    </row>
    <row r="796" spans="1:38" ht="15" customHeight="1" x14ac:dyDescent="0.3">
      <c r="A796" s="30" t="s">
        <v>22</v>
      </c>
      <c r="B796" s="112" t="s">
        <v>2083</v>
      </c>
      <c r="C796" s="109" t="s">
        <v>2089</v>
      </c>
      <c r="D796" s="11" t="s">
        <v>5936</v>
      </c>
      <c r="E796" s="108">
        <v>37987</v>
      </c>
      <c r="F796" s="33">
        <v>2004</v>
      </c>
      <c r="G796" s="142"/>
      <c r="H796" s="162"/>
      <c r="I796" s="33" t="s">
        <v>33</v>
      </c>
      <c r="J796" s="32" t="s">
        <v>26</v>
      </c>
      <c r="K796" s="197" t="s">
        <v>1708</v>
      </c>
      <c r="L796" s="137" t="s">
        <v>2090</v>
      </c>
      <c r="M796" s="137" t="s">
        <v>804</v>
      </c>
      <c r="N796" s="137"/>
      <c r="O796" s="138" t="s">
        <v>2093</v>
      </c>
      <c r="P796" s="200" t="s">
        <v>2094</v>
      </c>
      <c r="Q796" s="15" t="s">
        <v>35</v>
      </c>
      <c r="R796" s="132">
        <v>38560</v>
      </c>
      <c r="S796" s="16" t="s">
        <v>44</v>
      </c>
      <c r="T796" s="133">
        <v>39688</v>
      </c>
      <c r="U796" s="623"/>
      <c r="V796" s="624"/>
      <c r="W796" s="735">
        <v>45</v>
      </c>
      <c r="X796" s="7">
        <v>33.75</v>
      </c>
      <c r="Y796" s="7">
        <f t="shared" si="25"/>
        <v>0</v>
      </c>
      <c r="Z796" s="7">
        <f t="shared" si="24"/>
        <v>33.75</v>
      </c>
      <c r="AA796" s="469"/>
      <c r="AB796" s="604" t="s">
        <v>6081</v>
      </c>
      <c r="AC796" s="163"/>
      <c r="AD796" s="187">
        <v>0.75</v>
      </c>
      <c r="AE796" s="187"/>
      <c r="AF796" s="9">
        <f t="shared" si="26"/>
        <v>0.75</v>
      </c>
      <c r="AG796" s="88">
        <v>9</v>
      </c>
      <c r="AH796" s="93"/>
      <c r="AI796" s="93"/>
      <c r="AJ796" s="93" t="s">
        <v>1188</v>
      </c>
      <c r="AK796" s="30" t="s">
        <v>1185</v>
      </c>
      <c r="AL796" s="93" t="s">
        <v>1175</v>
      </c>
    </row>
    <row r="797" spans="1:38" ht="15" customHeight="1" x14ac:dyDescent="0.3">
      <c r="A797" s="30" t="s">
        <v>22</v>
      </c>
      <c r="B797" s="153" t="s">
        <v>23</v>
      </c>
      <c r="C797" s="107" t="s">
        <v>2095</v>
      </c>
      <c r="D797" s="11" t="s">
        <v>24</v>
      </c>
      <c r="E797" s="114">
        <v>39017</v>
      </c>
      <c r="F797" s="12">
        <v>2006</v>
      </c>
      <c r="G797" s="142" t="s">
        <v>2096</v>
      </c>
      <c r="H797" s="162" t="s">
        <v>2097</v>
      </c>
      <c r="I797" s="12" t="s">
        <v>80</v>
      </c>
      <c r="J797" s="32" t="s">
        <v>26</v>
      </c>
      <c r="K797" s="197" t="s">
        <v>111</v>
      </c>
      <c r="L797" s="137" t="s">
        <v>2099</v>
      </c>
      <c r="M797" s="137" t="s">
        <v>804</v>
      </c>
      <c r="N797" s="137"/>
      <c r="O797" s="93" t="s">
        <v>2100</v>
      </c>
      <c r="P797" s="138" t="s">
        <v>2101</v>
      </c>
      <c r="Q797" s="15" t="s">
        <v>35</v>
      </c>
      <c r="R797" s="132">
        <v>39675</v>
      </c>
      <c r="S797" s="16" t="s">
        <v>44</v>
      </c>
      <c r="T797" s="165">
        <v>39927</v>
      </c>
      <c r="U797" s="624"/>
      <c r="V797" s="624"/>
      <c r="W797" s="735">
        <v>52</v>
      </c>
      <c r="X797" s="7">
        <v>39</v>
      </c>
      <c r="Y797" s="7">
        <f t="shared" si="25"/>
        <v>0</v>
      </c>
      <c r="Z797" s="7">
        <f t="shared" si="24"/>
        <v>39</v>
      </c>
      <c r="AA797" s="469"/>
      <c r="AB797" s="518" t="s">
        <v>933</v>
      </c>
      <c r="AC797" s="519"/>
      <c r="AD797" s="187">
        <v>0.75</v>
      </c>
      <c r="AE797" s="187"/>
      <c r="AF797" s="9">
        <f t="shared" si="26"/>
        <v>0.75</v>
      </c>
      <c r="AG797" s="163" t="s">
        <v>667</v>
      </c>
      <c r="AH797" s="93" t="s">
        <v>5970</v>
      </c>
      <c r="AI797" s="93"/>
      <c r="AJ797" s="93" t="s">
        <v>1188</v>
      </c>
      <c r="AK797" s="30" t="s">
        <v>1185</v>
      </c>
      <c r="AL797" s="93" t="s">
        <v>1178</v>
      </c>
    </row>
    <row r="798" spans="1:38" ht="15" customHeight="1" x14ac:dyDescent="0.3">
      <c r="A798" s="30" t="s">
        <v>883</v>
      </c>
      <c r="B798" s="145" t="s">
        <v>105</v>
      </c>
      <c r="C798" s="107">
        <v>12</v>
      </c>
      <c r="D798" s="11" t="s">
        <v>5936</v>
      </c>
      <c r="E798" s="114">
        <v>38504</v>
      </c>
      <c r="F798" s="33">
        <v>2005</v>
      </c>
      <c r="G798" s="142" t="s">
        <v>2102</v>
      </c>
      <c r="H798" s="162" t="s">
        <v>2103</v>
      </c>
      <c r="I798" s="57" t="s">
        <v>6176</v>
      </c>
      <c r="J798" s="30" t="s">
        <v>2098</v>
      </c>
      <c r="K798" s="197" t="s">
        <v>1612</v>
      </c>
      <c r="L798" s="137" t="s">
        <v>1319</v>
      </c>
      <c r="M798" s="137" t="s">
        <v>804</v>
      </c>
      <c r="N798" s="137"/>
      <c r="O798" s="93" t="s">
        <v>2104</v>
      </c>
      <c r="P798" s="138" t="s">
        <v>2105</v>
      </c>
      <c r="Q798" s="15" t="s">
        <v>282</v>
      </c>
      <c r="R798" s="132">
        <v>39549</v>
      </c>
      <c r="S798" s="92"/>
      <c r="T798" s="92"/>
      <c r="U798" s="623"/>
      <c r="V798" s="624"/>
      <c r="W798" s="735">
        <v>40</v>
      </c>
      <c r="X798" s="7">
        <v>20</v>
      </c>
      <c r="Y798" s="7">
        <f t="shared" si="25"/>
        <v>0</v>
      </c>
      <c r="Z798" s="7">
        <f t="shared" si="24"/>
        <v>20</v>
      </c>
      <c r="AA798" s="469"/>
      <c r="AB798" s="564" t="s">
        <v>1073</v>
      </c>
      <c r="AC798" s="693"/>
      <c r="AD798" s="187">
        <v>0.5</v>
      </c>
      <c r="AE798" s="187"/>
      <c r="AF798" s="9">
        <f t="shared" si="26"/>
        <v>0.5</v>
      </c>
      <c r="AG798" s="163" t="s">
        <v>656</v>
      </c>
      <c r="AH798" s="93"/>
      <c r="AI798" s="93"/>
      <c r="AJ798" s="93" t="s">
        <v>1188</v>
      </c>
      <c r="AK798" s="30" t="s">
        <v>1185</v>
      </c>
      <c r="AL798" s="93" t="s">
        <v>1178</v>
      </c>
    </row>
    <row r="799" spans="1:38" ht="15" customHeight="1" x14ac:dyDescent="0.3">
      <c r="A799" s="30" t="s">
        <v>22</v>
      </c>
      <c r="B799" s="153" t="s">
        <v>23</v>
      </c>
      <c r="C799" s="107">
        <v>5</v>
      </c>
      <c r="D799" s="11" t="s">
        <v>24</v>
      </c>
      <c r="E799" s="114">
        <v>39471</v>
      </c>
      <c r="F799" s="12">
        <v>2008</v>
      </c>
      <c r="G799" s="142" t="s">
        <v>2106</v>
      </c>
      <c r="H799" s="162" t="s">
        <v>2107</v>
      </c>
      <c r="I799" s="12" t="s">
        <v>25</v>
      </c>
      <c r="J799" s="32" t="s">
        <v>26</v>
      </c>
      <c r="K799" s="197" t="s">
        <v>1194</v>
      </c>
      <c r="L799" s="137" t="s">
        <v>1319</v>
      </c>
      <c r="M799" s="137" t="s">
        <v>804</v>
      </c>
      <c r="N799" s="137"/>
      <c r="O799" s="93" t="s">
        <v>2108</v>
      </c>
      <c r="P799" s="138" t="s">
        <v>6006</v>
      </c>
      <c r="Q799" s="91" t="s">
        <v>6173</v>
      </c>
      <c r="R799" s="132">
        <v>40113</v>
      </c>
      <c r="S799" s="92"/>
      <c r="T799" s="139"/>
      <c r="U799" s="624"/>
      <c r="V799" s="624"/>
      <c r="W799" s="735">
        <v>163</v>
      </c>
      <c r="X799" s="7">
        <v>81.5</v>
      </c>
      <c r="Y799" s="7">
        <f t="shared" si="25"/>
        <v>0</v>
      </c>
      <c r="Z799" s="7">
        <f t="shared" si="24"/>
        <v>81.5</v>
      </c>
      <c r="AA799" s="469"/>
      <c r="AB799" s="479" t="s">
        <v>49</v>
      </c>
      <c r="AC799" s="480"/>
      <c r="AD799" s="187">
        <v>0.5</v>
      </c>
      <c r="AE799" s="187"/>
      <c r="AF799" s="9">
        <f t="shared" si="26"/>
        <v>0.5</v>
      </c>
      <c r="AG799" s="163" t="s">
        <v>667</v>
      </c>
      <c r="AH799" s="93" t="s">
        <v>5970</v>
      </c>
      <c r="AI799" s="718" t="s">
        <v>2110</v>
      </c>
      <c r="AJ799" s="93" t="s">
        <v>1188</v>
      </c>
      <c r="AK799" s="30" t="s">
        <v>1177</v>
      </c>
      <c r="AL799" s="93" t="s">
        <v>1178</v>
      </c>
    </row>
    <row r="800" spans="1:38" ht="15" customHeight="1" x14ac:dyDescent="0.3">
      <c r="A800" s="30" t="s">
        <v>22</v>
      </c>
      <c r="B800" s="145" t="s">
        <v>227</v>
      </c>
      <c r="C800" s="107">
        <v>7</v>
      </c>
      <c r="D800" s="11" t="s">
        <v>225</v>
      </c>
      <c r="E800" s="108">
        <v>37102</v>
      </c>
      <c r="F800" s="12">
        <v>2001</v>
      </c>
      <c r="G800" s="142"/>
      <c r="H800" s="162"/>
      <c r="I800" s="33" t="s">
        <v>33</v>
      </c>
      <c r="J800" s="32" t="s">
        <v>26</v>
      </c>
      <c r="K800" s="197" t="s">
        <v>111</v>
      </c>
      <c r="L800" s="137" t="s">
        <v>40</v>
      </c>
      <c r="M800" s="137" t="s">
        <v>804</v>
      </c>
      <c r="N800" s="137"/>
      <c r="O800" s="137" t="s">
        <v>2111</v>
      </c>
      <c r="P800" s="138" t="s">
        <v>2112</v>
      </c>
      <c r="Q800" s="15" t="s">
        <v>282</v>
      </c>
      <c r="R800" s="164">
        <v>38525</v>
      </c>
      <c r="S800" s="16" t="s">
        <v>44</v>
      </c>
      <c r="T800" s="165">
        <v>39640</v>
      </c>
      <c r="U800" s="624"/>
      <c r="V800" s="624"/>
      <c r="W800" s="735">
        <v>20</v>
      </c>
      <c r="X800" s="185">
        <v>10</v>
      </c>
      <c r="Y800" s="7">
        <f t="shared" si="25"/>
        <v>0</v>
      </c>
      <c r="Z800" s="7">
        <f t="shared" si="24"/>
        <v>10</v>
      </c>
      <c r="AA800" s="469"/>
      <c r="AB800" s="504" t="s">
        <v>6115</v>
      </c>
      <c r="AC800" s="138"/>
      <c r="AD800" s="187">
        <v>0.5</v>
      </c>
      <c r="AE800" s="187"/>
      <c r="AF800" s="9">
        <f t="shared" si="26"/>
        <v>0.5</v>
      </c>
      <c r="AG800" s="188"/>
      <c r="AH800" s="137" t="s">
        <v>2109</v>
      </c>
      <c r="AI800" s="137"/>
      <c r="AJ800" s="93" t="s">
        <v>1188</v>
      </c>
      <c r="AK800" s="660" t="s">
        <v>1185</v>
      </c>
      <c r="AL800" s="93" t="s">
        <v>1178</v>
      </c>
    </row>
    <row r="801" spans="1:38" ht="15" customHeight="1" x14ac:dyDescent="0.3">
      <c r="A801" s="30" t="s">
        <v>22</v>
      </c>
      <c r="B801" s="112" t="s">
        <v>105</v>
      </c>
      <c r="C801" s="109" t="s">
        <v>2114</v>
      </c>
      <c r="D801" s="11" t="s">
        <v>5936</v>
      </c>
      <c r="E801" s="114">
        <v>37966</v>
      </c>
      <c r="F801" s="12">
        <v>2003</v>
      </c>
      <c r="G801" s="142" t="s">
        <v>2115</v>
      </c>
      <c r="H801" s="162" t="s">
        <v>2116</v>
      </c>
      <c r="I801" s="12" t="s">
        <v>80</v>
      </c>
      <c r="J801" s="32" t="s">
        <v>26</v>
      </c>
      <c r="K801" s="197" t="s">
        <v>111</v>
      </c>
      <c r="L801" s="138" t="s">
        <v>1319</v>
      </c>
      <c r="M801" s="137" t="s">
        <v>804</v>
      </c>
      <c r="N801" s="137"/>
      <c r="O801" s="93" t="s">
        <v>2117</v>
      </c>
      <c r="P801" s="200" t="s">
        <v>2118</v>
      </c>
      <c r="Q801" s="15" t="s">
        <v>282</v>
      </c>
      <c r="R801" s="132">
        <v>39506</v>
      </c>
      <c r="S801" s="16" t="s">
        <v>44</v>
      </c>
      <c r="T801" s="133">
        <v>39758</v>
      </c>
      <c r="U801" s="623" t="s">
        <v>1602</v>
      </c>
      <c r="V801" s="180">
        <v>40072</v>
      </c>
      <c r="W801" s="735">
        <v>85</v>
      </c>
      <c r="X801" s="7">
        <v>42.5</v>
      </c>
      <c r="Y801" s="7">
        <f t="shared" si="25"/>
        <v>0</v>
      </c>
      <c r="Z801" s="7">
        <f t="shared" si="24"/>
        <v>42.5</v>
      </c>
      <c r="AA801" s="469"/>
      <c r="AB801" s="513" t="s">
        <v>1057</v>
      </c>
      <c r="AC801" s="563"/>
      <c r="AD801" s="186">
        <v>0.5</v>
      </c>
      <c r="AE801" s="187"/>
      <c r="AF801" s="9">
        <f t="shared" si="26"/>
        <v>0.5</v>
      </c>
      <c r="AG801" s="88" t="s">
        <v>2030</v>
      </c>
      <c r="AH801" s="93" t="s">
        <v>2113</v>
      </c>
      <c r="AI801" s="146"/>
      <c r="AJ801" s="93" t="s">
        <v>1188</v>
      </c>
      <c r="AK801" s="30" t="s">
        <v>99</v>
      </c>
      <c r="AL801" s="93" t="s">
        <v>1178</v>
      </c>
    </row>
    <row r="802" spans="1:38" ht="15" customHeight="1" x14ac:dyDescent="0.3">
      <c r="A802" s="30" t="s">
        <v>22</v>
      </c>
      <c r="B802" s="153" t="s">
        <v>23</v>
      </c>
      <c r="C802" s="109" t="s">
        <v>2119</v>
      </c>
      <c r="D802" s="11" t="s">
        <v>24</v>
      </c>
      <c r="E802" s="114">
        <v>39918</v>
      </c>
      <c r="F802" s="33">
        <v>2009</v>
      </c>
      <c r="G802" s="142" t="s">
        <v>2120</v>
      </c>
      <c r="H802" s="162"/>
      <c r="I802" s="12" t="s">
        <v>80</v>
      </c>
      <c r="J802" s="32" t="s">
        <v>26</v>
      </c>
      <c r="K802" s="197" t="s">
        <v>2121</v>
      </c>
      <c r="L802" s="137" t="s">
        <v>2099</v>
      </c>
      <c r="M802" s="137" t="s">
        <v>804</v>
      </c>
      <c r="N802" s="137"/>
      <c r="O802" s="93" t="s">
        <v>2122</v>
      </c>
      <c r="P802" s="138" t="s">
        <v>2123</v>
      </c>
      <c r="Q802" s="220" t="s">
        <v>92</v>
      </c>
      <c r="R802" s="132">
        <v>40136</v>
      </c>
      <c r="S802" s="92"/>
      <c r="T802" s="139"/>
      <c r="U802" s="624"/>
      <c r="V802" s="624"/>
      <c r="W802" s="735">
        <v>27</v>
      </c>
      <c r="X802" s="7">
        <v>5.4</v>
      </c>
      <c r="Y802" s="7">
        <f t="shared" si="25"/>
        <v>0</v>
      </c>
      <c r="Z802" s="7">
        <f t="shared" si="24"/>
        <v>5.4</v>
      </c>
      <c r="AA802" s="469"/>
      <c r="AB802" s="479" t="s">
        <v>49</v>
      </c>
      <c r="AC802" s="501"/>
      <c r="AD802" s="186">
        <v>0.2</v>
      </c>
      <c r="AE802" s="187"/>
      <c r="AF802" s="9">
        <f t="shared" si="26"/>
        <v>0.2</v>
      </c>
      <c r="AG802" s="163" t="s">
        <v>667</v>
      </c>
      <c r="AH802" s="93" t="s">
        <v>58</v>
      </c>
      <c r="AI802" s="719" t="s">
        <v>2124</v>
      </c>
      <c r="AJ802" s="93" t="s">
        <v>1188</v>
      </c>
      <c r="AK802" s="30" t="s">
        <v>1177</v>
      </c>
      <c r="AL802" s="93" t="s">
        <v>1178</v>
      </c>
    </row>
    <row r="803" spans="1:38" ht="15" customHeight="1" x14ac:dyDescent="0.3">
      <c r="A803" s="30" t="s">
        <v>22</v>
      </c>
      <c r="B803" s="167" t="s">
        <v>148</v>
      </c>
      <c r="C803" s="107">
        <v>2</v>
      </c>
      <c r="D803" s="11" t="s">
        <v>143</v>
      </c>
      <c r="E803" s="114">
        <v>38490</v>
      </c>
      <c r="F803" s="12">
        <v>2005</v>
      </c>
      <c r="G803" s="142" t="s">
        <v>2125</v>
      </c>
      <c r="H803" s="162"/>
      <c r="I803" s="33" t="s">
        <v>33</v>
      </c>
      <c r="J803" s="32" t="s">
        <v>26</v>
      </c>
      <c r="K803" s="197" t="s">
        <v>1708</v>
      </c>
      <c r="L803" s="138" t="s">
        <v>1319</v>
      </c>
      <c r="M803" s="137" t="s">
        <v>804</v>
      </c>
      <c r="N803" s="137"/>
      <c r="O803" s="93" t="s">
        <v>2126</v>
      </c>
      <c r="P803" s="138" t="s">
        <v>2127</v>
      </c>
      <c r="Q803" s="15" t="s">
        <v>282</v>
      </c>
      <c r="R803" s="132">
        <v>39010</v>
      </c>
      <c r="S803" s="16" t="s">
        <v>44</v>
      </c>
      <c r="T803" s="133">
        <v>39855</v>
      </c>
      <c r="U803" s="623" t="s">
        <v>1602</v>
      </c>
      <c r="V803" s="180">
        <v>40100</v>
      </c>
      <c r="W803" s="735">
        <v>45</v>
      </c>
      <c r="X803" s="185">
        <v>22.5</v>
      </c>
      <c r="Y803" s="7">
        <f t="shared" si="25"/>
        <v>0</v>
      </c>
      <c r="Z803" s="7">
        <f t="shared" si="24"/>
        <v>22.5</v>
      </c>
      <c r="AA803" s="469"/>
      <c r="AB803" s="518" t="s">
        <v>5972</v>
      </c>
      <c r="AC803" s="626"/>
      <c r="AD803" s="186">
        <v>0.5</v>
      </c>
      <c r="AE803" s="187"/>
      <c r="AF803" s="9">
        <f t="shared" si="26"/>
        <v>0.5</v>
      </c>
      <c r="AG803" s="163"/>
      <c r="AH803" s="93"/>
      <c r="AI803" s="93"/>
      <c r="AJ803" s="93" t="s">
        <v>1188</v>
      </c>
      <c r="AK803" s="30" t="s">
        <v>1185</v>
      </c>
      <c r="AL803" s="93" t="s">
        <v>1175</v>
      </c>
    </row>
    <row r="804" spans="1:38" ht="15" customHeight="1" x14ac:dyDescent="0.3">
      <c r="A804" s="30" t="s">
        <v>22</v>
      </c>
      <c r="B804" s="153" t="s">
        <v>23</v>
      </c>
      <c r="C804" s="107">
        <v>3</v>
      </c>
      <c r="D804" s="11" t="s">
        <v>24</v>
      </c>
      <c r="E804" s="114">
        <v>39187</v>
      </c>
      <c r="F804" s="12">
        <v>2007</v>
      </c>
      <c r="G804" s="142" t="s">
        <v>2128</v>
      </c>
      <c r="H804" s="162" t="s">
        <v>2129</v>
      </c>
      <c r="I804" s="12" t="s">
        <v>938</v>
      </c>
      <c r="J804" s="32" t="s">
        <v>26</v>
      </c>
      <c r="K804" s="197" t="s">
        <v>1930</v>
      </c>
      <c r="L804" s="137" t="s">
        <v>1319</v>
      </c>
      <c r="M804" s="137" t="s">
        <v>804</v>
      </c>
      <c r="N804" s="137"/>
      <c r="O804" s="93" t="s">
        <v>2063</v>
      </c>
      <c r="P804" s="138" t="s">
        <v>2130</v>
      </c>
      <c r="Q804" s="15" t="s">
        <v>35</v>
      </c>
      <c r="R804" s="132">
        <v>39748</v>
      </c>
      <c r="S804" s="16" t="s">
        <v>35</v>
      </c>
      <c r="T804" s="165">
        <v>40086</v>
      </c>
      <c r="U804" s="624"/>
      <c r="V804" s="624"/>
      <c r="W804" s="735">
        <v>32</v>
      </c>
      <c r="X804" s="7">
        <v>32</v>
      </c>
      <c r="Y804" s="7">
        <f t="shared" si="25"/>
        <v>0</v>
      </c>
      <c r="Z804" s="7">
        <f t="shared" si="24"/>
        <v>32</v>
      </c>
      <c r="AA804" s="469"/>
      <c r="AB804" s="479" t="s">
        <v>49</v>
      </c>
      <c r="AC804" s="480"/>
      <c r="AD804" s="187">
        <v>1</v>
      </c>
      <c r="AE804" s="187"/>
      <c r="AF804" s="9">
        <f t="shared" si="26"/>
        <v>1</v>
      </c>
      <c r="AG804" s="163" t="s">
        <v>667</v>
      </c>
      <c r="AH804" s="93" t="s">
        <v>5970</v>
      </c>
      <c r="AI804" s="718" t="s">
        <v>2131</v>
      </c>
      <c r="AJ804" s="93" t="s">
        <v>1188</v>
      </c>
      <c r="AK804" s="30" t="s">
        <v>1185</v>
      </c>
      <c r="AL804" s="93" t="s">
        <v>1178</v>
      </c>
    </row>
    <row r="805" spans="1:38" ht="15" customHeight="1" x14ac:dyDescent="0.3">
      <c r="A805" s="30" t="s">
        <v>22</v>
      </c>
      <c r="B805" s="167" t="s">
        <v>148</v>
      </c>
      <c r="C805" s="107">
        <v>7</v>
      </c>
      <c r="D805" s="11" t="s">
        <v>143</v>
      </c>
      <c r="E805" s="114">
        <v>38504</v>
      </c>
      <c r="F805" s="12">
        <v>2005</v>
      </c>
      <c r="G805" s="142" t="s">
        <v>2132</v>
      </c>
      <c r="H805" s="162"/>
      <c r="I805" s="33" t="s">
        <v>33</v>
      </c>
      <c r="J805" s="32" t="s">
        <v>26</v>
      </c>
      <c r="K805" s="197" t="s">
        <v>1708</v>
      </c>
      <c r="L805" s="137" t="s">
        <v>40</v>
      </c>
      <c r="M805" s="137" t="s">
        <v>804</v>
      </c>
      <c r="N805" s="137"/>
      <c r="O805" s="93" t="s">
        <v>805</v>
      </c>
      <c r="P805" s="138" t="s">
        <v>2133</v>
      </c>
      <c r="Q805" s="15" t="s">
        <v>282</v>
      </c>
      <c r="R805" s="132">
        <v>39051</v>
      </c>
      <c r="S805" s="16" t="s">
        <v>44</v>
      </c>
      <c r="T805" s="133">
        <v>39925</v>
      </c>
      <c r="U805" s="623"/>
      <c r="V805" s="624"/>
      <c r="W805" s="735">
        <v>45</v>
      </c>
      <c r="X805" s="185">
        <v>22.5</v>
      </c>
      <c r="Y805" s="7">
        <f t="shared" si="25"/>
        <v>0</v>
      </c>
      <c r="Z805" s="7">
        <f t="shared" si="24"/>
        <v>22.5</v>
      </c>
      <c r="AA805" s="469"/>
      <c r="AB805" s="518" t="s">
        <v>5972</v>
      </c>
      <c r="AC805" s="519"/>
      <c r="AD805" s="187">
        <v>0.5</v>
      </c>
      <c r="AE805" s="187"/>
      <c r="AF805" s="9">
        <f t="shared" si="26"/>
        <v>0.5</v>
      </c>
      <c r="AG805" s="163"/>
      <c r="AH805" s="93"/>
      <c r="AI805" s="93"/>
      <c r="AJ805" s="93" t="s">
        <v>1188</v>
      </c>
      <c r="AK805" s="30" t="s">
        <v>1185</v>
      </c>
      <c r="AL805" s="93" t="s">
        <v>1175</v>
      </c>
    </row>
    <row r="806" spans="1:38" ht="15" customHeight="1" x14ac:dyDescent="0.3">
      <c r="A806" s="181" t="s">
        <v>140</v>
      </c>
      <c r="B806" s="167" t="s">
        <v>195</v>
      </c>
      <c r="C806" s="135" t="s">
        <v>2134</v>
      </c>
      <c r="D806" s="136" t="s">
        <v>190</v>
      </c>
      <c r="E806" s="168">
        <v>39592</v>
      </c>
      <c r="F806" s="136">
        <v>2008</v>
      </c>
      <c r="G806" s="178"/>
      <c r="H806" s="204"/>
      <c r="I806" s="33" t="s">
        <v>33</v>
      </c>
      <c r="J806" s="181" t="s">
        <v>81</v>
      </c>
      <c r="K806" s="138" t="s">
        <v>141</v>
      </c>
      <c r="L806" s="138" t="s">
        <v>40</v>
      </c>
      <c r="M806" s="137" t="s">
        <v>804</v>
      </c>
      <c r="N806" s="137"/>
      <c r="O806" s="91" t="s">
        <v>2135</v>
      </c>
      <c r="P806" s="138" t="s">
        <v>2136</v>
      </c>
      <c r="Q806" s="15" t="s">
        <v>282</v>
      </c>
      <c r="R806" s="132">
        <v>39766</v>
      </c>
      <c r="S806" s="16" t="s">
        <v>35</v>
      </c>
      <c r="T806" s="133">
        <v>39981</v>
      </c>
      <c r="U806" s="623"/>
      <c r="V806" s="623"/>
      <c r="W806" s="734">
        <v>5</v>
      </c>
      <c r="X806" s="189">
        <v>5</v>
      </c>
      <c r="Y806" s="7">
        <f t="shared" si="25"/>
        <v>0</v>
      </c>
      <c r="Z806" s="7">
        <f t="shared" si="24"/>
        <v>5</v>
      </c>
      <c r="AA806" s="469"/>
      <c r="AB806" s="604" t="s">
        <v>6081</v>
      </c>
      <c r="AC806" s="163"/>
      <c r="AD806" s="187">
        <v>1</v>
      </c>
      <c r="AE806" s="187"/>
      <c r="AF806" s="9">
        <f t="shared" si="26"/>
        <v>1</v>
      </c>
      <c r="AG806" s="138" t="s">
        <v>1268</v>
      </c>
      <c r="AH806" s="138"/>
      <c r="AI806" s="138" t="s">
        <v>2137</v>
      </c>
      <c r="AJ806" s="138" t="s">
        <v>1188</v>
      </c>
      <c r="AK806" s="138" t="s">
        <v>1185</v>
      </c>
      <c r="AL806" s="138" t="s">
        <v>1178</v>
      </c>
    </row>
    <row r="807" spans="1:38" ht="15" customHeight="1" x14ac:dyDescent="0.3">
      <c r="A807" s="30" t="s">
        <v>140</v>
      </c>
      <c r="B807" s="153" t="s">
        <v>142</v>
      </c>
      <c r="C807" s="135">
        <v>1</v>
      </c>
      <c r="D807" s="11" t="s">
        <v>143</v>
      </c>
      <c r="E807" s="108">
        <v>37734</v>
      </c>
      <c r="F807" s="12">
        <v>2003</v>
      </c>
      <c r="G807" s="142"/>
      <c r="H807" s="162"/>
      <c r="I807" s="12" t="s">
        <v>25</v>
      </c>
      <c r="J807" s="30" t="s">
        <v>81</v>
      </c>
      <c r="K807" s="197" t="s">
        <v>141</v>
      </c>
      <c r="L807" s="137" t="s">
        <v>1049</v>
      </c>
      <c r="M807" s="137" t="s">
        <v>804</v>
      </c>
      <c r="N807" s="137"/>
      <c r="O807" s="138" t="s">
        <v>2138</v>
      </c>
      <c r="P807" s="138" t="s">
        <v>2139</v>
      </c>
      <c r="Q807" s="15" t="s">
        <v>35</v>
      </c>
      <c r="R807" s="132">
        <v>40008</v>
      </c>
      <c r="S807" s="16" t="s">
        <v>35</v>
      </c>
      <c r="T807" s="133">
        <v>40205</v>
      </c>
      <c r="U807" s="710"/>
      <c r="V807" s="711"/>
      <c r="W807" s="735">
        <v>15</v>
      </c>
      <c r="X807" s="185">
        <v>11.25</v>
      </c>
      <c r="Y807" s="7">
        <f t="shared" si="25"/>
        <v>0</v>
      </c>
      <c r="Z807" s="7">
        <f t="shared" si="24"/>
        <v>11.25</v>
      </c>
      <c r="AA807" s="469"/>
      <c r="AB807" s="513" t="s">
        <v>147</v>
      </c>
      <c r="AC807" s="147"/>
      <c r="AD807" s="193">
        <v>0.75</v>
      </c>
      <c r="AE807" s="187"/>
      <c r="AF807" s="9">
        <f t="shared" si="26"/>
        <v>0.75</v>
      </c>
      <c r="AG807" s="181"/>
      <c r="AH807" s="93" t="s">
        <v>500</v>
      </c>
      <c r="AI807" s="718" t="s">
        <v>2140</v>
      </c>
      <c r="AJ807" s="181" t="s">
        <v>1188</v>
      </c>
      <c r="AK807" s="181" t="s">
        <v>1185</v>
      </c>
      <c r="AL807" s="93" t="s">
        <v>1178</v>
      </c>
    </row>
    <row r="808" spans="1:38" ht="15" customHeight="1" x14ac:dyDescent="0.3">
      <c r="A808" s="30" t="s">
        <v>858</v>
      </c>
      <c r="B808" s="119" t="s">
        <v>197</v>
      </c>
      <c r="C808" s="109">
        <v>1</v>
      </c>
      <c r="D808" s="12" t="s">
        <v>190</v>
      </c>
      <c r="E808" s="114">
        <v>38822</v>
      </c>
      <c r="F808" s="33">
        <v>2006</v>
      </c>
      <c r="G808" s="142">
        <v>0.10319042871385843</v>
      </c>
      <c r="H808" s="162"/>
      <c r="I808" s="33" t="s">
        <v>33</v>
      </c>
      <c r="J808" s="30" t="s">
        <v>81</v>
      </c>
      <c r="K808" s="197" t="s">
        <v>141</v>
      </c>
      <c r="L808" s="137" t="s">
        <v>1049</v>
      </c>
      <c r="M808" s="137" t="s">
        <v>804</v>
      </c>
      <c r="N808" s="137"/>
      <c r="O808" s="93" t="s">
        <v>2141</v>
      </c>
      <c r="P808" s="138" t="s">
        <v>2142</v>
      </c>
      <c r="Q808" s="15" t="s">
        <v>282</v>
      </c>
      <c r="R808" s="91"/>
      <c r="S808" s="16" t="s">
        <v>35</v>
      </c>
      <c r="T808" s="133">
        <v>40035</v>
      </c>
      <c r="U808" s="623"/>
      <c r="V808" s="624"/>
      <c r="W808" s="735">
        <v>15</v>
      </c>
      <c r="X808" s="7">
        <v>7.5</v>
      </c>
      <c r="Y808" s="7">
        <f t="shared" si="25"/>
        <v>0</v>
      </c>
      <c r="Z808" s="7">
        <f t="shared" si="24"/>
        <v>7.5</v>
      </c>
      <c r="AA808" s="469"/>
      <c r="AB808" s="513" t="s">
        <v>1027</v>
      </c>
      <c r="AC808" s="147"/>
      <c r="AD808" s="187">
        <v>0.5</v>
      </c>
      <c r="AE808" s="187"/>
      <c r="AF808" s="9">
        <f t="shared" si="26"/>
        <v>0.5</v>
      </c>
      <c r="AG808" s="163" t="s">
        <v>2143</v>
      </c>
      <c r="AH808" s="93"/>
      <c r="AI808" s="718" t="s">
        <v>2145</v>
      </c>
      <c r="AJ808" s="93" t="s">
        <v>1188</v>
      </c>
      <c r="AK808" s="30" t="s">
        <v>1185</v>
      </c>
      <c r="AL808" s="93" t="s">
        <v>1178</v>
      </c>
    </row>
    <row r="809" spans="1:38" ht="15" customHeight="1" x14ac:dyDescent="0.3">
      <c r="A809" s="30" t="s">
        <v>22</v>
      </c>
      <c r="B809" s="153" t="s">
        <v>23</v>
      </c>
      <c r="C809" s="107">
        <v>2</v>
      </c>
      <c r="D809" s="11" t="s">
        <v>24</v>
      </c>
      <c r="E809" s="114">
        <v>38951</v>
      </c>
      <c r="F809" s="12">
        <v>2006</v>
      </c>
      <c r="G809" s="142" t="s">
        <v>2146</v>
      </c>
      <c r="H809" s="162" t="s">
        <v>2147</v>
      </c>
      <c r="I809" s="33" t="s">
        <v>33</v>
      </c>
      <c r="J809" s="32" t="s">
        <v>26</v>
      </c>
      <c r="K809" s="197" t="s">
        <v>1930</v>
      </c>
      <c r="L809" s="137" t="s">
        <v>40</v>
      </c>
      <c r="M809" s="137" t="s">
        <v>804</v>
      </c>
      <c r="N809" s="137"/>
      <c r="O809" s="93" t="s">
        <v>1931</v>
      </c>
      <c r="P809" s="138" t="s">
        <v>2148</v>
      </c>
      <c r="Q809" s="15" t="s">
        <v>35</v>
      </c>
      <c r="R809" s="132">
        <v>39602</v>
      </c>
      <c r="S809" s="16" t="s">
        <v>35</v>
      </c>
      <c r="T809" s="133">
        <v>40088</v>
      </c>
      <c r="U809" s="623"/>
      <c r="V809" s="624"/>
      <c r="W809" s="735">
        <v>25.5</v>
      </c>
      <c r="X809" s="7">
        <v>25.5</v>
      </c>
      <c r="Y809" s="7">
        <f t="shared" si="25"/>
        <v>0</v>
      </c>
      <c r="Z809" s="7">
        <f t="shared" si="24"/>
        <v>25.5</v>
      </c>
      <c r="AA809" s="469"/>
      <c r="AB809" s="518" t="s">
        <v>933</v>
      </c>
      <c r="AC809" s="519"/>
      <c r="AD809" s="187">
        <v>1</v>
      </c>
      <c r="AE809" s="187"/>
      <c r="AF809" s="9">
        <f t="shared" si="26"/>
        <v>1</v>
      </c>
      <c r="AG809" s="163" t="s">
        <v>667</v>
      </c>
      <c r="AH809" s="93" t="s">
        <v>2144</v>
      </c>
      <c r="AI809" s="718" t="s">
        <v>2149</v>
      </c>
      <c r="AJ809" s="93" t="s">
        <v>1188</v>
      </c>
      <c r="AK809" s="30" t="s">
        <v>1185</v>
      </c>
      <c r="AL809" s="93" t="s">
        <v>1178</v>
      </c>
    </row>
    <row r="810" spans="1:38" ht="15" customHeight="1" x14ac:dyDescent="0.3">
      <c r="A810" s="30" t="s">
        <v>22</v>
      </c>
      <c r="B810" s="153" t="s">
        <v>23</v>
      </c>
      <c r="C810" s="109">
        <v>5</v>
      </c>
      <c r="D810" s="11" t="s">
        <v>24</v>
      </c>
      <c r="E810" s="114">
        <v>39800</v>
      </c>
      <c r="F810" s="33">
        <v>2008</v>
      </c>
      <c r="G810" s="142" t="s">
        <v>2150</v>
      </c>
      <c r="H810" s="162" t="s">
        <v>2151</v>
      </c>
      <c r="I810" s="12" t="s">
        <v>25</v>
      </c>
      <c r="J810" s="32" t="s">
        <v>26</v>
      </c>
      <c r="K810" s="197" t="s">
        <v>1930</v>
      </c>
      <c r="L810" s="137" t="s">
        <v>1319</v>
      </c>
      <c r="M810" s="137" t="s">
        <v>804</v>
      </c>
      <c r="N810" s="137"/>
      <c r="O810" s="93" t="s">
        <v>2063</v>
      </c>
      <c r="P810" s="138" t="s">
        <v>2152</v>
      </c>
      <c r="Q810" s="15" t="s">
        <v>35</v>
      </c>
      <c r="R810" s="132">
        <v>40123</v>
      </c>
      <c r="S810" s="92"/>
      <c r="T810" s="139"/>
      <c r="U810" s="624"/>
      <c r="V810" s="624"/>
      <c r="W810" s="735">
        <v>29</v>
      </c>
      <c r="X810" s="7">
        <v>21.75</v>
      </c>
      <c r="Y810" s="7">
        <f t="shared" si="25"/>
        <v>0</v>
      </c>
      <c r="Z810" s="7">
        <f t="shared" si="24"/>
        <v>21.75</v>
      </c>
      <c r="AA810" s="469"/>
      <c r="AB810" s="479" t="s">
        <v>49</v>
      </c>
      <c r="AC810" s="480"/>
      <c r="AD810" s="187">
        <v>0.75</v>
      </c>
      <c r="AE810" s="187"/>
      <c r="AF810" s="9">
        <f t="shared" si="26"/>
        <v>0.75</v>
      </c>
      <c r="AG810" s="163" t="s">
        <v>1933</v>
      </c>
      <c r="AH810" s="93" t="s">
        <v>58</v>
      </c>
      <c r="AI810" s="719" t="s">
        <v>2153</v>
      </c>
      <c r="AJ810" s="93" t="s">
        <v>1188</v>
      </c>
      <c r="AK810" s="30" t="s">
        <v>1185</v>
      </c>
      <c r="AL810" s="93" t="s">
        <v>1178</v>
      </c>
    </row>
    <row r="811" spans="1:38" ht="15" customHeight="1" x14ac:dyDescent="0.3">
      <c r="A811" s="30" t="s">
        <v>22</v>
      </c>
      <c r="B811" s="153" t="s">
        <v>23</v>
      </c>
      <c r="C811" s="109" t="s">
        <v>2154</v>
      </c>
      <c r="D811" s="11" t="s">
        <v>24</v>
      </c>
      <c r="E811" s="114">
        <v>39946</v>
      </c>
      <c r="F811" s="33">
        <v>2009</v>
      </c>
      <c r="G811" s="142" t="s">
        <v>2155</v>
      </c>
      <c r="H811" s="162" t="s">
        <v>2156</v>
      </c>
      <c r="I811" s="12" t="s">
        <v>25</v>
      </c>
      <c r="J811" s="32" t="s">
        <v>26</v>
      </c>
      <c r="K811" s="197" t="s">
        <v>1930</v>
      </c>
      <c r="L811" s="137" t="s">
        <v>1319</v>
      </c>
      <c r="M811" s="137" t="s">
        <v>804</v>
      </c>
      <c r="N811" s="137"/>
      <c r="O811" s="93" t="s">
        <v>2063</v>
      </c>
      <c r="P811" s="740" t="s">
        <v>2157</v>
      </c>
      <c r="Q811" s="15" t="s">
        <v>35</v>
      </c>
      <c r="R811" s="132">
        <v>40030</v>
      </c>
      <c r="S811" s="16" t="s">
        <v>35</v>
      </c>
      <c r="T811" s="165">
        <v>40128</v>
      </c>
      <c r="U811" s="624"/>
      <c r="V811" s="624"/>
      <c r="W811" s="735">
        <v>35</v>
      </c>
      <c r="X811" s="7">
        <v>35</v>
      </c>
      <c r="Y811" s="7">
        <f t="shared" si="25"/>
        <v>0</v>
      </c>
      <c r="Z811" s="7">
        <f t="shared" si="24"/>
        <v>35</v>
      </c>
      <c r="AA811" s="469"/>
      <c r="AB811" s="479" t="s">
        <v>49</v>
      </c>
      <c r="AC811" s="501"/>
      <c r="AD811" s="186">
        <v>1</v>
      </c>
      <c r="AE811" s="187"/>
      <c r="AF811" s="9">
        <f t="shared" si="26"/>
        <v>1</v>
      </c>
      <c r="AG811" s="163" t="s">
        <v>667</v>
      </c>
      <c r="AH811" s="93" t="s">
        <v>58</v>
      </c>
      <c r="AI811" s="146"/>
      <c r="AJ811" s="93" t="s">
        <v>1188</v>
      </c>
      <c r="AK811" s="30" t="s">
        <v>1185</v>
      </c>
      <c r="AL811" s="93" t="s">
        <v>1178</v>
      </c>
    </row>
    <row r="812" spans="1:38" ht="15" customHeight="1" x14ac:dyDescent="0.3">
      <c r="A812" s="30" t="s">
        <v>22</v>
      </c>
      <c r="B812" s="153" t="s">
        <v>23</v>
      </c>
      <c r="C812" s="109" t="s">
        <v>2154</v>
      </c>
      <c r="D812" s="11" t="s">
        <v>24</v>
      </c>
      <c r="E812" s="114">
        <v>39888</v>
      </c>
      <c r="F812" s="33">
        <v>2009</v>
      </c>
      <c r="G812" s="142" t="s">
        <v>2158</v>
      </c>
      <c r="H812" s="162" t="s">
        <v>2159</v>
      </c>
      <c r="I812" s="12" t="s">
        <v>25</v>
      </c>
      <c r="J812" s="32" t="s">
        <v>26</v>
      </c>
      <c r="K812" s="197" t="s">
        <v>1930</v>
      </c>
      <c r="L812" s="137" t="s">
        <v>1319</v>
      </c>
      <c r="M812" s="137" t="s">
        <v>804</v>
      </c>
      <c r="N812" s="137"/>
      <c r="O812" s="93" t="s">
        <v>2122</v>
      </c>
      <c r="P812" s="740" t="s">
        <v>2157</v>
      </c>
      <c r="Q812" s="15" t="s">
        <v>35</v>
      </c>
      <c r="R812" s="132">
        <v>40030</v>
      </c>
      <c r="S812" s="16" t="s">
        <v>35</v>
      </c>
      <c r="T812" s="165">
        <v>40128</v>
      </c>
      <c r="U812" s="624"/>
      <c r="V812" s="624"/>
      <c r="W812" s="735">
        <v>35</v>
      </c>
      <c r="X812" s="7">
        <v>35</v>
      </c>
      <c r="Y812" s="7">
        <f t="shared" si="25"/>
        <v>0</v>
      </c>
      <c r="Z812" s="7">
        <f t="shared" si="24"/>
        <v>35</v>
      </c>
      <c r="AA812" s="469"/>
      <c r="AB812" s="479" t="s">
        <v>49</v>
      </c>
      <c r="AC812" s="501"/>
      <c r="AD812" s="186">
        <v>1</v>
      </c>
      <c r="AE812" s="187"/>
      <c r="AF812" s="9">
        <f t="shared" si="26"/>
        <v>1</v>
      </c>
      <c r="AG812" s="163" t="s">
        <v>667</v>
      </c>
      <c r="AH812" s="93" t="s">
        <v>58</v>
      </c>
      <c r="AI812" s="146"/>
      <c r="AJ812" s="93" t="s">
        <v>1188</v>
      </c>
      <c r="AK812" s="30" t="s">
        <v>1185</v>
      </c>
      <c r="AL812" s="93" t="s">
        <v>1178</v>
      </c>
    </row>
    <row r="813" spans="1:38" ht="15" customHeight="1" x14ac:dyDescent="0.3">
      <c r="A813" s="30" t="s">
        <v>22</v>
      </c>
      <c r="B813" s="120" t="s">
        <v>23</v>
      </c>
      <c r="C813" s="107">
        <v>17</v>
      </c>
      <c r="D813" s="11" t="s">
        <v>24</v>
      </c>
      <c r="E813" s="114">
        <v>38869</v>
      </c>
      <c r="F813" s="12">
        <v>2006</v>
      </c>
      <c r="G813" s="142" t="s">
        <v>2161</v>
      </c>
      <c r="H813" s="162" t="s">
        <v>2162</v>
      </c>
      <c r="I813" s="33" t="s">
        <v>33</v>
      </c>
      <c r="J813" s="30" t="s">
        <v>81</v>
      </c>
      <c r="K813" s="197" t="s">
        <v>180</v>
      </c>
      <c r="L813" s="197" t="s">
        <v>2069</v>
      </c>
      <c r="M813" s="137" t="s">
        <v>804</v>
      </c>
      <c r="N813" s="137"/>
      <c r="O813" s="138" t="s">
        <v>2163</v>
      </c>
      <c r="P813" s="138" t="s">
        <v>2164</v>
      </c>
      <c r="Q813" s="15" t="s">
        <v>282</v>
      </c>
      <c r="R813" s="164">
        <v>39668</v>
      </c>
      <c r="S813" s="16" t="s">
        <v>44</v>
      </c>
      <c r="T813" s="165">
        <v>40140</v>
      </c>
      <c r="U813" s="624"/>
      <c r="V813" s="624"/>
      <c r="W813" s="735">
        <v>10</v>
      </c>
      <c r="X813" s="7">
        <v>5</v>
      </c>
      <c r="Y813" s="7">
        <f t="shared" si="25"/>
        <v>0</v>
      </c>
      <c r="Z813" s="7">
        <f t="shared" si="24"/>
        <v>5</v>
      </c>
      <c r="AA813" s="469"/>
      <c r="AB813" s="479" t="s">
        <v>49</v>
      </c>
      <c r="AC813" s="480"/>
      <c r="AD813" s="187">
        <v>0.5</v>
      </c>
      <c r="AE813" s="187"/>
      <c r="AF813" s="9">
        <f t="shared" si="26"/>
        <v>0.5</v>
      </c>
      <c r="AG813" s="163" t="s">
        <v>1325</v>
      </c>
      <c r="AH813" s="138" t="s">
        <v>2160</v>
      </c>
      <c r="AI813" s="138"/>
      <c r="AJ813" s="93" t="s">
        <v>1188</v>
      </c>
      <c r="AK813" s="181" t="s">
        <v>1185</v>
      </c>
      <c r="AL813" s="93" t="s">
        <v>1178</v>
      </c>
    </row>
    <row r="814" spans="1:38" ht="15" customHeight="1" x14ac:dyDescent="0.3">
      <c r="A814" s="30" t="s">
        <v>22</v>
      </c>
      <c r="B814" s="145" t="s">
        <v>144</v>
      </c>
      <c r="C814" s="107">
        <v>4</v>
      </c>
      <c r="D814" s="11" t="s">
        <v>143</v>
      </c>
      <c r="E814" s="108">
        <v>38292</v>
      </c>
      <c r="F814" s="12">
        <v>2004</v>
      </c>
      <c r="G814" s="142"/>
      <c r="H814" s="162"/>
      <c r="I814" s="57" t="s">
        <v>6176</v>
      </c>
      <c r="J814" s="30" t="s">
        <v>1358</v>
      </c>
      <c r="K814" s="197" t="s">
        <v>1612</v>
      </c>
      <c r="L814" s="137" t="s">
        <v>40</v>
      </c>
      <c r="M814" s="137" t="s">
        <v>804</v>
      </c>
      <c r="N814" s="137"/>
      <c r="O814" s="93" t="s">
        <v>2165</v>
      </c>
      <c r="P814" s="741" t="s">
        <v>6007</v>
      </c>
      <c r="Q814" s="15" t="s">
        <v>282</v>
      </c>
      <c r="R814" s="132">
        <v>39118</v>
      </c>
      <c r="S814" s="16" t="s">
        <v>44</v>
      </c>
      <c r="T814" s="133">
        <v>40045</v>
      </c>
      <c r="U814" s="623"/>
      <c r="V814" s="624"/>
      <c r="W814" s="735">
        <v>20</v>
      </c>
      <c r="X814" s="7">
        <v>10</v>
      </c>
      <c r="Y814" s="7">
        <f t="shared" si="25"/>
        <v>0</v>
      </c>
      <c r="Z814" s="7">
        <f t="shared" si="24"/>
        <v>10</v>
      </c>
      <c r="AA814" s="469"/>
      <c r="AB814" s="503" t="s">
        <v>6055</v>
      </c>
      <c r="AC814" s="554"/>
      <c r="AD814" s="186">
        <v>0.5</v>
      </c>
      <c r="AE814" s="187"/>
      <c r="AF814" s="9">
        <f t="shared" si="26"/>
        <v>0.5</v>
      </c>
      <c r="AG814" s="163" t="s">
        <v>727</v>
      </c>
      <c r="AH814" s="93"/>
      <c r="AI814" s="93"/>
      <c r="AJ814" s="93" t="s">
        <v>1188</v>
      </c>
      <c r="AK814" s="30" t="s">
        <v>1185</v>
      </c>
      <c r="AL814" s="93" t="s">
        <v>1178</v>
      </c>
    </row>
    <row r="815" spans="1:38" ht="15" customHeight="1" x14ac:dyDescent="0.3">
      <c r="A815" s="30" t="s">
        <v>883</v>
      </c>
      <c r="B815" s="162" t="s">
        <v>105</v>
      </c>
      <c r="C815" s="162" t="s">
        <v>2167</v>
      </c>
      <c r="D815" s="11" t="s">
        <v>5936</v>
      </c>
      <c r="E815" s="458">
        <v>38874</v>
      </c>
      <c r="F815" s="162">
        <v>2006</v>
      </c>
      <c r="G815" s="162" t="s">
        <v>2168</v>
      </c>
      <c r="H815" s="162" t="s">
        <v>2169</v>
      </c>
      <c r="I815" s="33" t="s">
        <v>33</v>
      </c>
      <c r="J815" s="32" t="s">
        <v>26</v>
      </c>
      <c r="K815" s="162" t="s">
        <v>111</v>
      </c>
      <c r="L815" s="93" t="s">
        <v>2170</v>
      </c>
      <c r="M815" s="137" t="s">
        <v>804</v>
      </c>
      <c r="N815" s="238"/>
      <c r="O815" s="146" t="s">
        <v>2171</v>
      </c>
      <c r="P815" s="200" t="s">
        <v>2172</v>
      </c>
      <c r="Q815" s="15" t="s">
        <v>282</v>
      </c>
      <c r="R815" s="179">
        <v>39500</v>
      </c>
      <c r="S815" s="16" t="s">
        <v>35</v>
      </c>
      <c r="T815" s="191">
        <v>40086</v>
      </c>
      <c r="U815" s="742"/>
      <c r="V815" s="742"/>
      <c r="W815" s="734">
        <v>60</v>
      </c>
      <c r="X815" s="185">
        <v>60</v>
      </c>
      <c r="Y815" s="7">
        <f t="shared" si="25"/>
        <v>0</v>
      </c>
      <c r="Z815" s="7">
        <f t="shared" si="24"/>
        <v>60</v>
      </c>
      <c r="AA815" s="469"/>
      <c r="AB815" s="564" t="s">
        <v>1073</v>
      </c>
      <c r="AC815" s="693"/>
      <c r="AD815" s="187">
        <v>1</v>
      </c>
      <c r="AE815" s="187"/>
      <c r="AF815" s="9">
        <f t="shared" si="26"/>
        <v>1</v>
      </c>
      <c r="AG815" s="162" t="s">
        <v>1454</v>
      </c>
      <c r="AH815" s="162" t="s">
        <v>2166</v>
      </c>
      <c r="AI815" s="718" t="s">
        <v>2174</v>
      </c>
      <c r="AJ815" s="162" t="s">
        <v>1188</v>
      </c>
      <c r="AK815" s="162" t="s">
        <v>1185</v>
      </c>
      <c r="AL815" s="162" t="s">
        <v>1178</v>
      </c>
    </row>
    <row r="816" spans="1:38" ht="15" customHeight="1" x14ac:dyDescent="0.3">
      <c r="A816" s="30" t="s">
        <v>22</v>
      </c>
      <c r="B816" s="120" t="s">
        <v>105</v>
      </c>
      <c r="C816" s="109">
        <v>5</v>
      </c>
      <c r="D816" s="11" t="s">
        <v>5936</v>
      </c>
      <c r="E816" s="108">
        <v>37987</v>
      </c>
      <c r="F816" s="93">
        <v>2004</v>
      </c>
      <c r="G816" s="142" t="s">
        <v>2175</v>
      </c>
      <c r="H816" s="162" t="s">
        <v>2176</v>
      </c>
      <c r="I816" s="33" t="s">
        <v>33</v>
      </c>
      <c r="J816" s="32" t="s">
        <v>26</v>
      </c>
      <c r="K816" s="197" t="s">
        <v>2177</v>
      </c>
      <c r="L816" s="137" t="s">
        <v>40</v>
      </c>
      <c r="M816" s="137" t="s">
        <v>804</v>
      </c>
      <c r="N816" s="137"/>
      <c r="O816" s="93" t="s">
        <v>2178</v>
      </c>
      <c r="P816" s="684" t="s">
        <v>2179</v>
      </c>
      <c r="Q816" s="15" t="s">
        <v>282</v>
      </c>
      <c r="R816" s="132">
        <v>39108</v>
      </c>
      <c r="S816" s="16" t="s">
        <v>35</v>
      </c>
      <c r="T816" s="133">
        <v>39752</v>
      </c>
      <c r="U816" s="623" t="s">
        <v>1597</v>
      </c>
      <c r="V816" s="180">
        <v>40141</v>
      </c>
      <c r="W816" s="735">
        <v>35</v>
      </c>
      <c r="X816" s="7">
        <v>35</v>
      </c>
      <c r="Y816" s="7">
        <f t="shared" si="25"/>
        <v>0</v>
      </c>
      <c r="Z816" s="7">
        <f t="shared" si="24"/>
        <v>35</v>
      </c>
      <c r="AA816" s="469"/>
      <c r="AB816" s="513" t="s">
        <v>1231</v>
      </c>
      <c r="AC816" s="563"/>
      <c r="AD816" s="186">
        <v>1</v>
      </c>
      <c r="AE816" s="187"/>
      <c r="AF816" s="9">
        <f t="shared" si="26"/>
        <v>1</v>
      </c>
      <c r="AG816" s="88" t="s">
        <v>1192</v>
      </c>
      <c r="AH816" s="93" t="s">
        <v>2173</v>
      </c>
      <c r="AI816" s="719" t="s">
        <v>2180</v>
      </c>
      <c r="AJ816" s="93" t="s">
        <v>1188</v>
      </c>
      <c r="AK816" s="30" t="s">
        <v>99</v>
      </c>
      <c r="AL816" s="93" t="s">
        <v>1178</v>
      </c>
    </row>
    <row r="817" spans="1:38" ht="15" customHeight="1" x14ac:dyDescent="0.3">
      <c r="A817" s="181" t="s">
        <v>883</v>
      </c>
      <c r="B817" s="167" t="s">
        <v>105</v>
      </c>
      <c r="C817" s="135">
        <v>10</v>
      </c>
      <c r="D817" s="11" t="s">
        <v>5936</v>
      </c>
      <c r="E817" s="168">
        <v>39426</v>
      </c>
      <c r="F817" s="136">
        <v>2007</v>
      </c>
      <c r="G817" s="178" t="s">
        <v>2181</v>
      </c>
      <c r="H817" s="204" t="s">
        <v>2182</v>
      </c>
      <c r="I817" s="33" t="s">
        <v>33</v>
      </c>
      <c r="J817" s="32" t="s">
        <v>26</v>
      </c>
      <c r="K817" s="138" t="s">
        <v>1708</v>
      </c>
      <c r="L817" s="138" t="s">
        <v>1319</v>
      </c>
      <c r="M817" s="137" t="s">
        <v>804</v>
      </c>
      <c r="N817" s="137"/>
      <c r="O817" s="138" t="s">
        <v>2183</v>
      </c>
      <c r="P817" s="138" t="s">
        <v>2184</v>
      </c>
      <c r="Q817" s="15" t="s">
        <v>282</v>
      </c>
      <c r="R817" s="132">
        <v>40021</v>
      </c>
      <c r="S817" s="16" t="s">
        <v>44</v>
      </c>
      <c r="T817" s="133">
        <v>40116</v>
      </c>
      <c r="U817" s="623"/>
      <c r="V817" s="623"/>
      <c r="W817" s="734">
        <v>50</v>
      </c>
      <c r="X817" s="7">
        <v>25</v>
      </c>
      <c r="Y817" s="7">
        <f t="shared" si="25"/>
        <v>0</v>
      </c>
      <c r="Z817" s="7">
        <f t="shared" si="24"/>
        <v>25</v>
      </c>
      <c r="AA817" s="469"/>
      <c r="AB817" s="564" t="s">
        <v>1073</v>
      </c>
      <c r="AC817" s="693"/>
      <c r="AD817" s="187">
        <v>0.5</v>
      </c>
      <c r="AE817" s="187"/>
      <c r="AF817" s="9">
        <f t="shared" si="26"/>
        <v>0.5</v>
      </c>
      <c r="AG817" s="138" t="s">
        <v>1454</v>
      </c>
      <c r="AH817" s="138"/>
      <c r="AI817" s="138"/>
      <c r="AJ817" s="138" t="s">
        <v>1188</v>
      </c>
      <c r="AK817" s="138" t="s">
        <v>1185</v>
      </c>
      <c r="AL817" s="138" t="s">
        <v>1178</v>
      </c>
    </row>
    <row r="818" spans="1:38" ht="15" customHeight="1" x14ac:dyDescent="0.3">
      <c r="A818" s="30" t="s">
        <v>22</v>
      </c>
      <c r="B818" s="153" t="s">
        <v>105</v>
      </c>
      <c r="C818" s="109">
        <v>8</v>
      </c>
      <c r="D818" s="11" t="s">
        <v>5936</v>
      </c>
      <c r="E818" s="108">
        <v>37243</v>
      </c>
      <c r="F818" s="33">
        <v>2001</v>
      </c>
      <c r="G818" s="142" t="s">
        <v>2186</v>
      </c>
      <c r="H818" s="162" t="s">
        <v>2187</v>
      </c>
      <c r="I818" s="107" t="s">
        <v>868</v>
      </c>
      <c r="J818" s="32" t="s">
        <v>26</v>
      </c>
      <c r="K818" s="197" t="s">
        <v>1194</v>
      </c>
      <c r="L818" s="137" t="s">
        <v>40</v>
      </c>
      <c r="M818" s="137" t="s">
        <v>804</v>
      </c>
      <c r="N818" s="137"/>
      <c r="O818" s="93" t="s">
        <v>2188</v>
      </c>
      <c r="P818" s="684" t="s">
        <v>2189</v>
      </c>
      <c r="Q818" s="15" t="s">
        <v>282</v>
      </c>
      <c r="R818" s="132">
        <v>38877</v>
      </c>
      <c r="S818" s="16" t="s">
        <v>44</v>
      </c>
      <c r="T818" s="133">
        <v>39843</v>
      </c>
      <c r="U818" s="623" t="s">
        <v>2190</v>
      </c>
      <c r="V818" s="180">
        <v>40135</v>
      </c>
      <c r="W818" s="735">
        <v>180</v>
      </c>
      <c r="X818" s="7">
        <v>90</v>
      </c>
      <c r="Y818" s="7">
        <f t="shared" si="25"/>
        <v>0</v>
      </c>
      <c r="Z818" s="7">
        <f t="shared" si="24"/>
        <v>90</v>
      </c>
      <c r="AA818" s="469"/>
      <c r="AB818" s="513" t="s">
        <v>1231</v>
      </c>
      <c r="AC818" s="147"/>
      <c r="AD818" s="187">
        <v>0.5</v>
      </c>
      <c r="AE818" s="187"/>
      <c r="AF818" s="9">
        <f t="shared" si="26"/>
        <v>0.5</v>
      </c>
      <c r="AG818" s="163" t="s">
        <v>1192</v>
      </c>
      <c r="AH818" s="138" t="s">
        <v>1540</v>
      </c>
      <c r="AI818" s="146"/>
      <c r="AJ818" s="93" t="s">
        <v>1188</v>
      </c>
      <c r="AK818" s="30" t="s">
        <v>99</v>
      </c>
      <c r="AL818" s="93" t="s">
        <v>1178</v>
      </c>
    </row>
    <row r="819" spans="1:38" ht="15" customHeight="1" x14ac:dyDescent="0.3">
      <c r="A819" s="30" t="s">
        <v>22</v>
      </c>
      <c r="B819" s="119" t="s">
        <v>2185</v>
      </c>
      <c r="C819" s="107" t="s">
        <v>2192</v>
      </c>
      <c r="D819" s="11" t="s">
        <v>225</v>
      </c>
      <c r="E819" s="114">
        <v>38869</v>
      </c>
      <c r="F819" s="12">
        <v>2006</v>
      </c>
      <c r="G819" s="142" t="s">
        <v>2193</v>
      </c>
      <c r="H819" s="162"/>
      <c r="I819" s="33" t="s">
        <v>33</v>
      </c>
      <c r="J819" s="32" t="s">
        <v>26</v>
      </c>
      <c r="K819" s="197" t="s">
        <v>111</v>
      </c>
      <c r="L819" s="138" t="s">
        <v>1319</v>
      </c>
      <c r="M819" s="137" t="s">
        <v>804</v>
      </c>
      <c r="N819" s="137"/>
      <c r="O819" s="138" t="s">
        <v>2194</v>
      </c>
      <c r="P819" s="138" t="s">
        <v>2195</v>
      </c>
      <c r="Q819" s="15" t="s">
        <v>282</v>
      </c>
      <c r="R819" s="132">
        <v>39318</v>
      </c>
      <c r="S819" s="16" t="s">
        <v>44</v>
      </c>
      <c r="T819" s="133">
        <v>39426</v>
      </c>
      <c r="U819" s="623"/>
      <c r="V819" s="624"/>
      <c r="W819" s="735">
        <v>100</v>
      </c>
      <c r="X819" s="7">
        <v>50</v>
      </c>
      <c r="Y819" s="7">
        <f t="shared" si="25"/>
        <v>0</v>
      </c>
      <c r="Z819" s="7">
        <f t="shared" si="24"/>
        <v>50</v>
      </c>
      <c r="AA819" s="469"/>
      <c r="AB819" s="564" t="s">
        <v>1073</v>
      </c>
      <c r="AC819" s="693"/>
      <c r="AD819" s="187">
        <v>0.5</v>
      </c>
      <c r="AE819" s="187"/>
      <c r="AF819" s="9">
        <f t="shared" si="26"/>
        <v>0.5</v>
      </c>
      <c r="AG819" s="138" t="s">
        <v>656</v>
      </c>
      <c r="AH819" s="138" t="s">
        <v>2191</v>
      </c>
      <c r="AI819" s="138"/>
      <c r="AJ819" s="138" t="s">
        <v>1188</v>
      </c>
      <c r="AK819" s="138" t="s">
        <v>1185</v>
      </c>
      <c r="AL819" s="93" t="s">
        <v>1178</v>
      </c>
    </row>
    <row r="820" spans="1:38" ht="15" customHeight="1" x14ac:dyDescent="0.3">
      <c r="A820" s="30" t="s">
        <v>22</v>
      </c>
      <c r="B820" s="88" t="s">
        <v>422</v>
      </c>
      <c r="C820" s="107">
        <v>4</v>
      </c>
      <c r="D820" s="12" t="s">
        <v>190</v>
      </c>
      <c r="E820" s="108">
        <v>37987</v>
      </c>
      <c r="F820" s="146">
        <v>2004</v>
      </c>
      <c r="G820" s="142" t="s">
        <v>2196</v>
      </c>
      <c r="H820" s="162" t="s">
        <v>2197</v>
      </c>
      <c r="I820" s="33" t="s">
        <v>33</v>
      </c>
      <c r="J820" s="32" t="s">
        <v>26</v>
      </c>
      <c r="K820" s="197" t="s">
        <v>1708</v>
      </c>
      <c r="L820" s="137" t="s">
        <v>1319</v>
      </c>
      <c r="M820" s="137" t="s">
        <v>804</v>
      </c>
      <c r="N820" s="137"/>
      <c r="O820" s="93" t="s">
        <v>997</v>
      </c>
      <c r="P820" s="138" t="s">
        <v>2198</v>
      </c>
      <c r="Q820" s="15" t="s">
        <v>282</v>
      </c>
      <c r="R820" s="91">
        <v>2006</v>
      </c>
      <c r="S820" s="16" t="s">
        <v>44</v>
      </c>
      <c r="T820" s="133">
        <v>39233</v>
      </c>
      <c r="U820" s="623"/>
      <c r="V820" s="624"/>
      <c r="W820" s="735">
        <v>45</v>
      </c>
      <c r="X820" s="7">
        <v>22.5</v>
      </c>
      <c r="Y820" s="7">
        <f t="shared" si="25"/>
        <v>0</v>
      </c>
      <c r="Z820" s="7">
        <f t="shared" si="24"/>
        <v>22.5</v>
      </c>
      <c r="AA820" s="469"/>
      <c r="AB820" s="513" t="s">
        <v>424</v>
      </c>
      <c r="AC820" s="147"/>
      <c r="AD820" s="187">
        <v>0.5</v>
      </c>
      <c r="AE820" s="187"/>
      <c r="AF820" s="9">
        <f t="shared" si="26"/>
        <v>0.5</v>
      </c>
      <c r="AG820" s="163"/>
      <c r="AH820" s="93" t="s">
        <v>994</v>
      </c>
      <c r="AI820" s="93"/>
      <c r="AJ820" s="93" t="s">
        <v>1188</v>
      </c>
      <c r="AK820" s="30" t="s">
        <v>1185</v>
      </c>
      <c r="AL820" s="93" t="s">
        <v>1175</v>
      </c>
    </row>
    <row r="821" spans="1:38" ht="15" customHeight="1" x14ac:dyDescent="0.3">
      <c r="A821" s="30" t="s">
        <v>22</v>
      </c>
      <c r="B821" s="88" t="s">
        <v>422</v>
      </c>
      <c r="C821" s="107">
        <v>3</v>
      </c>
      <c r="D821" s="12" t="s">
        <v>190</v>
      </c>
      <c r="E821" s="108">
        <v>37797</v>
      </c>
      <c r="F821" s="33">
        <v>2003</v>
      </c>
      <c r="G821" s="142" t="s">
        <v>2199</v>
      </c>
      <c r="H821" s="162" t="s">
        <v>2200</v>
      </c>
      <c r="I821" s="33" t="s">
        <v>33</v>
      </c>
      <c r="J821" s="32" t="s">
        <v>26</v>
      </c>
      <c r="K821" s="138" t="s">
        <v>103</v>
      </c>
      <c r="L821" s="137" t="s">
        <v>1319</v>
      </c>
      <c r="M821" s="137" t="s">
        <v>804</v>
      </c>
      <c r="N821" s="137"/>
      <c r="O821" s="93" t="s">
        <v>997</v>
      </c>
      <c r="P821" s="138" t="s">
        <v>2201</v>
      </c>
      <c r="Q821" s="15" t="s">
        <v>282</v>
      </c>
      <c r="R821" s="132">
        <v>39234</v>
      </c>
      <c r="S821" s="16" t="s">
        <v>44</v>
      </c>
      <c r="T821" s="133">
        <v>39924</v>
      </c>
      <c r="U821" s="623"/>
      <c r="V821" s="624"/>
      <c r="W821" s="735">
        <v>30</v>
      </c>
      <c r="X821" s="7">
        <v>15</v>
      </c>
      <c r="Y821" s="7">
        <f t="shared" si="25"/>
        <v>0</v>
      </c>
      <c r="Z821" s="7">
        <f t="shared" si="24"/>
        <v>15</v>
      </c>
      <c r="AA821" s="469"/>
      <c r="AB821" s="513" t="s">
        <v>424</v>
      </c>
      <c r="AC821" s="147"/>
      <c r="AD821" s="187">
        <v>0.5</v>
      </c>
      <c r="AE821" s="187"/>
      <c r="AF821" s="9">
        <f t="shared" si="26"/>
        <v>0.5</v>
      </c>
      <c r="AG821" s="163">
        <v>7</v>
      </c>
      <c r="AH821" s="93" t="s">
        <v>994</v>
      </c>
      <c r="AI821" s="93"/>
      <c r="AJ821" s="93" t="s">
        <v>1188</v>
      </c>
      <c r="AK821" s="30" t="s">
        <v>1185</v>
      </c>
      <c r="AL821" s="93" t="s">
        <v>1175</v>
      </c>
    </row>
    <row r="822" spans="1:38" ht="15" customHeight="1" x14ac:dyDescent="0.3">
      <c r="A822" s="30" t="s">
        <v>22</v>
      </c>
      <c r="B822" s="153" t="s">
        <v>23</v>
      </c>
      <c r="C822" s="107" t="s">
        <v>2095</v>
      </c>
      <c r="D822" s="11" t="s">
        <v>24</v>
      </c>
      <c r="E822" s="114">
        <v>39017</v>
      </c>
      <c r="F822" s="12">
        <v>2006</v>
      </c>
      <c r="G822" s="142" t="s">
        <v>2202</v>
      </c>
      <c r="H822" s="162" t="s">
        <v>2203</v>
      </c>
      <c r="I822" s="12" t="s">
        <v>80</v>
      </c>
      <c r="J822" s="32" t="s">
        <v>26</v>
      </c>
      <c r="K822" s="197" t="s">
        <v>111</v>
      </c>
      <c r="L822" s="137" t="s">
        <v>1319</v>
      </c>
      <c r="M822" s="137" t="s">
        <v>804</v>
      </c>
      <c r="N822" s="137"/>
      <c r="O822" s="93" t="s">
        <v>2204</v>
      </c>
      <c r="P822" s="138" t="s">
        <v>2205</v>
      </c>
      <c r="Q822" s="15" t="s">
        <v>35</v>
      </c>
      <c r="R822" s="132">
        <v>39696</v>
      </c>
      <c r="S822" s="16" t="s">
        <v>35</v>
      </c>
      <c r="T822" s="165">
        <v>40147</v>
      </c>
      <c r="U822" s="624"/>
      <c r="V822" s="624"/>
      <c r="W822" s="735">
        <v>37</v>
      </c>
      <c r="X822" s="7">
        <v>37</v>
      </c>
      <c r="Y822" s="7">
        <f t="shared" si="25"/>
        <v>0</v>
      </c>
      <c r="Z822" s="7">
        <f t="shared" si="24"/>
        <v>37</v>
      </c>
      <c r="AA822" s="469"/>
      <c r="AB822" s="518" t="s">
        <v>933</v>
      </c>
      <c r="AC822" s="519"/>
      <c r="AD822" s="187">
        <v>1</v>
      </c>
      <c r="AE822" s="187"/>
      <c r="AF822" s="9">
        <f t="shared" si="26"/>
        <v>1</v>
      </c>
      <c r="AG822" s="163" t="s">
        <v>667</v>
      </c>
      <c r="AH822" s="93" t="s">
        <v>5970</v>
      </c>
      <c r="AI822" s="718" t="s">
        <v>2206</v>
      </c>
      <c r="AJ822" s="93" t="s">
        <v>1188</v>
      </c>
      <c r="AK822" s="30" t="s">
        <v>1185</v>
      </c>
      <c r="AL822" s="93" t="s">
        <v>1178</v>
      </c>
    </row>
    <row r="823" spans="1:38" ht="15" customHeight="1" x14ac:dyDescent="0.3">
      <c r="A823" s="30" t="s">
        <v>22</v>
      </c>
      <c r="B823" s="112" t="s">
        <v>105</v>
      </c>
      <c r="C823" s="109">
        <v>11</v>
      </c>
      <c r="D823" s="11" t="s">
        <v>5936</v>
      </c>
      <c r="E823" s="108">
        <v>36326</v>
      </c>
      <c r="F823" s="33">
        <v>1999</v>
      </c>
      <c r="G823" s="142">
        <v>991148</v>
      </c>
      <c r="H823" s="162" t="s">
        <v>2207</v>
      </c>
      <c r="I823" s="33" t="s">
        <v>33</v>
      </c>
      <c r="J823" s="32" t="s">
        <v>191</v>
      </c>
      <c r="K823" s="197" t="s">
        <v>1173</v>
      </c>
      <c r="L823" s="137" t="s">
        <v>40</v>
      </c>
      <c r="M823" s="137" t="s">
        <v>804</v>
      </c>
      <c r="N823" s="238"/>
      <c r="O823" s="146" t="s">
        <v>1109</v>
      </c>
      <c r="P823" s="647" t="s">
        <v>2208</v>
      </c>
      <c r="Q823" s="15" t="s">
        <v>282</v>
      </c>
      <c r="R823" s="132">
        <v>38240</v>
      </c>
      <c r="S823" s="16" t="s">
        <v>44</v>
      </c>
      <c r="T823" s="133">
        <v>39414</v>
      </c>
      <c r="U823" s="623" t="s">
        <v>1336</v>
      </c>
      <c r="V823" s="180">
        <v>40252</v>
      </c>
      <c r="W823" s="735">
        <v>80</v>
      </c>
      <c r="X823" s="7">
        <v>40</v>
      </c>
      <c r="Y823" s="7">
        <f t="shared" si="25"/>
        <v>0</v>
      </c>
      <c r="Z823" s="7">
        <f t="shared" ref="Z823:Z886" si="27">IF(Y823="",X823,Y823+X823)</f>
        <v>40</v>
      </c>
      <c r="AA823" s="469"/>
      <c r="AB823" s="513" t="s">
        <v>1231</v>
      </c>
      <c r="AC823" s="147"/>
      <c r="AD823" s="187">
        <v>0.5</v>
      </c>
      <c r="AE823" s="187"/>
      <c r="AF823" s="9">
        <f t="shared" si="26"/>
        <v>0.5</v>
      </c>
      <c r="AG823" s="88">
        <v>1.5</v>
      </c>
      <c r="AH823" s="93" t="s">
        <v>305</v>
      </c>
      <c r="AI823" s="146"/>
      <c r="AJ823" s="93" t="s">
        <v>1188</v>
      </c>
      <c r="AK823" s="30" t="s">
        <v>99</v>
      </c>
      <c r="AL823" s="93" t="s">
        <v>1178</v>
      </c>
    </row>
    <row r="824" spans="1:38" ht="15" customHeight="1" x14ac:dyDescent="0.3">
      <c r="A824" s="30" t="s">
        <v>22</v>
      </c>
      <c r="B824" s="112" t="s">
        <v>105</v>
      </c>
      <c r="C824" s="109">
        <v>11</v>
      </c>
      <c r="D824" s="11" t="s">
        <v>5936</v>
      </c>
      <c r="E824" s="108">
        <v>36326</v>
      </c>
      <c r="F824" s="33">
        <v>1999</v>
      </c>
      <c r="G824" s="142">
        <v>991148</v>
      </c>
      <c r="H824" s="162" t="s">
        <v>2207</v>
      </c>
      <c r="I824" s="33" t="s">
        <v>33</v>
      </c>
      <c r="J824" s="32" t="s">
        <v>191</v>
      </c>
      <c r="K824" s="197" t="s">
        <v>1173</v>
      </c>
      <c r="L824" s="137" t="s">
        <v>40</v>
      </c>
      <c r="M824" s="137" t="s">
        <v>804</v>
      </c>
      <c r="N824" s="238"/>
      <c r="O824" s="146" t="s">
        <v>1109</v>
      </c>
      <c r="P824" s="647" t="s">
        <v>2209</v>
      </c>
      <c r="Q824" s="15" t="s">
        <v>282</v>
      </c>
      <c r="R824" s="132">
        <v>38240</v>
      </c>
      <c r="S824" s="16" t="s">
        <v>44</v>
      </c>
      <c r="T824" s="133">
        <v>39414</v>
      </c>
      <c r="U824" s="623" t="s">
        <v>1336</v>
      </c>
      <c r="V824" s="180">
        <v>40252</v>
      </c>
      <c r="W824" s="735">
        <v>80</v>
      </c>
      <c r="X824" s="7">
        <v>40</v>
      </c>
      <c r="Y824" s="7">
        <f t="shared" si="25"/>
        <v>0</v>
      </c>
      <c r="Z824" s="7">
        <f t="shared" si="27"/>
        <v>40</v>
      </c>
      <c r="AA824" s="469"/>
      <c r="AB824" s="513" t="s">
        <v>1231</v>
      </c>
      <c r="AC824" s="147"/>
      <c r="AD824" s="187">
        <v>0.5</v>
      </c>
      <c r="AE824" s="187"/>
      <c r="AF824" s="9">
        <f t="shared" si="26"/>
        <v>0.5</v>
      </c>
      <c r="AG824" s="88">
        <v>1.5</v>
      </c>
      <c r="AH824" s="93" t="s">
        <v>305</v>
      </c>
      <c r="AI824" s="146"/>
      <c r="AJ824" s="93" t="s">
        <v>1188</v>
      </c>
      <c r="AK824" s="30" t="s">
        <v>99</v>
      </c>
      <c r="AL824" s="93" t="s">
        <v>1178</v>
      </c>
    </row>
    <row r="825" spans="1:38" ht="15" customHeight="1" x14ac:dyDescent="0.3">
      <c r="A825" s="30" t="s">
        <v>22</v>
      </c>
      <c r="B825" s="112" t="s">
        <v>105</v>
      </c>
      <c r="C825" s="109">
        <v>11</v>
      </c>
      <c r="D825" s="11" t="s">
        <v>5936</v>
      </c>
      <c r="E825" s="108">
        <v>36326</v>
      </c>
      <c r="F825" s="33">
        <v>1999</v>
      </c>
      <c r="G825" s="142">
        <v>991148</v>
      </c>
      <c r="H825" s="162" t="s">
        <v>2207</v>
      </c>
      <c r="I825" s="33" t="s">
        <v>33</v>
      </c>
      <c r="J825" s="32" t="s">
        <v>191</v>
      </c>
      <c r="K825" s="197" t="s">
        <v>1173</v>
      </c>
      <c r="L825" s="137" t="s">
        <v>40</v>
      </c>
      <c r="M825" s="137" t="s">
        <v>804</v>
      </c>
      <c r="N825" s="137"/>
      <c r="O825" s="93" t="s">
        <v>1109</v>
      </c>
      <c r="P825" s="647" t="s">
        <v>2208</v>
      </c>
      <c r="Q825" s="15" t="s">
        <v>282</v>
      </c>
      <c r="R825" s="132">
        <v>38240</v>
      </c>
      <c r="S825" s="16" t="s">
        <v>44</v>
      </c>
      <c r="T825" s="133">
        <v>39414</v>
      </c>
      <c r="U825" s="623" t="s">
        <v>1336</v>
      </c>
      <c r="V825" s="180">
        <v>40252</v>
      </c>
      <c r="W825" s="735">
        <v>80</v>
      </c>
      <c r="X825" s="7">
        <v>40</v>
      </c>
      <c r="Y825" s="7">
        <f t="shared" si="25"/>
        <v>0</v>
      </c>
      <c r="Z825" s="7">
        <f t="shared" si="27"/>
        <v>40</v>
      </c>
      <c r="AA825" s="469"/>
      <c r="AB825" s="513" t="s">
        <v>1231</v>
      </c>
      <c r="AC825" s="147"/>
      <c r="AD825" s="187">
        <v>0.5</v>
      </c>
      <c r="AE825" s="187"/>
      <c r="AF825" s="9">
        <f t="shared" si="26"/>
        <v>0.5</v>
      </c>
      <c r="AG825" s="88">
        <v>1.5</v>
      </c>
      <c r="AH825" s="93" t="s">
        <v>305</v>
      </c>
      <c r="AI825" s="146"/>
      <c r="AJ825" s="93" t="s">
        <v>1188</v>
      </c>
      <c r="AK825" s="30" t="s">
        <v>99</v>
      </c>
      <c r="AL825" s="93" t="s">
        <v>1178</v>
      </c>
    </row>
    <row r="826" spans="1:38" ht="15" customHeight="1" x14ac:dyDescent="0.3">
      <c r="A826" s="30" t="s">
        <v>22</v>
      </c>
      <c r="B826" s="112" t="s">
        <v>105</v>
      </c>
      <c r="C826" s="109">
        <v>11</v>
      </c>
      <c r="D826" s="11" t="s">
        <v>5936</v>
      </c>
      <c r="E826" s="108">
        <v>36326</v>
      </c>
      <c r="F826" s="33">
        <v>1999</v>
      </c>
      <c r="G826" s="142">
        <v>991148</v>
      </c>
      <c r="H826" s="162" t="s">
        <v>2207</v>
      </c>
      <c r="I826" s="33" t="s">
        <v>33</v>
      </c>
      <c r="J826" s="32" t="s">
        <v>191</v>
      </c>
      <c r="K826" s="197" t="s">
        <v>1173</v>
      </c>
      <c r="L826" s="137" t="s">
        <v>40</v>
      </c>
      <c r="M826" s="137" t="s">
        <v>804</v>
      </c>
      <c r="N826" s="137"/>
      <c r="O826" s="93" t="s">
        <v>1109</v>
      </c>
      <c r="P826" s="647" t="s">
        <v>2208</v>
      </c>
      <c r="Q826" s="15" t="s">
        <v>282</v>
      </c>
      <c r="R826" s="132">
        <v>38240</v>
      </c>
      <c r="S826" s="16" t="s">
        <v>44</v>
      </c>
      <c r="T826" s="133">
        <v>39414</v>
      </c>
      <c r="U826" s="623" t="s">
        <v>1336</v>
      </c>
      <c r="V826" s="180">
        <v>40252</v>
      </c>
      <c r="W826" s="735">
        <v>80</v>
      </c>
      <c r="X826" s="7">
        <v>40</v>
      </c>
      <c r="Y826" s="7">
        <f t="shared" si="25"/>
        <v>0</v>
      </c>
      <c r="Z826" s="7">
        <f t="shared" si="27"/>
        <v>40</v>
      </c>
      <c r="AA826" s="469"/>
      <c r="AB826" s="513" t="s">
        <v>1231</v>
      </c>
      <c r="AC826" s="147"/>
      <c r="AD826" s="187">
        <v>0.5</v>
      </c>
      <c r="AE826" s="187"/>
      <c r="AF826" s="9">
        <f t="shared" si="26"/>
        <v>0.5</v>
      </c>
      <c r="AG826" s="88">
        <v>1.5</v>
      </c>
      <c r="AH826" s="93" t="s">
        <v>305</v>
      </c>
      <c r="AI826" s="146"/>
      <c r="AJ826" s="93" t="s">
        <v>1188</v>
      </c>
      <c r="AK826" s="30" t="s">
        <v>99</v>
      </c>
      <c r="AL826" s="93" t="s">
        <v>1178</v>
      </c>
    </row>
    <row r="827" spans="1:38" ht="15" customHeight="1" x14ac:dyDescent="0.3">
      <c r="A827" s="30" t="s">
        <v>22</v>
      </c>
      <c r="B827" s="112" t="s">
        <v>105</v>
      </c>
      <c r="C827" s="109">
        <v>11</v>
      </c>
      <c r="D827" s="11" t="s">
        <v>5936</v>
      </c>
      <c r="E827" s="108">
        <v>36326</v>
      </c>
      <c r="F827" s="33">
        <v>1999</v>
      </c>
      <c r="G827" s="142">
        <v>991148</v>
      </c>
      <c r="H827" s="162" t="s">
        <v>2207</v>
      </c>
      <c r="I827" s="33" t="s">
        <v>33</v>
      </c>
      <c r="J827" s="32" t="s">
        <v>191</v>
      </c>
      <c r="K827" s="197" t="s">
        <v>1173</v>
      </c>
      <c r="L827" s="137" t="s">
        <v>40</v>
      </c>
      <c r="M827" s="137" t="s">
        <v>804</v>
      </c>
      <c r="N827" s="137"/>
      <c r="O827" s="93" t="s">
        <v>1109</v>
      </c>
      <c r="P827" s="647" t="s">
        <v>2208</v>
      </c>
      <c r="Q827" s="15" t="s">
        <v>282</v>
      </c>
      <c r="R827" s="132">
        <v>38240</v>
      </c>
      <c r="S827" s="16" t="s">
        <v>44</v>
      </c>
      <c r="T827" s="133">
        <v>39414</v>
      </c>
      <c r="U827" s="623" t="s">
        <v>1336</v>
      </c>
      <c r="V827" s="180">
        <v>40252</v>
      </c>
      <c r="W827" s="735">
        <v>80</v>
      </c>
      <c r="X827" s="7">
        <v>40</v>
      </c>
      <c r="Y827" s="7">
        <f t="shared" si="25"/>
        <v>0</v>
      </c>
      <c r="Z827" s="7">
        <f t="shared" si="27"/>
        <v>40</v>
      </c>
      <c r="AA827" s="469"/>
      <c r="AB827" s="513" t="s">
        <v>1231</v>
      </c>
      <c r="AC827" s="147"/>
      <c r="AD827" s="187">
        <v>0.5</v>
      </c>
      <c r="AE827" s="187"/>
      <c r="AF827" s="9">
        <f t="shared" si="26"/>
        <v>0.5</v>
      </c>
      <c r="AG827" s="88">
        <v>1.5</v>
      </c>
      <c r="AH827" s="93" t="s">
        <v>305</v>
      </c>
      <c r="AI827" s="146"/>
      <c r="AJ827" s="93" t="s">
        <v>1188</v>
      </c>
      <c r="AK827" s="30" t="s">
        <v>99</v>
      </c>
      <c r="AL827" s="93" t="s">
        <v>1178</v>
      </c>
    </row>
    <row r="828" spans="1:38" ht="15" customHeight="1" x14ac:dyDescent="0.3">
      <c r="A828" s="30" t="s">
        <v>22</v>
      </c>
      <c r="B828" s="112" t="s">
        <v>105</v>
      </c>
      <c r="C828" s="107">
        <v>11</v>
      </c>
      <c r="D828" s="11" t="s">
        <v>5936</v>
      </c>
      <c r="E828" s="108">
        <v>36326</v>
      </c>
      <c r="F828" s="33">
        <v>1999</v>
      </c>
      <c r="G828" s="142">
        <v>991148</v>
      </c>
      <c r="H828" s="162" t="s">
        <v>2207</v>
      </c>
      <c r="I828" s="33" t="s">
        <v>33</v>
      </c>
      <c r="J828" s="32" t="s">
        <v>191</v>
      </c>
      <c r="K828" s="197" t="s">
        <v>1173</v>
      </c>
      <c r="L828" s="137" t="s">
        <v>40</v>
      </c>
      <c r="M828" s="137" t="s">
        <v>804</v>
      </c>
      <c r="N828" s="137"/>
      <c r="O828" s="93" t="s">
        <v>1109</v>
      </c>
      <c r="P828" s="647" t="s">
        <v>2208</v>
      </c>
      <c r="Q828" s="15" t="s">
        <v>282</v>
      </c>
      <c r="R828" s="132">
        <v>38240</v>
      </c>
      <c r="S828" s="16" t="s">
        <v>44</v>
      </c>
      <c r="T828" s="133">
        <v>39414</v>
      </c>
      <c r="U828" s="623" t="s">
        <v>1336</v>
      </c>
      <c r="V828" s="180">
        <v>40252</v>
      </c>
      <c r="W828" s="735">
        <v>80</v>
      </c>
      <c r="X828" s="7">
        <v>40</v>
      </c>
      <c r="Y828" s="7">
        <f t="shared" si="25"/>
        <v>0</v>
      </c>
      <c r="Z828" s="7">
        <f t="shared" si="27"/>
        <v>40</v>
      </c>
      <c r="AA828" s="469"/>
      <c r="AB828" s="513" t="s">
        <v>1231</v>
      </c>
      <c r="AC828" s="147"/>
      <c r="AD828" s="187">
        <v>0.5</v>
      </c>
      <c r="AE828" s="187"/>
      <c r="AF828" s="9">
        <f t="shared" si="26"/>
        <v>0.5</v>
      </c>
      <c r="AG828" s="88">
        <v>1.5</v>
      </c>
      <c r="AH828" s="93" t="s">
        <v>305</v>
      </c>
      <c r="AI828" s="93"/>
      <c r="AJ828" s="93" t="s">
        <v>1188</v>
      </c>
      <c r="AK828" s="30" t="s">
        <v>99</v>
      </c>
      <c r="AL828" s="93" t="s">
        <v>1178</v>
      </c>
    </row>
    <row r="829" spans="1:38" ht="15" customHeight="1" x14ac:dyDescent="0.3">
      <c r="A829" s="30" t="s">
        <v>22</v>
      </c>
      <c r="B829" s="112" t="s">
        <v>105</v>
      </c>
      <c r="C829" s="107">
        <v>11</v>
      </c>
      <c r="D829" s="11" t="s">
        <v>5936</v>
      </c>
      <c r="E829" s="108">
        <v>36326</v>
      </c>
      <c r="F829" s="33">
        <v>1999</v>
      </c>
      <c r="G829" s="142">
        <v>991148</v>
      </c>
      <c r="H829" s="162" t="s">
        <v>2207</v>
      </c>
      <c r="I829" s="33" t="s">
        <v>33</v>
      </c>
      <c r="J829" s="32" t="s">
        <v>191</v>
      </c>
      <c r="K829" s="197" t="s">
        <v>1173</v>
      </c>
      <c r="L829" s="137" t="s">
        <v>40</v>
      </c>
      <c r="M829" s="137" t="s">
        <v>804</v>
      </c>
      <c r="N829" s="137"/>
      <c r="O829" s="93" t="s">
        <v>1109</v>
      </c>
      <c r="P829" s="647" t="s">
        <v>2208</v>
      </c>
      <c r="Q829" s="15" t="s">
        <v>282</v>
      </c>
      <c r="R829" s="132">
        <v>38240</v>
      </c>
      <c r="S829" s="16" t="s">
        <v>44</v>
      </c>
      <c r="T829" s="133">
        <v>39414</v>
      </c>
      <c r="U829" s="623" t="s">
        <v>1336</v>
      </c>
      <c r="V829" s="180">
        <v>40252</v>
      </c>
      <c r="W829" s="735">
        <v>80</v>
      </c>
      <c r="X829" s="7">
        <v>40</v>
      </c>
      <c r="Y829" s="7">
        <f t="shared" si="25"/>
        <v>0</v>
      </c>
      <c r="Z829" s="7">
        <f t="shared" si="27"/>
        <v>40</v>
      </c>
      <c r="AA829" s="469"/>
      <c r="AB829" s="513" t="s">
        <v>1231</v>
      </c>
      <c r="AC829" s="147"/>
      <c r="AD829" s="187">
        <v>0.5</v>
      </c>
      <c r="AE829" s="187"/>
      <c r="AF829" s="9">
        <f t="shared" si="26"/>
        <v>0.5</v>
      </c>
      <c r="AG829" s="88">
        <v>1.5</v>
      </c>
      <c r="AH829" s="93" t="s">
        <v>305</v>
      </c>
      <c r="AI829" s="93"/>
      <c r="AJ829" s="93" t="s">
        <v>1188</v>
      </c>
      <c r="AK829" s="30" t="s">
        <v>99</v>
      </c>
      <c r="AL829" s="93" t="s">
        <v>1178</v>
      </c>
    </row>
    <row r="830" spans="1:38" ht="15" customHeight="1" x14ac:dyDescent="0.3">
      <c r="A830" s="30" t="s">
        <v>22</v>
      </c>
      <c r="B830" s="112" t="s">
        <v>105</v>
      </c>
      <c r="C830" s="107">
        <v>11</v>
      </c>
      <c r="D830" s="11" t="s">
        <v>5936</v>
      </c>
      <c r="E830" s="108">
        <v>36326</v>
      </c>
      <c r="F830" s="33">
        <v>1999</v>
      </c>
      <c r="G830" s="142">
        <v>991148</v>
      </c>
      <c r="H830" s="162" t="s">
        <v>2207</v>
      </c>
      <c r="I830" s="33" t="s">
        <v>33</v>
      </c>
      <c r="J830" s="32" t="s">
        <v>191</v>
      </c>
      <c r="K830" s="197" t="s">
        <v>1173</v>
      </c>
      <c r="L830" s="137" t="s">
        <v>40</v>
      </c>
      <c r="M830" s="137" t="s">
        <v>804</v>
      </c>
      <c r="N830" s="137"/>
      <c r="O830" s="93" t="s">
        <v>1109</v>
      </c>
      <c r="P830" s="647" t="s">
        <v>2210</v>
      </c>
      <c r="Q830" s="15" t="s">
        <v>282</v>
      </c>
      <c r="R830" s="132">
        <v>38240</v>
      </c>
      <c r="S830" s="16" t="s">
        <v>44</v>
      </c>
      <c r="T830" s="133">
        <v>39414</v>
      </c>
      <c r="U830" s="623" t="s">
        <v>1336</v>
      </c>
      <c r="V830" s="180">
        <v>40252</v>
      </c>
      <c r="W830" s="735">
        <v>80</v>
      </c>
      <c r="X830" s="7">
        <v>40</v>
      </c>
      <c r="Y830" s="7">
        <f t="shared" si="25"/>
        <v>0</v>
      </c>
      <c r="Z830" s="7">
        <f t="shared" si="27"/>
        <v>40</v>
      </c>
      <c r="AA830" s="469"/>
      <c r="AB830" s="513" t="s">
        <v>1231</v>
      </c>
      <c r="AC830" s="147"/>
      <c r="AD830" s="187">
        <v>0.5</v>
      </c>
      <c r="AE830" s="187"/>
      <c r="AF830" s="9">
        <f t="shared" si="26"/>
        <v>0.5</v>
      </c>
      <c r="AG830" s="88">
        <v>1.5</v>
      </c>
      <c r="AH830" s="93" t="s">
        <v>305</v>
      </c>
      <c r="AI830" s="93"/>
      <c r="AJ830" s="93" t="s">
        <v>1188</v>
      </c>
      <c r="AK830" s="30" t="s">
        <v>99</v>
      </c>
      <c r="AL830" s="93" t="s">
        <v>1178</v>
      </c>
    </row>
    <row r="831" spans="1:38" ht="15" customHeight="1" x14ac:dyDescent="0.3">
      <c r="A831" s="30" t="s">
        <v>22</v>
      </c>
      <c r="B831" s="112" t="s">
        <v>105</v>
      </c>
      <c r="C831" s="107">
        <v>11</v>
      </c>
      <c r="D831" s="11" t="s">
        <v>5936</v>
      </c>
      <c r="E831" s="108">
        <v>36326</v>
      </c>
      <c r="F831" s="33">
        <v>1999</v>
      </c>
      <c r="G831" s="142">
        <v>991148</v>
      </c>
      <c r="H831" s="162" t="s">
        <v>2207</v>
      </c>
      <c r="I831" s="33" t="s">
        <v>33</v>
      </c>
      <c r="J831" s="32" t="s">
        <v>191</v>
      </c>
      <c r="K831" s="197" t="s">
        <v>1173</v>
      </c>
      <c r="L831" s="137" t="s">
        <v>40</v>
      </c>
      <c r="M831" s="137" t="s">
        <v>804</v>
      </c>
      <c r="N831" s="137"/>
      <c r="O831" s="93" t="s">
        <v>1109</v>
      </c>
      <c r="P831" s="647" t="s">
        <v>2208</v>
      </c>
      <c r="Q831" s="15" t="s">
        <v>282</v>
      </c>
      <c r="R831" s="132">
        <v>38240</v>
      </c>
      <c r="S831" s="16" t="s">
        <v>44</v>
      </c>
      <c r="T831" s="133">
        <v>39414</v>
      </c>
      <c r="U831" s="623" t="s">
        <v>1336</v>
      </c>
      <c r="V831" s="180">
        <v>40252</v>
      </c>
      <c r="W831" s="735">
        <v>80</v>
      </c>
      <c r="X831" s="7">
        <v>40</v>
      </c>
      <c r="Y831" s="7">
        <f t="shared" si="25"/>
        <v>0</v>
      </c>
      <c r="Z831" s="7">
        <f t="shared" si="27"/>
        <v>40</v>
      </c>
      <c r="AA831" s="469"/>
      <c r="AB831" s="513" t="s">
        <v>1231</v>
      </c>
      <c r="AC831" s="147"/>
      <c r="AD831" s="187">
        <v>0.5</v>
      </c>
      <c r="AE831" s="187"/>
      <c r="AF831" s="9">
        <f t="shared" si="26"/>
        <v>0.5</v>
      </c>
      <c r="AG831" s="88">
        <v>1.5</v>
      </c>
      <c r="AH831" s="93" t="s">
        <v>305</v>
      </c>
      <c r="AI831" s="93"/>
      <c r="AJ831" s="93" t="s">
        <v>1188</v>
      </c>
      <c r="AK831" s="30" t="s">
        <v>99</v>
      </c>
      <c r="AL831" s="93" t="s">
        <v>1178</v>
      </c>
    </row>
    <row r="832" spans="1:38" ht="15" customHeight="1" x14ac:dyDescent="0.3">
      <c r="A832" s="30" t="s">
        <v>22</v>
      </c>
      <c r="B832" s="112" t="s">
        <v>105</v>
      </c>
      <c r="C832" s="107">
        <v>11</v>
      </c>
      <c r="D832" s="11" t="s">
        <v>5936</v>
      </c>
      <c r="E832" s="108">
        <v>36326</v>
      </c>
      <c r="F832" s="33">
        <v>1999</v>
      </c>
      <c r="G832" s="142">
        <v>991148</v>
      </c>
      <c r="H832" s="162" t="s">
        <v>2207</v>
      </c>
      <c r="I832" s="33" t="s">
        <v>33</v>
      </c>
      <c r="J832" s="32" t="s">
        <v>191</v>
      </c>
      <c r="K832" s="197" t="s">
        <v>1173</v>
      </c>
      <c r="L832" s="137" t="s">
        <v>40</v>
      </c>
      <c r="M832" s="137" t="s">
        <v>804</v>
      </c>
      <c r="N832" s="137"/>
      <c r="O832" s="93" t="s">
        <v>1109</v>
      </c>
      <c r="P832" s="647" t="s">
        <v>2208</v>
      </c>
      <c r="Q832" s="15" t="s">
        <v>282</v>
      </c>
      <c r="R832" s="132">
        <v>38240</v>
      </c>
      <c r="S832" s="16" t="s">
        <v>44</v>
      </c>
      <c r="T832" s="133">
        <v>39414</v>
      </c>
      <c r="U832" s="623" t="s">
        <v>1336</v>
      </c>
      <c r="V832" s="180">
        <v>40252</v>
      </c>
      <c r="W832" s="735">
        <v>80</v>
      </c>
      <c r="X832" s="7">
        <v>40</v>
      </c>
      <c r="Y832" s="7">
        <f t="shared" si="25"/>
        <v>0</v>
      </c>
      <c r="Z832" s="7">
        <f t="shared" si="27"/>
        <v>40</v>
      </c>
      <c r="AA832" s="469"/>
      <c r="AB832" s="513" t="s">
        <v>1231</v>
      </c>
      <c r="AC832" s="147"/>
      <c r="AD832" s="187">
        <v>0.5</v>
      </c>
      <c r="AE832" s="187"/>
      <c r="AF832" s="9">
        <f t="shared" si="26"/>
        <v>0.5</v>
      </c>
      <c r="AG832" s="163">
        <v>1.5</v>
      </c>
      <c r="AH832" s="93" t="s">
        <v>305</v>
      </c>
      <c r="AI832" s="93"/>
      <c r="AJ832" s="93" t="s">
        <v>1188</v>
      </c>
      <c r="AK832" s="30" t="s">
        <v>99</v>
      </c>
      <c r="AL832" s="93" t="s">
        <v>1178</v>
      </c>
    </row>
    <row r="833" spans="1:38" ht="15" customHeight="1" x14ac:dyDescent="0.3">
      <c r="A833" s="30" t="s">
        <v>22</v>
      </c>
      <c r="B833" s="112" t="s">
        <v>105</v>
      </c>
      <c r="C833" s="107">
        <v>11</v>
      </c>
      <c r="D833" s="11" t="s">
        <v>5936</v>
      </c>
      <c r="E833" s="108">
        <v>36326</v>
      </c>
      <c r="F833" s="12">
        <v>1999</v>
      </c>
      <c r="G833" s="142">
        <v>991148</v>
      </c>
      <c r="H833" s="162" t="s">
        <v>2207</v>
      </c>
      <c r="I833" s="33" t="s">
        <v>33</v>
      </c>
      <c r="J833" s="32" t="s">
        <v>191</v>
      </c>
      <c r="K833" s="138" t="s">
        <v>1173</v>
      </c>
      <c r="L833" s="137" t="s">
        <v>40</v>
      </c>
      <c r="M833" s="137" t="s">
        <v>804</v>
      </c>
      <c r="N833" s="137"/>
      <c r="O833" s="93" t="s">
        <v>1109</v>
      </c>
      <c r="P833" s="647" t="s">
        <v>2208</v>
      </c>
      <c r="Q833" s="15" t="s">
        <v>282</v>
      </c>
      <c r="R833" s="132">
        <v>38240</v>
      </c>
      <c r="S833" s="16" t="s">
        <v>44</v>
      </c>
      <c r="T833" s="133">
        <v>39414</v>
      </c>
      <c r="U833" s="623" t="s">
        <v>1336</v>
      </c>
      <c r="V833" s="180">
        <v>40252</v>
      </c>
      <c r="W833" s="735">
        <v>80</v>
      </c>
      <c r="X833" s="7">
        <v>40</v>
      </c>
      <c r="Y833" s="7">
        <f t="shared" si="25"/>
        <v>0</v>
      </c>
      <c r="Z833" s="7">
        <f t="shared" si="27"/>
        <v>40</v>
      </c>
      <c r="AA833" s="469"/>
      <c r="AB833" s="513" t="s">
        <v>1231</v>
      </c>
      <c r="AC833" s="147"/>
      <c r="AD833" s="187">
        <v>0.5</v>
      </c>
      <c r="AE833" s="187"/>
      <c r="AF833" s="9">
        <f t="shared" si="26"/>
        <v>0.5</v>
      </c>
      <c r="AG833" s="163">
        <v>1.5</v>
      </c>
      <c r="AH833" s="93" t="s">
        <v>305</v>
      </c>
      <c r="AI833" s="93"/>
      <c r="AJ833" s="93" t="s">
        <v>1188</v>
      </c>
      <c r="AK833" s="30" t="s">
        <v>99</v>
      </c>
      <c r="AL833" s="93" t="s">
        <v>1178</v>
      </c>
    </row>
    <row r="834" spans="1:38" ht="15" customHeight="1" x14ac:dyDescent="0.3">
      <c r="A834" s="30" t="s">
        <v>22</v>
      </c>
      <c r="B834" s="112" t="s">
        <v>105</v>
      </c>
      <c r="C834" s="107">
        <v>11</v>
      </c>
      <c r="D834" s="11" t="s">
        <v>5936</v>
      </c>
      <c r="E834" s="108">
        <v>36326</v>
      </c>
      <c r="F834" s="12">
        <v>1999</v>
      </c>
      <c r="G834" s="142">
        <v>991148</v>
      </c>
      <c r="H834" s="162" t="s">
        <v>2207</v>
      </c>
      <c r="I834" s="33" t="s">
        <v>33</v>
      </c>
      <c r="J834" s="32" t="s">
        <v>191</v>
      </c>
      <c r="K834" s="138" t="s">
        <v>1173</v>
      </c>
      <c r="L834" s="137" t="s">
        <v>40</v>
      </c>
      <c r="M834" s="137" t="s">
        <v>804</v>
      </c>
      <c r="N834" s="137"/>
      <c r="O834" s="93" t="s">
        <v>1109</v>
      </c>
      <c r="P834" s="647" t="s">
        <v>2208</v>
      </c>
      <c r="Q834" s="15" t="s">
        <v>282</v>
      </c>
      <c r="R834" s="132">
        <v>38240</v>
      </c>
      <c r="S834" s="16" t="s">
        <v>44</v>
      </c>
      <c r="T834" s="133">
        <v>39414</v>
      </c>
      <c r="U834" s="623" t="s">
        <v>1336</v>
      </c>
      <c r="V834" s="180">
        <v>40252</v>
      </c>
      <c r="W834" s="735">
        <v>80</v>
      </c>
      <c r="X834" s="7">
        <v>40</v>
      </c>
      <c r="Y834" s="7">
        <f t="shared" ref="Y834:Y897" si="28">W834*AE834</f>
        <v>0</v>
      </c>
      <c r="Z834" s="7">
        <f t="shared" si="27"/>
        <v>40</v>
      </c>
      <c r="AA834" s="469"/>
      <c r="AB834" s="513" t="s">
        <v>1231</v>
      </c>
      <c r="AC834" s="147"/>
      <c r="AD834" s="187">
        <v>0.5</v>
      </c>
      <c r="AE834" s="187"/>
      <c r="AF834" s="9">
        <f t="shared" si="26"/>
        <v>0.5</v>
      </c>
      <c r="AG834" s="163">
        <v>1.5</v>
      </c>
      <c r="AH834" s="93" t="s">
        <v>305</v>
      </c>
      <c r="AI834" s="93"/>
      <c r="AJ834" s="93" t="s">
        <v>1188</v>
      </c>
      <c r="AK834" s="30" t="s">
        <v>99</v>
      </c>
      <c r="AL834" s="93" t="s">
        <v>1178</v>
      </c>
    </row>
    <row r="835" spans="1:38" ht="15" customHeight="1" x14ac:dyDescent="0.3">
      <c r="A835" s="30" t="s">
        <v>22</v>
      </c>
      <c r="B835" s="112" t="s">
        <v>105</v>
      </c>
      <c r="C835" s="107">
        <v>11</v>
      </c>
      <c r="D835" s="11" t="s">
        <v>5936</v>
      </c>
      <c r="E835" s="108">
        <v>36326</v>
      </c>
      <c r="F835" s="12">
        <v>1999</v>
      </c>
      <c r="G835" s="142">
        <v>991148</v>
      </c>
      <c r="H835" s="162" t="s">
        <v>2207</v>
      </c>
      <c r="I835" s="33" t="s">
        <v>33</v>
      </c>
      <c r="J835" s="32" t="s">
        <v>191</v>
      </c>
      <c r="K835" s="138" t="s">
        <v>1173</v>
      </c>
      <c r="L835" s="137" t="s">
        <v>40</v>
      </c>
      <c r="M835" s="137" t="s">
        <v>804</v>
      </c>
      <c r="N835" s="137"/>
      <c r="O835" s="93" t="s">
        <v>1109</v>
      </c>
      <c r="P835" s="647" t="s">
        <v>2208</v>
      </c>
      <c r="Q835" s="15" t="s">
        <v>282</v>
      </c>
      <c r="R835" s="132">
        <v>38240</v>
      </c>
      <c r="S835" s="16" t="s">
        <v>44</v>
      </c>
      <c r="T835" s="133">
        <v>39414</v>
      </c>
      <c r="U835" s="623" t="s">
        <v>1336</v>
      </c>
      <c r="V835" s="180">
        <v>40252</v>
      </c>
      <c r="W835" s="735">
        <v>80</v>
      </c>
      <c r="X835" s="7">
        <v>40</v>
      </c>
      <c r="Y835" s="7">
        <f t="shared" si="28"/>
        <v>0</v>
      </c>
      <c r="Z835" s="7">
        <f t="shared" si="27"/>
        <v>40</v>
      </c>
      <c r="AA835" s="469"/>
      <c r="AB835" s="513" t="s">
        <v>1231</v>
      </c>
      <c r="AC835" s="147"/>
      <c r="AD835" s="187">
        <v>0.5</v>
      </c>
      <c r="AE835" s="187"/>
      <c r="AF835" s="9">
        <f t="shared" ref="AF835:AF898" si="29">AD835+AE835</f>
        <v>0.5</v>
      </c>
      <c r="AG835" s="163">
        <v>1.5</v>
      </c>
      <c r="AH835" s="93" t="s">
        <v>305</v>
      </c>
      <c r="AI835" s="93"/>
      <c r="AJ835" s="93" t="s">
        <v>1188</v>
      </c>
      <c r="AK835" s="30" t="s">
        <v>99</v>
      </c>
      <c r="AL835" s="93" t="s">
        <v>1178</v>
      </c>
    </row>
    <row r="836" spans="1:38" ht="15" customHeight="1" x14ac:dyDescent="0.3">
      <c r="A836" s="30" t="s">
        <v>22</v>
      </c>
      <c r="B836" s="112" t="s">
        <v>105</v>
      </c>
      <c r="C836" s="107">
        <v>11</v>
      </c>
      <c r="D836" s="11" t="s">
        <v>5936</v>
      </c>
      <c r="E836" s="108">
        <v>36326</v>
      </c>
      <c r="F836" s="12">
        <v>1999</v>
      </c>
      <c r="G836" s="142">
        <v>991148</v>
      </c>
      <c r="H836" s="162" t="s">
        <v>2207</v>
      </c>
      <c r="I836" s="33" t="s">
        <v>33</v>
      </c>
      <c r="J836" s="32" t="s">
        <v>191</v>
      </c>
      <c r="K836" s="197" t="s">
        <v>1173</v>
      </c>
      <c r="L836" s="137" t="s">
        <v>40</v>
      </c>
      <c r="M836" s="137" t="s">
        <v>804</v>
      </c>
      <c r="N836" s="137"/>
      <c r="O836" s="93" t="s">
        <v>1109</v>
      </c>
      <c r="P836" s="647" t="s">
        <v>2208</v>
      </c>
      <c r="Q836" s="15" t="s">
        <v>282</v>
      </c>
      <c r="R836" s="132">
        <v>38240</v>
      </c>
      <c r="S836" s="16" t="s">
        <v>44</v>
      </c>
      <c r="T836" s="133">
        <v>39414</v>
      </c>
      <c r="U836" s="623" t="s">
        <v>1336</v>
      </c>
      <c r="V836" s="180">
        <v>40252</v>
      </c>
      <c r="W836" s="735">
        <v>80</v>
      </c>
      <c r="X836" s="7">
        <v>40</v>
      </c>
      <c r="Y836" s="7">
        <f t="shared" si="28"/>
        <v>0</v>
      </c>
      <c r="Z836" s="7">
        <f t="shared" si="27"/>
        <v>40</v>
      </c>
      <c r="AA836" s="469"/>
      <c r="AB836" s="513" t="s">
        <v>1231</v>
      </c>
      <c r="AC836" s="147"/>
      <c r="AD836" s="187">
        <v>0.5</v>
      </c>
      <c r="AE836" s="187"/>
      <c r="AF836" s="9">
        <f t="shared" si="29"/>
        <v>0.5</v>
      </c>
      <c r="AG836" s="163">
        <v>1.5</v>
      </c>
      <c r="AH836" s="93" t="s">
        <v>305</v>
      </c>
      <c r="AI836" s="93"/>
      <c r="AJ836" s="93" t="s">
        <v>1188</v>
      </c>
      <c r="AK836" s="30" t="s">
        <v>99</v>
      </c>
      <c r="AL836" s="93" t="s">
        <v>1178</v>
      </c>
    </row>
    <row r="837" spans="1:38" ht="15" customHeight="1" x14ac:dyDescent="0.3">
      <c r="A837" s="30" t="s">
        <v>22</v>
      </c>
      <c r="B837" s="112" t="s">
        <v>105</v>
      </c>
      <c r="C837" s="107">
        <v>11</v>
      </c>
      <c r="D837" s="11" t="s">
        <v>5936</v>
      </c>
      <c r="E837" s="108">
        <v>36326</v>
      </c>
      <c r="F837" s="12">
        <v>1999</v>
      </c>
      <c r="G837" s="142">
        <v>991148</v>
      </c>
      <c r="H837" s="162" t="s">
        <v>2207</v>
      </c>
      <c r="I837" s="33" t="s">
        <v>33</v>
      </c>
      <c r="J837" s="32" t="s">
        <v>191</v>
      </c>
      <c r="K837" s="197" t="s">
        <v>1173</v>
      </c>
      <c r="L837" s="137" t="s">
        <v>40</v>
      </c>
      <c r="M837" s="137" t="s">
        <v>804</v>
      </c>
      <c r="N837" s="137"/>
      <c r="O837" s="93" t="s">
        <v>1109</v>
      </c>
      <c r="P837" s="647" t="s">
        <v>2211</v>
      </c>
      <c r="Q837" s="15" t="s">
        <v>282</v>
      </c>
      <c r="R837" s="132">
        <v>38240</v>
      </c>
      <c r="S837" s="16" t="s">
        <v>44</v>
      </c>
      <c r="T837" s="133">
        <v>39414</v>
      </c>
      <c r="U837" s="623" t="s">
        <v>1336</v>
      </c>
      <c r="V837" s="180">
        <v>40252</v>
      </c>
      <c r="W837" s="735">
        <v>80</v>
      </c>
      <c r="X837" s="7">
        <v>40</v>
      </c>
      <c r="Y837" s="7">
        <f t="shared" si="28"/>
        <v>0</v>
      </c>
      <c r="Z837" s="7">
        <f t="shared" si="27"/>
        <v>40</v>
      </c>
      <c r="AA837" s="469"/>
      <c r="AB837" s="513" t="s">
        <v>1231</v>
      </c>
      <c r="AC837" s="147"/>
      <c r="AD837" s="187">
        <v>0.5</v>
      </c>
      <c r="AE837" s="187"/>
      <c r="AF837" s="9">
        <f t="shared" si="29"/>
        <v>0.5</v>
      </c>
      <c r="AG837" s="163">
        <v>1.5</v>
      </c>
      <c r="AH837" s="93" t="s">
        <v>305</v>
      </c>
      <c r="AI837" s="93"/>
      <c r="AJ837" s="93" t="s">
        <v>1188</v>
      </c>
      <c r="AK837" s="30" t="s">
        <v>99</v>
      </c>
      <c r="AL837" s="93" t="s">
        <v>1178</v>
      </c>
    </row>
    <row r="838" spans="1:38" ht="15" customHeight="1" x14ac:dyDescent="0.3">
      <c r="A838" s="30" t="s">
        <v>22</v>
      </c>
      <c r="B838" s="120" t="s">
        <v>105</v>
      </c>
      <c r="C838" s="107">
        <v>11</v>
      </c>
      <c r="D838" s="11" t="s">
        <v>5936</v>
      </c>
      <c r="E838" s="108">
        <v>36326</v>
      </c>
      <c r="F838" s="12">
        <v>1999</v>
      </c>
      <c r="G838" s="142">
        <v>991148</v>
      </c>
      <c r="H838" s="162" t="s">
        <v>2207</v>
      </c>
      <c r="I838" s="33" t="s">
        <v>33</v>
      </c>
      <c r="J838" s="32" t="s">
        <v>191</v>
      </c>
      <c r="K838" s="197" t="s">
        <v>1173</v>
      </c>
      <c r="L838" s="137" t="s">
        <v>40</v>
      </c>
      <c r="M838" s="137" t="s">
        <v>804</v>
      </c>
      <c r="N838" s="137"/>
      <c r="O838" s="93" t="s">
        <v>1109</v>
      </c>
      <c r="P838" s="647" t="s">
        <v>2208</v>
      </c>
      <c r="Q838" s="15" t="s">
        <v>282</v>
      </c>
      <c r="R838" s="132">
        <v>38240</v>
      </c>
      <c r="S838" s="16" t="s">
        <v>44</v>
      </c>
      <c r="T838" s="133">
        <v>39414</v>
      </c>
      <c r="U838" s="623" t="s">
        <v>1336</v>
      </c>
      <c r="V838" s="180">
        <v>40252</v>
      </c>
      <c r="W838" s="735">
        <v>80</v>
      </c>
      <c r="X838" s="7">
        <v>40</v>
      </c>
      <c r="Y838" s="7">
        <f t="shared" si="28"/>
        <v>0</v>
      </c>
      <c r="Z838" s="7">
        <f t="shared" si="27"/>
        <v>40</v>
      </c>
      <c r="AA838" s="469"/>
      <c r="AB838" s="513" t="s">
        <v>1231</v>
      </c>
      <c r="AC838" s="147"/>
      <c r="AD838" s="187">
        <v>0.5</v>
      </c>
      <c r="AE838" s="187"/>
      <c r="AF838" s="9">
        <f t="shared" si="29"/>
        <v>0.5</v>
      </c>
      <c r="AG838" s="163">
        <v>1.5</v>
      </c>
      <c r="AH838" s="93" t="s">
        <v>305</v>
      </c>
      <c r="AI838" s="93"/>
      <c r="AJ838" s="93" t="s">
        <v>1188</v>
      </c>
      <c r="AK838" s="30" t="s">
        <v>99</v>
      </c>
      <c r="AL838" s="93" t="s">
        <v>1178</v>
      </c>
    </row>
    <row r="839" spans="1:38" ht="15" customHeight="1" x14ac:dyDescent="0.3">
      <c r="A839" s="30" t="s">
        <v>22</v>
      </c>
      <c r="B839" s="120" t="s">
        <v>105</v>
      </c>
      <c r="C839" s="107">
        <v>11</v>
      </c>
      <c r="D839" s="11" t="s">
        <v>5936</v>
      </c>
      <c r="E839" s="108">
        <v>36326</v>
      </c>
      <c r="F839" s="12">
        <v>1999</v>
      </c>
      <c r="G839" s="142">
        <v>991148</v>
      </c>
      <c r="H839" s="162" t="s">
        <v>2207</v>
      </c>
      <c r="I839" s="33" t="s">
        <v>33</v>
      </c>
      <c r="J839" s="32" t="s">
        <v>191</v>
      </c>
      <c r="K839" s="197" t="s">
        <v>1173</v>
      </c>
      <c r="L839" s="137" t="s">
        <v>40</v>
      </c>
      <c r="M839" s="137" t="s">
        <v>804</v>
      </c>
      <c r="N839" s="137"/>
      <c r="O839" s="93" t="s">
        <v>1109</v>
      </c>
      <c r="P839" s="647" t="s">
        <v>2208</v>
      </c>
      <c r="Q839" s="15" t="s">
        <v>282</v>
      </c>
      <c r="R839" s="132">
        <v>38240</v>
      </c>
      <c r="S839" s="16" t="s">
        <v>44</v>
      </c>
      <c r="T839" s="133">
        <v>39414</v>
      </c>
      <c r="U839" s="623" t="s">
        <v>1336</v>
      </c>
      <c r="V839" s="180">
        <v>40252</v>
      </c>
      <c r="W839" s="735">
        <v>80</v>
      </c>
      <c r="X839" s="7">
        <v>40</v>
      </c>
      <c r="Y839" s="7">
        <f t="shared" si="28"/>
        <v>0</v>
      </c>
      <c r="Z839" s="7">
        <f t="shared" si="27"/>
        <v>40</v>
      </c>
      <c r="AA839" s="469"/>
      <c r="AB839" s="513" t="s">
        <v>1231</v>
      </c>
      <c r="AC839" s="147"/>
      <c r="AD839" s="187">
        <v>0.5</v>
      </c>
      <c r="AE839" s="187"/>
      <c r="AF839" s="9">
        <f t="shared" si="29"/>
        <v>0.5</v>
      </c>
      <c r="AG839" s="163">
        <v>1.5</v>
      </c>
      <c r="AH839" s="93" t="s">
        <v>305</v>
      </c>
      <c r="AI839" s="93"/>
      <c r="AJ839" s="93" t="s">
        <v>1188</v>
      </c>
      <c r="AK839" s="30" t="s">
        <v>99</v>
      </c>
      <c r="AL839" s="93" t="s">
        <v>1178</v>
      </c>
    </row>
    <row r="840" spans="1:38" ht="15" customHeight="1" x14ac:dyDescent="0.3">
      <c r="A840" s="30" t="s">
        <v>22</v>
      </c>
      <c r="B840" s="120" t="s">
        <v>105</v>
      </c>
      <c r="C840" s="107">
        <v>11</v>
      </c>
      <c r="D840" s="11" t="s">
        <v>5936</v>
      </c>
      <c r="E840" s="108">
        <v>36326</v>
      </c>
      <c r="F840" s="12">
        <v>1999</v>
      </c>
      <c r="G840" s="142">
        <v>991148</v>
      </c>
      <c r="H840" s="162" t="s">
        <v>2207</v>
      </c>
      <c r="I840" s="33" t="s">
        <v>33</v>
      </c>
      <c r="J840" s="32" t="s">
        <v>191</v>
      </c>
      <c r="K840" s="138" t="s">
        <v>1173</v>
      </c>
      <c r="L840" s="137" t="s">
        <v>40</v>
      </c>
      <c r="M840" s="137" t="s">
        <v>804</v>
      </c>
      <c r="N840" s="137"/>
      <c r="O840" s="93" t="s">
        <v>1109</v>
      </c>
      <c r="P840" s="647" t="s">
        <v>2208</v>
      </c>
      <c r="Q840" s="15" t="s">
        <v>282</v>
      </c>
      <c r="R840" s="132">
        <v>38240</v>
      </c>
      <c r="S840" s="16" t="s">
        <v>44</v>
      </c>
      <c r="T840" s="133">
        <v>39414</v>
      </c>
      <c r="U840" s="623" t="s">
        <v>1336</v>
      </c>
      <c r="V840" s="180">
        <v>40252</v>
      </c>
      <c r="W840" s="735">
        <v>80</v>
      </c>
      <c r="X840" s="7">
        <v>40</v>
      </c>
      <c r="Y840" s="7">
        <f t="shared" si="28"/>
        <v>0</v>
      </c>
      <c r="Z840" s="7">
        <f t="shared" si="27"/>
        <v>40</v>
      </c>
      <c r="AA840" s="469"/>
      <c r="AB840" s="513" t="s">
        <v>1231</v>
      </c>
      <c r="AC840" s="147"/>
      <c r="AD840" s="187">
        <v>0.5</v>
      </c>
      <c r="AE840" s="187"/>
      <c r="AF840" s="9">
        <f t="shared" si="29"/>
        <v>0.5</v>
      </c>
      <c r="AG840" s="163">
        <v>1.5</v>
      </c>
      <c r="AH840" s="93" t="s">
        <v>305</v>
      </c>
      <c r="AI840" s="93"/>
      <c r="AJ840" s="93" t="s">
        <v>1188</v>
      </c>
      <c r="AK840" s="30" t="s">
        <v>99</v>
      </c>
      <c r="AL840" s="93" t="s">
        <v>1178</v>
      </c>
    </row>
    <row r="841" spans="1:38" ht="15" customHeight="1" x14ac:dyDescent="0.3">
      <c r="A841" s="30" t="s">
        <v>22</v>
      </c>
      <c r="B841" s="120" t="s">
        <v>105</v>
      </c>
      <c r="C841" s="107">
        <v>11</v>
      </c>
      <c r="D841" s="11" t="s">
        <v>5936</v>
      </c>
      <c r="E841" s="108">
        <v>36326</v>
      </c>
      <c r="F841" s="12">
        <v>1999</v>
      </c>
      <c r="G841" s="142">
        <v>991148</v>
      </c>
      <c r="H841" s="162" t="s">
        <v>2207</v>
      </c>
      <c r="I841" s="33" t="s">
        <v>33</v>
      </c>
      <c r="J841" s="32" t="s">
        <v>191</v>
      </c>
      <c r="K841" s="197" t="s">
        <v>1173</v>
      </c>
      <c r="L841" s="137" t="s">
        <v>40</v>
      </c>
      <c r="M841" s="137" t="s">
        <v>804</v>
      </c>
      <c r="N841" s="137"/>
      <c r="O841" s="93" t="s">
        <v>1109</v>
      </c>
      <c r="P841" s="647" t="s">
        <v>2208</v>
      </c>
      <c r="Q841" s="15" t="s">
        <v>282</v>
      </c>
      <c r="R841" s="132">
        <v>38240</v>
      </c>
      <c r="S841" s="16" t="s">
        <v>44</v>
      </c>
      <c r="T841" s="133">
        <v>39414</v>
      </c>
      <c r="U841" s="623" t="s">
        <v>1336</v>
      </c>
      <c r="V841" s="180">
        <v>40252</v>
      </c>
      <c r="W841" s="735">
        <v>80</v>
      </c>
      <c r="X841" s="7">
        <v>40</v>
      </c>
      <c r="Y841" s="7">
        <f t="shared" si="28"/>
        <v>0</v>
      </c>
      <c r="Z841" s="7">
        <f t="shared" si="27"/>
        <v>40</v>
      </c>
      <c r="AA841" s="469"/>
      <c r="AB841" s="513" t="s">
        <v>1231</v>
      </c>
      <c r="AC841" s="147"/>
      <c r="AD841" s="187">
        <v>0.5</v>
      </c>
      <c r="AE841" s="187"/>
      <c r="AF841" s="9">
        <f t="shared" si="29"/>
        <v>0.5</v>
      </c>
      <c r="AG841" s="163">
        <v>1.5</v>
      </c>
      <c r="AH841" s="93" t="s">
        <v>305</v>
      </c>
      <c r="AI841" s="93"/>
      <c r="AJ841" s="93" t="s">
        <v>1188</v>
      </c>
      <c r="AK841" s="30" t="s">
        <v>99</v>
      </c>
      <c r="AL841" s="93" t="s">
        <v>1178</v>
      </c>
    </row>
    <row r="842" spans="1:38" ht="15" customHeight="1" x14ac:dyDescent="0.3">
      <c r="A842" s="30" t="s">
        <v>22</v>
      </c>
      <c r="B842" s="120" t="s">
        <v>105</v>
      </c>
      <c r="C842" s="107">
        <v>11</v>
      </c>
      <c r="D842" s="11" t="s">
        <v>5936</v>
      </c>
      <c r="E842" s="108">
        <v>36326</v>
      </c>
      <c r="F842" s="12">
        <v>1999</v>
      </c>
      <c r="G842" s="142">
        <v>991148</v>
      </c>
      <c r="H842" s="162" t="s">
        <v>2207</v>
      </c>
      <c r="I842" s="33" t="s">
        <v>33</v>
      </c>
      <c r="J842" s="32" t="s">
        <v>191</v>
      </c>
      <c r="K842" s="197" t="s">
        <v>1173</v>
      </c>
      <c r="L842" s="137" t="s">
        <v>40</v>
      </c>
      <c r="M842" s="137" t="s">
        <v>804</v>
      </c>
      <c r="N842" s="137"/>
      <c r="O842" s="93" t="s">
        <v>1109</v>
      </c>
      <c r="P842" s="647" t="s">
        <v>2208</v>
      </c>
      <c r="Q842" s="15" t="s">
        <v>282</v>
      </c>
      <c r="R842" s="132">
        <v>38240</v>
      </c>
      <c r="S842" s="16" t="s">
        <v>44</v>
      </c>
      <c r="T842" s="133">
        <v>39414</v>
      </c>
      <c r="U842" s="623" t="s">
        <v>1336</v>
      </c>
      <c r="V842" s="180">
        <v>40252</v>
      </c>
      <c r="W842" s="735">
        <v>80</v>
      </c>
      <c r="X842" s="7">
        <v>40</v>
      </c>
      <c r="Y842" s="7">
        <f t="shared" si="28"/>
        <v>0</v>
      </c>
      <c r="Z842" s="7">
        <f t="shared" si="27"/>
        <v>40</v>
      </c>
      <c r="AA842" s="469"/>
      <c r="AB842" s="513" t="s">
        <v>1231</v>
      </c>
      <c r="AC842" s="147"/>
      <c r="AD842" s="187">
        <v>0.5</v>
      </c>
      <c r="AE842" s="187"/>
      <c r="AF842" s="9">
        <f t="shared" si="29"/>
        <v>0.5</v>
      </c>
      <c r="AG842" s="163">
        <v>1.5</v>
      </c>
      <c r="AH842" s="93" t="s">
        <v>305</v>
      </c>
      <c r="AI842" s="93"/>
      <c r="AJ842" s="93" t="s">
        <v>1188</v>
      </c>
      <c r="AK842" s="30" t="s">
        <v>99</v>
      </c>
      <c r="AL842" s="93" t="s">
        <v>1178</v>
      </c>
    </row>
    <row r="843" spans="1:38" ht="15" customHeight="1" x14ac:dyDescent="0.3">
      <c r="A843" s="30" t="s">
        <v>22</v>
      </c>
      <c r="B843" s="120" t="s">
        <v>105</v>
      </c>
      <c r="C843" s="107">
        <v>11</v>
      </c>
      <c r="D843" s="11" t="s">
        <v>5936</v>
      </c>
      <c r="E843" s="108">
        <v>36326</v>
      </c>
      <c r="F843" s="12">
        <v>1999</v>
      </c>
      <c r="G843" s="142">
        <v>991148</v>
      </c>
      <c r="H843" s="162" t="s">
        <v>2207</v>
      </c>
      <c r="I843" s="33" t="s">
        <v>33</v>
      </c>
      <c r="J843" s="32" t="s">
        <v>191</v>
      </c>
      <c r="K843" s="197" t="s">
        <v>1173</v>
      </c>
      <c r="L843" s="137" t="s">
        <v>40</v>
      </c>
      <c r="M843" s="137" t="s">
        <v>804</v>
      </c>
      <c r="N843" s="137"/>
      <c r="O843" s="93" t="s">
        <v>1109</v>
      </c>
      <c r="P843" s="647" t="s">
        <v>2208</v>
      </c>
      <c r="Q843" s="15" t="s">
        <v>282</v>
      </c>
      <c r="R843" s="132">
        <v>38240</v>
      </c>
      <c r="S843" s="16" t="s">
        <v>44</v>
      </c>
      <c r="T843" s="133">
        <v>39414</v>
      </c>
      <c r="U843" s="623" t="s">
        <v>1336</v>
      </c>
      <c r="V843" s="180">
        <v>40252</v>
      </c>
      <c r="W843" s="735">
        <v>80</v>
      </c>
      <c r="X843" s="7">
        <v>40</v>
      </c>
      <c r="Y843" s="7">
        <f t="shared" si="28"/>
        <v>0</v>
      </c>
      <c r="Z843" s="7">
        <f t="shared" si="27"/>
        <v>40</v>
      </c>
      <c r="AA843" s="469"/>
      <c r="AB843" s="513" t="s">
        <v>1231</v>
      </c>
      <c r="AC843" s="147"/>
      <c r="AD843" s="187">
        <v>0.5</v>
      </c>
      <c r="AE843" s="187"/>
      <c r="AF843" s="9">
        <f t="shared" si="29"/>
        <v>0.5</v>
      </c>
      <c r="AG843" s="163">
        <v>1.5</v>
      </c>
      <c r="AH843" s="93" t="s">
        <v>305</v>
      </c>
      <c r="AI843" s="93"/>
      <c r="AJ843" s="93" t="s">
        <v>1188</v>
      </c>
      <c r="AK843" s="30" t="s">
        <v>99</v>
      </c>
      <c r="AL843" s="93" t="s">
        <v>1178</v>
      </c>
    </row>
    <row r="844" spans="1:38" ht="15" customHeight="1" x14ac:dyDescent="0.3">
      <c r="A844" s="30" t="s">
        <v>22</v>
      </c>
      <c r="B844" s="120" t="s">
        <v>105</v>
      </c>
      <c r="C844" s="107">
        <v>11</v>
      </c>
      <c r="D844" s="11" t="s">
        <v>5936</v>
      </c>
      <c r="E844" s="108">
        <v>36326</v>
      </c>
      <c r="F844" s="12">
        <v>1999</v>
      </c>
      <c r="G844" s="142">
        <v>991148</v>
      </c>
      <c r="H844" s="162" t="s">
        <v>2207</v>
      </c>
      <c r="I844" s="33" t="s">
        <v>33</v>
      </c>
      <c r="J844" s="32" t="s">
        <v>191</v>
      </c>
      <c r="K844" s="138" t="s">
        <v>1173</v>
      </c>
      <c r="L844" s="137" t="s">
        <v>40</v>
      </c>
      <c r="M844" s="137" t="s">
        <v>804</v>
      </c>
      <c r="N844" s="137"/>
      <c r="O844" s="93" t="s">
        <v>1109</v>
      </c>
      <c r="P844" s="647" t="s">
        <v>2208</v>
      </c>
      <c r="Q844" s="15" t="s">
        <v>282</v>
      </c>
      <c r="R844" s="132">
        <v>38240</v>
      </c>
      <c r="S844" s="16" t="s">
        <v>44</v>
      </c>
      <c r="T844" s="133">
        <v>39414</v>
      </c>
      <c r="U844" s="623" t="s">
        <v>1336</v>
      </c>
      <c r="V844" s="180">
        <v>40252</v>
      </c>
      <c r="W844" s="735">
        <v>80</v>
      </c>
      <c r="X844" s="7">
        <v>40</v>
      </c>
      <c r="Y844" s="7">
        <f t="shared" si="28"/>
        <v>0</v>
      </c>
      <c r="Z844" s="7">
        <f t="shared" si="27"/>
        <v>40</v>
      </c>
      <c r="AA844" s="469"/>
      <c r="AB844" s="513" t="s">
        <v>1231</v>
      </c>
      <c r="AC844" s="147"/>
      <c r="AD844" s="187">
        <v>0.5</v>
      </c>
      <c r="AE844" s="187"/>
      <c r="AF844" s="9">
        <f t="shared" si="29"/>
        <v>0.5</v>
      </c>
      <c r="AG844" s="163">
        <v>1.5</v>
      </c>
      <c r="AH844" s="93" t="s">
        <v>305</v>
      </c>
      <c r="AI844" s="93"/>
      <c r="AJ844" s="93" t="s">
        <v>1188</v>
      </c>
      <c r="AK844" s="30" t="s">
        <v>99</v>
      </c>
      <c r="AL844" s="93" t="s">
        <v>1178</v>
      </c>
    </row>
    <row r="845" spans="1:38" ht="15" customHeight="1" x14ac:dyDescent="0.3">
      <c r="A845" s="30" t="s">
        <v>22</v>
      </c>
      <c r="B845" s="120" t="s">
        <v>105</v>
      </c>
      <c r="C845" s="107">
        <v>11</v>
      </c>
      <c r="D845" s="11" t="s">
        <v>5936</v>
      </c>
      <c r="E845" s="108">
        <v>36326</v>
      </c>
      <c r="F845" s="12">
        <v>1999</v>
      </c>
      <c r="G845" s="142">
        <v>991148</v>
      </c>
      <c r="H845" s="162" t="s">
        <v>2207</v>
      </c>
      <c r="I845" s="33" t="s">
        <v>33</v>
      </c>
      <c r="J845" s="32" t="s">
        <v>191</v>
      </c>
      <c r="K845" s="197" t="s">
        <v>1173</v>
      </c>
      <c r="L845" s="137" t="s">
        <v>40</v>
      </c>
      <c r="M845" s="137" t="s">
        <v>804</v>
      </c>
      <c r="N845" s="137"/>
      <c r="O845" s="137" t="s">
        <v>1109</v>
      </c>
      <c r="P845" s="647" t="s">
        <v>2208</v>
      </c>
      <c r="Q845" s="15" t="s">
        <v>282</v>
      </c>
      <c r="R845" s="132">
        <v>38240</v>
      </c>
      <c r="S845" s="16" t="s">
        <v>44</v>
      </c>
      <c r="T845" s="133">
        <v>39414</v>
      </c>
      <c r="U845" s="623" t="s">
        <v>1336</v>
      </c>
      <c r="V845" s="180">
        <v>40252</v>
      </c>
      <c r="W845" s="735">
        <v>80</v>
      </c>
      <c r="X845" s="7">
        <v>40</v>
      </c>
      <c r="Y845" s="7">
        <f t="shared" si="28"/>
        <v>0</v>
      </c>
      <c r="Z845" s="7">
        <f t="shared" si="27"/>
        <v>40</v>
      </c>
      <c r="AA845" s="469"/>
      <c r="AB845" s="513" t="s">
        <v>1231</v>
      </c>
      <c r="AC845" s="147"/>
      <c r="AD845" s="187">
        <v>0.5</v>
      </c>
      <c r="AE845" s="187"/>
      <c r="AF845" s="9">
        <f t="shared" si="29"/>
        <v>0.5</v>
      </c>
      <c r="AG845" s="163">
        <v>1.5</v>
      </c>
      <c r="AH845" s="93" t="s">
        <v>305</v>
      </c>
      <c r="AI845" s="93"/>
      <c r="AJ845" s="93" t="s">
        <v>1188</v>
      </c>
      <c r="AK845" s="30" t="s">
        <v>99</v>
      </c>
      <c r="AL845" s="93" t="s">
        <v>1178</v>
      </c>
    </row>
    <row r="846" spans="1:38" ht="15" customHeight="1" x14ac:dyDescent="0.3">
      <c r="A846" s="30" t="s">
        <v>22</v>
      </c>
      <c r="B846" s="120" t="s">
        <v>105</v>
      </c>
      <c r="C846" s="107">
        <v>11</v>
      </c>
      <c r="D846" s="11" t="s">
        <v>5936</v>
      </c>
      <c r="E846" s="108">
        <v>36326</v>
      </c>
      <c r="F846" s="12">
        <v>1999</v>
      </c>
      <c r="G846" s="142">
        <v>991148</v>
      </c>
      <c r="H846" s="162" t="s">
        <v>2207</v>
      </c>
      <c r="I846" s="33" t="s">
        <v>33</v>
      </c>
      <c r="J846" s="32" t="s">
        <v>191</v>
      </c>
      <c r="K846" s="197" t="s">
        <v>1173</v>
      </c>
      <c r="L846" s="137" t="s">
        <v>40</v>
      </c>
      <c r="M846" s="137" t="s">
        <v>804</v>
      </c>
      <c r="N846" s="137"/>
      <c r="O846" s="93" t="s">
        <v>1109</v>
      </c>
      <c r="P846" s="647" t="s">
        <v>2208</v>
      </c>
      <c r="Q846" s="15" t="s">
        <v>282</v>
      </c>
      <c r="R846" s="132">
        <v>38240</v>
      </c>
      <c r="S846" s="16" t="s">
        <v>44</v>
      </c>
      <c r="T846" s="133">
        <v>39414</v>
      </c>
      <c r="U846" s="623" t="s">
        <v>1336</v>
      </c>
      <c r="V846" s="180">
        <v>40252</v>
      </c>
      <c r="W846" s="735">
        <v>80</v>
      </c>
      <c r="X846" s="7">
        <v>40</v>
      </c>
      <c r="Y846" s="7">
        <f t="shared" si="28"/>
        <v>0</v>
      </c>
      <c r="Z846" s="7">
        <f t="shared" si="27"/>
        <v>40</v>
      </c>
      <c r="AA846" s="469"/>
      <c r="AB846" s="513" t="s">
        <v>1231</v>
      </c>
      <c r="AC846" s="147"/>
      <c r="AD846" s="187">
        <v>0.5</v>
      </c>
      <c r="AE846" s="187"/>
      <c r="AF846" s="9">
        <f t="shared" si="29"/>
        <v>0.5</v>
      </c>
      <c r="AG846" s="163">
        <v>1.5</v>
      </c>
      <c r="AH846" s="93" t="s">
        <v>305</v>
      </c>
      <c r="AI846" s="93"/>
      <c r="AJ846" s="93" t="s">
        <v>1188</v>
      </c>
      <c r="AK846" s="30" t="s">
        <v>99</v>
      </c>
      <c r="AL846" s="93" t="s">
        <v>1178</v>
      </c>
    </row>
    <row r="847" spans="1:38" ht="15" customHeight="1" x14ac:dyDescent="0.3">
      <c r="A847" s="30" t="s">
        <v>22</v>
      </c>
      <c r="B847" s="120" t="s">
        <v>105</v>
      </c>
      <c r="C847" s="107">
        <v>11</v>
      </c>
      <c r="D847" s="11" t="s">
        <v>5936</v>
      </c>
      <c r="E847" s="108">
        <v>36326</v>
      </c>
      <c r="F847" s="12">
        <v>1999</v>
      </c>
      <c r="G847" s="142">
        <v>991148</v>
      </c>
      <c r="H847" s="162" t="s">
        <v>2207</v>
      </c>
      <c r="I847" s="33" t="s">
        <v>33</v>
      </c>
      <c r="J847" s="32" t="s">
        <v>191</v>
      </c>
      <c r="K847" s="197" t="s">
        <v>1173</v>
      </c>
      <c r="L847" s="137" t="s">
        <v>40</v>
      </c>
      <c r="M847" s="137" t="s">
        <v>804</v>
      </c>
      <c r="N847" s="137"/>
      <c r="O847" s="93" t="s">
        <v>1109</v>
      </c>
      <c r="P847" s="647" t="s">
        <v>2208</v>
      </c>
      <c r="Q847" s="15" t="s">
        <v>282</v>
      </c>
      <c r="R847" s="132">
        <v>38240</v>
      </c>
      <c r="S847" s="16" t="s">
        <v>44</v>
      </c>
      <c r="T847" s="133">
        <v>39414</v>
      </c>
      <c r="U847" s="623" t="s">
        <v>1336</v>
      </c>
      <c r="V847" s="180">
        <v>40252</v>
      </c>
      <c r="W847" s="735">
        <v>80</v>
      </c>
      <c r="X847" s="7">
        <v>40</v>
      </c>
      <c r="Y847" s="7">
        <f t="shared" si="28"/>
        <v>0</v>
      </c>
      <c r="Z847" s="7">
        <f t="shared" si="27"/>
        <v>40</v>
      </c>
      <c r="AA847" s="469"/>
      <c r="AB847" s="513" t="s">
        <v>1231</v>
      </c>
      <c r="AC847" s="147"/>
      <c r="AD847" s="187">
        <v>0.5</v>
      </c>
      <c r="AE847" s="187"/>
      <c r="AF847" s="9">
        <f t="shared" si="29"/>
        <v>0.5</v>
      </c>
      <c r="AG847" s="163">
        <v>1.5</v>
      </c>
      <c r="AH847" s="93" t="s">
        <v>305</v>
      </c>
      <c r="AI847" s="93"/>
      <c r="AJ847" s="93" t="s">
        <v>1188</v>
      </c>
      <c r="AK847" s="30" t="s">
        <v>99</v>
      </c>
      <c r="AL847" s="93" t="s">
        <v>1178</v>
      </c>
    </row>
    <row r="848" spans="1:38" ht="15" customHeight="1" x14ac:dyDescent="0.3">
      <c r="A848" s="30" t="s">
        <v>22</v>
      </c>
      <c r="B848" s="120" t="s">
        <v>105</v>
      </c>
      <c r="C848" s="107">
        <v>11</v>
      </c>
      <c r="D848" s="11" t="s">
        <v>5936</v>
      </c>
      <c r="E848" s="108">
        <v>36326</v>
      </c>
      <c r="F848" s="12">
        <v>1999</v>
      </c>
      <c r="G848" s="142">
        <v>991148</v>
      </c>
      <c r="H848" s="162" t="s">
        <v>2207</v>
      </c>
      <c r="I848" s="33" t="s">
        <v>33</v>
      </c>
      <c r="J848" s="32" t="s">
        <v>191</v>
      </c>
      <c r="K848" s="197" t="s">
        <v>1173</v>
      </c>
      <c r="L848" s="137" t="s">
        <v>40</v>
      </c>
      <c r="M848" s="137" t="s">
        <v>804</v>
      </c>
      <c r="N848" s="137"/>
      <c r="O848" s="93" t="s">
        <v>1109</v>
      </c>
      <c r="P848" s="647" t="s">
        <v>2208</v>
      </c>
      <c r="Q848" s="15" t="s">
        <v>282</v>
      </c>
      <c r="R848" s="132">
        <v>38240</v>
      </c>
      <c r="S848" s="16" t="s">
        <v>44</v>
      </c>
      <c r="T848" s="133">
        <v>39414</v>
      </c>
      <c r="U848" s="623" t="s">
        <v>1336</v>
      </c>
      <c r="V848" s="180">
        <v>40252</v>
      </c>
      <c r="W848" s="735">
        <v>80</v>
      </c>
      <c r="X848" s="7">
        <v>40</v>
      </c>
      <c r="Y848" s="7">
        <f t="shared" si="28"/>
        <v>0</v>
      </c>
      <c r="Z848" s="7">
        <f t="shared" si="27"/>
        <v>40</v>
      </c>
      <c r="AA848" s="469"/>
      <c r="AB848" s="513" t="s">
        <v>1231</v>
      </c>
      <c r="AC848" s="147"/>
      <c r="AD848" s="187">
        <v>0.5</v>
      </c>
      <c r="AE848" s="187"/>
      <c r="AF848" s="9">
        <f t="shared" si="29"/>
        <v>0.5</v>
      </c>
      <c r="AG848" s="163">
        <v>1.5</v>
      </c>
      <c r="AH848" s="93" t="s">
        <v>305</v>
      </c>
      <c r="AI848" s="93"/>
      <c r="AJ848" s="93" t="s">
        <v>1188</v>
      </c>
      <c r="AK848" s="30" t="s">
        <v>99</v>
      </c>
      <c r="AL848" s="93" t="s">
        <v>1178</v>
      </c>
    </row>
    <row r="849" spans="1:38" ht="15" customHeight="1" x14ac:dyDescent="0.3">
      <c r="A849" s="30" t="s">
        <v>22</v>
      </c>
      <c r="B849" s="120" t="s">
        <v>105</v>
      </c>
      <c r="C849" s="107">
        <v>11</v>
      </c>
      <c r="D849" s="11" t="s">
        <v>5936</v>
      </c>
      <c r="E849" s="108">
        <v>36326</v>
      </c>
      <c r="F849" s="12">
        <v>1999</v>
      </c>
      <c r="G849" s="142">
        <v>991148</v>
      </c>
      <c r="H849" s="162" t="s">
        <v>2207</v>
      </c>
      <c r="I849" s="33" t="s">
        <v>33</v>
      </c>
      <c r="J849" s="32" t="s">
        <v>191</v>
      </c>
      <c r="K849" s="197" t="s">
        <v>1173</v>
      </c>
      <c r="L849" s="137" t="s">
        <v>40</v>
      </c>
      <c r="M849" s="137" t="s">
        <v>804</v>
      </c>
      <c r="N849" s="137"/>
      <c r="O849" s="93" t="s">
        <v>1109</v>
      </c>
      <c r="P849" s="647" t="s">
        <v>2208</v>
      </c>
      <c r="Q849" s="15" t="s">
        <v>282</v>
      </c>
      <c r="R849" s="132">
        <v>38240</v>
      </c>
      <c r="S849" s="16" t="s">
        <v>44</v>
      </c>
      <c r="T849" s="133">
        <v>39414</v>
      </c>
      <c r="U849" s="623" t="s">
        <v>1336</v>
      </c>
      <c r="V849" s="180">
        <v>40252</v>
      </c>
      <c r="W849" s="735">
        <v>80</v>
      </c>
      <c r="X849" s="7">
        <v>40</v>
      </c>
      <c r="Y849" s="7">
        <f t="shared" si="28"/>
        <v>0</v>
      </c>
      <c r="Z849" s="7">
        <f t="shared" si="27"/>
        <v>40</v>
      </c>
      <c r="AA849" s="469"/>
      <c r="AB849" s="513" t="s">
        <v>1231</v>
      </c>
      <c r="AC849" s="147"/>
      <c r="AD849" s="187">
        <v>0.5</v>
      </c>
      <c r="AE849" s="187"/>
      <c r="AF849" s="9">
        <f t="shared" si="29"/>
        <v>0.5</v>
      </c>
      <c r="AG849" s="163">
        <v>1.5</v>
      </c>
      <c r="AH849" s="93" t="s">
        <v>305</v>
      </c>
      <c r="AI849" s="93"/>
      <c r="AJ849" s="93" t="s">
        <v>1188</v>
      </c>
      <c r="AK849" s="30" t="s">
        <v>99</v>
      </c>
      <c r="AL849" s="93" t="s">
        <v>1178</v>
      </c>
    </row>
    <row r="850" spans="1:38" ht="15" customHeight="1" x14ac:dyDescent="0.3">
      <c r="A850" s="30" t="s">
        <v>22</v>
      </c>
      <c r="B850" s="120" t="s">
        <v>105</v>
      </c>
      <c r="C850" s="107">
        <v>11</v>
      </c>
      <c r="D850" s="11" t="s">
        <v>5936</v>
      </c>
      <c r="E850" s="108">
        <v>36326</v>
      </c>
      <c r="F850" s="12">
        <v>1999</v>
      </c>
      <c r="G850" s="142">
        <v>991148</v>
      </c>
      <c r="H850" s="162" t="s">
        <v>2207</v>
      </c>
      <c r="I850" s="33" t="s">
        <v>33</v>
      </c>
      <c r="J850" s="32" t="s">
        <v>191</v>
      </c>
      <c r="K850" s="197" t="s">
        <v>1173</v>
      </c>
      <c r="L850" s="137" t="s">
        <v>40</v>
      </c>
      <c r="M850" s="137" t="s">
        <v>804</v>
      </c>
      <c r="N850" s="137"/>
      <c r="O850" s="93" t="s">
        <v>1109</v>
      </c>
      <c r="P850" s="647" t="s">
        <v>2208</v>
      </c>
      <c r="Q850" s="15" t="s">
        <v>282</v>
      </c>
      <c r="R850" s="132">
        <v>38240</v>
      </c>
      <c r="S850" s="16" t="s">
        <v>44</v>
      </c>
      <c r="T850" s="133">
        <v>39414</v>
      </c>
      <c r="U850" s="623" t="s">
        <v>1336</v>
      </c>
      <c r="V850" s="180">
        <v>40252</v>
      </c>
      <c r="W850" s="735">
        <v>80</v>
      </c>
      <c r="X850" s="7">
        <v>40</v>
      </c>
      <c r="Y850" s="7">
        <f t="shared" si="28"/>
        <v>0</v>
      </c>
      <c r="Z850" s="7">
        <f t="shared" si="27"/>
        <v>40</v>
      </c>
      <c r="AA850" s="469"/>
      <c r="AB850" s="513" t="s">
        <v>1231</v>
      </c>
      <c r="AC850" s="147"/>
      <c r="AD850" s="187">
        <v>0.5</v>
      </c>
      <c r="AE850" s="187"/>
      <c r="AF850" s="9">
        <f t="shared" si="29"/>
        <v>0.5</v>
      </c>
      <c r="AG850" s="163">
        <v>1.5</v>
      </c>
      <c r="AH850" s="93" t="s">
        <v>305</v>
      </c>
      <c r="AI850" s="93"/>
      <c r="AJ850" s="93" t="s">
        <v>1188</v>
      </c>
      <c r="AK850" s="30" t="s">
        <v>99</v>
      </c>
      <c r="AL850" s="93" t="s">
        <v>1178</v>
      </c>
    </row>
    <row r="851" spans="1:38" ht="15" customHeight="1" x14ac:dyDescent="0.3">
      <c r="A851" s="30" t="s">
        <v>22</v>
      </c>
      <c r="B851" s="120" t="s">
        <v>105</v>
      </c>
      <c r="C851" s="107">
        <v>11</v>
      </c>
      <c r="D851" s="11" t="s">
        <v>5936</v>
      </c>
      <c r="E851" s="108">
        <v>36326</v>
      </c>
      <c r="F851" s="12">
        <v>1999</v>
      </c>
      <c r="G851" s="142">
        <v>991148</v>
      </c>
      <c r="H851" s="162" t="s">
        <v>2207</v>
      </c>
      <c r="I851" s="33" t="s">
        <v>33</v>
      </c>
      <c r="J851" s="32" t="s">
        <v>191</v>
      </c>
      <c r="K851" s="197" t="s">
        <v>1173</v>
      </c>
      <c r="L851" s="137" t="s">
        <v>40</v>
      </c>
      <c r="M851" s="137" t="s">
        <v>804</v>
      </c>
      <c r="N851" s="137"/>
      <c r="O851" s="93" t="s">
        <v>1109</v>
      </c>
      <c r="P851" s="647" t="s">
        <v>2208</v>
      </c>
      <c r="Q851" s="15" t="s">
        <v>282</v>
      </c>
      <c r="R851" s="132">
        <v>38240</v>
      </c>
      <c r="S851" s="16" t="s">
        <v>44</v>
      </c>
      <c r="T851" s="133">
        <v>39414</v>
      </c>
      <c r="U851" s="623" t="s">
        <v>1336</v>
      </c>
      <c r="V851" s="180">
        <v>40252</v>
      </c>
      <c r="W851" s="735">
        <v>80</v>
      </c>
      <c r="X851" s="7">
        <v>40</v>
      </c>
      <c r="Y851" s="7">
        <f t="shared" si="28"/>
        <v>0</v>
      </c>
      <c r="Z851" s="7">
        <f t="shared" si="27"/>
        <v>40</v>
      </c>
      <c r="AA851" s="469"/>
      <c r="AB851" s="513" t="s">
        <v>1231</v>
      </c>
      <c r="AC851" s="147"/>
      <c r="AD851" s="187">
        <v>0.5</v>
      </c>
      <c r="AE851" s="187"/>
      <c r="AF851" s="9">
        <f t="shared" si="29"/>
        <v>0.5</v>
      </c>
      <c r="AG851" s="163">
        <v>1.5</v>
      </c>
      <c r="AH851" s="93" t="s">
        <v>305</v>
      </c>
      <c r="AI851" s="93"/>
      <c r="AJ851" s="93" t="s">
        <v>1188</v>
      </c>
      <c r="AK851" s="30" t="s">
        <v>99</v>
      </c>
      <c r="AL851" s="93" t="s">
        <v>1178</v>
      </c>
    </row>
    <row r="852" spans="1:38" ht="15" customHeight="1" x14ac:dyDescent="0.3">
      <c r="A852" s="30" t="s">
        <v>22</v>
      </c>
      <c r="B852" s="120" t="s">
        <v>105</v>
      </c>
      <c r="C852" s="107">
        <v>11</v>
      </c>
      <c r="D852" s="11" t="s">
        <v>5936</v>
      </c>
      <c r="E852" s="108">
        <v>36326</v>
      </c>
      <c r="F852" s="12">
        <v>1999</v>
      </c>
      <c r="G852" s="142">
        <v>991148</v>
      </c>
      <c r="H852" s="162" t="s">
        <v>2207</v>
      </c>
      <c r="I852" s="33" t="s">
        <v>33</v>
      </c>
      <c r="J852" s="32" t="s">
        <v>191</v>
      </c>
      <c r="K852" s="197" t="s">
        <v>1173</v>
      </c>
      <c r="L852" s="137" t="s">
        <v>40</v>
      </c>
      <c r="M852" s="137" t="s">
        <v>804</v>
      </c>
      <c r="N852" s="137"/>
      <c r="O852" s="93" t="s">
        <v>1109</v>
      </c>
      <c r="P852" s="647" t="s">
        <v>2208</v>
      </c>
      <c r="Q852" s="15" t="s">
        <v>282</v>
      </c>
      <c r="R852" s="132">
        <v>38240</v>
      </c>
      <c r="S852" s="16" t="s">
        <v>44</v>
      </c>
      <c r="T852" s="133">
        <v>39414</v>
      </c>
      <c r="U852" s="623" t="s">
        <v>1336</v>
      </c>
      <c r="V852" s="180">
        <v>40252</v>
      </c>
      <c r="W852" s="735">
        <v>80</v>
      </c>
      <c r="X852" s="7">
        <v>40</v>
      </c>
      <c r="Y852" s="7">
        <f t="shared" si="28"/>
        <v>0</v>
      </c>
      <c r="Z852" s="7">
        <f t="shared" si="27"/>
        <v>40</v>
      </c>
      <c r="AA852" s="469"/>
      <c r="AB852" s="513" t="s">
        <v>1231</v>
      </c>
      <c r="AC852" s="147"/>
      <c r="AD852" s="187">
        <v>0.5</v>
      </c>
      <c r="AE852" s="187"/>
      <c r="AF852" s="9">
        <f t="shared" si="29"/>
        <v>0.5</v>
      </c>
      <c r="AG852" s="163">
        <v>1.5</v>
      </c>
      <c r="AH852" s="93" t="s">
        <v>305</v>
      </c>
      <c r="AI852" s="93"/>
      <c r="AJ852" s="93" t="s">
        <v>1188</v>
      </c>
      <c r="AK852" s="30" t="s">
        <v>99</v>
      </c>
      <c r="AL852" s="93" t="s">
        <v>1178</v>
      </c>
    </row>
    <row r="853" spans="1:38" ht="15" customHeight="1" x14ac:dyDescent="0.3">
      <c r="A853" s="30" t="s">
        <v>22</v>
      </c>
      <c r="B853" s="112" t="s">
        <v>105</v>
      </c>
      <c r="C853" s="107">
        <v>11</v>
      </c>
      <c r="D853" s="11" t="s">
        <v>5936</v>
      </c>
      <c r="E853" s="108">
        <v>36326</v>
      </c>
      <c r="F853" s="12">
        <v>1999</v>
      </c>
      <c r="G853" s="142">
        <v>991148</v>
      </c>
      <c r="H853" s="162" t="s">
        <v>2207</v>
      </c>
      <c r="I853" s="33" t="s">
        <v>33</v>
      </c>
      <c r="J853" s="32" t="s">
        <v>191</v>
      </c>
      <c r="K853" s="197" t="s">
        <v>1173</v>
      </c>
      <c r="L853" s="137" t="s">
        <v>40</v>
      </c>
      <c r="M853" s="137" t="s">
        <v>804</v>
      </c>
      <c r="N853" s="137"/>
      <c r="O853" s="93" t="s">
        <v>1109</v>
      </c>
      <c r="P853" s="647" t="s">
        <v>2208</v>
      </c>
      <c r="Q853" s="15" t="s">
        <v>282</v>
      </c>
      <c r="R853" s="132">
        <v>38240</v>
      </c>
      <c r="S853" s="16" t="s">
        <v>44</v>
      </c>
      <c r="T853" s="133">
        <v>39414</v>
      </c>
      <c r="U853" s="623" t="s">
        <v>1336</v>
      </c>
      <c r="V853" s="180">
        <v>40252</v>
      </c>
      <c r="W853" s="735">
        <v>80</v>
      </c>
      <c r="X853" s="7">
        <v>40</v>
      </c>
      <c r="Y853" s="7">
        <f t="shared" si="28"/>
        <v>0</v>
      </c>
      <c r="Z853" s="7">
        <f t="shared" si="27"/>
        <v>40</v>
      </c>
      <c r="AA853" s="469"/>
      <c r="AB853" s="513" t="s">
        <v>1231</v>
      </c>
      <c r="AC853" s="147"/>
      <c r="AD853" s="187">
        <v>0.5</v>
      </c>
      <c r="AE853" s="187"/>
      <c r="AF853" s="9">
        <f t="shared" si="29"/>
        <v>0.5</v>
      </c>
      <c r="AG853" s="163">
        <v>1.5</v>
      </c>
      <c r="AH853" s="93" t="s">
        <v>305</v>
      </c>
      <c r="AI853" s="93"/>
      <c r="AJ853" s="93" t="s">
        <v>1188</v>
      </c>
      <c r="AK853" s="30" t="s">
        <v>99</v>
      </c>
      <c r="AL853" s="93" t="s">
        <v>1178</v>
      </c>
    </row>
    <row r="854" spans="1:38" ht="15" customHeight="1" x14ac:dyDescent="0.3">
      <c r="A854" s="30" t="s">
        <v>22</v>
      </c>
      <c r="B854" s="112" t="s">
        <v>105</v>
      </c>
      <c r="C854" s="107">
        <v>11</v>
      </c>
      <c r="D854" s="11" t="s">
        <v>5936</v>
      </c>
      <c r="E854" s="108">
        <v>36326</v>
      </c>
      <c r="F854" s="12">
        <v>1999</v>
      </c>
      <c r="G854" s="142">
        <v>991148</v>
      </c>
      <c r="H854" s="162" t="s">
        <v>2207</v>
      </c>
      <c r="I854" s="33" t="s">
        <v>33</v>
      </c>
      <c r="J854" s="32" t="s">
        <v>191</v>
      </c>
      <c r="K854" s="138" t="s">
        <v>1173</v>
      </c>
      <c r="L854" s="137" t="s">
        <v>40</v>
      </c>
      <c r="M854" s="137" t="s">
        <v>804</v>
      </c>
      <c r="N854" s="137"/>
      <c r="O854" s="93" t="s">
        <v>1109</v>
      </c>
      <c r="P854" s="647" t="s">
        <v>2208</v>
      </c>
      <c r="Q854" s="15" t="s">
        <v>282</v>
      </c>
      <c r="R854" s="132">
        <v>38240</v>
      </c>
      <c r="S854" s="16" t="s">
        <v>44</v>
      </c>
      <c r="T854" s="133">
        <v>39414</v>
      </c>
      <c r="U854" s="623" t="s">
        <v>1336</v>
      </c>
      <c r="V854" s="180">
        <v>40252</v>
      </c>
      <c r="W854" s="735">
        <v>80</v>
      </c>
      <c r="X854" s="7">
        <v>40</v>
      </c>
      <c r="Y854" s="7">
        <f t="shared" si="28"/>
        <v>0</v>
      </c>
      <c r="Z854" s="7">
        <f t="shared" si="27"/>
        <v>40</v>
      </c>
      <c r="AA854" s="469"/>
      <c r="AB854" s="513" t="s">
        <v>1231</v>
      </c>
      <c r="AC854" s="147"/>
      <c r="AD854" s="187">
        <v>0.5</v>
      </c>
      <c r="AE854" s="187"/>
      <c r="AF854" s="9">
        <f t="shared" si="29"/>
        <v>0.5</v>
      </c>
      <c r="AG854" s="88">
        <v>1.5</v>
      </c>
      <c r="AH854" s="93" t="s">
        <v>305</v>
      </c>
      <c r="AI854" s="93"/>
      <c r="AJ854" s="93" t="s">
        <v>1188</v>
      </c>
      <c r="AK854" s="30" t="s">
        <v>99</v>
      </c>
      <c r="AL854" s="93" t="s">
        <v>1178</v>
      </c>
    </row>
    <row r="855" spans="1:38" ht="15" customHeight="1" x14ac:dyDescent="0.3">
      <c r="A855" s="30" t="s">
        <v>22</v>
      </c>
      <c r="B855" s="120" t="s">
        <v>105</v>
      </c>
      <c r="C855" s="107">
        <v>11</v>
      </c>
      <c r="D855" s="11" t="s">
        <v>5936</v>
      </c>
      <c r="E855" s="108">
        <v>36326</v>
      </c>
      <c r="F855" s="12">
        <v>1999</v>
      </c>
      <c r="G855" s="142">
        <v>991148</v>
      </c>
      <c r="H855" s="162" t="s">
        <v>2207</v>
      </c>
      <c r="I855" s="33" t="s">
        <v>33</v>
      </c>
      <c r="J855" s="32" t="s">
        <v>191</v>
      </c>
      <c r="K855" s="197" t="s">
        <v>1173</v>
      </c>
      <c r="L855" s="137" t="s">
        <v>40</v>
      </c>
      <c r="M855" s="137" t="s">
        <v>804</v>
      </c>
      <c r="N855" s="137"/>
      <c r="O855" s="93" t="s">
        <v>1109</v>
      </c>
      <c r="P855" s="647" t="s">
        <v>2208</v>
      </c>
      <c r="Q855" s="15" t="s">
        <v>282</v>
      </c>
      <c r="R855" s="132">
        <v>38240</v>
      </c>
      <c r="S855" s="16" t="s">
        <v>44</v>
      </c>
      <c r="T855" s="133">
        <v>39414</v>
      </c>
      <c r="U855" s="623" t="s">
        <v>1336</v>
      </c>
      <c r="V855" s="180">
        <v>40252</v>
      </c>
      <c r="W855" s="735">
        <v>80</v>
      </c>
      <c r="X855" s="7">
        <v>40</v>
      </c>
      <c r="Y855" s="7">
        <f t="shared" si="28"/>
        <v>0</v>
      </c>
      <c r="Z855" s="7">
        <f t="shared" si="27"/>
        <v>40</v>
      </c>
      <c r="AA855" s="469"/>
      <c r="AB855" s="513" t="s">
        <v>1231</v>
      </c>
      <c r="AC855" s="147"/>
      <c r="AD855" s="187">
        <v>0.5</v>
      </c>
      <c r="AE855" s="187"/>
      <c r="AF855" s="9">
        <f t="shared" si="29"/>
        <v>0.5</v>
      </c>
      <c r="AG855" s="163">
        <v>1.5</v>
      </c>
      <c r="AH855" s="93" t="s">
        <v>305</v>
      </c>
      <c r="AI855" s="93"/>
      <c r="AJ855" s="93" t="s">
        <v>1188</v>
      </c>
      <c r="AK855" s="30" t="s">
        <v>99</v>
      </c>
      <c r="AL855" s="93" t="s">
        <v>1178</v>
      </c>
    </row>
    <row r="856" spans="1:38" ht="15" customHeight="1" x14ac:dyDescent="0.3">
      <c r="A856" s="30" t="s">
        <v>22</v>
      </c>
      <c r="B856" s="112" t="s">
        <v>105</v>
      </c>
      <c r="C856" s="107">
        <v>11</v>
      </c>
      <c r="D856" s="11" t="s">
        <v>5936</v>
      </c>
      <c r="E856" s="108">
        <v>36326</v>
      </c>
      <c r="F856" s="12">
        <v>1999</v>
      </c>
      <c r="G856" s="142">
        <v>991148</v>
      </c>
      <c r="H856" s="162" t="s">
        <v>2207</v>
      </c>
      <c r="I856" s="33" t="s">
        <v>33</v>
      </c>
      <c r="J856" s="32" t="s">
        <v>191</v>
      </c>
      <c r="K856" s="197" t="s">
        <v>1173</v>
      </c>
      <c r="L856" s="137" t="s">
        <v>40</v>
      </c>
      <c r="M856" s="137" t="s">
        <v>804</v>
      </c>
      <c r="N856" s="137"/>
      <c r="O856" s="93" t="s">
        <v>1109</v>
      </c>
      <c r="P856" s="647" t="s">
        <v>2212</v>
      </c>
      <c r="Q856" s="15" t="s">
        <v>282</v>
      </c>
      <c r="R856" s="132">
        <v>38240</v>
      </c>
      <c r="S856" s="16" t="s">
        <v>44</v>
      </c>
      <c r="T856" s="133">
        <v>39414</v>
      </c>
      <c r="U856" s="623" t="s">
        <v>1336</v>
      </c>
      <c r="V856" s="180">
        <v>40252</v>
      </c>
      <c r="W856" s="735">
        <v>80</v>
      </c>
      <c r="X856" s="7">
        <v>40</v>
      </c>
      <c r="Y856" s="7">
        <f t="shared" si="28"/>
        <v>0</v>
      </c>
      <c r="Z856" s="7">
        <f t="shared" si="27"/>
        <v>40</v>
      </c>
      <c r="AA856" s="469"/>
      <c r="AB856" s="513" t="s">
        <v>1231</v>
      </c>
      <c r="AC856" s="147"/>
      <c r="AD856" s="187">
        <v>0.5</v>
      </c>
      <c r="AE856" s="187"/>
      <c r="AF856" s="9">
        <f t="shared" si="29"/>
        <v>0.5</v>
      </c>
      <c r="AG856" s="163">
        <v>1.5</v>
      </c>
      <c r="AH856" s="93" t="s">
        <v>305</v>
      </c>
      <c r="AI856" s="93"/>
      <c r="AJ856" s="93" t="s">
        <v>1188</v>
      </c>
      <c r="AK856" s="30" t="s">
        <v>99</v>
      </c>
      <c r="AL856" s="93" t="s">
        <v>1178</v>
      </c>
    </row>
    <row r="857" spans="1:38" ht="15" customHeight="1" x14ac:dyDescent="0.3">
      <c r="A857" s="30" t="s">
        <v>22</v>
      </c>
      <c r="B857" s="120" t="s">
        <v>105</v>
      </c>
      <c r="C857" s="107">
        <v>11</v>
      </c>
      <c r="D857" s="11" t="s">
        <v>5936</v>
      </c>
      <c r="E857" s="108">
        <v>36326</v>
      </c>
      <c r="F857" s="12">
        <v>1999</v>
      </c>
      <c r="G857" s="142">
        <v>991148</v>
      </c>
      <c r="H857" s="162" t="s">
        <v>2207</v>
      </c>
      <c r="I857" s="33" t="s">
        <v>33</v>
      </c>
      <c r="J857" s="32" t="s">
        <v>191</v>
      </c>
      <c r="K857" s="197" t="s">
        <v>1173</v>
      </c>
      <c r="L857" s="137" t="s">
        <v>40</v>
      </c>
      <c r="M857" s="137" t="s">
        <v>804</v>
      </c>
      <c r="N857" s="137"/>
      <c r="O857" s="93" t="s">
        <v>1109</v>
      </c>
      <c r="P857" s="647" t="s">
        <v>2208</v>
      </c>
      <c r="Q857" s="15" t="s">
        <v>282</v>
      </c>
      <c r="R857" s="132">
        <v>38240</v>
      </c>
      <c r="S857" s="16" t="s">
        <v>44</v>
      </c>
      <c r="T857" s="133">
        <v>39414</v>
      </c>
      <c r="U857" s="623" t="s">
        <v>1336</v>
      </c>
      <c r="V857" s="180">
        <v>40252</v>
      </c>
      <c r="W857" s="735">
        <v>80</v>
      </c>
      <c r="X857" s="7">
        <v>40</v>
      </c>
      <c r="Y857" s="7">
        <f t="shared" si="28"/>
        <v>0</v>
      </c>
      <c r="Z857" s="7">
        <f t="shared" si="27"/>
        <v>40</v>
      </c>
      <c r="AA857" s="469"/>
      <c r="AB857" s="513" t="s">
        <v>1231</v>
      </c>
      <c r="AC857" s="147"/>
      <c r="AD857" s="187">
        <v>0.5</v>
      </c>
      <c r="AE857" s="187"/>
      <c r="AF857" s="9">
        <f t="shared" si="29"/>
        <v>0.5</v>
      </c>
      <c r="AG857" s="163">
        <v>1.5</v>
      </c>
      <c r="AH857" s="93" t="s">
        <v>305</v>
      </c>
      <c r="AI857" s="93"/>
      <c r="AJ857" s="93" t="s">
        <v>1188</v>
      </c>
      <c r="AK857" s="30" t="s">
        <v>99</v>
      </c>
      <c r="AL857" s="93" t="s">
        <v>1178</v>
      </c>
    </row>
    <row r="858" spans="1:38" ht="15" customHeight="1" x14ac:dyDescent="0.3">
      <c r="A858" s="30" t="s">
        <v>22</v>
      </c>
      <c r="B858" s="120" t="s">
        <v>105</v>
      </c>
      <c r="C858" s="107">
        <v>11</v>
      </c>
      <c r="D858" s="11" t="s">
        <v>5936</v>
      </c>
      <c r="E858" s="108">
        <v>36326</v>
      </c>
      <c r="F858" s="12">
        <v>1999</v>
      </c>
      <c r="G858" s="142">
        <v>991148</v>
      </c>
      <c r="H858" s="162" t="s">
        <v>2207</v>
      </c>
      <c r="I858" s="33" t="s">
        <v>33</v>
      </c>
      <c r="J858" s="32" t="s">
        <v>191</v>
      </c>
      <c r="K858" s="197" t="s">
        <v>1173</v>
      </c>
      <c r="L858" s="137" t="s">
        <v>40</v>
      </c>
      <c r="M858" s="137" t="s">
        <v>804</v>
      </c>
      <c r="N858" s="137"/>
      <c r="O858" s="93" t="s">
        <v>1109</v>
      </c>
      <c r="P858" s="647" t="s">
        <v>2208</v>
      </c>
      <c r="Q858" s="15" t="s">
        <v>282</v>
      </c>
      <c r="R858" s="132">
        <v>38240</v>
      </c>
      <c r="S858" s="16" t="s">
        <v>44</v>
      </c>
      <c r="T858" s="133">
        <v>39414</v>
      </c>
      <c r="U858" s="623" t="s">
        <v>1336</v>
      </c>
      <c r="V858" s="180">
        <v>40252</v>
      </c>
      <c r="W858" s="735">
        <v>80</v>
      </c>
      <c r="X858" s="7">
        <v>40</v>
      </c>
      <c r="Y858" s="7">
        <f t="shared" si="28"/>
        <v>0</v>
      </c>
      <c r="Z858" s="7">
        <f t="shared" si="27"/>
        <v>40</v>
      </c>
      <c r="AA858" s="469"/>
      <c r="AB858" s="513" t="s">
        <v>1231</v>
      </c>
      <c r="AC858" s="147"/>
      <c r="AD858" s="187">
        <v>0.5</v>
      </c>
      <c r="AE858" s="187"/>
      <c r="AF858" s="9">
        <f t="shared" si="29"/>
        <v>0.5</v>
      </c>
      <c r="AG858" s="163">
        <v>1.5</v>
      </c>
      <c r="AH858" s="93" t="s">
        <v>305</v>
      </c>
      <c r="AI858" s="93"/>
      <c r="AJ858" s="93" t="s">
        <v>1188</v>
      </c>
      <c r="AK858" s="30" t="s">
        <v>99</v>
      </c>
      <c r="AL858" s="93" t="s">
        <v>1178</v>
      </c>
    </row>
    <row r="859" spans="1:38" ht="15" customHeight="1" x14ac:dyDescent="0.3">
      <c r="A859" s="30" t="s">
        <v>22</v>
      </c>
      <c r="B859" s="112" t="s">
        <v>105</v>
      </c>
      <c r="C859" s="107">
        <v>11</v>
      </c>
      <c r="D859" s="11" t="s">
        <v>5936</v>
      </c>
      <c r="E859" s="108">
        <v>36326</v>
      </c>
      <c r="F859" s="12">
        <v>1999</v>
      </c>
      <c r="G859" s="142">
        <v>991148</v>
      </c>
      <c r="H859" s="162" t="s">
        <v>2207</v>
      </c>
      <c r="I859" s="33" t="s">
        <v>33</v>
      </c>
      <c r="J859" s="32" t="s">
        <v>191</v>
      </c>
      <c r="K859" s="197" t="s">
        <v>1173</v>
      </c>
      <c r="L859" s="137" t="s">
        <v>40</v>
      </c>
      <c r="M859" s="137" t="s">
        <v>804</v>
      </c>
      <c r="N859" s="137"/>
      <c r="O859" s="93" t="s">
        <v>1109</v>
      </c>
      <c r="P859" s="647" t="s">
        <v>2208</v>
      </c>
      <c r="Q859" s="15" t="s">
        <v>282</v>
      </c>
      <c r="R859" s="132">
        <v>38240</v>
      </c>
      <c r="S859" s="16" t="s">
        <v>44</v>
      </c>
      <c r="T859" s="133">
        <v>39414</v>
      </c>
      <c r="U859" s="623" t="s">
        <v>1336</v>
      </c>
      <c r="V859" s="180">
        <v>40252</v>
      </c>
      <c r="W859" s="735">
        <v>80</v>
      </c>
      <c r="X859" s="7">
        <v>40</v>
      </c>
      <c r="Y859" s="7">
        <f t="shared" si="28"/>
        <v>0</v>
      </c>
      <c r="Z859" s="7">
        <f t="shared" si="27"/>
        <v>40</v>
      </c>
      <c r="AA859" s="469"/>
      <c r="AB859" s="513" t="s">
        <v>1231</v>
      </c>
      <c r="AC859" s="147"/>
      <c r="AD859" s="187">
        <v>0.5</v>
      </c>
      <c r="AE859" s="187"/>
      <c r="AF859" s="9">
        <f t="shared" si="29"/>
        <v>0.5</v>
      </c>
      <c r="AG859" s="163">
        <v>1.5</v>
      </c>
      <c r="AH859" s="93" t="s">
        <v>305</v>
      </c>
      <c r="AI859" s="93"/>
      <c r="AJ859" s="93" t="s">
        <v>1188</v>
      </c>
      <c r="AK859" s="30" t="s">
        <v>99</v>
      </c>
      <c r="AL859" s="93" t="s">
        <v>1178</v>
      </c>
    </row>
    <row r="860" spans="1:38" ht="15" customHeight="1" x14ac:dyDescent="0.3">
      <c r="A860" s="30" t="s">
        <v>22</v>
      </c>
      <c r="B860" s="112" t="s">
        <v>105</v>
      </c>
      <c r="C860" s="107">
        <v>11</v>
      </c>
      <c r="D860" s="11" t="s">
        <v>5936</v>
      </c>
      <c r="E860" s="108">
        <v>36326</v>
      </c>
      <c r="F860" s="12">
        <v>1999</v>
      </c>
      <c r="G860" s="142">
        <v>991148</v>
      </c>
      <c r="H860" s="162" t="s">
        <v>2207</v>
      </c>
      <c r="I860" s="33" t="s">
        <v>33</v>
      </c>
      <c r="J860" s="32" t="s">
        <v>191</v>
      </c>
      <c r="K860" s="197" t="s">
        <v>1173</v>
      </c>
      <c r="L860" s="137" t="s">
        <v>40</v>
      </c>
      <c r="M860" s="137" t="s">
        <v>804</v>
      </c>
      <c r="N860" s="137"/>
      <c r="O860" s="93" t="s">
        <v>1109</v>
      </c>
      <c r="P860" s="647" t="s">
        <v>2208</v>
      </c>
      <c r="Q860" s="15" t="s">
        <v>282</v>
      </c>
      <c r="R860" s="132">
        <v>38240</v>
      </c>
      <c r="S860" s="16" t="s">
        <v>44</v>
      </c>
      <c r="T860" s="133">
        <v>39414</v>
      </c>
      <c r="U860" s="623" t="s">
        <v>1336</v>
      </c>
      <c r="V860" s="180">
        <v>40252</v>
      </c>
      <c r="W860" s="735">
        <v>80</v>
      </c>
      <c r="X860" s="7">
        <v>40</v>
      </c>
      <c r="Y860" s="7">
        <f t="shared" si="28"/>
        <v>0</v>
      </c>
      <c r="Z860" s="7">
        <f t="shared" si="27"/>
        <v>40</v>
      </c>
      <c r="AA860" s="469"/>
      <c r="AB860" s="513" t="s">
        <v>1231</v>
      </c>
      <c r="AC860" s="147"/>
      <c r="AD860" s="187">
        <v>0.5</v>
      </c>
      <c r="AE860" s="187"/>
      <c r="AF860" s="9">
        <f t="shared" si="29"/>
        <v>0.5</v>
      </c>
      <c r="AG860" s="163">
        <v>1.5</v>
      </c>
      <c r="AH860" s="93" t="s">
        <v>305</v>
      </c>
      <c r="AI860" s="93"/>
      <c r="AJ860" s="93" t="s">
        <v>1188</v>
      </c>
      <c r="AK860" s="30" t="s">
        <v>99</v>
      </c>
      <c r="AL860" s="93" t="s">
        <v>1178</v>
      </c>
    </row>
    <row r="861" spans="1:38" ht="15" customHeight="1" x14ac:dyDescent="0.3">
      <c r="A861" s="30" t="s">
        <v>22</v>
      </c>
      <c r="B861" s="120" t="s">
        <v>105</v>
      </c>
      <c r="C861" s="107">
        <v>11</v>
      </c>
      <c r="D861" s="11" t="s">
        <v>5936</v>
      </c>
      <c r="E861" s="108">
        <v>36326</v>
      </c>
      <c r="F861" s="12">
        <v>1999</v>
      </c>
      <c r="G861" s="142">
        <v>991148</v>
      </c>
      <c r="H861" s="162" t="s">
        <v>2207</v>
      </c>
      <c r="I861" s="33" t="s">
        <v>33</v>
      </c>
      <c r="J861" s="32" t="s">
        <v>191</v>
      </c>
      <c r="K861" s="197" t="s">
        <v>1173</v>
      </c>
      <c r="L861" s="137" t="s">
        <v>40</v>
      </c>
      <c r="M861" s="137" t="s">
        <v>804</v>
      </c>
      <c r="N861" s="137"/>
      <c r="O861" s="93" t="s">
        <v>1109</v>
      </c>
      <c r="P861" s="647" t="s">
        <v>2208</v>
      </c>
      <c r="Q861" s="15" t="s">
        <v>282</v>
      </c>
      <c r="R861" s="132">
        <v>38240</v>
      </c>
      <c r="S861" s="16" t="s">
        <v>44</v>
      </c>
      <c r="T861" s="133">
        <v>39414</v>
      </c>
      <c r="U861" s="623" t="s">
        <v>1336</v>
      </c>
      <c r="V861" s="180">
        <v>40252</v>
      </c>
      <c r="W861" s="735">
        <v>80</v>
      </c>
      <c r="X861" s="7">
        <v>40</v>
      </c>
      <c r="Y861" s="7">
        <f t="shared" si="28"/>
        <v>0</v>
      </c>
      <c r="Z861" s="7">
        <f t="shared" si="27"/>
        <v>40</v>
      </c>
      <c r="AA861" s="469"/>
      <c r="AB861" s="513" t="s">
        <v>1231</v>
      </c>
      <c r="AC861" s="147"/>
      <c r="AD861" s="187">
        <v>0.5</v>
      </c>
      <c r="AE861" s="187"/>
      <c r="AF861" s="9">
        <f t="shared" si="29"/>
        <v>0.5</v>
      </c>
      <c r="AG861" s="163">
        <v>1.5</v>
      </c>
      <c r="AH861" s="93" t="s">
        <v>305</v>
      </c>
      <c r="AI861" s="93"/>
      <c r="AJ861" s="93" t="s">
        <v>1188</v>
      </c>
      <c r="AK861" s="30" t="s">
        <v>99</v>
      </c>
      <c r="AL861" s="93" t="s">
        <v>1178</v>
      </c>
    </row>
    <row r="862" spans="1:38" ht="15" customHeight="1" x14ac:dyDescent="0.3">
      <c r="A862" s="30" t="s">
        <v>22</v>
      </c>
      <c r="B862" s="120" t="s">
        <v>105</v>
      </c>
      <c r="C862" s="107">
        <v>11</v>
      </c>
      <c r="D862" s="11" t="s">
        <v>5936</v>
      </c>
      <c r="E862" s="108">
        <v>36326</v>
      </c>
      <c r="F862" s="12">
        <v>1999</v>
      </c>
      <c r="G862" s="142">
        <v>991148</v>
      </c>
      <c r="H862" s="162" t="s">
        <v>2207</v>
      </c>
      <c r="I862" s="33" t="s">
        <v>33</v>
      </c>
      <c r="J862" s="32" t="s">
        <v>191</v>
      </c>
      <c r="K862" s="197" t="s">
        <v>1173</v>
      </c>
      <c r="L862" s="137" t="s">
        <v>40</v>
      </c>
      <c r="M862" s="137" t="s">
        <v>804</v>
      </c>
      <c r="N862" s="137"/>
      <c r="O862" s="93" t="s">
        <v>1109</v>
      </c>
      <c r="P862" s="647" t="s">
        <v>2208</v>
      </c>
      <c r="Q862" s="15" t="s">
        <v>282</v>
      </c>
      <c r="R862" s="132">
        <v>38240</v>
      </c>
      <c r="S862" s="16" t="s">
        <v>44</v>
      </c>
      <c r="T862" s="133">
        <v>39414</v>
      </c>
      <c r="U862" s="623" t="s">
        <v>1336</v>
      </c>
      <c r="V862" s="180">
        <v>40252</v>
      </c>
      <c r="W862" s="735">
        <v>80</v>
      </c>
      <c r="X862" s="7">
        <v>40</v>
      </c>
      <c r="Y862" s="7">
        <f t="shared" si="28"/>
        <v>0</v>
      </c>
      <c r="Z862" s="7">
        <f t="shared" si="27"/>
        <v>40</v>
      </c>
      <c r="AA862" s="469"/>
      <c r="AB862" s="513" t="s">
        <v>1231</v>
      </c>
      <c r="AC862" s="147"/>
      <c r="AD862" s="187">
        <v>0.5</v>
      </c>
      <c r="AE862" s="187"/>
      <c r="AF862" s="9">
        <f t="shared" si="29"/>
        <v>0.5</v>
      </c>
      <c r="AG862" s="163">
        <v>1.5</v>
      </c>
      <c r="AH862" s="93" t="s">
        <v>305</v>
      </c>
      <c r="AI862" s="93"/>
      <c r="AJ862" s="93" t="s">
        <v>1188</v>
      </c>
      <c r="AK862" s="30" t="s">
        <v>99</v>
      </c>
      <c r="AL862" s="93" t="s">
        <v>1178</v>
      </c>
    </row>
    <row r="863" spans="1:38" ht="15" customHeight="1" x14ac:dyDescent="0.3">
      <c r="A863" s="30" t="s">
        <v>22</v>
      </c>
      <c r="B863" s="120" t="s">
        <v>105</v>
      </c>
      <c r="C863" s="107">
        <v>11</v>
      </c>
      <c r="D863" s="11" t="s">
        <v>5936</v>
      </c>
      <c r="E863" s="108">
        <v>36326</v>
      </c>
      <c r="F863" s="12">
        <v>1999</v>
      </c>
      <c r="G863" s="142">
        <v>991148</v>
      </c>
      <c r="H863" s="162" t="s">
        <v>2207</v>
      </c>
      <c r="I863" s="33" t="s">
        <v>33</v>
      </c>
      <c r="J863" s="32" t="s">
        <v>191</v>
      </c>
      <c r="K863" s="197" t="s">
        <v>1173</v>
      </c>
      <c r="L863" s="137" t="s">
        <v>40</v>
      </c>
      <c r="M863" s="137" t="s">
        <v>804</v>
      </c>
      <c r="N863" s="137"/>
      <c r="O863" s="93" t="s">
        <v>1109</v>
      </c>
      <c r="P863" s="647" t="s">
        <v>2208</v>
      </c>
      <c r="Q863" s="15" t="s">
        <v>282</v>
      </c>
      <c r="R863" s="132">
        <v>38240</v>
      </c>
      <c r="S863" s="16" t="s">
        <v>44</v>
      </c>
      <c r="T863" s="133">
        <v>39414</v>
      </c>
      <c r="U863" s="623" t="s">
        <v>1336</v>
      </c>
      <c r="V863" s="180">
        <v>40252</v>
      </c>
      <c r="W863" s="735">
        <v>80</v>
      </c>
      <c r="X863" s="7">
        <v>40</v>
      </c>
      <c r="Y863" s="7">
        <f t="shared" si="28"/>
        <v>0</v>
      </c>
      <c r="Z863" s="7">
        <f t="shared" si="27"/>
        <v>40</v>
      </c>
      <c r="AA863" s="469"/>
      <c r="AB863" s="513" t="s">
        <v>1231</v>
      </c>
      <c r="AC863" s="147"/>
      <c r="AD863" s="187">
        <v>0.5</v>
      </c>
      <c r="AE863" s="187"/>
      <c r="AF863" s="9">
        <f t="shared" si="29"/>
        <v>0.5</v>
      </c>
      <c r="AG863" s="163">
        <v>1.5</v>
      </c>
      <c r="AH863" s="93" t="s">
        <v>305</v>
      </c>
      <c r="AI863" s="93"/>
      <c r="AJ863" s="93" t="s">
        <v>1188</v>
      </c>
      <c r="AK863" s="30" t="s">
        <v>99</v>
      </c>
      <c r="AL863" s="93" t="s">
        <v>1178</v>
      </c>
    </row>
    <row r="864" spans="1:38" ht="15" customHeight="1" x14ac:dyDescent="0.3">
      <c r="A864" s="30" t="s">
        <v>22</v>
      </c>
      <c r="B864" s="120" t="s">
        <v>105</v>
      </c>
      <c r="C864" s="107">
        <v>11</v>
      </c>
      <c r="D864" s="11" t="s">
        <v>5936</v>
      </c>
      <c r="E864" s="108">
        <v>36326</v>
      </c>
      <c r="F864" s="12">
        <v>1999</v>
      </c>
      <c r="G864" s="142">
        <v>991148</v>
      </c>
      <c r="H864" s="162" t="s">
        <v>2207</v>
      </c>
      <c r="I864" s="33" t="s">
        <v>33</v>
      </c>
      <c r="J864" s="32" t="s">
        <v>191</v>
      </c>
      <c r="K864" s="197" t="s">
        <v>1173</v>
      </c>
      <c r="L864" s="137" t="s">
        <v>40</v>
      </c>
      <c r="M864" s="137" t="s">
        <v>804</v>
      </c>
      <c r="N864" s="137"/>
      <c r="O864" s="93" t="s">
        <v>1109</v>
      </c>
      <c r="P864" s="647" t="s">
        <v>2208</v>
      </c>
      <c r="Q864" s="15" t="s">
        <v>282</v>
      </c>
      <c r="R864" s="132">
        <v>38240</v>
      </c>
      <c r="S864" s="16" t="s">
        <v>44</v>
      </c>
      <c r="T864" s="133">
        <v>39414</v>
      </c>
      <c r="U864" s="623" t="s">
        <v>1336</v>
      </c>
      <c r="V864" s="180">
        <v>40252</v>
      </c>
      <c r="W864" s="735">
        <v>80</v>
      </c>
      <c r="X864" s="7">
        <v>40</v>
      </c>
      <c r="Y864" s="7">
        <f t="shared" si="28"/>
        <v>0</v>
      </c>
      <c r="Z864" s="7">
        <f t="shared" si="27"/>
        <v>40</v>
      </c>
      <c r="AA864" s="469"/>
      <c r="AB864" s="513" t="s">
        <v>1231</v>
      </c>
      <c r="AC864" s="147"/>
      <c r="AD864" s="187">
        <v>0.5</v>
      </c>
      <c r="AE864" s="187"/>
      <c r="AF864" s="9">
        <f t="shared" si="29"/>
        <v>0.5</v>
      </c>
      <c r="AG864" s="163">
        <v>1.5</v>
      </c>
      <c r="AH864" s="93" t="s">
        <v>305</v>
      </c>
      <c r="AI864" s="93"/>
      <c r="AJ864" s="93" t="s">
        <v>1188</v>
      </c>
      <c r="AK864" s="30" t="s">
        <v>99</v>
      </c>
      <c r="AL864" s="93" t="s">
        <v>1178</v>
      </c>
    </row>
    <row r="865" spans="1:38" ht="15" customHeight="1" x14ac:dyDescent="0.3">
      <c r="A865" s="30" t="s">
        <v>22</v>
      </c>
      <c r="B865" s="120" t="s">
        <v>105</v>
      </c>
      <c r="C865" s="107">
        <v>11</v>
      </c>
      <c r="D865" s="11" t="s">
        <v>5936</v>
      </c>
      <c r="E865" s="108">
        <v>36326</v>
      </c>
      <c r="F865" s="12">
        <v>1999</v>
      </c>
      <c r="G865" s="142">
        <v>991148</v>
      </c>
      <c r="H865" s="162" t="s">
        <v>2207</v>
      </c>
      <c r="I865" s="33" t="s">
        <v>33</v>
      </c>
      <c r="J865" s="32" t="s">
        <v>191</v>
      </c>
      <c r="K865" s="197" t="s">
        <v>1173</v>
      </c>
      <c r="L865" s="137" t="s">
        <v>40</v>
      </c>
      <c r="M865" s="137" t="s">
        <v>804</v>
      </c>
      <c r="N865" s="137"/>
      <c r="O865" s="93" t="s">
        <v>1109</v>
      </c>
      <c r="P865" s="647" t="s">
        <v>2213</v>
      </c>
      <c r="Q865" s="15" t="s">
        <v>282</v>
      </c>
      <c r="R865" s="132">
        <v>38240</v>
      </c>
      <c r="S865" s="16" t="s">
        <v>44</v>
      </c>
      <c r="T865" s="133">
        <v>39414</v>
      </c>
      <c r="U865" s="623" t="s">
        <v>1336</v>
      </c>
      <c r="V865" s="180">
        <v>40252</v>
      </c>
      <c r="W865" s="735">
        <v>80</v>
      </c>
      <c r="X865" s="7">
        <v>40</v>
      </c>
      <c r="Y865" s="7">
        <f t="shared" si="28"/>
        <v>0</v>
      </c>
      <c r="Z865" s="7">
        <f t="shared" si="27"/>
        <v>40</v>
      </c>
      <c r="AA865" s="469"/>
      <c r="AB865" s="513" t="s">
        <v>1231</v>
      </c>
      <c r="AC865" s="147"/>
      <c r="AD865" s="187">
        <v>0.5</v>
      </c>
      <c r="AE865" s="187"/>
      <c r="AF865" s="9">
        <f t="shared" si="29"/>
        <v>0.5</v>
      </c>
      <c r="AG865" s="163">
        <v>1.5</v>
      </c>
      <c r="AH865" s="93" t="s">
        <v>305</v>
      </c>
      <c r="AI865" s="718" t="s">
        <v>2214</v>
      </c>
      <c r="AJ865" s="93" t="s">
        <v>1188</v>
      </c>
      <c r="AK865" s="30" t="s">
        <v>99</v>
      </c>
      <c r="AL865" s="93" t="s">
        <v>1178</v>
      </c>
    </row>
    <row r="866" spans="1:38" ht="15" customHeight="1" x14ac:dyDescent="0.3">
      <c r="A866" s="30" t="s">
        <v>22</v>
      </c>
      <c r="B866" s="120" t="s">
        <v>105</v>
      </c>
      <c r="C866" s="107">
        <v>11</v>
      </c>
      <c r="D866" s="11" t="s">
        <v>5936</v>
      </c>
      <c r="E866" s="108">
        <v>36326</v>
      </c>
      <c r="F866" s="12">
        <v>1999</v>
      </c>
      <c r="G866" s="142">
        <v>991148</v>
      </c>
      <c r="H866" s="162" t="s">
        <v>2207</v>
      </c>
      <c r="I866" s="33" t="s">
        <v>33</v>
      </c>
      <c r="J866" s="32" t="s">
        <v>191</v>
      </c>
      <c r="K866" s="197" t="s">
        <v>1173</v>
      </c>
      <c r="L866" s="137" t="s">
        <v>40</v>
      </c>
      <c r="M866" s="137" t="s">
        <v>804</v>
      </c>
      <c r="N866" s="137"/>
      <c r="O866" s="93" t="s">
        <v>1109</v>
      </c>
      <c r="P866" s="647" t="s">
        <v>2208</v>
      </c>
      <c r="Q866" s="15" t="s">
        <v>282</v>
      </c>
      <c r="R866" s="132">
        <v>38240</v>
      </c>
      <c r="S866" s="16" t="s">
        <v>44</v>
      </c>
      <c r="T866" s="133">
        <v>39414</v>
      </c>
      <c r="U866" s="623" t="s">
        <v>1336</v>
      </c>
      <c r="V866" s="180">
        <v>40252</v>
      </c>
      <c r="W866" s="735">
        <v>80</v>
      </c>
      <c r="X866" s="7">
        <v>40</v>
      </c>
      <c r="Y866" s="7">
        <f t="shared" si="28"/>
        <v>0</v>
      </c>
      <c r="Z866" s="7">
        <f t="shared" si="27"/>
        <v>40</v>
      </c>
      <c r="AA866" s="469"/>
      <c r="AB866" s="513" t="s">
        <v>1231</v>
      </c>
      <c r="AC866" s="147"/>
      <c r="AD866" s="187">
        <v>0.5</v>
      </c>
      <c r="AE866" s="187"/>
      <c r="AF866" s="9">
        <f t="shared" si="29"/>
        <v>0.5</v>
      </c>
      <c r="AG866" s="163">
        <v>1.5</v>
      </c>
      <c r="AH866" s="93" t="s">
        <v>305</v>
      </c>
      <c r="AI866" s="93"/>
      <c r="AJ866" s="93" t="s">
        <v>1188</v>
      </c>
      <c r="AK866" s="30" t="s">
        <v>99</v>
      </c>
      <c r="AL866" s="93" t="s">
        <v>1178</v>
      </c>
    </row>
    <row r="867" spans="1:38" ht="15" customHeight="1" x14ac:dyDescent="0.3">
      <c r="A867" s="30" t="s">
        <v>22</v>
      </c>
      <c r="B867" s="120" t="s">
        <v>105</v>
      </c>
      <c r="C867" s="107">
        <v>11</v>
      </c>
      <c r="D867" s="11" t="s">
        <v>5936</v>
      </c>
      <c r="E867" s="108">
        <v>36326</v>
      </c>
      <c r="F867" s="12">
        <v>1999</v>
      </c>
      <c r="G867" s="142">
        <v>991148</v>
      </c>
      <c r="H867" s="162" t="s">
        <v>2207</v>
      </c>
      <c r="I867" s="33" t="s">
        <v>33</v>
      </c>
      <c r="J867" s="32" t="s">
        <v>191</v>
      </c>
      <c r="K867" s="197" t="s">
        <v>1173</v>
      </c>
      <c r="L867" s="137" t="s">
        <v>40</v>
      </c>
      <c r="M867" s="137" t="s">
        <v>804</v>
      </c>
      <c r="N867" s="137"/>
      <c r="O867" s="93" t="s">
        <v>1109</v>
      </c>
      <c r="P867" s="647" t="s">
        <v>2208</v>
      </c>
      <c r="Q867" s="15" t="s">
        <v>282</v>
      </c>
      <c r="R867" s="132">
        <v>38240</v>
      </c>
      <c r="S867" s="16" t="s">
        <v>44</v>
      </c>
      <c r="T867" s="133">
        <v>39414</v>
      </c>
      <c r="U867" s="623" t="s">
        <v>1336</v>
      </c>
      <c r="V867" s="180">
        <v>40252</v>
      </c>
      <c r="W867" s="735">
        <v>80</v>
      </c>
      <c r="X867" s="7">
        <v>40</v>
      </c>
      <c r="Y867" s="7">
        <f t="shared" si="28"/>
        <v>0</v>
      </c>
      <c r="Z867" s="7">
        <f t="shared" si="27"/>
        <v>40</v>
      </c>
      <c r="AA867" s="469"/>
      <c r="AB867" s="513" t="s">
        <v>1231</v>
      </c>
      <c r="AC867" s="147"/>
      <c r="AD867" s="187">
        <v>0.5</v>
      </c>
      <c r="AE867" s="187"/>
      <c r="AF867" s="9">
        <f t="shared" si="29"/>
        <v>0.5</v>
      </c>
      <c r="AG867" s="163">
        <v>1.5</v>
      </c>
      <c r="AH867" s="93" t="s">
        <v>305</v>
      </c>
      <c r="AI867" s="93"/>
      <c r="AJ867" s="93" t="s">
        <v>1188</v>
      </c>
      <c r="AK867" s="30" t="s">
        <v>99</v>
      </c>
      <c r="AL867" s="93" t="s">
        <v>1178</v>
      </c>
    </row>
    <row r="868" spans="1:38" ht="15" customHeight="1" x14ac:dyDescent="0.3">
      <c r="A868" s="30" t="s">
        <v>22</v>
      </c>
      <c r="B868" s="120" t="s">
        <v>105</v>
      </c>
      <c r="C868" s="107">
        <v>11</v>
      </c>
      <c r="D868" s="11" t="s">
        <v>5936</v>
      </c>
      <c r="E868" s="108">
        <v>36326</v>
      </c>
      <c r="F868" s="12">
        <v>1999</v>
      </c>
      <c r="G868" s="142">
        <v>991148</v>
      </c>
      <c r="H868" s="162" t="s">
        <v>2207</v>
      </c>
      <c r="I868" s="33" t="s">
        <v>33</v>
      </c>
      <c r="J868" s="32" t="s">
        <v>191</v>
      </c>
      <c r="K868" s="197" t="s">
        <v>1173</v>
      </c>
      <c r="L868" s="137" t="s">
        <v>40</v>
      </c>
      <c r="M868" s="137" t="s">
        <v>804</v>
      </c>
      <c r="N868" s="137"/>
      <c r="O868" s="93" t="s">
        <v>1109</v>
      </c>
      <c r="P868" s="647" t="s">
        <v>2208</v>
      </c>
      <c r="Q868" s="15" t="s">
        <v>282</v>
      </c>
      <c r="R868" s="132">
        <v>38240</v>
      </c>
      <c r="S868" s="16" t="s">
        <v>44</v>
      </c>
      <c r="T868" s="133">
        <v>39414</v>
      </c>
      <c r="U868" s="623" t="s">
        <v>1336</v>
      </c>
      <c r="V868" s="180">
        <v>40252</v>
      </c>
      <c r="W868" s="735">
        <v>80</v>
      </c>
      <c r="X868" s="7">
        <v>40</v>
      </c>
      <c r="Y868" s="7">
        <f t="shared" si="28"/>
        <v>0</v>
      </c>
      <c r="Z868" s="7">
        <f t="shared" si="27"/>
        <v>40</v>
      </c>
      <c r="AA868" s="469"/>
      <c r="AB868" s="513" t="s">
        <v>1231</v>
      </c>
      <c r="AC868" s="147"/>
      <c r="AD868" s="187">
        <v>0.5</v>
      </c>
      <c r="AE868" s="187"/>
      <c r="AF868" s="9">
        <f t="shared" si="29"/>
        <v>0.5</v>
      </c>
      <c r="AG868" s="163">
        <v>1.5</v>
      </c>
      <c r="AH868" s="93" t="s">
        <v>305</v>
      </c>
      <c r="AI868" s="93"/>
      <c r="AJ868" s="93" t="s">
        <v>1188</v>
      </c>
      <c r="AK868" s="30" t="s">
        <v>99</v>
      </c>
      <c r="AL868" s="93" t="s">
        <v>1178</v>
      </c>
    </row>
    <row r="869" spans="1:38" ht="15" customHeight="1" x14ac:dyDescent="0.3">
      <c r="A869" s="30" t="s">
        <v>22</v>
      </c>
      <c r="B869" s="120" t="s">
        <v>105</v>
      </c>
      <c r="C869" s="107">
        <v>11</v>
      </c>
      <c r="D869" s="11" t="s">
        <v>5936</v>
      </c>
      <c r="E869" s="108">
        <v>36326</v>
      </c>
      <c r="F869" s="12">
        <v>1999</v>
      </c>
      <c r="G869" s="142">
        <v>991148</v>
      </c>
      <c r="H869" s="162" t="s">
        <v>2207</v>
      </c>
      <c r="I869" s="33" t="s">
        <v>33</v>
      </c>
      <c r="J869" s="32" t="s">
        <v>191</v>
      </c>
      <c r="K869" s="197" t="s">
        <v>1173</v>
      </c>
      <c r="L869" s="137" t="s">
        <v>40</v>
      </c>
      <c r="M869" s="137" t="s">
        <v>804</v>
      </c>
      <c r="N869" s="137"/>
      <c r="O869" s="93" t="s">
        <v>1109</v>
      </c>
      <c r="P869" s="647" t="s">
        <v>2208</v>
      </c>
      <c r="Q869" s="15" t="s">
        <v>282</v>
      </c>
      <c r="R869" s="132">
        <v>38240</v>
      </c>
      <c r="S869" s="16" t="s">
        <v>44</v>
      </c>
      <c r="T869" s="133">
        <v>39414</v>
      </c>
      <c r="U869" s="623" t="s">
        <v>1336</v>
      </c>
      <c r="V869" s="180">
        <v>40252</v>
      </c>
      <c r="W869" s="735">
        <v>80</v>
      </c>
      <c r="X869" s="7">
        <v>40</v>
      </c>
      <c r="Y869" s="7">
        <f t="shared" si="28"/>
        <v>0</v>
      </c>
      <c r="Z869" s="7">
        <f t="shared" si="27"/>
        <v>40</v>
      </c>
      <c r="AA869" s="469"/>
      <c r="AB869" s="513" t="s">
        <v>1231</v>
      </c>
      <c r="AC869" s="147"/>
      <c r="AD869" s="187">
        <v>0.5</v>
      </c>
      <c r="AE869" s="187"/>
      <c r="AF869" s="9">
        <f t="shared" si="29"/>
        <v>0.5</v>
      </c>
      <c r="AG869" s="163">
        <v>1.5</v>
      </c>
      <c r="AH869" s="93" t="s">
        <v>305</v>
      </c>
      <c r="AI869" s="93"/>
      <c r="AJ869" s="93" t="s">
        <v>1188</v>
      </c>
      <c r="AK869" s="30" t="s">
        <v>99</v>
      </c>
      <c r="AL869" s="93" t="s">
        <v>1178</v>
      </c>
    </row>
    <row r="870" spans="1:38" ht="15" customHeight="1" x14ac:dyDescent="0.3">
      <c r="A870" s="30" t="s">
        <v>22</v>
      </c>
      <c r="B870" s="120" t="s">
        <v>246</v>
      </c>
      <c r="C870" s="107">
        <v>1</v>
      </c>
      <c r="D870" s="11" t="s">
        <v>225</v>
      </c>
      <c r="E870" s="108">
        <v>38139</v>
      </c>
      <c r="F870" s="12">
        <v>2004</v>
      </c>
      <c r="G870" s="142"/>
      <c r="H870" s="162"/>
      <c r="I870" s="33" t="s">
        <v>33</v>
      </c>
      <c r="J870" s="32" t="s">
        <v>26</v>
      </c>
      <c r="K870" s="138" t="s">
        <v>180</v>
      </c>
      <c r="L870" s="93" t="s">
        <v>2215</v>
      </c>
      <c r="M870" s="137" t="s">
        <v>804</v>
      </c>
      <c r="N870" s="137"/>
      <c r="O870" s="93" t="s">
        <v>2216</v>
      </c>
      <c r="P870" s="718" t="s">
        <v>2217</v>
      </c>
      <c r="Q870" s="15" t="s">
        <v>282</v>
      </c>
      <c r="R870" s="164">
        <v>39430</v>
      </c>
      <c r="S870" s="16" t="s">
        <v>44</v>
      </c>
      <c r="T870" s="165">
        <v>40045</v>
      </c>
      <c r="U870" s="624" t="s">
        <v>2218</v>
      </c>
      <c r="V870" s="180">
        <v>40275</v>
      </c>
      <c r="W870" s="734">
        <v>20</v>
      </c>
      <c r="X870" s="7">
        <v>10</v>
      </c>
      <c r="Y870" s="7">
        <f t="shared" si="28"/>
        <v>0</v>
      </c>
      <c r="Z870" s="7">
        <f t="shared" si="27"/>
        <v>10</v>
      </c>
      <c r="AA870" s="469"/>
      <c r="AB870" s="500" t="s">
        <v>5953</v>
      </c>
      <c r="AC870" s="501"/>
      <c r="AD870" s="187">
        <v>0.5</v>
      </c>
      <c r="AE870" s="187"/>
      <c r="AF870" s="9">
        <f t="shared" si="29"/>
        <v>0.5</v>
      </c>
      <c r="AG870" s="163" t="s">
        <v>738</v>
      </c>
      <c r="AH870" s="93"/>
      <c r="AI870" s="93"/>
      <c r="AJ870" s="93" t="s">
        <v>1188</v>
      </c>
      <c r="AK870" s="30" t="s">
        <v>99</v>
      </c>
      <c r="AL870" s="146" t="s">
        <v>1178</v>
      </c>
    </row>
    <row r="871" spans="1:38" ht="15" customHeight="1" x14ac:dyDescent="0.3">
      <c r="A871" s="181" t="s">
        <v>140</v>
      </c>
      <c r="B871" s="167" t="s">
        <v>189</v>
      </c>
      <c r="C871" s="135">
        <v>4</v>
      </c>
      <c r="D871" s="136" t="s">
        <v>190</v>
      </c>
      <c r="E871" s="168">
        <v>39583</v>
      </c>
      <c r="F871" s="136">
        <v>2008</v>
      </c>
      <c r="G871" s="178"/>
      <c r="H871" s="204" t="s">
        <v>2219</v>
      </c>
      <c r="I871" s="30" t="s">
        <v>38</v>
      </c>
      <c r="J871" s="181" t="s">
        <v>81</v>
      </c>
      <c r="K871" s="138" t="s">
        <v>141</v>
      </c>
      <c r="L871" s="138" t="s">
        <v>1319</v>
      </c>
      <c r="M871" s="137" t="s">
        <v>804</v>
      </c>
      <c r="N871" s="137"/>
      <c r="O871" s="138" t="s">
        <v>2220</v>
      </c>
      <c r="P871" s="138" t="s">
        <v>2221</v>
      </c>
      <c r="Q871" s="15" t="s">
        <v>35</v>
      </c>
      <c r="R871" s="132">
        <v>40009</v>
      </c>
      <c r="S871" s="16" t="s">
        <v>35</v>
      </c>
      <c r="T871" s="133">
        <v>40086</v>
      </c>
      <c r="U871" s="623"/>
      <c r="V871" s="623"/>
      <c r="W871" s="734">
        <v>5</v>
      </c>
      <c r="X871" s="7">
        <v>2.5</v>
      </c>
      <c r="Y871" s="7">
        <f t="shared" si="28"/>
        <v>0</v>
      </c>
      <c r="Z871" s="7">
        <f t="shared" si="27"/>
        <v>2.5</v>
      </c>
      <c r="AA871" s="469"/>
      <c r="AB871" s="564" t="s">
        <v>1073</v>
      </c>
      <c r="AC871" s="693"/>
      <c r="AD871" s="187">
        <v>0.5</v>
      </c>
      <c r="AE871" s="187"/>
      <c r="AF871" s="9">
        <f t="shared" si="29"/>
        <v>0.5</v>
      </c>
      <c r="AG871" s="138" t="s">
        <v>1370</v>
      </c>
      <c r="AH871" s="138"/>
      <c r="AI871" s="718" t="s">
        <v>2222</v>
      </c>
      <c r="AJ871" s="138" t="s">
        <v>1188</v>
      </c>
      <c r="AK871" s="138" t="s">
        <v>1185</v>
      </c>
      <c r="AL871" s="138" t="s">
        <v>1178</v>
      </c>
    </row>
    <row r="872" spans="1:38" ht="15" customHeight="1" x14ac:dyDescent="0.3">
      <c r="A872" s="30" t="s">
        <v>22</v>
      </c>
      <c r="B872" s="153" t="s">
        <v>23</v>
      </c>
      <c r="C872" s="107">
        <v>10</v>
      </c>
      <c r="D872" s="11" t="s">
        <v>24</v>
      </c>
      <c r="E872" s="114">
        <v>39353</v>
      </c>
      <c r="F872" s="12">
        <v>2007</v>
      </c>
      <c r="G872" s="142" t="s">
        <v>2223</v>
      </c>
      <c r="H872" s="162" t="s">
        <v>2224</v>
      </c>
      <c r="I872" s="12" t="s">
        <v>80</v>
      </c>
      <c r="J872" s="32" t="s">
        <v>26</v>
      </c>
      <c r="K872" s="197" t="s">
        <v>180</v>
      </c>
      <c r="L872" s="137" t="s">
        <v>1319</v>
      </c>
      <c r="M872" s="137" t="s">
        <v>804</v>
      </c>
      <c r="N872" s="137"/>
      <c r="O872" s="93" t="s">
        <v>2225</v>
      </c>
      <c r="P872" s="138" t="s">
        <v>2226</v>
      </c>
      <c r="Q872" s="15" t="s">
        <v>282</v>
      </c>
      <c r="R872" s="132">
        <v>39959</v>
      </c>
      <c r="S872" s="16" t="s">
        <v>44</v>
      </c>
      <c r="T872" s="165">
        <v>40276</v>
      </c>
      <c r="U872" s="624"/>
      <c r="V872" s="624"/>
      <c r="W872" s="735">
        <v>38</v>
      </c>
      <c r="X872" s="7">
        <v>19</v>
      </c>
      <c r="Y872" s="7">
        <f t="shared" si="28"/>
        <v>0</v>
      </c>
      <c r="Z872" s="7">
        <f t="shared" si="27"/>
        <v>19</v>
      </c>
      <c r="AA872" s="469"/>
      <c r="AB872" s="518" t="s">
        <v>933</v>
      </c>
      <c r="AC872" s="519"/>
      <c r="AD872" s="187">
        <v>0.5</v>
      </c>
      <c r="AE872" s="187"/>
      <c r="AF872" s="9">
        <f t="shared" si="29"/>
        <v>0.5</v>
      </c>
      <c r="AG872" s="163" t="s">
        <v>667</v>
      </c>
      <c r="AH872" s="93" t="s">
        <v>6008</v>
      </c>
      <c r="AI872" s="93"/>
      <c r="AJ872" s="93" t="s">
        <v>1188</v>
      </c>
      <c r="AK872" s="30" t="s">
        <v>1185</v>
      </c>
      <c r="AL872" s="93" t="s">
        <v>1178</v>
      </c>
    </row>
    <row r="873" spans="1:38" ht="15" customHeight="1" x14ac:dyDescent="0.3">
      <c r="A873" s="138" t="s">
        <v>140</v>
      </c>
      <c r="B873" s="301" t="s">
        <v>819</v>
      </c>
      <c r="C873" s="181">
        <v>3</v>
      </c>
      <c r="D873" s="11" t="s">
        <v>225</v>
      </c>
      <c r="E873" s="168">
        <v>39296</v>
      </c>
      <c r="F873" s="136">
        <v>2007</v>
      </c>
      <c r="G873" s="178" t="s">
        <v>2228</v>
      </c>
      <c r="H873" s="204" t="s">
        <v>2229</v>
      </c>
      <c r="I873" s="30" t="s">
        <v>38</v>
      </c>
      <c r="J873" s="138" t="s">
        <v>81</v>
      </c>
      <c r="K873" s="138" t="s">
        <v>141</v>
      </c>
      <c r="L873" s="197" t="s">
        <v>1319</v>
      </c>
      <c r="M873" s="137" t="s">
        <v>804</v>
      </c>
      <c r="N873" s="197"/>
      <c r="O873" s="138" t="s">
        <v>2230</v>
      </c>
      <c r="P873" s="197" t="s">
        <v>2231</v>
      </c>
      <c r="Q873" s="15" t="s">
        <v>282</v>
      </c>
      <c r="R873" s="164">
        <v>40107</v>
      </c>
      <c r="S873" s="16" t="s">
        <v>44</v>
      </c>
      <c r="T873" s="165">
        <v>40246</v>
      </c>
      <c r="U873" s="624"/>
      <c r="V873" s="624"/>
      <c r="W873" s="256">
        <v>6</v>
      </c>
      <c r="X873" s="7">
        <v>1.2000000000000002</v>
      </c>
      <c r="Y873" s="7">
        <f t="shared" si="28"/>
        <v>0</v>
      </c>
      <c r="Z873" s="7">
        <f t="shared" si="27"/>
        <v>1.2000000000000002</v>
      </c>
      <c r="AA873" s="469"/>
      <c r="AB873" s="504" t="s">
        <v>6115</v>
      </c>
      <c r="AC873" s="138"/>
      <c r="AD873" s="187">
        <v>0.2</v>
      </c>
      <c r="AE873" s="195"/>
      <c r="AF873" s="9">
        <f t="shared" si="29"/>
        <v>0.2</v>
      </c>
      <c r="AG873" s="138" t="s">
        <v>2232</v>
      </c>
      <c r="AH873" s="138" t="s">
        <v>2227</v>
      </c>
      <c r="AI873" s="197"/>
      <c r="AJ873" s="197" t="s">
        <v>1188</v>
      </c>
      <c r="AK873" s="197" t="s">
        <v>1185</v>
      </c>
      <c r="AL873" s="138" t="s">
        <v>1178</v>
      </c>
    </row>
    <row r="874" spans="1:38" ht="15" customHeight="1" x14ac:dyDescent="0.3">
      <c r="A874" s="30" t="s">
        <v>22</v>
      </c>
      <c r="B874" s="120" t="s">
        <v>105</v>
      </c>
      <c r="C874" s="109">
        <v>17</v>
      </c>
      <c r="D874" s="11" t="s">
        <v>5936</v>
      </c>
      <c r="E874" s="114">
        <v>37561</v>
      </c>
      <c r="F874" s="12">
        <v>2002</v>
      </c>
      <c r="G874" s="142" t="s">
        <v>2233</v>
      </c>
      <c r="H874" s="162" t="s">
        <v>2234</v>
      </c>
      <c r="I874" s="12" t="s">
        <v>938</v>
      </c>
      <c r="J874" s="32" t="s">
        <v>26</v>
      </c>
      <c r="K874" s="197" t="s">
        <v>111</v>
      </c>
      <c r="L874" s="138" t="s">
        <v>1319</v>
      </c>
      <c r="M874" s="137" t="s">
        <v>804</v>
      </c>
      <c r="N874" s="137"/>
      <c r="O874" s="93" t="s">
        <v>2235</v>
      </c>
      <c r="P874" s="718" t="s">
        <v>2236</v>
      </c>
      <c r="Q874" s="15" t="s">
        <v>35</v>
      </c>
      <c r="R874" s="132">
        <v>37867</v>
      </c>
      <c r="S874" s="16" t="s">
        <v>44</v>
      </c>
      <c r="T874" s="133">
        <v>39430</v>
      </c>
      <c r="U874" s="623" t="s">
        <v>2237</v>
      </c>
      <c r="V874" s="180">
        <v>40218</v>
      </c>
      <c r="W874" s="735">
        <v>66</v>
      </c>
      <c r="X874" s="7">
        <v>66</v>
      </c>
      <c r="Y874" s="7">
        <f t="shared" si="28"/>
        <v>0</v>
      </c>
      <c r="Z874" s="7">
        <f t="shared" si="27"/>
        <v>66</v>
      </c>
      <c r="AA874" s="469"/>
      <c r="AB874" s="513" t="s">
        <v>1057</v>
      </c>
      <c r="AC874" s="147"/>
      <c r="AD874" s="187">
        <v>1</v>
      </c>
      <c r="AE874" s="187"/>
      <c r="AF874" s="9">
        <f t="shared" si="29"/>
        <v>1</v>
      </c>
      <c r="AG874" s="163" t="s">
        <v>2030</v>
      </c>
      <c r="AH874" s="93"/>
      <c r="AI874" s="719" t="s">
        <v>2238</v>
      </c>
      <c r="AJ874" s="93" t="s">
        <v>1188</v>
      </c>
      <c r="AK874" s="30" t="s">
        <v>99</v>
      </c>
      <c r="AL874" s="93" t="s">
        <v>1178</v>
      </c>
    </row>
    <row r="875" spans="1:38" ht="15" customHeight="1" x14ac:dyDescent="0.3">
      <c r="A875" s="30" t="s">
        <v>22</v>
      </c>
      <c r="B875" s="153" t="s">
        <v>105</v>
      </c>
      <c r="C875" s="109">
        <v>18</v>
      </c>
      <c r="D875" s="11" t="s">
        <v>5936</v>
      </c>
      <c r="E875" s="108">
        <v>37288</v>
      </c>
      <c r="F875" s="33">
        <v>2002</v>
      </c>
      <c r="G875" s="142" t="s">
        <v>2239</v>
      </c>
      <c r="H875" s="162" t="s">
        <v>2240</v>
      </c>
      <c r="I875" s="33" t="s">
        <v>33</v>
      </c>
      <c r="J875" s="32" t="s">
        <v>26</v>
      </c>
      <c r="K875" s="138" t="s">
        <v>180</v>
      </c>
      <c r="L875" s="137" t="s">
        <v>40</v>
      </c>
      <c r="M875" s="137" t="s">
        <v>804</v>
      </c>
      <c r="N875" s="137"/>
      <c r="O875" s="138" t="s">
        <v>2241</v>
      </c>
      <c r="P875" s="647" t="s">
        <v>2242</v>
      </c>
      <c r="Q875" s="15" t="s">
        <v>282</v>
      </c>
      <c r="R875" s="132">
        <v>38141</v>
      </c>
      <c r="S875" s="16" t="s">
        <v>44</v>
      </c>
      <c r="T875" s="133">
        <v>39163</v>
      </c>
      <c r="U875" s="623" t="s">
        <v>1336</v>
      </c>
      <c r="V875" s="180">
        <v>40303</v>
      </c>
      <c r="W875" s="735">
        <v>65</v>
      </c>
      <c r="X875" s="7">
        <v>32.5</v>
      </c>
      <c r="Y875" s="7">
        <f t="shared" si="28"/>
        <v>0</v>
      </c>
      <c r="Z875" s="7">
        <f t="shared" si="27"/>
        <v>32.5</v>
      </c>
      <c r="AA875" s="469"/>
      <c r="AB875" s="513" t="s">
        <v>1231</v>
      </c>
      <c r="AC875" s="147"/>
      <c r="AD875" s="187">
        <v>0.5</v>
      </c>
      <c r="AE875" s="187"/>
      <c r="AF875" s="9">
        <f t="shared" si="29"/>
        <v>0.5</v>
      </c>
      <c r="AG875" s="163" t="s">
        <v>1192</v>
      </c>
      <c r="AH875" s="93"/>
      <c r="AI875" s="146"/>
      <c r="AJ875" s="93" t="s">
        <v>1188</v>
      </c>
      <c r="AK875" s="30" t="s">
        <v>99</v>
      </c>
      <c r="AL875" s="93" t="s">
        <v>1178</v>
      </c>
    </row>
    <row r="876" spans="1:38" ht="15" customHeight="1" x14ac:dyDescent="0.3">
      <c r="A876" s="181" t="s">
        <v>22</v>
      </c>
      <c r="B876" s="167" t="s">
        <v>228</v>
      </c>
      <c r="C876" s="135">
        <v>3</v>
      </c>
      <c r="D876" s="11" t="s">
        <v>225</v>
      </c>
      <c r="E876" s="168">
        <v>39387</v>
      </c>
      <c r="F876" s="136">
        <v>2007</v>
      </c>
      <c r="G876" s="178" t="s">
        <v>2243</v>
      </c>
      <c r="H876" s="204" t="s">
        <v>2244</v>
      </c>
      <c r="I876" s="33" t="s">
        <v>33</v>
      </c>
      <c r="J876" s="32" t="s">
        <v>26</v>
      </c>
      <c r="K876" s="138" t="s">
        <v>1930</v>
      </c>
      <c r="L876" s="138" t="s">
        <v>1319</v>
      </c>
      <c r="M876" s="137" t="s">
        <v>804</v>
      </c>
      <c r="N876" s="137"/>
      <c r="O876" s="138" t="s">
        <v>2245</v>
      </c>
      <c r="P876" s="138" t="s">
        <v>2246</v>
      </c>
      <c r="Q876" s="15" t="s">
        <v>35</v>
      </c>
      <c r="R876" s="132">
        <v>39953</v>
      </c>
      <c r="S876" s="16" t="s">
        <v>44</v>
      </c>
      <c r="T876" s="133">
        <v>40156</v>
      </c>
      <c r="U876" s="623"/>
      <c r="V876" s="623"/>
      <c r="W876" s="734">
        <v>40</v>
      </c>
      <c r="X876" s="7">
        <v>30</v>
      </c>
      <c r="Y876" s="7">
        <f t="shared" si="28"/>
        <v>0</v>
      </c>
      <c r="Z876" s="7">
        <f t="shared" si="27"/>
        <v>30</v>
      </c>
      <c r="AA876" s="469"/>
      <c r="AB876" s="564" t="s">
        <v>1073</v>
      </c>
      <c r="AC876" s="693"/>
      <c r="AD876" s="187">
        <v>0.75</v>
      </c>
      <c r="AE876" s="187"/>
      <c r="AF876" s="9">
        <f t="shared" si="29"/>
        <v>0.75</v>
      </c>
      <c r="AG876" s="138" t="s">
        <v>2247</v>
      </c>
      <c r="AH876" s="138"/>
      <c r="AI876" s="138"/>
      <c r="AJ876" s="138" t="s">
        <v>1188</v>
      </c>
      <c r="AK876" s="138" t="s">
        <v>1185</v>
      </c>
      <c r="AL876" s="138" t="s">
        <v>1178</v>
      </c>
    </row>
    <row r="877" spans="1:38" ht="15" customHeight="1" x14ac:dyDescent="0.3">
      <c r="A877" s="30" t="s">
        <v>22</v>
      </c>
      <c r="B877" s="140" t="s">
        <v>506</v>
      </c>
      <c r="C877" s="107">
        <v>2</v>
      </c>
      <c r="D877" s="11" t="s">
        <v>225</v>
      </c>
      <c r="E877" s="114">
        <v>39459</v>
      </c>
      <c r="F877" s="12">
        <v>2008</v>
      </c>
      <c r="G877" s="142" t="s">
        <v>2249</v>
      </c>
      <c r="H877" s="162" t="s">
        <v>2250</v>
      </c>
      <c r="I877" s="33" t="s">
        <v>33</v>
      </c>
      <c r="J877" s="32" t="s">
        <v>26</v>
      </c>
      <c r="K877" s="138" t="s">
        <v>1194</v>
      </c>
      <c r="L877" s="138" t="s">
        <v>1319</v>
      </c>
      <c r="M877" s="137" t="s">
        <v>804</v>
      </c>
      <c r="N877" s="137"/>
      <c r="O877" s="138" t="s">
        <v>2251</v>
      </c>
      <c r="P877" s="138" t="s">
        <v>2252</v>
      </c>
      <c r="Q877" s="15" t="s">
        <v>282</v>
      </c>
      <c r="R877" s="132">
        <v>39982</v>
      </c>
      <c r="S877" s="16" t="s">
        <v>44</v>
      </c>
      <c r="T877" s="133">
        <v>40226</v>
      </c>
      <c r="U877" s="623"/>
      <c r="V877" s="623"/>
      <c r="W877" s="734">
        <v>60</v>
      </c>
      <c r="X877" s="7">
        <v>24</v>
      </c>
      <c r="Y877" s="7">
        <f t="shared" si="28"/>
        <v>0</v>
      </c>
      <c r="Z877" s="7">
        <f t="shared" si="27"/>
        <v>24</v>
      </c>
      <c r="AA877" s="469"/>
      <c r="AB877" s="500" t="s">
        <v>5953</v>
      </c>
      <c r="AC877" s="501"/>
      <c r="AD877" s="187">
        <v>0.4</v>
      </c>
      <c r="AE877" s="187"/>
      <c r="AF877" s="9">
        <f t="shared" si="29"/>
        <v>0.4</v>
      </c>
      <c r="AG877" s="138" t="s">
        <v>2253</v>
      </c>
      <c r="AH877" s="138" t="s">
        <v>2248</v>
      </c>
      <c r="AI877" s="718" t="s">
        <v>2254</v>
      </c>
      <c r="AJ877" s="138" t="s">
        <v>1188</v>
      </c>
      <c r="AK877" s="138" t="s">
        <v>1185</v>
      </c>
      <c r="AL877" s="93" t="s">
        <v>1178</v>
      </c>
    </row>
    <row r="878" spans="1:38" ht="15" customHeight="1" x14ac:dyDescent="0.3">
      <c r="A878" s="30" t="s">
        <v>883</v>
      </c>
      <c r="B878" s="140" t="s">
        <v>105</v>
      </c>
      <c r="C878" s="109">
        <v>4</v>
      </c>
      <c r="D878" s="11" t="s">
        <v>5936</v>
      </c>
      <c r="E878" s="114">
        <v>38667</v>
      </c>
      <c r="F878" s="12">
        <v>2006</v>
      </c>
      <c r="G878" s="142" t="s">
        <v>2255</v>
      </c>
      <c r="H878" s="162" t="s">
        <v>2256</v>
      </c>
      <c r="I878" s="33" t="s">
        <v>33</v>
      </c>
      <c r="J878" s="32" t="s">
        <v>26</v>
      </c>
      <c r="K878" s="197" t="s">
        <v>111</v>
      </c>
      <c r="L878" s="138" t="s">
        <v>1319</v>
      </c>
      <c r="M878" s="137" t="s">
        <v>804</v>
      </c>
      <c r="N878" s="137"/>
      <c r="O878" s="93" t="s">
        <v>2257</v>
      </c>
      <c r="P878" s="138" t="s">
        <v>6009</v>
      </c>
      <c r="Q878" s="15" t="s">
        <v>282</v>
      </c>
      <c r="R878" s="132">
        <v>39568</v>
      </c>
      <c r="S878" s="92"/>
      <c r="T878" s="92"/>
      <c r="U878" s="623"/>
      <c r="V878" s="624"/>
      <c r="W878" s="735">
        <v>60</v>
      </c>
      <c r="X878" s="7">
        <v>30</v>
      </c>
      <c r="Y878" s="7">
        <f t="shared" si="28"/>
        <v>0</v>
      </c>
      <c r="Z878" s="7">
        <f t="shared" si="27"/>
        <v>30</v>
      </c>
      <c r="AA878" s="469"/>
      <c r="AB878" s="564" t="s">
        <v>1073</v>
      </c>
      <c r="AC878" s="693"/>
      <c r="AD878" s="187">
        <v>0.5</v>
      </c>
      <c r="AE878" s="196"/>
      <c r="AF878" s="9">
        <f t="shared" si="29"/>
        <v>0.5</v>
      </c>
      <c r="AG878" s="163" t="s">
        <v>1454</v>
      </c>
      <c r="AH878" s="93"/>
      <c r="AI878" s="93"/>
      <c r="AJ878" s="93" t="s">
        <v>1188</v>
      </c>
      <c r="AK878" s="30" t="s">
        <v>1185</v>
      </c>
      <c r="AL878" s="93" t="s">
        <v>1178</v>
      </c>
    </row>
    <row r="879" spans="1:38" ht="15" customHeight="1" x14ac:dyDescent="0.3">
      <c r="A879" s="181" t="s">
        <v>22</v>
      </c>
      <c r="B879" s="167" t="s">
        <v>189</v>
      </c>
      <c r="C879" s="135">
        <v>2</v>
      </c>
      <c r="D879" s="136" t="s">
        <v>190</v>
      </c>
      <c r="E879" s="168">
        <v>39777</v>
      </c>
      <c r="F879" s="136">
        <v>2008</v>
      </c>
      <c r="G879" s="178"/>
      <c r="H879" s="204" t="s">
        <v>2260</v>
      </c>
      <c r="I879" s="33" t="s">
        <v>33</v>
      </c>
      <c r="J879" s="32" t="s">
        <v>26</v>
      </c>
      <c r="K879" s="138" t="s">
        <v>1708</v>
      </c>
      <c r="L879" s="138" t="s">
        <v>1319</v>
      </c>
      <c r="M879" s="137" t="s">
        <v>804</v>
      </c>
      <c r="N879" s="138"/>
      <c r="O879" s="138" t="s">
        <v>2261</v>
      </c>
      <c r="P879" s="138" t="s">
        <v>2262</v>
      </c>
      <c r="Q879" s="15" t="s">
        <v>282</v>
      </c>
      <c r="R879" s="132">
        <v>40116</v>
      </c>
      <c r="S879" s="92"/>
      <c r="T879" s="92"/>
      <c r="U879" s="623"/>
      <c r="V879" s="623"/>
      <c r="W879" s="743">
        <v>150</v>
      </c>
      <c r="X879" s="7">
        <v>75</v>
      </c>
      <c r="Y879" s="7">
        <f t="shared" si="28"/>
        <v>0</v>
      </c>
      <c r="Z879" s="189">
        <f t="shared" si="27"/>
        <v>75</v>
      </c>
      <c r="AA879" s="469"/>
      <c r="AB879" s="564" t="s">
        <v>6010</v>
      </c>
      <c r="AC879" s="693"/>
      <c r="AD879" s="187">
        <v>0.5</v>
      </c>
      <c r="AE879" s="196"/>
      <c r="AF879" s="9">
        <f t="shared" si="29"/>
        <v>0.5</v>
      </c>
      <c r="AG879" s="138" t="s">
        <v>2263</v>
      </c>
      <c r="AH879" s="138" t="s">
        <v>2258</v>
      </c>
      <c r="AI879" s="138"/>
      <c r="AJ879" s="138" t="s">
        <v>1188</v>
      </c>
      <c r="AK879" s="138" t="s">
        <v>1185</v>
      </c>
      <c r="AL879" s="138" t="s">
        <v>1178</v>
      </c>
    </row>
    <row r="880" spans="1:38" ht="15" customHeight="1" x14ac:dyDescent="0.3">
      <c r="A880" s="30" t="s">
        <v>140</v>
      </c>
      <c r="B880" s="120" t="s">
        <v>2259</v>
      </c>
      <c r="C880" s="107" t="s">
        <v>2264</v>
      </c>
      <c r="D880" s="11" t="s">
        <v>225</v>
      </c>
      <c r="E880" s="114">
        <v>38961</v>
      </c>
      <c r="F880" s="12">
        <v>2006</v>
      </c>
      <c r="G880" s="142"/>
      <c r="H880" s="162"/>
      <c r="I880" s="33" t="s">
        <v>33</v>
      </c>
      <c r="J880" s="30" t="s">
        <v>81</v>
      </c>
      <c r="K880" s="197" t="s">
        <v>141</v>
      </c>
      <c r="L880" s="197" t="s">
        <v>1049</v>
      </c>
      <c r="M880" s="137" t="s">
        <v>804</v>
      </c>
      <c r="N880" s="137"/>
      <c r="O880" s="138" t="s">
        <v>2265</v>
      </c>
      <c r="P880" s="138" t="s">
        <v>2266</v>
      </c>
      <c r="Q880" s="15" t="s">
        <v>282</v>
      </c>
      <c r="R880" s="132">
        <v>39548</v>
      </c>
      <c r="S880" s="16" t="s">
        <v>44</v>
      </c>
      <c r="T880" s="133">
        <v>39590</v>
      </c>
      <c r="U880" s="623"/>
      <c r="V880" s="624"/>
      <c r="W880" s="735">
        <v>10</v>
      </c>
      <c r="X880" s="7">
        <v>5</v>
      </c>
      <c r="Y880" s="7">
        <f t="shared" si="28"/>
        <v>0</v>
      </c>
      <c r="Z880" s="7">
        <f t="shared" si="27"/>
        <v>5</v>
      </c>
      <c r="AA880" s="469"/>
      <c r="AB880" s="564" t="s">
        <v>1073</v>
      </c>
      <c r="AC880" s="693"/>
      <c r="AD880" s="187">
        <v>0.5</v>
      </c>
      <c r="AE880" s="187"/>
      <c r="AF880" s="9">
        <f t="shared" si="29"/>
        <v>0.5</v>
      </c>
      <c r="AG880" s="163" t="s">
        <v>2267</v>
      </c>
      <c r="AH880" s="138"/>
      <c r="AI880" s="138"/>
      <c r="AJ880" s="138" t="s">
        <v>1188</v>
      </c>
      <c r="AK880" s="181" t="s">
        <v>1185</v>
      </c>
      <c r="AL880" s="138" t="s">
        <v>1178</v>
      </c>
    </row>
    <row r="881" spans="1:38" ht="15" customHeight="1" x14ac:dyDescent="0.3">
      <c r="A881" s="181" t="s">
        <v>22</v>
      </c>
      <c r="B881" s="145" t="s">
        <v>105</v>
      </c>
      <c r="C881" s="135">
        <v>21</v>
      </c>
      <c r="D881" s="11" t="s">
        <v>5936</v>
      </c>
      <c r="E881" s="192">
        <v>39510</v>
      </c>
      <c r="F881" s="138">
        <v>2008</v>
      </c>
      <c r="G881" s="744" t="s">
        <v>2268</v>
      </c>
      <c r="H881" s="204" t="s">
        <v>2269</v>
      </c>
      <c r="I881" s="33" t="s">
        <v>33</v>
      </c>
      <c r="J881" s="32" t="s">
        <v>26</v>
      </c>
      <c r="K881" s="197" t="s">
        <v>1708</v>
      </c>
      <c r="L881" s="197" t="s">
        <v>40</v>
      </c>
      <c r="M881" s="137" t="s">
        <v>804</v>
      </c>
      <c r="N881" s="137"/>
      <c r="O881" s="138" t="s">
        <v>1809</v>
      </c>
      <c r="P881" s="647" t="s">
        <v>2270</v>
      </c>
      <c r="Q881" s="15" t="s">
        <v>35</v>
      </c>
      <c r="R881" s="132">
        <v>39749</v>
      </c>
      <c r="S881" s="16" t="s">
        <v>44</v>
      </c>
      <c r="T881" s="133">
        <v>39840</v>
      </c>
      <c r="U881" s="623"/>
      <c r="V881" s="624"/>
      <c r="W881" s="734">
        <v>30</v>
      </c>
      <c r="X881" s="7">
        <v>22.5</v>
      </c>
      <c r="Y881" s="7">
        <f t="shared" si="28"/>
        <v>0</v>
      </c>
      <c r="Z881" s="7">
        <f t="shared" si="27"/>
        <v>22.5</v>
      </c>
      <c r="AA881" s="469"/>
      <c r="AB881" s="564" t="s">
        <v>1073</v>
      </c>
      <c r="AC881" s="693"/>
      <c r="AD881" s="187">
        <v>0.75</v>
      </c>
      <c r="AE881" s="187"/>
      <c r="AF881" s="9">
        <f t="shared" si="29"/>
        <v>0.75</v>
      </c>
      <c r="AG881" s="163" t="s">
        <v>1711</v>
      </c>
      <c r="AH881" s="138"/>
      <c r="AI881" s="138"/>
      <c r="AJ881" s="138" t="s">
        <v>1188</v>
      </c>
      <c r="AK881" s="138" t="s">
        <v>1185</v>
      </c>
      <c r="AL881" s="138" t="s">
        <v>1178</v>
      </c>
    </row>
    <row r="882" spans="1:38" ht="15" customHeight="1" x14ac:dyDescent="0.3">
      <c r="A882" s="181" t="s">
        <v>140</v>
      </c>
      <c r="B882" s="167" t="s">
        <v>229</v>
      </c>
      <c r="C882" s="135">
        <v>2</v>
      </c>
      <c r="D882" s="11" t="s">
        <v>225</v>
      </c>
      <c r="E882" s="168">
        <v>39840</v>
      </c>
      <c r="F882" s="136">
        <v>2009</v>
      </c>
      <c r="G882" s="178"/>
      <c r="H882" s="204" t="s">
        <v>2271</v>
      </c>
      <c r="I882" s="30" t="s">
        <v>38</v>
      </c>
      <c r="J882" s="181" t="s">
        <v>81</v>
      </c>
      <c r="K882" s="138" t="s">
        <v>141</v>
      </c>
      <c r="L882" s="138" t="s">
        <v>1319</v>
      </c>
      <c r="M882" s="137" t="s">
        <v>804</v>
      </c>
      <c r="N882" s="138"/>
      <c r="O882" s="138" t="s">
        <v>2272</v>
      </c>
      <c r="P882" s="138" t="s">
        <v>2273</v>
      </c>
      <c r="Q882" s="91"/>
      <c r="R882" s="91"/>
      <c r="S882" s="92"/>
      <c r="T882" s="92"/>
      <c r="U882" s="623"/>
      <c r="V882" s="623"/>
      <c r="W882" s="734">
        <v>5</v>
      </c>
      <c r="X882" s="7">
        <v>0.5</v>
      </c>
      <c r="Y882" s="7">
        <f t="shared" si="28"/>
        <v>0</v>
      </c>
      <c r="Z882" s="7">
        <f t="shared" si="27"/>
        <v>0.5</v>
      </c>
      <c r="AA882" s="469"/>
      <c r="AB882" s="564" t="s">
        <v>1073</v>
      </c>
      <c r="AC882" s="693"/>
      <c r="AD882" s="187">
        <v>0.1</v>
      </c>
      <c r="AE882" s="187"/>
      <c r="AF882" s="9">
        <f t="shared" si="29"/>
        <v>0.1</v>
      </c>
      <c r="AG882" s="138" t="s">
        <v>2143</v>
      </c>
      <c r="AH882" s="138"/>
      <c r="AI882" s="718" t="s">
        <v>2274</v>
      </c>
      <c r="AJ882" s="138" t="s">
        <v>1188</v>
      </c>
      <c r="AK882" s="138" t="s">
        <v>1177</v>
      </c>
      <c r="AL882" s="138" t="s">
        <v>1178</v>
      </c>
    </row>
    <row r="883" spans="1:38" ht="15" customHeight="1" x14ac:dyDescent="0.3">
      <c r="A883" s="30" t="s">
        <v>22</v>
      </c>
      <c r="B883" s="153" t="s">
        <v>105</v>
      </c>
      <c r="C883" s="109">
        <v>19</v>
      </c>
      <c r="D883" s="11" t="s">
        <v>5936</v>
      </c>
      <c r="E883" s="108">
        <v>37288</v>
      </c>
      <c r="F883" s="12">
        <v>2002</v>
      </c>
      <c r="G883" s="142" t="s">
        <v>2276</v>
      </c>
      <c r="H883" s="162" t="s">
        <v>2277</v>
      </c>
      <c r="I883" s="12" t="s">
        <v>25</v>
      </c>
      <c r="J883" s="32" t="s">
        <v>26</v>
      </c>
      <c r="K883" s="197" t="s">
        <v>111</v>
      </c>
      <c r="L883" s="137" t="s">
        <v>40</v>
      </c>
      <c r="M883" s="137" t="s">
        <v>804</v>
      </c>
      <c r="N883" s="137"/>
      <c r="O883" s="93" t="s">
        <v>2278</v>
      </c>
      <c r="P883" s="138" t="s">
        <v>2279</v>
      </c>
      <c r="Q883" s="15" t="s">
        <v>282</v>
      </c>
      <c r="R883" s="132">
        <v>39626</v>
      </c>
      <c r="S883" s="92"/>
      <c r="T883" s="92"/>
      <c r="U883" s="623"/>
      <c r="V883" s="624"/>
      <c r="W883" s="735">
        <v>28</v>
      </c>
      <c r="X883" s="7">
        <v>14</v>
      </c>
      <c r="Y883" s="7">
        <f t="shared" si="28"/>
        <v>0</v>
      </c>
      <c r="Z883" s="7">
        <f t="shared" si="27"/>
        <v>14</v>
      </c>
      <c r="AA883" s="469"/>
      <c r="AB883" s="513" t="s">
        <v>1231</v>
      </c>
      <c r="AC883" s="147"/>
      <c r="AD883" s="187">
        <v>0.5</v>
      </c>
      <c r="AE883" s="187"/>
      <c r="AF883" s="9">
        <f t="shared" si="29"/>
        <v>0.5</v>
      </c>
      <c r="AG883" s="163" t="s">
        <v>1192</v>
      </c>
      <c r="AH883" s="93" t="s">
        <v>1522</v>
      </c>
      <c r="AI883" s="93"/>
      <c r="AJ883" s="93" t="s">
        <v>1188</v>
      </c>
      <c r="AK883" s="30" t="s">
        <v>1185</v>
      </c>
      <c r="AL883" s="93" t="s">
        <v>1178</v>
      </c>
    </row>
    <row r="884" spans="1:38" ht="15" customHeight="1" x14ac:dyDescent="0.3">
      <c r="A884" s="181" t="s">
        <v>22</v>
      </c>
      <c r="B884" s="135" t="s">
        <v>2275</v>
      </c>
      <c r="C884" s="136">
        <v>2</v>
      </c>
      <c r="D884" s="136" t="s">
        <v>190</v>
      </c>
      <c r="E884" s="168">
        <v>39938</v>
      </c>
      <c r="F884" s="136">
        <v>2009</v>
      </c>
      <c r="G884" s="178" t="s">
        <v>2281</v>
      </c>
      <c r="H884" s="204"/>
      <c r="I884" s="30" t="s">
        <v>38</v>
      </c>
      <c r="J884" s="32" t="s">
        <v>26</v>
      </c>
      <c r="K884" s="197" t="s">
        <v>111</v>
      </c>
      <c r="L884" s="138" t="s">
        <v>1319</v>
      </c>
      <c r="M884" s="137" t="s">
        <v>804</v>
      </c>
      <c r="N884" s="197"/>
      <c r="O884" s="197" t="s">
        <v>2282</v>
      </c>
      <c r="P884" s="197" t="s">
        <v>2283</v>
      </c>
      <c r="Q884" s="15" t="s">
        <v>282</v>
      </c>
      <c r="R884" s="164">
        <v>40217</v>
      </c>
      <c r="S884" s="16" t="s">
        <v>44</v>
      </c>
      <c r="T884" s="165">
        <v>40254</v>
      </c>
      <c r="U884" s="624"/>
      <c r="V884" s="624"/>
      <c r="W884" s="256">
        <v>7</v>
      </c>
      <c r="X884" s="7">
        <v>0.70000000000000007</v>
      </c>
      <c r="Y884" s="7">
        <f t="shared" si="28"/>
        <v>0</v>
      </c>
      <c r="Z884" s="189">
        <f t="shared" si="27"/>
        <v>0.70000000000000007</v>
      </c>
      <c r="AA884" s="469"/>
      <c r="AB884" s="701" t="s">
        <v>201</v>
      </c>
      <c r="AC884" s="694"/>
      <c r="AD884" s="187">
        <v>0.1</v>
      </c>
      <c r="AE884" s="195"/>
      <c r="AF884" s="9">
        <f t="shared" si="29"/>
        <v>0.1</v>
      </c>
      <c r="AG884" s="197" t="s">
        <v>1370</v>
      </c>
      <c r="AH884" s="197" t="s">
        <v>2280</v>
      </c>
      <c r="AI884" s="197"/>
      <c r="AJ884" s="197" t="s">
        <v>1188</v>
      </c>
      <c r="AK884" s="197" t="s">
        <v>1185</v>
      </c>
      <c r="AL884" s="138" t="s">
        <v>1178</v>
      </c>
    </row>
    <row r="885" spans="1:38" ht="15" customHeight="1" x14ac:dyDescent="0.3">
      <c r="A885" s="30" t="s">
        <v>22</v>
      </c>
      <c r="B885" s="153" t="s">
        <v>23</v>
      </c>
      <c r="C885" s="109">
        <v>14</v>
      </c>
      <c r="D885" s="11" t="s">
        <v>24</v>
      </c>
      <c r="E885" s="114">
        <v>40254</v>
      </c>
      <c r="F885" s="33">
        <v>2010</v>
      </c>
      <c r="G885" s="142" t="s">
        <v>2285</v>
      </c>
      <c r="H885" s="162" t="s">
        <v>2286</v>
      </c>
      <c r="I885" s="12" t="s">
        <v>25</v>
      </c>
      <c r="J885" s="32" t="s">
        <v>26</v>
      </c>
      <c r="K885" s="197" t="s">
        <v>1930</v>
      </c>
      <c r="L885" s="137" t="s">
        <v>1319</v>
      </c>
      <c r="M885" s="137" t="s">
        <v>804</v>
      </c>
      <c r="N885" s="238"/>
      <c r="O885" s="146" t="s">
        <v>2287</v>
      </c>
      <c r="P885" s="138" t="s">
        <v>2288</v>
      </c>
      <c r="Q885" s="91" t="s">
        <v>1379</v>
      </c>
      <c r="R885" s="132">
        <v>40365</v>
      </c>
      <c r="S885" s="92"/>
      <c r="T885" s="139"/>
      <c r="U885" s="624"/>
      <c r="V885" s="624"/>
      <c r="W885" s="735">
        <v>30</v>
      </c>
      <c r="X885" s="7">
        <v>6</v>
      </c>
      <c r="Y885" s="7">
        <f t="shared" si="28"/>
        <v>0</v>
      </c>
      <c r="Z885" s="7">
        <f t="shared" si="27"/>
        <v>6</v>
      </c>
      <c r="AA885" s="469"/>
      <c r="AB885" s="518" t="s">
        <v>933</v>
      </c>
      <c r="AC885" s="519"/>
      <c r="AD885" s="187">
        <v>0.2</v>
      </c>
      <c r="AE885" s="187"/>
      <c r="AF885" s="9">
        <f t="shared" si="29"/>
        <v>0.2</v>
      </c>
      <c r="AG885" s="163" t="s">
        <v>667</v>
      </c>
      <c r="AH885" s="93" t="s">
        <v>2284</v>
      </c>
      <c r="AI885" s="146" t="s">
        <v>2289</v>
      </c>
      <c r="AJ885" s="93" t="s">
        <v>1188</v>
      </c>
      <c r="AK885" s="30" t="s">
        <v>1177</v>
      </c>
      <c r="AL885" s="93" t="s">
        <v>1178</v>
      </c>
    </row>
    <row r="886" spans="1:38" ht="15" customHeight="1" x14ac:dyDescent="0.3">
      <c r="A886" s="30" t="s">
        <v>22</v>
      </c>
      <c r="B886" s="153" t="s">
        <v>148</v>
      </c>
      <c r="C886" s="135">
        <v>2</v>
      </c>
      <c r="D886" s="11" t="s">
        <v>143</v>
      </c>
      <c r="E886" s="108">
        <v>37622</v>
      </c>
      <c r="F886" s="93">
        <v>2003</v>
      </c>
      <c r="G886" s="142" t="s">
        <v>2290</v>
      </c>
      <c r="H886" s="162" t="s">
        <v>2291</v>
      </c>
      <c r="I886" s="33" t="s">
        <v>33</v>
      </c>
      <c r="J886" s="32" t="s">
        <v>26</v>
      </c>
      <c r="K886" s="197" t="s">
        <v>111</v>
      </c>
      <c r="L886" s="137" t="s">
        <v>40</v>
      </c>
      <c r="M886" s="137" t="s">
        <v>804</v>
      </c>
      <c r="N886" s="137"/>
      <c r="O886" s="138" t="s">
        <v>2292</v>
      </c>
      <c r="P886" s="138" t="s">
        <v>2293</v>
      </c>
      <c r="Q886" s="15" t="s">
        <v>282</v>
      </c>
      <c r="R886" s="132">
        <v>39241</v>
      </c>
      <c r="S886" s="16" t="s">
        <v>44</v>
      </c>
      <c r="T886" s="133">
        <v>39687</v>
      </c>
      <c r="U886" s="623"/>
      <c r="V886" s="624"/>
      <c r="W886" s="735">
        <v>50</v>
      </c>
      <c r="X886" s="7">
        <v>25</v>
      </c>
      <c r="Y886" s="7">
        <f t="shared" si="28"/>
        <v>0</v>
      </c>
      <c r="Z886" s="7">
        <f t="shared" si="27"/>
        <v>25</v>
      </c>
      <c r="AA886" s="469"/>
      <c r="AB886" s="518" t="s">
        <v>5972</v>
      </c>
      <c r="AC886" s="519"/>
      <c r="AD886" s="187">
        <v>0.5</v>
      </c>
      <c r="AE886" s="187"/>
      <c r="AF886" s="9">
        <f t="shared" si="29"/>
        <v>0.5</v>
      </c>
      <c r="AG886" s="163"/>
      <c r="AH886" s="93"/>
      <c r="AI886" s="93"/>
      <c r="AJ886" s="181" t="s">
        <v>1188</v>
      </c>
      <c r="AK886" s="30" t="s">
        <v>1185</v>
      </c>
      <c r="AL886" s="93" t="s">
        <v>1178</v>
      </c>
    </row>
    <row r="887" spans="1:38" ht="15" customHeight="1" x14ac:dyDescent="0.3">
      <c r="A887" s="30" t="s">
        <v>22</v>
      </c>
      <c r="B887" s="145" t="s">
        <v>144</v>
      </c>
      <c r="C887" s="107">
        <v>9</v>
      </c>
      <c r="D887" s="11" t="s">
        <v>143</v>
      </c>
      <c r="E887" s="108">
        <v>36824</v>
      </c>
      <c r="F887" s="33">
        <v>2000</v>
      </c>
      <c r="G887" s="142" t="s">
        <v>2294</v>
      </c>
      <c r="H887" s="162" t="s">
        <v>2295</v>
      </c>
      <c r="I887" s="12" t="s">
        <v>25</v>
      </c>
      <c r="J887" s="32" t="s">
        <v>26</v>
      </c>
      <c r="K887" s="197" t="s">
        <v>1194</v>
      </c>
      <c r="L887" s="137" t="s">
        <v>40</v>
      </c>
      <c r="M887" s="137" t="s">
        <v>804</v>
      </c>
      <c r="N887" s="137"/>
      <c r="O887" s="93" t="s">
        <v>2296</v>
      </c>
      <c r="P887" s="718" t="s">
        <v>2297</v>
      </c>
      <c r="Q887" s="15" t="s">
        <v>282</v>
      </c>
      <c r="R887" s="132">
        <v>37918</v>
      </c>
      <c r="S887" s="16" t="s">
        <v>44</v>
      </c>
      <c r="T887" s="133">
        <v>39994</v>
      </c>
      <c r="U887" s="623" t="s">
        <v>2218</v>
      </c>
      <c r="V887" s="180">
        <v>40205</v>
      </c>
      <c r="W887" s="735">
        <v>70</v>
      </c>
      <c r="X887" s="7">
        <v>35</v>
      </c>
      <c r="Y887" s="7">
        <f t="shared" si="28"/>
        <v>0</v>
      </c>
      <c r="Z887" s="7">
        <f t="shared" ref="Z887:Z950" si="30">IF(Y887="",X887,Y887+X887)</f>
        <v>35</v>
      </c>
      <c r="AA887" s="469"/>
      <c r="AB887" s="503" t="s">
        <v>6055</v>
      </c>
      <c r="AC887" s="222"/>
      <c r="AD887" s="187">
        <v>0.5</v>
      </c>
      <c r="AE887" s="187"/>
      <c r="AF887" s="9">
        <f t="shared" si="29"/>
        <v>0.5</v>
      </c>
      <c r="AG887" s="163" t="s">
        <v>727</v>
      </c>
      <c r="AH887" s="93" t="s">
        <v>6011</v>
      </c>
      <c r="AI887" s="93"/>
      <c r="AJ887" s="93" t="s">
        <v>1188</v>
      </c>
      <c r="AK887" s="30" t="s">
        <v>99</v>
      </c>
      <c r="AL887" s="93" t="s">
        <v>1178</v>
      </c>
    </row>
    <row r="888" spans="1:38" ht="15" customHeight="1" x14ac:dyDescent="0.3">
      <c r="A888" s="30" t="s">
        <v>22</v>
      </c>
      <c r="B888" s="198" t="s">
        <v>105</v>
      </c>
      <c r="C888" s="109">
        <v>5</v>
      </c>
      <c r="D888" s="11" t="s">
        <v>5936</v>
      </c>
      <c r="E888" s="108">
        <v>37622</v>
      </c>
      <c r="F888" s="93">
        <v>2003</v>
      </c>
      <c r="G888" s="142" t="s">
        <v>2298</v>
      </c>
      <c r="H888" s="162" t="s">
        <v>2299</v>
      </c>
      <c r="I888" s="33" t="s">
        <v>33</v>
      </c>
      <c r="J888" s="32" t="s">
        <v>26</v>
      </c>
      <c r="K888" s="745" t="s">
        <v>1173</v>
      </c>
      <c r="L888" s="137" t="s">
        <v>40</v>
      </c>
      <c r="M888" s="137" t="s">
        <v>804</v>
      </c>
      <c r="N888" s="137"/>
      <c r="O888" s="740" t="s">
        <v>2300</v>
      </c>
      <c r="P888" s="647" t="s">
        <v>2301</v>
      </c>
      <c r="Q888" s="15" t="s">
        <v>35</v>
      </c>
      <c r="R888" s="179">
        <v>39409</v>
      </c>
      <c r="S888" s="16" t="s">
        <v>35</v>
      </c>
      <c r="T888" s="133">
        <v>39962</v>
      </c>
      <c r="U888" s="623" t="s">
        <v>1422</v>
      </c>
      <c r="V888" s="624"/>
      <c r="W888" s="735">
        <v>80</v>
      </c>
      <c r="X888" s="7">
        <v>80</v>
      </c>
      <c r="Y888" s="7">
        <f t="shared" si="28"/>
        <v>0</v>
      </c>
      <c r="Z888" s="7">
        <f t="shared" si="30"/>
        <v>80</v>
      </c>
      <c r="AA888" s="469"/>
      <c r="AB888" s="513" t="s">
        <v>1231</v>
      </c>
      <c r="AC888" s="147"/>
      <c r="AD888" s="187">
        <v>1</v>
      </c>
      <c r="AE888" s="187"/>
      <c r="AF888" s="9">
        <f t="shared" si="29"/>
        <v>1</v>
      </c>
      <c r="AG888" s="163" t="s">
        <v>1192</v>
      </c>
      <c r="AH888" s="93"/>
      <c r="AI888" s="719" t="s">
        <v>2303</v>
      </c>
      <c r="AJ888" s="93" t="s">
        <v>1188</v>
      </c>
      <c r="AK888" s="30" t="s">
        <v>1185</v>
      </c>
      <c r="AL888" s="93" t="s">
        <v>1175</v>
      </c>
    </row>
    <row r="889" spans="1:38" ht="15" customHeight="1" x14ac:dyDescent="0.3">
      <c r="A889" s="30" t="s">
        <v>22</v>
      </c>
      <c r="B889" s="153" t="s">
        <v>23</v>
      </c>
      <c r="C889" s="107">
        <v>9</v>
      </c>
      <c r="D889" s="11" t="s">
        <v>24</v>
      </c>
      <c r="E889" s="114">
        <v>39472</v>
      </c>
      <c r="F889" s="12">
        <v>2008</v>
      </c>
      <c r="G889" s="142" t="s">
        <v>2304</v>
      </c>
      <c r="H889" s="162" t="s">
        <v>2305</v>
      </c>
      <c r="I889" s="33" t="s">
        <v>33</v>
      </c>
      <c r="J889" s="32" t="s">
        <v>26</v>
      </c>
      <c r="K889" s="197" t="s">
        <v>1194</v>
      </c>
      <c r="L889" s="137" t="s">
        <v>1319</v>
      </c>
      <c r="M889" s="137" t="s">
        <v>804</v>
      </c>
      <c r="N889" s="137"/>
      <c r="O889" s="93" t="s">
        <v>2306</v>
      </c>
      <c r="P889" s="740" t="s">
        <v>6012</v>
      </c>
      <c r="Q889" s="91"/>
      <c r="R889" s="91"/>
      <c r="S889" s="92"/>
      <c r="T889" s="139"/>
      <c r="U889" s="624"/>
      <c r="V889" s="624"/>
      <c r="W889" s="735">
        <v>86</v>
      </c>
      <c r="X889" s="7">
        <v>43</v>
      </c>
      <c r="Y889" s="7">
        <f t="shared" si="28"/>
        <v>0</v>
      </c>
      <c r="Z889" s="7">
        <f t="shared" si="30"/>
        <v>43</v>
      </c>
      <c r="AA889" s="469"/>
      <c r="AB889" s="479" t="s">
        <v>49</v>
      </c>
      <c r="AC889" s="480"/>
      <c r="AD889" s="187">
        <v>0.5</v>
      </c>
      <c r="AE889" s="187"/>
      <c r="AF889" s="9">
        <f t="shared" si="29"/>
        <v>0.5</v>
      </c>
      <c r="AG889" s="163" t="s">
        <v>667</v>
      </c>
      <c r="AH889" s="93" t="s">
        <v>2302</v>
      </c>
      <c r="AI889" s="718" t="s">
        <v>2307</v>
      </c>
      <c r="AJ889" s="93" t="s">
        <v>1188</v>
      </c>
      <c r="AK889" s="30" t="s">
        <v>1177</v>
      </c>
      <c r="AL889" s="93" t="s">
        <v>1178</v>
      </c>
    </row>
    <row r="890" spans="1:38" ht="15" customHeight="1" x14ac:dyDescent="0.3">
      <c r="A890" s="30" t="s">
        <v>22</v>
      </c>
      <c r="B890" s="153" t="s">
        <v>23</v>
      </c>
      <c r="C890" s="107">
        <v>9</v>
      </c>
      <c r="D890" s="11" t="s">
        <v>24</v>
      </c>
      <c r="E890" s="114">
        <v>39472</v>
      </c>
      <c r="F890" s="12">
        <v>2008</v>
      </c>
      <c r="G890" s="142" t="s">
        <v>2304</v>
      </c>
      <c r="H890" s="162" t="s">
        <v>2305</v>
      </c>
      <c r="I890" s="33" t="s">
        <v>33</v>
      </c>
      <c r="J890" s="32" t="s">
        <v>26</v>
      </c>
      <c r="K890" s="197" t="s">
        <v>111</v>
      </c>
      <c r="L890" s="137" t="s">
        <v>1319</v>
      </c>
      <c r="M890" s="137" t="s">
        <v>804</v>
      </c>
      <c r="N890" s="137"/>
      <c r="O890" s="93" t="s">
        <v>2306</v>
      </c>
      <c r="P890" s="740" t="s">
        <v>6013</v>
      </c>
      <c r="Q890" s="91"/>
      <c r="R890" s="91"/>
      <c r="S890" s="92"/>
      <c r="T890" s="139"/>
      <c r="U890" s="624"/>
      <c r="V890" s="624"/>
      <c r="W890" s="735">
        <v>97</v>
      </c>
      <c r="X890" s="7">
        <v>48.500000000000007</v>
      </c>
      <c r="Y890" s="7">
        <f t="shared" si="28"/>
        <v>0</v>
      </c>
      <c r="Z890" s="7">
        <f t="shared" si="30"/>
        <v>48.500000000000007</v>
      </c>
      <c r="AA890" s="469"/>
      <c r="AB890" s="479" t="s">
        <v>49</v>
      </c>
      <c r="AC890" s="480"/>
      <c r="AD890" s="187">
        <v>0.5</v>
      </c>
      <c r="AE890" s="187"/>
      <c r="AF890" s="9">
        <f t="shared" si="29"/>
        <v>0.5</v>
      </c>
      <c r="AG890" s="163" t="s">
        <v>667</v>
      </c>
      <c r="AH890" s="93" t="s">
        <v>2302</v>
      </c>
      <c r="AI890" s="718" t="s">
        <v>2307</v>
      </c>
      <c r="AJ890" s="93" t="s">
        <v>2308</v>
      </c>
      <c r="AK890" s="30" t="s">
        <v>1177</v>
      </c>
      <c r="AL890" s="93" t="s">
        <v>1178</v>
      </c>
    </row>
    <row r="891" spans="1:38" ht="15" customHeight="1" x14ac:dyDescent="0.3">
      <c r="A891" s="30" t="s">
        <v>22</v>
      </c>
      <c r="B891" s="153" t="s">
        <v>23</v>
      </c>
      <c r="C891" s="109">
        <v>13</v>
      </c>
      <c r="D891" s="11" t="s">
        <v>24</v>
      </c>
      <c r="E891" s="114">
        <v>39920</v>
      </c>
      <c r="F891" s="33">
        <v>2009</v>
      </c>
      <c r="G891" s="142" t="s">
        <v>2309</v>
      </c>
      <c r="H891" s="162" t="s">
        <v>2310</v>
      </c>
      <c r="I891" s="12" t="s">
        <v>80</v>
      </c>
      <c r="J891" s="32" t="s">
        <v>26</v>
      </c>
      <c r="K891" s="197" t="s">
        <v>1930</v>
      </c>
      <c r="L891" s="137" t="s">
        <v>1319</v>
      </c>
      <c r="M891" s="137" t="s">
        <v>804</v>
      </c>
      <c r="N891" s="137"/>
      <c r="O891" s="93" t="s">
        <v>2063</v>
      </c>
      <c r="P891" s="138" t="s">
        <v>6014</v>
      </c>
      <c r="Q891" s="91"/>
      <c r="R891" s="91"/>
      <c r="S891" s="92"/>
      <c r="T891" s="139"/>
      <c r="U891" s="624"/>
      <c r="V891" s="624"/>
      <c r="W891" s="735">
        <v>25.5</v>
      </c>
      <c r="X891" s="7">
        <v>12.75</v>
      </c>
      <c r="Y891" s="7">
        <f t="shared" si="28"/>
        <v>0</v>
      </c>
      <c r="Z891" s="7">
        <f t="shared" si="30"/>
        <v>12.75</v>
      </c>
      <c r="AA891" s="469"/>
      <c r="AB891" s="479" t="s">
        <v>49</v>
      </c>
      <c r="AC891" s="480"/>
      <c r="AD891" s="187">
        <v>0.5</v>
      </c>
      <c r="AE891" s="187"/>
      <c r="AF891" s="9">
        <f t="shared" si="29"/>
        <v>0.5</v>
      </c>
      <c r="AG891" s="163" t="s">
        <v>667</v>
      </c>
      <c r="AH891" s="93" t="s">
        <v>58</v>
      </c>
      <c r="AI891" s="719" t="s">
        <v>2312</v>
      </c>
      <c r="AJ891" s="93" t="s">
        <v>1188</v>
      </c>
      <c r="AK891" s="30" t="s">
        <v>1177</v>
      </c>
      <c r="AL891" s="93" t="s">
        <v>1178</v>
      </c>
    </row>
    <row r="892" spans="1:38" ht="15" customHeight="1" x14ac:dyDescent="0.3">
      <c r="A892" s="30" t="s">
        <v>22</v>
      </c>
      <c r="B892" s="153" t="s">
        <v>23</v>
      </c>
      <c r="C892" s="109">
        <v>17</v>
      </c>
      <c r="D892" s="11" t="s">
        <v>24</v>
      </c>
      <c r="E892" s="114">
        <v>40298</v>
      </c>
      <c r="F892" s="33">
        <v>2010</v>
      </c>
      <c r="G892" s="142" t="s">
        <v>2313</v>
      </c>
      <c r="H892" s="162" t="s">
        <v>2314</v>
      </c>
      <c r="I892" s="12" t="s">
        <v>80</v>
      </c>
      <c r="J892" s="32" t="s">
        <v>26</v>
      </c>
      <c r="K892" s="197" t="s">
        <v>2121</v>
      </c>
      <c r="L892" s="137" t="s">
        <v>1319</v>
      </c>
      <c r="M892" s="137" t="s">
        <v>804</v>
      </c>
      <c r="N892" s="137"/>
      <c r="O892" s="93" t="s">
        <v>2063</v>
      </c>
      <c r="P892" s="138" t="s">
        <v>6015</v>
      </c>
      <c r="Q892" s="91"/>
      <c r="R892" s="132"/>
      <c r="S892" s="92"/>
      <c r="T892" s="139"/>
      <c r="U892" s="624"/>
      <c r="V892" s="624"/>
      <c r="W892" s="735">
        <v>35.6</v>
      </c>
      <c r="X892" s="7">
        <v>7.120000000000001</v>
      </c>
      <c r="Y892" s="7">
        <f t="shared" si="28"/>
        <v>0</v>
      </c>
      <c r="Z892" s="7">
        <f t="shared" si="30"/>
        <v>7.120000000000001</v>
      </c>
      <c r="AA892" s="469"/>
      <c r="AB892" s="518" t="s">
        <v>933</v>
      </c>
      <c r="AC892" s="519"/>
      <c r="AD892" s="187">
        <v>0.2</v>
      </c>
      <c r="AE892" s="187"/>
      <c r="AF892" s="9">
        <f t="shared" si="29"/>
        <v>0.2</v>
      </c>
      <c r="AG892" s="163" t="s">
        <v>667</v>
      </c>
      <c r="AH892" s="93" t="s">
        <v>2311</v>
      </c>
      <c r="AI892" s="719" t="s">
        <v>2315</v>
      </c>
      <c r="AJ892" s="93" t="s">
        <v>1188</v>
      </c>
      <c r="AK892" s="30" t="s">
        <v>1177</v>
      </c>
      <c r="AL892" s="93" t="s">
        <v>1178</v>
      </c>
    </row>
    <row r="893" spans="1:38" ht="15" customHeight="1" x14ac:dyDescent="0.3">
      <c r="A893" s="30" t="s">
        <v>22</v>
      </c>
      <c r="B893" s="153" t="s">
        <v>23</v>
      </c>
      <c r="C893" s="107">
        <v>3</v>
      </c>
      <c r="D893" s="11" t="s">
        <v>24</v>
      </c>
      <c r="E893" s="114">
        <v>39280</v>
      </c>
      <c r="F893" s="12">
        <v>2007</v>
      </c>
      <c r="G893" s="142" t="s">
        <v>2316</v>
      </c>
      <c r="H893" s="162" t="s">
        <v>2317</v>
      </c>
      <c r="I893" s="12" t="s">
        <v>938</v>
      </c>
      <c r="J893" s="32" t="s">
        <v>26</v>
      </c>
      <c r="K893" s="197" t="s">
        <v>111</v>
      </c>
      <c r="L893" s="137" t="s">
        <v>1319</v>
      </c>
      <c r="M893" s="137" t="s">
        <v>804</v>
      </c>
      <c r="N893" s="137"/>
      <c r="O893" s="93" t="s">
        <v>2318</v>
      </c>
      <c r="P893" s="138" t="s">
        <v>2319</v>
      </c>
      <c r="Q893" s="15" t="s">
        <v>35</v>
      </c>
      <c r="R893" s="132">
        <v>39951</v>
      </c>
      <c r="S893" s="16" t="s">
        <v>35</v>
      </c>
      <c r="T893" s="165">
        <v>40378</v>
      </c>
      <c r="U893" s="624"/>
      <c r="V893" s="624"/>
      <c r="W893" s="735">
        <v>78</v>
      </c>
      <c r="X893" s="7">
        <v>78</v>
      </c>
      <c r="Y893" s="7">
        <f t="shared" si="28"/>
        <v>0</v>
      </c>
      <c r="Z893" s="7">
        <f t="shared" si="30"/>
        <v>78</v>
      </c>
      <c r="AA893" s="469"/>
      <c r="AB893" s="513" t="s">
        <v>36</v>
      </c>
      <c r="AC893" s="147"/>
      <c r="AD893" s="187">
        <v>1</v>
      </c>
      <c r="AE893" s="187"/>
      <c r="AF893" s="9">
        <f t="shared" si="29"/>
        <v>1</v>
      </c>
      <c r="AG893" s="163" t="s">
        <v>681</v>
      </c>
      <c r="AH893" s="93" t="s">
        <v>6008</v>
      </c>
      <c r="AI893" s="718" t="s">
        <v>2320</v>
      </c>
      <c r="AJ893" s="93" t="s">
        <v>1188</v>
      </c>
      <c r="AK893" s="30" t="s">
        <v>1185</v>
      </c>
      <c r="AL893" s="93" t="s">
        <v>1178</v>
      </c>
    </row>
    <row r="894" spans="1:38" ht="15" customHeight="1" x14ac:dyDescent="0.3">
      <c r="A894" s="30" t="s">
        <v>22</v>
      </c>
      <c r="B894" s="153" t="s">
        <v>23</v>
      </c>
      <c r="C894" s="107">
        <v>14</v>
      </c>
      <c r="D894" s="11" t="s">
        <v>24</v>
      </c>
      <c r="E894" s="114">
        <v>39048</v>
      </c>
      <c r="F894" s="12">
        <v>2006</v>
      </c>
      <c r="G894" s="142" t="s">
        <v>2321</v>
      </c>
      <c r="H894" s="162" t="s">
        <v>2322</v>
      </c>
      <c r="I894" s="12" t="s">
        <v>80</v>
      </c>
      <c r="J894" s="32" t="s">
        <v>26</v>
      </c>
      <c r="K894" s="197" t="s">
        <v>111</v>
      </c>
      <c r="L894" s="137" t="s">
        <v>1319</v>
      </c>
      <c r="M894" s="137" t="s">
        <v>804</v>
      </c>
      <c r="N894" s="137"/>
      <c r="O894" s="93" t="s">
        <v>2323</v>
      </c>
      <c r="P894" s="138" t="s">
        <v>2324</v>
      </c>
      <c r="Q894" s="15" t="s">
        <v>282</v>
      </c>
      <c r="R894" s="132">
        <v>40070</v>
      </c>
      <c r="S894" s="16" t="s">
        <v>44</v>
      </c>
      <c r="T894" s="165">
        <v>40368</v>
      </c>
      <c r="U894" s="624"/>
      <c r="V894" s="624"/>
      <c r="W894" s="735">
        <v>19</v>
      </c>
      <c r="X894" s="7">
        <v>9.5</v>
      </c>
      <c r="Y894" s="7">
        <f t="shared" si="28"/>
        <v>0</v>
      </c>
      <c r="Z894" s="7">
        <f t="shared" si="30"/>
        <v>9.5</v>
      </c>
      <c r="AA894" s="469"/>
      <c r="AB894" s="513" t="s">
        <v>36</v>
      </c>
      <c r="AC894" s="147"/>
      <c r="AD894" s="187">
        <v>0.5</v>
      </c>
      <c r="AE894" s="187"/>
      <c r="AF894" s="9">
        <f t="shared" si="29"/>
        <v>0.5</v>
      </c>
      <c r="AG894" s="163" t="s">
        <v>681</v>
      </c>
      <c r="AH894" s="93" t="s">
        <v>5970</v>
      </c>
      <c r="AI894" s="93"/>
      <c r="AJ894" s="93" t="s">
        <v>1188</v>
      </c>
      <c r="AK894" s="30" t="s">
        <v>1185</v>
      </c>
      <c r="AL894" s="93" t="s">
        <v>1178</v>
      </c>
    </row>
    <row r="895" spans="1:38" ht="15" customHeight="1" x14ac:dyDescent="0.3">
      <c r="A895" s="30" t="s">
        <v>22</v>
      </c>
      <c r="B895" s="120" t="s">
        <v>105</v>
      </c>
      <c r="C895" s="109">
        <v>7</v>
      </c>
      <c r="D895" s="11" t="s">
        <v>5936</v>
      </c>
      <c r="E895" s="108">
        <v>37622</v>
      </c>
      <c r="F895" s="146">
        <v>2003</v>
      </c>
      <c r="G895" s="142" t="s">
        <v>2325</v>
      </c>
      <c r="H895" s="162" t="s">
        <v>2326</v>
      </c>
      <c r="I895" s="33" t="s">
        <v>33</v>
      </c>
      <c r="J895" s="32" t="s">
        <v>26</v>
      </c>
      <c r="K895" s="197" t="s">
        <v>111</v>
      </c>
      <c r="L895" s="137" t="s">
        <v>40</v>
      </c>
      <c r="M895" s="137" t="s">
        <v>804</v>
      </c>
      <c r="N895" s="137"/>
      <c r="O895" s="93" t="s">
        <v>2327</v>
      </c>
      <c r="P895" s="200" t="s">
        <v>2328</v>
      </c>
      <c r="Q895" s="15" t="s">
        <v>282</v>
      </c>
      <c r="R895" s="132">
        <v>39381</v>
      </c>
      <c r="S895" s="16" t="s">
        <v>44</v>
      </c>
      <c r="T895" s="133">
        <v>40400</v>
      </c>
      <c r="U895" s="623"/>
      <c r="V895" s="624"/>
      <c r="W895" s="735">
        <v>50</v>
      </c>
      <c r="X895" s="7">
        <v>25</v>
      </c>
      <c r="Y895" s="7">
        <f t="shared" si="28"/>
        <v>0</v>
      </c>
      <c r="Z895" s="7">
        <f t="shared" si="30"/>
        <v>25</v>
      </c>
      <c r="AA895" s="469"/>
      <c r="AB895" s="513" t="s">
        <v>1231</v>
      </c>
      <c r="AC895" s="147"/>
      <c r="AD895" s="187">
        <v>0.5</v>
      </c>
      <c r="AE895" s="187"/>
      <c r="AF895" s="9">
        <f t="shared" si="29"/>
        <v>0.5</v>
      </c>
      <c r="AG895" s="163" t="s">
        <v>1192</v>
      </c>
      <c r="AH895" s="93"/>
      <c r="AI895" s="146"/>
      <c r="AJ895" s="93" t="s">
        <v>1188</v>
      </c>
      <c r="AK895" s="30" t="s">
        <v>1185</v>
      </c>
      <c r="AL895" s="93" t="s">
        <v>1178</v>
      </c>
    </row>
    <row r="896" spans="1:38" ht="15" customHeight="1" x14ac:dyDescent="0.3">
      <c r="A896" s="30" t="s">
        <v>883</v>
      </c>
      <c r="B896" s="140" t="s">
        <v>105</v>
      </c>
      <c r="C896" s="107">
        <v>8</v>
      </c>
      <c r="D896" s="11" t="s">
        <v>5936</v>
      </c>
      <c r="E896" s="114">
        <v>39083</v>
      </c>
      <c r="F896" s="12">
        <v>2007</v>
      </c>
      <c r="G896" s="142" t="s">
        <v>2330</v>
      </c>
      <c r="H896" s="162" t="s">
        <v>2331</v>
      </c>
      <c r="I896" s="33" t="s">
        <v>33</v>
      </c>
      <c r="J896" s="32" t="s">
        <v>26</v>
      </c>
      <c r="K896" s="138" t="s">
        <v>111</v>
      </c>
      <c r="L896" s="138" t="s">
        <v>1319</v>
      </c>
      <c r="M896" s="137" t="s">
        <v>804</v>
      </c>
      <c r="N896" s="137"/>
      <c r="O896" s="138" t="s">
        <v>2332</v>
      </c>
      <c r="P896" s="138" t="s">
        <v>2333</v>
      </c>
      <c r="Q896" s="15" t="s">
        <v>282</v>
      </c>
      <c r="R896" s="132">
        <v>39742</v>
      </c>
      <c r="S896" s="16" t="s">
        <v>44</v>
      </c>
      <c r="T896" s="133">
        <v>40389</v>
      </c>
      <c r="U896" s="623"/>
      <c r="V896" s="623"/>
      <c r="W896" s="734">
        <v>40</v>
      </c>
      <c r="X896" s="7">
        <v>20</v>
      </c>
      <c r="Y896" s="7">
        <f t="shared" si="28"/>
        <v>0</v>
      </c>
      <c r="Z896" s="7">
        <f t="shared" si="30"/>
        <v>20</v>
      </c>
      <c r="AA896" s="469"/>
      <c r="AB896" s="564" t="s">
        <v>1073</v>
      </c>
      <c r="AC896" s="693"/>
      <c r="AD896" s="187">
        <v>0.5</v>
      </c>
      <c r="AE896" s="187"/>
      <c r="AF896" s="9">
        <f t="shared" si="29"/>
        <v>0.5</v>
      </c>
      <c r="AG896" s="138" t="s">
        <v>1454</v>
      </c>
      <c r="AH896" s="138"/>
      <c r="AI896" s="138"/>
      <c r="AJ896" s="138" t="s">
        <v>1188</v>
      </c>
      <c r="AK896" s="138" t="s">
        <v>1185</v>
      </c>
      <c r="AL896" s="93" t="s">
        <v>1178</v>
      </c>
    </row>
    <row r="897" spans="1:38" ht="15" customHeight="1" x14ac:dyDescent="0.3">
      <c r="A897" s="30" t="s">
        <v>22</v>
      </c>
      <c r="B897" s="140" t="s">
        <v>2329</v>
      </c>
      <c r="C897" s="107" t="s">
        <v>2335</v>
      </c>
      <c r="D897" s="11" t="s">
        <v>225</v>
      </c>
      <c r="E897" s="114">
        <v>39083</v>
      </c>
      <c r="F897" s="12">
        <v>2007</v>
      </c>
      <c r="G897" s="142"/>
      <c r="H897" s="162"/>
      <c r="I897" s="30" t="s">
        <v>38</v>
      </c>
      <c r="J897" s="32" t="s">
        <v>26</v>
      </c>
      <c r="K897" s="138" t="s">
        <v>111</v>
      </c>
      <c r="L897" s="138" t="s">
        <v>1319</v>
      </c>
      <c r="M897" s="137" t="s">
        <v>804</v>
      </c>
      <c r="N897" s="137"/>
      <c r="O897" s="138" t="s">
        <v>2336</v>
      </c>
      <c r="P897" s="138" t="s">
        <v>2337</v>
      </c>
      <c r="Q897" s="15" t="s">
        <v>282</v>
      </c>
      <c r="R897" s="132">
        <v>39751</v>
      </c>
      <c r="S897" s="16" t="s">
        <v>44</v>
      </c>
      <c r="T897" s="133">
        <v>40393</v>
      </c>
      <c r="U897" s="623"/>
      <c r="V897" s="623"/>
      <c r="W897" s="734">
        <v>15</v>
      </c>
      <c r="X897" s="7">
        <v>11.25</v>
      </c>
      <c r="Y897" s="7">
        <f t="shared" si="28"/>
        <v>0</v>
      </c>
      <c r="Z897" s="7">
        <f t="shared" si="30"/>
        <v>11.25</v>
      </c>
      <c r="AA897" s="469"/>
      <c r="AB897" s="504" t="s">
        <v>6115</v>
      </c>
      <c r="AC897" s="138"/>
      <c r="AD897" s="187">
        <v>0.75</v>
      </c>
      <c r="AE897" s="187"/>
      <c r="AF897" s="9">
        <f t="shared" si="29"/>
        <v>0.75</v>
      </c>
      <c r="AG897" s="138" t="s">
        <v>2338</v>
      </c>
      <c r="AH897" s="138" t="s">
        <v>2334</v>
      </c>
      <c r="AI897" s="718" t="s">
        <v>2339</v>
      </c>
      <c r="AJ897" s="138" t="s">
        <v>1188</v>
      </c>
      <c r="AK897" s="138" t="s">
        <v>1185</v>
      </c>
      <c r="AL897" s="93" t="s">
        <v>1178</v>
      </c>
    </row>
    <row r="898" spans="1:38" ht="15" customHeight="1" x14ac:dyDescent="0.3">
      <c r="A898" s="181" t="s">
        <v>22</v>
      </c>
      <c r="B898" s="167" t="s">
        <v>105</v>
      </c>
      <c r="C898" s="135">
        <v>20</v>
      </c>
      <c r="D898" s="11" t="s">
        <v>5936</v>
      </c>
      <c r="E898" s="168">
        <v>39591</v>
      </c>
      <c r="F898" s="136">
        <v>2008</v>
      </c>
      <c r="G898" s="178" t="s">
        <v>2340</v>
      </c>
      <c r="H898" s="204" t="s">
        <v>2341</v>
      </c>
      <c r="I898" s="33" t="s">
        <v>33</v>
      </c>
      <c r="J898" s="32" t="s">
        <v>26</v>
      </c>
      <c r="K898" s="138" t="s">
        <v>1708</v>
      </c>
      <c r="L898" s="138" t="s">
        <v>1319</v>
      </c>
      <c r="M898" s="137" t="s">
        <v>804</v>
      </c>
      <c r="N898" s="137"/>
      <c r="O898" s="138" t="s">
        <v>2342</v>
      </c>
      <c r="P898" s="138" t="s">
        <v>2343</v>
      </c>
      <c r="Q898" s="15" t="s">
        <v>282</v>
      </c>
      <c r="R898" s="132">
        <v>40086</v>
      </c>
      <c r="S898" s="16" t="s">
        <v>44</v>
      </c>
      <c r="T898" s="133">
        <v>40375</v>
      </c>
      <c r="U898" s="623"/>
      <c r="V898" s="623"/>
      <c r="W898" s="734">
        <v>30</v>
      </c>
      <c r="X898" s="7">
        <v>15</v>
      </c>
      <c r="Y898" s="7">
        <f t="shared" ref="Y898:Y961" si="31">W898*AE898</f>
        <v>0</v>
      </c>
      <c r="Z898" s="7">
        <f t="shared" si="30"/>
        <v>15</v>
      </c>
      <c r="AA898" s="469"/>
      <c r="AB898" s="564" t="s">
        <v>1073</v>
      </c>
      <c r="AC898" s="693"/>
      <c r="AD898" s="187">
        <v>0.5</v>
      </c>
      <c r="AE898" s="187"/>
      <c r="AF898" s="9">
        <f t="shared" si="29"/>
        <v>0.5</v>
      </c>
      <c r="AG898" s="138" t="s">
        <v>2344</v>
      </c>
      <c r="AH898" s="138" t="s">
        <v>2258</v>
      </c>
      <c r="AI898" s="138"/>
      <c r="AJ898" s="138" t="s">
        <v>1188</v>
      </c>
      <c r="AK898" s="138" t="s">
        <v>1185</v>
      </c>
      <c r="AL898" s="138" t="s">
        <v>1178</v>
      </c>
    </row>
    <row r="899" spans="1:38" ht="15" customHeight="1" x14ac:dyDescent="0.3">
      <c r="A899" s="181" t="s">
        <v>22</v>
      </c>
      <c r="B899" s="153" t="s">
        <v>105</v>
      </c>
      <c r="C899" s="135">
        <v>6</v>
      </c>
      <c r="D899" s="11" t="s">
        <v>5936</v>
      </c>
      <c r="E899" s="168">
        <v>39974</v>
      </c>
      <c r="F899" s="136">
        <v>2009</v>
      </c>
      <c r="G899" s="178" t="s">
        <v>2345</v>
      </c>
      <c r="H899" s="204" t="s">
        <v>2346</v>
      </c>
      <c r="I899" s="30" t="s">
        <v>38</v>
      </c>
      <c r="J899" s="32" t="s">
        <v>26</v>
      </c>
      <c r="K899" s="197" t="s">
        <v>1194</v>
      </c>
      <c r="L899" s="746" t="s">
        <v>40</v>
      </c>
      <c r="M899" s="137" t="s">
        <v>804</v>
      </c>
      <c r="N899" s="746"/>
      <c r="O899" s="197" t="s">
        <v>2347</v>
      </c>
      <c r="P899" s="197" t="s">
        <v>6016</v>
      </c>
      <c r="Q899" s="747"/>
      <c r="R899" s="227"/>
      <c r="S899" s="748"/>
      <c r="T899" s="748"/>
      <c r="U899" s="737"/>
      <c r="V899" s="733"/>
      <c r="W899" s="256">
        <v>60</v>
      </c>
      <c r="X899" s="7">
        <v>24</v>
      </c>
      <c r="Y899" s="7">
        <f t="shared" si="31"/>
        <v>0</v>
      </c>
      <c r="Z899" s="7">
        <f t="shared" si="30"/>
        <v>24</v>
      </c>
      <c r="AA899" s="469"/>
      <c r="AB899" s="564" t="s">
        <v>1073</v>
      </c>
      <c r="AC899" s="693"/>
      <c r="AD899" s="749">
        <v>0.4</v>
      </c>
      <c r="AE899" s="195"/>
      <c r="AF899" s="9">
        <f t="shared" ref="AF899:AF962" si="32">AD899+AE899</f>
        <v>0.4</v>
      </c>
      <c r="AG899" s="30">
        <v>7</v>
      </c>
      <c r="AH899" s="264" t="s">
        <v>6158</v>
      </c>
      <c r="AI899" s="750" t="s">
        <v>2349</v>
      </c>
      <c r="AJ899" s="30" t="s">
        <v>1188</v>
      </c>
      <c r="AK899" s="30" t="s">
        <v>1177</v>
      </c>
      <c r="AL899" s="30" t="s">
        <v>1178</v>
      </c>
    </row>
    <row r="900" spans="1:38" ht="15" customHeight="1" x14ac:dyDescent="0.3">
      <c r="A900" s="181" t="s">
        <v>22</v>
      </c>
      <c r="B900" s="167" t="s">
        <v>227</v>
      </c>
      <c r="C900" s="135">
        <v>7</v>
      </c>
      <c r="D900" s="11" t="s">
        <v>225</v>
      </c>
      <c r="E900" s="168">
        <v>39600</v>
      </c>
      <c r="F900" s="136">
        <v>2008</v>
      </c>
      <c r="G900" s="178" t="s">
        <v>2350</v>
      </c>
      <c r="H900" s="204" t="s">
        <v>2351</v>
      </c>
      <c r="I900" s="136" t="s">
        <v>80</v>
      </c>
      <c r="J900" s="32" t="s">
        <v>26</v>
      </c>
      <c r="K900" s="138" t="s">
        <v>1930</v>
      </c>
      <c r="L900" s="138" t="s">
        <v>1319</v>
      </c>
      <c r="M900" s="137" t="s">
        <v>804</v>
      </c>
      <c r="N900" s="137"/>
      <c r="O900" s="138" t="s">
        <v>2352</v>
      </c>
      <c r="P900" s="138" t="s">
        <v>2353</v>
      </c>
      <c r="Q900" s="15" t="s">
        <v>35</v>
      </c>
      <c r="R900" s="132">
        <v>40086</v>
      </c>
      <c r="S900" s="16" t="s">
        <v>35</v>
      </c>
      <c r="T900" s="133">
        <v>40421</v>
      </c>
      <c r="U900" s="623"/>
      <c r="V900" s="623"/>
      <c r="W900" s="734">
        <v>20</v>
      </c>
      <c r="X900" s="7">
        <v>20</v>
      </c>
      <c r="Y900" s="7">
        <f t="shared" si="31"/>
        <v>0</v>
      </c>
      <c r="Z900" s="7">
        <f t="shared" si="30"/>
        <v>20</v>
      </c>
      <c r="AA900" s="469"/>
      <c r="AB900" s="500" t="s">
        <v>5953</v>
      </c>
      <c r="AC900" s="501"/>
      <c r="AD900" s="187">
        <v>1</v>
      </c>
      <c r="AE900" s="187"/>
      <c r="AF900" s="9">
        <f t="shared" si="32"/>
        <v>1</v>
      </c>
      <c r="AG900" s="138">
        <v>6</v>
      </c>
      <c r="AH900" s="138" t="s">
        <v>2348</v>
      </c>
      <c r="AI900" s="718" t="s">
        <v>2354</v>
      </c>
      <c r="AJ900" s="138" t="s">
        <v>1188</v>
      </c>
      <c r="AK900" s="138" t="s">
        <v>1185</v>
      </c>
      <c r="AL900" s="138" t="s">
        <v>1178</v>
      </c>
    </row>
    <row r="901" spans="1:38" ht="15" customHeight="1" x14ac:dyDescent="0.3">
      <c r="A901" s="30" t="s">
        <v>883</v>
      </c>
      <c r="B901" s="140" t="s">
        <v>105</v>
      </c>
      <c r="C901" s="107">
        <v>2</v>
      </c>
      <c r="D901" s="11" t="s">
        <v>5936</v>
      </c>
      <c r="E901" s="114">
        <v>39083</v>
      </c>
      <c r="F901" s="12">
        <v>2007</v>
      </c>
      <c r="G901" s="142" t="s">
        <v>2355</v>
      </c>
      <c r="H901" s="162" t="s">
        <v>2356</v>
      </c>
      <c r="I901" s="30" t="s">
        <v>38</v>
      </c>
      <c r="J901" s="32" t="s">
        <v>26</v>
      </c>
      <c r="K901" s="138" t="s">
        <v>111</v>
      </c>
      <c r="L901" s="137" t="s">
        <v>1319</v>
      </c>
      <c r="M901" s="137" t="s">
        <v>804</v>
      </c>
      <c r="N901" s="137"/>
      <c r="O901" s="138" t="s">
        <v>2357</v>
      </c>
      <c r="P901" s="138" t="s">
        <v>2358</v>
      </c>
      <c r="Q901" s="15" t="s">
        <v>282</v>
      </c>
      <c r="R901" s="132">
        <v>39904</v>
      </c>
      <c r="S901" s="16" t="s">
        <v>44</v>
      </c>
      <c r="T901" s="133">
        <v>40445</v>
      </c>
      <c r="U901" s="623"/>
      <c r="V901" s="623"/>
      <c r="W901" s="734">
        <v>6</v>
      </c>
      <c r="X901" s="7">
        <v>3</v>
      </c>
      <c r="Y901" s="7">
        <f t="shared" si="31"/>
        <v>0</v>
      </c>
      <c r="Z901" s="7">
        <f t="shared" si="30"/>
        <v>3</v>
      </c>
      <c r="AA901" s="469"/>
      <c r="AB901" s="564" t="s">
        <v>1073</v>
      </c>
      <c r="AC901" s="693"/>
      <c r="AD901" s="187">
        <v>0.5</v>
      </c>
      <c r="AE901" s="187"/>
      <c r="AF901" s="9">
        <f t="shared" si="32"/>
        <v>0.5</v>
      </c>
      <c r="AG901" s="138">
        <v>7.5</v>
      </c>
      <c r="AH901" s="138"/>
      <c r="AI901" s="138"/>
      <c r="AJ901" s="138" t="s">
        <v>1188</v>
      </c>
      <c r="AK901" s="138" t="s">
        <v>1185</v>
      </c>
      <c r="AL901" s="93" t="s">
        <v>1178</v>
      </c>
    </row>
    <row r="902" spans="1:38" ht="15" customHeight="1" x14ac:dyDescent="0.3">
      <c r="A902" s="181" t="s">
        <v>22</v>
      </c>
      <c r="B902" s="145" t="s">
        <v>105</v>
      </c>
      <c r="C902" s="135">
        <v>7</v>
      </c>
      <c r="D902" s="11" t="s">
        <v>5936</v>
      </c>
      <c r="E902" s="192">
        <v>39507</v>
      </c>
      <c r="F902" s="138">
        <v>2008</v>
      </c>
      <c r="G902" s="744" t="s">
        <v>2359</v>
      </c>
      <c r="H902" s="204" t="s">
        <v>2360</v>
      </c>
      <c r="I902" s="33" t="s">
        <v>33</v>
      </c>
      <c r="J902" s="32" t="s">
        <v>26</v>
      </c>
      <c r="K902" s="197" t="s">
        <v>1708</v>
      </c>
      <c r="L902" s="197" t="s">
        <v>40</v>
      </c>
      <c r="M902" s="137" t="s">
        <v>804</v>
      </c>
      <c r="N902" s="137"/>
      <c r="O902" s="138" t="s">
        <v>2361</v>
      </c>
      <c r="P902" s="138" t="s">
        <v>2362</v>
      </c>
      <c r="Q902" s="15" t="s">
        <v>282</v>
      </c>
      <c r="R902" s="132">
        <v>39756</v>
      </c>
      <c r="S902" s="16" t="s">
        <v>44</v>
      </c>
      <c r="T902" s="133">
        <v>40421</v>
      </c>
      <c r="U902" s="623"/>
      <c r="V902" s="624"/>
      <c r="W902" s="734">
        <v>30</v>
      </c>
      <c r="X902" s="7">
        <v>15</v>
      </c>
      <c r="Y902" s="7">
        <f t="shared" si="31"/>
        <v>0</v>
      </c>
      <c r="Z902" s="7">
        <f t="shared" si="30"/>
        <v>15</v>
      </c>
      <c r="AA902" s="469"/>
      <c r="AB902" s="564" t="s">
        <v>1073</v>
      </c>
      <c r="AC902" s="693"/>
      <c r="AD902" s="187">
        <v>0.5</v>
      </c>
      <c r="AE902" s="187"/>
      <c r="AF902" s="9">
        <f t="shared" si="32"/>
        <v>0.5</v>
      </c>
      <c r="AG902" s="163">
        <v>7.5</v>
      </c>
      <c r="AH902" s="138"/>
      <c r="AI902" s="683"/>
      <c r="AJ902" s="138" t="s">
        <v>1188</v>
      </c>
      <c r="AK902" s="138" t="s">
        <v>1185</v>
      </c>
      <c r="AL902" s="751" t="s">
        <v>1178</v>
      </c>
    </row>
    <row r="903" spans="1:38" ht="15" customHeight="1" x14ac:dyDescent="0.3">
      <c r="A903" s="181" t="s">
        <v>22</v>
      </c>
      <c r="B903" s="167" t="s">
        <v>105</v>
      </c>
      <c r="C903" s="135">
        <v>5</v>
      </c>
      <c r="D903" s="11" t="s">
        <v>5936</v>
      </c>
      <c r="E903" s="199">
        <v>39423</v>
      </c>
      <c r="F903" s="136">
        <v>2008</v>
      </c>
      <c r="G903" s="178" t="s">
        <v>2363</v>
      </c>
      <c r="H903" s="204" t="s">
        <v>2364</v>
      </c>
      <c r="I903" s="33" t="s">
        <v>33</v>
      </c>
      <c r="J903" s="32" t="s">
        <v>26</v>
      </c>
      <c r="K903" s="138" t="s">
        <v>1708</v>
      </c>
      <c r="L903" s="138" t="s">
        <v>1319</v>
      </c>
      <c r="M903" s="137" t="s">
        <v>804</v>
      </c>
      <c r="N903" s="137"/>
      <c r="O903" s="138" t="s">
        <v>2365</v>
      </c>
      <c r="P903" s="138" t="s">
        <v>2366</v>
      </c>
      <c r="Q903" s="15" t="s">
        <v>282</v>
      </c>
      <c r="R903" s="132">
        <v>39931</v>
      </c>
      <c r="S903" s="16" t="s">
        <v>44</v>
      </c>
      <c r="T903" s="133">
        <v>40421</v>
      </c>
      <c r="U903" s="623"/>
      <c r="V903" s="623"/>
      <c r="W903" s="734">
        <v>50</v>
      </c>
      <c r="X903" s="7">
        <v>25</v>
      </c>
      <c r="Y903" s="7">
        <f t="shared" si="31"/>
        <v>0</v>
      </c>
      <c r="Z903" s="7">
        <f t="shared" si="30"/>
        <v>25</v>
      </c>
      <c r="AA903" s="469"/>
      <c r="AB903" s="564" t="s">
        <v>1073</v>
      </c>
      <c r="AC903" s="693"/>
      <c r="AD903" s="187">
        <v>0.5</v>
      </c>
      <c r="AE903" s="187"/>
      <c r="AF903" s="9">
        <f t="shared" si="32"/>
        <v>0.5</v>
      </c>
      <c r="AG903" s="138">
        <v>7.5</v>
      </c>
      <c r="AH903" s="138"/>
      <c r="AI903" s="138"/>
      <c r="AJ903" s="138" t="s">
        <v>1188</v>
      </c>
      <c r="AK903" s="138" t="s">
        <v>1185</v>
      </c>
      <c r="AL903" s="138" t="s">
        <v>1178</v>
      </c>
    </row>
    <row r="904" spans="1:38" ht="15" customHeight="1" x14ac:dyDescent="0.3">
      <c r="A904" s="30" t="s">
        <v>22</v>
      </c>
      <c r="B904" s="93" t="s">
        <v>643</v>
      </c>
      <c r="C904" s="107" t="s">
        <v>2192</v>
      </c>
      <c r="D904" s="11" t="s">
        <v>143</v>
      </c>
      <c r="E904" s="114">
        <v>38801</v>
      </c>
      <c r="F904" s="12">
        <v>2006</v>
      </c>
      <c r="G904" s="142" t="s">
        <v>2368</v>
      </c>
      <c r="H904" s="162"/>
      <c r="I904" s="33" t="s">
        <v>33</v>
      </c>
      <c r="J904" s="32" t="s">
        <v>26</v>
      </c>
      <c r="K904" s="197" t="s">
        <v>103</v>
      </c>
      <c r="L904" s="137" t="s">
        <v>2170</v>
      </c>
      <c r="M904" s="137" t="s">
        <v>804</v>
      </c>
      <c r="N904" s="137"/>
      <c r="O904" s="197" t="s">
        <v>2369</v>
      </c>
      <c r="P904" s="718" t="s">
        <v>2370</v>
      </c>
      <c r="Q904" s="15" t="s">
        <v>35</v>
      </c>
      <c r="R904" s="132">
        <v>39506</v>
      </c>
      <c r="S904" s="16" t="s">
        <v>44</v>
      </c>
      <c r="T904" s="133">
        <v>39741</v>
      </c>
      <c r="U904" s="623" t="s">
        <v>1336</v>
      </c>
      <c r="V904" s="180">
        <v>40428</v>
      </c>
      <c r="W904" s="735">
        <v>56</v>
      </c>
      <c r="X904" s="7">
        <v>42</v>
      </c>
      <c r="Y904" s="7">
        <f t="shared" si="31"/>
        <v>0</v>
      </c>
      <c r="Z904" s="7">
        <f t="shared" si="30"/>
        <v>42</v>
      </c>
      <c r="AA904" s="469"/>
      <c r="AB904" s="564" t="s">
        <v>578</v>
      </c>
      <c r="AC904" s="693"/>
      <c r="AD904" s="187">
        <v>0.75</v>
      </c>
      <c r="AE904" s="187"/>
      <c r="AF904" s="9">
        <f t="shared" si="32"/>
        <v>0.75</v>
      </c>
      <c r="AG904" s="138"/>
      <c r="AH904" s="138"/>
      <c r="AI904" s="138"/>
      <c r="AJ904" s="138" t="s">
        <v>1188</v>
      </c>
      <c r="AK904" s="30" t="s">
        <v>99</v>
      </c>
      <c r="AL904" s="93" t="s">
        <v>1178</v>
      </c>
    </row>
    <row r="905" spans="1:38" ht="15" customHeight="1" x14ac:dyDescent="0.3">
      <c r="A905" s="200" t="s">
        <v>22</v>
      </c>
      <c r="B905" s="200" t="s">
        <v>2367</v>
      </c>
      <c r="C905" s="200">
        <v>1</v>
      </c>
      <c r="D905" s="11" t="s">
        <v>225</v>
      </c>
      <c r="E905" s="168">
        <v>39248</v>
      </c>
      <c r="F905" s="136">
        <v>2007</v>
      </c>
      <c r="G905" s="178" t="s">
        <v>2372</v>
      </c>
      <c r="H905" s="204"/>
      <c r="I905" s="200" t="s">
        <v>80</v>
      </c>
      <c r="J905" s="32" t="s">
        <v>26</v>
      </c>
      <c r="K905" s="200" t="s">
        <v>111</v>
      </c>
      <c r="L905" s="197" t="s">
        <v>1319</v>
      </c>
      <c r="M905" s="137" t="s">
        <v>804</v>
      </c>
      <c r="N905" s="197"/>
      <c r="O905" s="138" t="s">
        <v>2373</v>
      </c>
      <c r="P905" s="197" t="s">
        <v>2374</v>
      </c>
      <c r="Q905" s="15" t="s">
        <v>282</v>
      </c>
      <c r="R905" s="164">
        <v>39858</v>
      </c>
      <c r="S905" s="16" t="s">
        <v>44</v>
      </c>
      <c r="T905" s="165">
        <v>40339</v>
      </c>
      <c r="U905" s="624"/>
      <c r="V905" s="623"/>
      <c r="W905" s="734">
        <v>16</v>
      </c>
      <c r="X905" s="7">
        <v>8</v>
      </c>
      <c r="Y905" s="7">
        <f t="shared" si="31"/>
        <v>0</v>
      </c>
      <c r="Z905" s="7">
        <f t="shared" si="30"/>
        <v>8</v>
      </c>
      <c r="AA905" s="469"/>
      <c r="AB905" s="504" t="s">
        <v>6115</v>
      </c>
      <c r="AC905" s="138"/>
      <c r="AD905" s="187">
        <v>0.5</v>
      </c>
      <c r="AE905" s="195"/>
      <c r="AF905" s="9">
        <f t="shared" si="32"/>
        <v>0.5</v>
      </c>
      <c r="AG905" s="138">
        <v>6</v>
      </c>
      <c r="AH905" s="138" t="s">
        <v>2371</v>
      </c>
      <c r="AI905" s="197"/>
      <c r="AJ905" s="197" t="s">
        <v>1188</v>
      </c>
      <c r="AK905" s="197" t="s">
        <v>1185</v>
      </c>
      <c r="AL905" s="138" t="s">
        <v>1178</v>
      </c>
    </row>
    <row r="906" spans="1:38" ht="15" customHeight="1" x14ac:dyDescent="0.3">
      <c r="A906" s="30" t="s">
        <v>22</v>
      </c>
      <c r="B906" s="153" t="s">
        <v>23</v>
      </c>
      <c r="C906" s="109">
        <v>20</v>
      </c>
      <c r="D906" s="11" t="s">
        <v>24</v>
      </c>
      <c r="E906" s="114">
        <v>40091</v>
      </c>
      <c r="F906" s="33">
        <v>2009</v>
      </c>
      <c r="G906" s="142" t="s">
        <v>2375</v>
      </c>
      <c r="H906" s="162" t="s">
        <v>2376</v>
      </c>
      <c r="I906" s="12" t="s">
        <v>80</v>
      </c>
      <c r="J906" s="32" t="s">
        <v>26</v>
      </c>
      <c r="K906" s="197" t="s">
        <v>111</v>
      </c>
      <c r="L906" s="137" t="s">
        <v>40</v>
      </c>
      <c r="M906" s="137" t="s">
        <v>804</v>
      </c>
      <c r="N906" s="238"/>
      <c r="O906" s="146" t="s">
        <v>2377</v>
      </c>
      <c r="P906" s="138" t="s">
        <v>2378</v>
      </c>
      <c r="Q906" s="15" t="s">
        <v>35</v>
      </c>
      <c r="R906" s="132">
        <v>40451</v>
      </c>
      <c r="S906" s="92"/>
      <c r="T906" s="139"/>
      <c r="U906" s="624"/>
      <c r="V906" s="624"/>
      <c r="W906" s="735">
        <v>5</v>
      </c>
      <c r="X906" s="7">
        <v>5</v>
      </c>
      <c r="Y906" s="7">
        <f t="shared" si="31"/>
        <v>0</v>
      </c>
      <c r="Z906" s="7">
        <f t="shared" si="30"/>
        <v>5</v>
      </c>
      <c r="AA906" s="469"/>
      <c r="AB906" s="513" t="s">
        <v>36</v>
      </c>
      <c r="AC906" s="147"/>
      <c r="AD906" s="187">
        <v>1</v>
      </c>
      <c r="AE906" s="187"/>
      <c r="AF906" s="9">
        <f t="shared" si="32"/>
        <v>1</v>
      </c>
      <c r="AG906" s="163">
        <v>7</v>
      </c>
      <c r="AH906" s="93" t="s">
        <v>58</v>
      </c>
      <c r="AI906" s="719" t="s">
        <v>2379</v>
      </c>
      <c r="AJ906" s="93" t="s">
        <v>1188</v>
      </c>
      <c r="AK906" s="197" t="s">
        <v>3457</v>
      </c>
      <c r="AL906" s="93" t="s">
        <v>1178</v>
      </c>
    </row>
    <row r="907" spans="1:38" ht="15" customHeight="1" x14ac:dyDescent="0.3">
      <c r="A907" s="30" t="s">
        <v>22</v>
      </c>
      <c r="B907" s="153" t="s">
        <v>23</v>
      </c>
      <c r="C907" s="109">
        <v>4</v>
      </c>
      <c r="D907" s="11" t="s">
        <v>24</v>
      </c>
      <c r="E907" s="114">
        <v>40190</v>
      </c>
      <c r="F907" s="33">
        <v>2010</v>
      </c>
      <c r="G907" s="142" t="s">
        <v>2380</v>
      </c>
      <c r="H907" s="162" t="s">
        <v>2381</v>
      </c>
      <c r="I907" s="33" t="s">
        <v>33</v>
      </c>
      <c r="J907" s="32" t="s">
        <v>26</v>
      </c>
      <c r="K907" s="197" t="s">
        <v>111</v>
      </c>
      <c r="L907" s="137" t="s">
        <v>1319</v>
      </c>
      <c r="M907" s="137" t="s">
        <v>804</v>
      </c>
      <c r="N907" s="238"/>
      <c r="O907" s="146" t="s">
        <v>2382</v>
      </c>
      <c r="P907" s="138" t="s">
        <v>6017</v>
      </c>
      <c r="Q907" s="91"/>
      <c r="R907" s="132"/>
      <c r="S907" s="92"/>
      <c r="T907" s="139"/>
      <c r="U907" s="624"/>
      <c r="V907" s="624"/>
      <c r="W907" s="735">
        <v>133</v>
      </c>
      <c r="X907" s="7">
        <v>53.2</v>
      </c>
      <c r="Y907" s="7">
        <f t="shared" si="31"/>
        <v>0</v>
      </c>
      <c r="Z907" s="7">
        <f t="shared" si="30"/>
        <v>53.2</v>
      </c>
      <c r="AA907" s="469"/>
      <c r="AB907" s="479" t="s">
        <v>49</v>
      </c>
      <c r="AC907" s="480"/>
      <c r="AD907" s="187">
        <v>0.4</v>
      </c>
      <c r="AE907" s="187"/>
      <c r="AF907" s="9">
        <f t="shared" si="32"/>
        <v>0.4</v>
      </c>
      <c r="AG907" s="163">
        <v>6</v>
      </c>
      <c r="AH907" s="93" t="s">
        <v>2065</v>
      </c>
      <c r="AI907" s="719" t="s">
        <v>2383</v>
      </c>
      <c r="AJ907" s="93" t="s">
        <v>1188</v>
      </c>
      <c r="AK907" s="30" t="s">
        <v>1177</v>
      </c>
      <c r="AL907" s="93" t="s">
        <v>1178</v>
      </c>
    </row>
    <row r="908" spans="1:38" ht="15" customHeight="1" x14ac:dyDescent="0.3">
      <c r="A908" s="181" t="s">
        <v>22</v>
      </c>
      <c r="B908" s="167" t="s">
        <v>195</v>
      </c>
      <c r="C908" s="135" t="s">
        <v>240</v>
      </c>
      <c r="D908" s="136" t="s">
        <v>190</v>
      </c>
      <c r="E908" s="168">
        <v>39448</v>
      </c>
      <c r="F908" s="136">
        <v>2008</v>
      </c>
      <c r="G908" s="178" t="s">
        <v>2384</v>
      </c>
      <c r="H908" s="204"/>
      <c r="I908" s="136" t="s">
        <v>80</v>
      </c>
      <c r="J908" s="32" t="s">
        <v>26</v>
      </c>
      <c r="K908" s="138" t="s">
        <v>1930</v>
      </c>
      <c r="L908" s="138" t="s">
        <v>1319</v>
      </c>
      <c r="M908" s="137" t="s">
        <v>804</v>
      </c>
      <c r="N908" s="137"/>
      <c r="O908" s="138" t="s">
        <v>2385</v>
      </c>
      <c r="P908" s="138" t="s">
        <v>2386</v>
      </c>
      <c r="Q908" s="15" t="s">
        <v>282</v>
      </c>
      <c r="R908" s="132">
        <v>40158</v>
      </c>
      <c r="S908" s="16" t="s">
        <v>35</v>
      </c>
      <c r="T908" s="133">
        <v>40444</v>
      </c>
      <c r="U908" s="623"/>
      <c r="V908" s="623"/>
      <c r="W908" s="734">
        <v>40</v>
      </c>
      <c r="X908" s="7">
        <v>40</v>
      </c>
      <c r="Y908" s="7">
        <f t="shared" si="31"/>
        <v>0</v>
      </c>
      <c r="Z908" s="7">
        <f t="shared" si="30"/>
        <v>40</v>
      </c>
      <c r="AA908" s="469"/>
      <c r="AB908" s="604" t="s">
        <v>6081</v>
      </c>
      <c r="AC908" s="163"/>
      <c r="AD908" s="187">
        <v>1</v>
      </c>
      <c r="AE908" s="187"/>
      <c r="AF908" s="9">
        <f t="shared" si="32"/>
        <v>1</v>
      </c>
      <c r="AG908" s="138">
        <v>7.5</v>
      </c>
      <c r="AH908" s="138"/>
      <c r="AI908" s="718" t="s">
        <v>2387</v>
      </c>
      <c r="AJ908" s="138" t="s">
        <v>1188</v>
      </c>
      <c r="AK908" s="138" t="s">
        <v>1185</v>
      </c>
      <c r="AL908" s="138" t="s">
        <v>1178</v>
      </c>
    </row>
    <row r="909" spans="1:38" ht="15" customHeight="1" x14ac:dyDescent="0.3">
      <c r="A909" s="30" t="s">
        <v>22</v>
      </c>
      <c r="B909" s="112" t="s">
        <v>105</v>
      </c>
      <c r="C909" s="109">
        <v>6</v>
      </c>
      <c r="D909" s="11" t="s">
        <v>5936</v>
      </c>
      <c r="E909" s="114">
        <v>38899</v>
      </c>
      <c r="F909" s="33">
        <v>2006</v>
      </c>
      <c r="G909" s="142" t="s">
        <v>2388</v>
      </c>
      <c r="H909" s="162" t="s">
        <v>2389</v>
      </c>
      <c r="I909" s="12" t="s">
        <v>25</v>
      </c>
      <c r="J909" s="32" t="s">
        <v>26</v>
      </c>
      <c r="K909" s="138" t="s">
        <v>111</v>
      </c>
      <c r="L909" s="138" t="s">
        <v>1319</v>
      </c>
      <c r="M909" s="137" t="s">
        <v>804</v>
      </c>
      <c r="N909" s="137"/>
      <c r="O909" s="138" t="s">
        <v>2390</v>
      </c>
      <c r="P909" s="200" t="s">
        <v>2391</v>
      </c>
      <c r="Q909" s="15" t="s">
        <v>282</v>
      </c>
      <c r="R909" s="132">
        <v>40024</v>
      </c>
      <c r="S909" s="16" t="s">
        <v>44</v>
      </c>
      <c r="T909" s="133">
        <v>40392</v>
      </c>
      <c r="U909" s="623"/>
      <c r="V909" s="624"/>
      <c r="W909" s="735">
        <v>130</v>
      </c>
      <c r="X909" s="7">
        <v>65</v>
      </c>
      <c r="Y909" s="7">
        <f t="shared" si="31"/>
        <v>0</v>
      </c>
      <c r="Z909" s="7">
        <f t="shared" si="30"/>
        <v>65</v>
      </c>
      <c r="AA909" s="469"/>
      <c r="AB909" s="564" t="s">
        <v>1073</v>
      </c>
      <c r="AC909" s="693"/>
      <c r="AD909" s="187">
        <v>0.5</v>
      </c>
      <c r="AE909" s="187"/>
      <c r="AF909" s="9">
        <f t="shared" si="32"/>
        <v>0.5</v>
      </c>
      <c r="AG909" s="163">
        <v>7</v>
      </c>
      <c r="AH909" s="138"/>
      <c r="AI909" s="200"/>
      <c r="AJ909" s="138" t="s">
        <v>1188</v>
      </c>
      <c r="AK909" s="181" t="s">
        <v>1185</v>
      </c>
      <c r="AL909" s="138" t="s">
        <v>1178</v>
      </c>
    </row>
    <row r="910" spans="1:38" ht="15" customHeight="1" x14ac:dyDescent="0.3">
      <c r="A910" s="30" t="s">
        <v>22</v>
      </c>
      <c r="B910" s="112" t="s">
        <v>105</v>
      </c>
      <c r="C910" s="109">
        <v>10</v>
      </c>
      <c r="D910" s="11" t="s">
        <v>5936</v>
      </c>
      <c r="E910" s="114">
        <v>38749</v>
      </c>
      <c r="F910" s="33">
        <v>2006</v>
      </c>
      <c r="G910" s="142" t="s">
        <v>2393</v>
      </c>
      <c r="H910" s="162" t="s">
        <v>2394</v>
      </c>
      <c r="I910" s="33" t="s">
        <v>33</v>
      </c>
      <c r="J910" s="32" t="s">
        <v>26</v>
      </c>
      <c r="K910" s="197" t="s">
        <v>1668</v>
      </c>
      <c r="L910" s="138" t="s">
        <v>1319</v>
      </c>
      <c r="M910" s="137" t="s">
        <v>804</v>
      </c>
      <c r="N910" s="137"/>
      <c r="O910" s="93" t="s">
        <v>2395</v>
      </c>
      <c r="P910" s="138" t="s">
        <v>2396</v>
      </c>
      <c r="Q910" s="15" t="s">
        <v>282</v>
      </c>
      <c r="R910" s="132">
        <v>39871</v>
      </c>
      <c r="S910" s="16" t="s">
        <v>44</v>
      </c>
      <c r="T910" s="133">
        <v>40420</v>
      </c>
      <c r="U910" s="623"/>
      <c r="V910" s="624"/>
      <c r="W910" s="735">
        <v>55</v>
      </c>
      <c r="X910" s="7">
        <v>27.5</v>
      </c>
      <c r="Y910" s="7">
        <f t="shared" si="31"/>
        <v>0</v>
      </c>
      <c r="Z910" s="7">
        <f t="shared" si="30"/>
        <v>27.5</v>
      </c>
      <c r="AA910" s="469"/>
      <c r="AB910" s="513" t="s">
        <v>1231</v>
      </c>
      <c r="AC910" s="147"/>
      <c r="AD910" s="187">
        <v>0.5</v>
      </c>
      <c r="AE910" s="187"/>
      <c r="AF910" s="9">
        <f t="shared" si="32"/>
        <v>0.5</v>
      </c>
      <c r="AG910" s="88">
        <v>6.5</v>
      </c>
      <c r="AH910" s="93" t="s">
        <v>2392</v>
      </c>
      <c r="AI910" s="146"/>
      <c r="AJ910" s="93" t="s">
        <v>1188</v>
      </c>
      <c r="AK910" s="30" t="s">
        <v>1185</v>
      </c>
      <c r="AL910" s="93" t="s">
        <v>1178</v>
      </c>
    </row>
    <row r="911" spans="1:38" ht="15" customHeight="1" x14ac:dyDescent="0.3">
      <c r="A911" s="30" t="s">
        <v>22</v>
      </c>
      <c r="B911" s="140" t="s">
        <v>227</v>
      </c>
      <c r="C911" s="107">
        <v>3</v>
      </c>
      <c r="D911" s="11" t="s">
        <v>225</v>
      </c>
      <c r="E911" s="114">
        <v>39159</v>
      </c>
      <c r="F911" s="12">
        <v>2007</v>
      </c>
      <c r="G911" s="142" t="s">
        <v>2398</v>
      </c>
      <c r="H911" s="162" t="s">
        <v>2399</v>
      </c>
      <c r="I911" s="12" t="s">
        <v>80</v>
      </c>
      <c r="J911" s="32" t="s">
        <v>26</v>
      </c>
      <c r="K911" s="138" t="s">
        <v>111</v>
      </c>
      <c r="L911" s="138" t="s">
        <v>1319</v>
      </c>
      <c r="M911" s="137" t="s">
        <v>804</v>
      </c>
      <c r="N911" s="137"/>
      <c r="O911" s="138" t="s">
        <v>2400</v>
      </c>
      <c r="P911" s="138" t="s">
        <v>2401</v>
      </c>
      <c r="Q911" s="15" t="s">
        <v>282</v>
      </c>
      <c r="R911" s="132">
        <v>40086</v>
      </c>
      <c r="S911" s="16" t="s">
        <v>44</v>
      </c>
      <c r="T911" s="133">
        <v>40479</v>
      </c>
      <c r="U911" s="623"/>
      <c r="V911" s="623"/>
      <c r="W911" s="734">
        <v>25</v>
      </c>
      <c r="X911" s="7">
        <v>12.5</v>
      </c>
      <c r="Y911" s="7">
        <f t="shared" si="31"/>
        <v>0</v>
      </c>
      <c r="Z911" s="7">
        <f t="shared" si="30"/>
        <v>12.5</v>
      </c>
      <c r="AA911" s="469"/>
      <c r="AB911" s="500" t="s">
        <v>5953</v>
      </c>
      <c r="AC911" s="501"/>
      <c r="AD911" s="187">
        <v>0.5</v>
      </c>
      <c r="AE911" s="187"/>
      <c r="AF911" s="9">
        <f t="shared" si="32"/>
        <v>0.5</v>
      </c>
      <c r="AG911" s="138">
        <v>4</v>
      </c>
      <c r="AH911" s="138" t="s">
        <v>2397</v>
      </c>
      <c r="AI911" s="138"/>
      <c r="AJ911" s="138" t="s">
        <v>1188</v>
      </c>
      <c r="AK911" s="138" t="s">
        <v>1185</v>
      </c>
      <c r="AL911" s="93" t="s">
        <v>1178</v>
      </c>
    </row>
    <row r="912" spans="1:38" ht="15" customHeight="1" x14ac:dyDescent="0.3">
      <c r="A912" s="30" t="s">
        <v>22</v>
      </c>
      <c r="B912" s="153" t="s">
        <v>23</v>
      </c>
      <c r="C912" s="107">
        <v>8</v>
      </c>
      <c r="D912" s="11" t="s">
        <v>24</v>
      </c>
      <c r="E912" s="114">
        <v>38394</v>
      </c>
      <c r="F912" s="12">
        <v>2005</v>
      </c>
      <c r="G912" s="142" t="s">
        <v>2403</v>
      </c>
      <c r="H912" s="162" t="s">
        <v>2404</v>
      </c>
      <c r="I912" s="12" t="s">
        <v>80</v>
      </c>
      <c r="J912" s="32" t="s">
        <v>26</v>
      </c>
      <c r="K912" s="197" t="s">
        <v>111</v>
      </c>
      <c r="L912" s="137" t="s">
        <v>1564</v>
      </c>
      <c r="M912" s="137" t="s">
        <v>804</v>
      </c>
      <c r="N912" s="137"/>
      <c r="O912" s="93" t="s">
        <v>2405</v>
      </c>
      <c r="P912" s="138" t="s">
        <v>2406</v>
      </c>
      <c r="Q912" s="15" t="s">
        <v>282</v>
      </c>
      <c r="R912" s="132">
        <v>39794</v>
      </c>
      <c r="S912" s="16" t="s">
        <v>44</v>
      </c>
      <c r="T912" s="133">
        <v>40359</v>
      </c>
      <c r="U912" s="623"/>
      <c r="V912" s="624"/>
      <c r="W912" s="735">
        <v>25</v>
      </c>
      <c r="X912" s="7">
        <v>12.5</v>
      </c>
      <c r="Y912" s="7">
        <f t="shared" si="31"/>
        <v>0</v>
      </c>
      <c r="Z912" s="7">
        <f t="shared" si="30"/>
        <v>12.5</v>
      </c>
      <c r="AA912" s="469"/>
      <c r="AB912" s="513" t="s">
        <v>36</v>
      </c>
      <c r="AC912" s="147"/>
      <c r="AD912" s="187">
        <v>0.5</v>
      </c>
      <c r="AE912" s="187"/>
      <c r="AF912" s="9">
        <f t="shared" si="32"/>
        <v>0.5</v>
      </c>
      <c r="AG912" s="163">
        <v>7</v>
      </c>
      <c r="AH912" s="93" t="s">
        <v>2402</v>
      </c>
      <c r="AI912" s="93"/>
      <c r="AJ912" s="93" t="s">
        <v>1188</v>
      </c>
      <c r="AK912" s="30" t="s">
        <v>1185</v>
      </c>
      <c r="AL912" s="93" t="s">
        <v>1178</v>
      </c>
    </row>
    <row r="913" spans="1:38" ht="15" customHeight="1" x14ac:dyDescent="0.3">
      <c r="A913" s="30" t="s">
        <v>140</v>
      </c>
      <c r="B913" s="120" t="s">
        <v>227</v>
      </c>
      <c r="C913" s="107">
        <v>9</v>
      </c>
      <c r="D913" s="11" t="s">
        <v>225</v>
      </c>
      <c r="E913" s="114">
        <v>38932</v>
      </c>
      <c r="F913" s="12">
        <v>2006</v>
      </c>
      <c r="G913" s="142" t="s">
        <v>2407</v>
      </c>
      <c r="H913" s="162" t="s">
        <v>2408</v>
      </c>
      <c r="I913" s="33" t="s">
        <v>33</v>
      </c>
      <c r="J913" s="30" t="s">
        <v>81</v>
      </c>
      <c r="K913" s="197" t="s">
        <v>141</v>
      </c>
      <c r="L913" s="137" t="s">
        <v>1049</v>
      </c>
      <c r="M913" s="137" t="s">
        <v>804</v>
      </c>
      <c r="N913" s="137"/>
      <c r="O913" s="138" t="s">
        <v>2409</v>
      </c>
      <c r="P913" s="138" t="s">
        <v>2410</v>
      </c>
      <c r="Q913" s="15" t="s">
        <v>35</v>
      </c>
      <c r="R913" s="132">
        <v>40431</v>
      </c>
      <c r="S913" s="16" t="s">
        <v>44</v>
      </c>
      <c r="T913" s="133">
        <v>40505</v>
      </c>
      <c r="U913" s="623"/>
      <c r="V913" s="624"/>
      <c r="W913" s="735">
        <v>10</v>
      </c>
      <c r="X913" s="7">
        <v>7.5</v>
      </c>
      <c r="Y913" s="7">
        <f t="shared" si="31"/>
        <v>0</v>
      </c>
      <c r="Z913" s="7">
        <f t="shared" si="30"/>
        <v>7.5</v>
      </c>
      <c r="AA913" s="469"/>
      <c r="AB913" s="504" t="s">
        <v>6115</v>
      </c>
      <c r="AC913" s="138"/>
      <c r="AD913" s="187">
        <v>0.75</v>
      </c>
      <c r="AE913" s="187"/>
      <c r="AF913" s="9">
        <f t="shared" si="32"/>
        <v>0.75</v>
      </c>
      <c r="AG913" s="163"/>
      <c r="AH913" s="138"/>
      <c r="AI913" s="138" t="s">
        <v>2411</v>
      </c>
      <c r="AJ913" s="93" t="s">
        <v>1188</v>
      </c>
      <c r="AK913" s="181" t="s">
        <v>1185</v>
      </c>
      <c r="AL913" s="138" t="s">
        <v>1178</v>
      </c>
    </row>
    <row r="914" spans="1:38" ht="15" customHeight="1" x14ac:dyDescent="0.3">
      <c r="A914" s="181" t="s">
        <v>22</v>
      </c>
      <c r="B914" s="167" t="s">
        <v>105</v>
      </c>
      <c r="C914" s="135">
        <v>17</v>
      </c>
      <c r="D914" s="11" t="s">
        <v>5936</v>
      </c>
      <c r="E914" s="168">
        <v>39507</v>
      </c>
      <c r="F914" s="136">
        <v>2008</v>
      </c>
      <c r="G914" s="178" t="s">
        <v>2412</v>
      </c>
      <c r="H914" s="204" t="s">
        <v>2413</v>
      </c>
      <c r="I914" s="33" t="s">
        <v>33</v>
      </c>
      <c r="J914" s="32" t="s">
        <v>26</v>
      </c>
      <c r="K914" s="138" t="s">
        <v>1708</v>
      </c>
      <c r="L914" s="138" t="s">
        <v>40</v>
      </c>
      <c r="M914" s="137" t="s">
        <v>804</v>
      </c>
      <c r="N914" s="137"/>
      <c r="O914" s="138" t="s">
        <v>2414</v>
      </c>
      <c r="P914" s="138" t="s">
        <v>2415</v>
      </c>
      <c r="Q914" s="15" t="s">
        <v>282</v>
      </c>
      <c r="R914" s="132">
        <v>39780</v>
      </c>
      <c r="S914" s="16" t="s">
        <v>44</v>
      </c>
      <c r="T914" s="133">
        <v>40480</v>
      </c>
      <c r="U914" s="623"/>
      <c r="V914" s="623"/>
      <c r="W914" s="734">
        <v>30</v>
      </c>
      <c r="X914" s="7">
        <v>15</v>
      </c>
      <c r="Y914" s="7">
        <f t="shared" si="31"/>
        <v>0</v>
      </c>
      <c r="Z914" s="7">
        <f t="shared" si="30"/>
        <v>15</v>
      </c>
      <c r="AA914" s="469"/>
      <c r="AB914" s="564" t="s">
        <v>1073</v>
      </c>
      <c r="AC914" s="693"/>
      <c r="AD914" s="187">
        <v>0.5</v>
      </c>
      <c r="AE914" s="187"/>
      <c r="AF914" s="9">
        <f t="shared" si="32"/>
        <v>0.5</v>
      </c>
      <c r="AG914" s="138">
        <v>7.5</v>
      </c>
      <c r="AH914" s="138"/>
      <c r="AI914" s="138"/>
      <c r="AJ914" s="138" t="s">
        <v>1188</v>
      </c>
      <c r="AK914" s="138" t="s">
        <v>1185</v>
      </c>
      <c r="AL914" s="138" t="s">
        <v>1178</v>
      </c>
    </row>
    <row r="915" spans="1:38" ht="15" customHeight="1" x14ac:dyDescent="0.3">
      <c r="A915" s="30" t="s">
        <v>22</v>
      </c>
      <c r="B915" s="112" t="s">
        <v>105</v>
      </c>
      <c r="C915" s="107">
        <v>11</v>
      </c>
      <c r="D915" s="11" t="s">
        <v>5936</v>
      </c>
      <c r="E915" s="108">
        <v>37987</v>
      </c>
      <c r="F915" s="146">
        <v>2004</v>
      </c>
      <c r="G915" s="142" t="s">
        <v>2416</v>
      </c>
      <c r="H915" s="162" t="s">
        <v>2417</v>
      </c>
      <c r="I915" s="12" t="s">
        <v>25</v>
      </c>
      <c r="J915" s="32" t="s">
        <v>26</v>
      </c>
      <c r="K915" s="197" t="s">
        <v>111</v>
      </c>
      <c r="L915" s="137" t="s">
        <v>40</v>
      </c>
      <c r="M915" s="137" t="s">
        <v>804</v>
      </c>
      <c r="N915" s="137"/>
      <c r="O915" s="93" t="s">
        <v>2418</v>
      </c>
      <c r="P915" s="718" t="s">
        <v>2419</v>
      </c>
      <c r="Q915" s="15" t="s">
        <v>35</v>
      </c>
      <c r="R915" s="132">
        <v>39352</v>
      </c>
      <c r="S915" s="16" t="s">
        <v>35</v>
      </c>
      <c r="T915" s="133">
        <v>40451</v>
      </c>
      <c r="U915" s="623"/>
      <c r="V915" s="624"/>
      <c r="W915" s="735">
        <v>60</v>
      </c>
      <c r="X915" s="7">
        <v>60</v>
      </c>
      <c r="Y915" s="7">
        <f t="shared" si="31"/>
        <v>0</v>
      </c>
      <c r="Z915" s="7">
        <f t="shared" si="30"/>
        <v>60</v>
      </c>
      <c r="AA915" s="469"/>
      <c r="AB915" s="513" t="s">
        <v>1231</v>
      </c>
      <c r="AC915" s="147"/>
      <c r="AD915" s="187">
        <v>1</v>
      </c>
      <c r="AE915" s="187"/>
      <c r="AF915" s="9">
        <f t="shared" si="32"/>
        <v>1</v>
      </c>
      <c r="AG915" s="88">
        <v>6.5</v>
      </c>
      <c r="AH915" s="93"/>
      <c r="AI915" s="718" t="s">
        <v>2420</v>
      </c>
      <c r="AJ915" s="93" t="s">
        <v>1188</v>
      </c>
      <c r="AK915" s="30" t="s">
        <v>99</v>
      </c>
      <c r="AL915" s="93" t="s">
        <v>1178</v>
      </c>
    </row>
    <row r="916" spans="1:38" ht="15" customHeight="1" x14ac:dyDescent="0.3">
      <c r="A916" s="30" t="s">
        <v>22</v>
      </c>
      <c r="B916" s="140" t="s">
        <v>105</v>
      </c>
      <c r="C916" s="107">
        <v>9</v>
      </c>
      <c r="D916" s="11" t="s">
        <v>5936</v>
      </c>
      <c r="E916" s="114">
        <v>39083</v>
      </c>
      <c r="F916" s="12">
        <v>2007</v>
      </c>
      <c r="G916" s="142" t="s">
        <v>2421</v>
      </c>
      <c r="H916" s="162" t="s">
        <v>2422</v>
      </c>
      <c r="I916" s="12" t="s">
        <v>80</v>
      </c>
      <c r="J916" s="32" t="s">
        <v>26</v>
      </c>
      <c r="K916" s="138" t="s">
        <v>1930</v>
      </c>
      <c r="L916" s="138" t="s">
        <v>2069</v>
      </c>
      <c r="M916" s="137" t="s">
        <v>804</v>
      </c>
      <c r="N916" s="137"/>
      <c r="O916" s="138" t="s">
        <v>2423</v>
      </c>
      <c r="P916" s="138" t="s">
        <v>2424</v>
      </c>
      <c r="Q916" s="15" t="s">
        <v>35</v>
      </c>
      <c r="R916" s="132">
        <v>39752</v>
      </c>
      <c r="S916" s="16" t="s">
        <v>35</v>
      </c>
      <c r="T916" s="133">
        <v>40512</v>
      </c>
      <c r="U916" s="623"/>
      <c r="V916" s="623"/>
      <c r="W916" s="734">
        <v>20</v>
      </c>
      <c r="X916" s="7">
        <v>20</v>
      </c>
      <c r="Y916" s="7">
        <f t="shared" si="31"/>
        <v>0</v>
      </c>
      <c r="Z916" s="7">
        <f t="shared" si="30"/>
        <v>20</v>
      </c>
      <c r="AA916" s="469"/>
      <c r="AB916" s="564" t="s">
        <v>1073</v>
      </c>
      <c r="AC916" s="693"/>
      <c r="AD916" s="187">
        <v>1</v>
      </c>
      <c r="AE916" s="187"/>
      <c r="AF916" s="9">
        <f t="shared" si="32"/>
        <v>1</v>
      </c>
      <c r="AG916" s="138">
        <v>7.5</v>
      </c>
      <c r="AH916" s="138"/>
      <c r="AI916" s="718" t="s">
        <v>2426</v>
      </c>
      <c r="AJ916" s="138" t="s">
        <v>1188</v>
      </c>
      <c r="AK916" s="138" t="s">
        <v>1185</v>
      </c>
      <c r="AL916" s="93" t="s">
        <v>1178</v>
      </c>
    </row>
    <row r="917" spans="1:38" ht="15" customHeight="1" x14ac:dyDescent="0.3">
      <c r="A917" s="181" t="s">
        <v>22</v>
      </c>
      <c r="B917" s="167" t="s">
        <v>105</v>
      </c>
      <c r="C917" s="135">
        <v>22</v>
      </c>
      <c r="D917" s="11" t="s">
        <v>5936</v>
      </c>
      <c r="E917" s="168">
        <v>39783</v>
      </c>
      <c r="F917" s="136">
        <v>2008</v>
      </c>
      <c r="G917" s="178" t="s">
        <v>2427</v>
      </c>
      <c r="H917" s="204" t="s">
        <v>2428</v>
      </c>
      <c r="I917" s="136" t="s">
        <v>80</v>
      </c>
      <c r="J917" s="32" t="s">
        <v>26</v>
      </c>
      <c r="K917" s="138" t="s">
        <v>103</v>
      </c>
      <c r="L917" s="138" t="s">
        <v>2429</v>
      </c>
      <c r="M917" s="137" t="s">
        <v>804</v>
      </c>
      <c r="N917" s="138"/>
      <c r="O917" s="138" t="s">
        <v>2430</v>
      </c>
      <c r="P917" s="138" t="s">
        <v>2431</v>
      </c>
      <c r="Q917" s="15" t="s">
        <v>35</v>
      </c>
      <c r="R917" s="132">
        <v>40282</v>
      </c>
      <c r="S917" s="16" t="s">
        <v>35</v>
      </c>
      <c r="T917" s="133">
        <v>40472</v>
      </c>
      <c r="U917" s="623"/>
      <c r="V917" s="623"/>
      <c r="W917" s="734">
        <v>70</v>
      </c>
      <c r="X917" s="7">
        <v>70</v>
      </c>
      <c r="Y917" s="7">
        <f t="shared" si="31"/>
        <v>0</v>
      </c>
      <c r="Z917" s="7">
        <f t="shared" si="30"/>
        <v>70</v>
      </c>
      <c r="AA917" s="469"/>
      <c r="AB917" s="564" t="s">
        <v>1073</v>
      </c>
      <c r="AC917" s="693"/>
      <c r="AD917" s="187">
        <v>1</v>
      </c>
      <c r="AE917" s="187"/>
      <c r="AF917" s="9">
        <f t="shared" si="32"/>
        <v>1</v>
      </c>
      <c r="AG917" s="138">
        <v>7.5</v>
      </c>
      <c r="AH917" s="138" t="s">
        <v>2425</v>
      </c>
      <c r="AI917" s="718" t="s">
        <v>2432</v>
      </c>
      <c r="AJ917" s="138" t="s">
        <v>1188</v>
      </c>
      <c r="AK917" s="138" t="s">
        <v>1185</v>
      </c>
      <c r="AL917" s="138" t="s">
        <v>1178</v>
      </c>
    </row>
    <row r="918" spans="1:38" ht="15" customHeight="1" x14ac:dyDescent="0.3">
      <c r="A918" s="181" t="s">
        <v>22</v>
      </c>
      <c r="B918" s="167" t="s">
        <v>105</v>
      </c>
      <c r="C918" s="135">
        <v>15</v>
      </c>
      <c r="D918" s="11" t="s">
        <v>5936</v>
      </c>
      <c r="E918" s="168">
        <v>39882</v>
      </c>
      <c r="F918" s="136">
        <v>2009</v>
      </c>
      <c r="G918" s="178" t="s">
        <v>2433</v>
      </c>
      <c r="H918" s="204" t="s">
        <v>2434</v>
      </c>
      <c r="I918" s="30" t="s">
        <v>38</v>
      </c>
      <c r="J918" s="32" t="s">
        <v>26</v>
      </c>
      <c r="K918" s="138" t="s">
        <v>111</v>
      </c>
      <c r="L918" s="138" t="s">
        <v>1319</v>
      </c>
      <c r="M918" s="137" t="s">
        <v>804</v>
      </c>
      <c r="N918" s="138"/>
      <c r="O918" s="138" t="s">
        <v>2435</v>
      </c>
      <c r="P918" s="138" t="s">
        <v>2436</v>
      </c>
      <c r="Q918" s="15" t="s">
        <v>282</v>
      </c>
      <c r="R918" s="132">
        <v>40095</v>
      </c>
      <c r="S918" s="16" t="s">
        <v>44</v>
      </c>
      <c r="T918" s="133">
        <v>40298</v>
      </c>
      <c r="U918" s="623"/>
      <c r="V918" s="623"/>
      <c r="W918" s="743">
        <v>10</v>
      </c>
      <c r="X918" s="7">
        <v>5</v>
      </c>
      <c r="Y918" s="7">
        <f t="shared" si="31"/>
        <v>0</v>
      </c>
      <c r="Z918" s="201">
        <f t="shared" si="30"/>
        <v>5</v>
      </c>
      <c r="AA918" s="469"/>
      <c r="AB918" s="564" t="s">
        <v>1073</v>
      </c>
      <c r="AC918" s="693"/>
      <c r="AD918" s="187">
        <v>0.5</v>
      </c>
      <c r="AE918" s="196"/>
      <c r="AF918" s="9">
        <f t="shared" si="32"/>
        <v>0.5</v>
      </c>
      <c r="AG918" s="138">
        <v>7</v>
      </c>
      <c r="AH918" s="93" t="s">
        <v>1608</v>
      </c>
      <c r="AI918" s="138"/>
      <c r="AJ918" s="138" t="s">
        <v>1188</v>
      </c>
      <c r="AK918" s="138" t="s">
        <v>1185</v>
      </c>
      <c r="AL918" s="138" t="s">
        <v>1178</v>
      </c>
    </row>
    <row r="919" spans="1:38" ht="15" customHeight="1" x14ac:dyDescent="0.3">
      <c r="A919" s="181" t="s">
        <v>22</v>
      </c>
      <c r="B919" s="167" t="s">
        <v>105</v>
      </c>
      <c r="C919" s="135">
        <v>8</v>
      </c>
      <c r="D919" s="11" t="s">
        <v>5936</v>
      </c>
      <c r="E919" s="168">
        <v>39417</v>
      </c>
      <c r="F919" s="136">
        <v>2007</v>
      </c>
      <c r="G919" s="178" t="s">
        <v>2437</v>
      </c>
      <c r="H919" s="204" t="s">
        <v>2438</v>
      </c>
      <c r="I919" s="30" t="s">
        <v>38</v>
      </c>
      <c r="J919" s="32" t="s">
        <v>26</v>
      </c>
      <c r="K919" s="138" t="s">
        <v>111</v>
      </c>
      <c r="L919" s="138" t="s">
        <v>1319</v>
      </c>
      <c r="M919" s="137" t="s">
        <v>804</v>
      </c>
      <c r="N919" s="137"/>
      <c r="O919" s="138" t="s">
        <v>2439</v>
      </c>
      <c r="P919" s="138" t="s">
        <v>2440</v>
      </c>
      <c r="Q919" s="15" t="s">
        <v>35</v>
      </c>
      <c r="R919" s="132">
        <v>39773</v>
      </c>
      <c r="S919" s="16" t="s">
        <v>35</v>
      </c>
      <c r="T919" s="133">
        <v>40480</v>
      </c>
      <c r="U919" s="623"/>
      <c r="V919" s="623"/>
      <c r="W919" s="734">
        <v>40</v>
      </c>
      <c r="X919" s="7">
        <v>40</v>
      </c>
      <c r="Y919" s="7">
        <f t="shared" si="31"/>
        <v>0</v>
      </c>
      <c r="Z919" s="7">
        <f t="shared" si="30"/>
        <v>40</v>
      </c>
      <c r="AA919" s="469"/>
      <c r="AB919" s="564" t="s">
        <v>1073</v>
      </c>
      <c r="AC919" s="693"/>
      <c r="AD919" s="187">
        <v>1</v>
      </c>
      <c r="AE919" s="187"/>
      <c r="AF919" s="9">
        <f t="shared" si="32"/>
        <v>1</v>
      </c>
      <c r="AG919" s="138">
        <v>7.5</v>
      </c>
      <c r="AH919" s="138"/>
      <c r="AI919" s="718" t="s">
        <v>2441</v>
      </c>
      <c r="AJ919" s="138" t="s">
        <v>1188</v>
      </c>
      <c r="AK919" s="138" t="s">
        <v>1185</v>
      </c>
      <c r="AL919" s="138" t="s">
        <v>1178</v>
      </c>
    </row>
    <row r="920" spans="1:38" ht="15" customHeight="1" x14ac:dyDescent="0.3">
      <c r="A920" s="181" t="s">
        <v>22</v>
      </c>
      <c r="B920" s="135" t="s">
        <v>2275</v>
      </c>
      <c r="C920" s="136">
        <v>2</v>
      </c>
      <c r="D920" s="136" t="s">
        <v>190</v>
      </c>
      <c r="E920" s="168">
        <v>39938</v>
      </c>
      <c r="F920" s="136">
        <v>2009</v>
      </c>
      <c r="G920" s="178" t="s">
        <v>2281</v>
      </c>
      <c r="H920" s="204"/>
      <c r="I920" s="30" t="s">
        <v>38</v>
      </c>
      <c r="J920" s="32" t="s">
        <v>26</v>
      </c>
      <c r="K920" s="197" t="s">
        <v>111</v>
      </c>
      <c r="L920" s="138" t="s">
        <v>1319</v>
      </c>
      <c r="M920" s="137" t="s">
        <v>804</v>
      </c>
      <c r="N920" s="197"/>
      <c r="O920" s="197" t="s">
        <v>2442</v>
      </c>
      <c r="P920" s="197" t="s">
        <v>2443</v>
      </c>
      <c r="Q920" s="15" t="s">
        <v>282</v>
      </c>
      <c r="R920" s="164">
        <v>40217</v>
      </c>
      <c r="S920" s="16" t="s">
        <v>44</v>
      </c>
      <c r="T920" s="165">
        <v>40254</v>
      </c>
      <c r="U920" s="624"/>
      <c r="V920" s="624"/>
      <c r="W920" s="256">
        <v>5.8</v>
      </c>
      <c r="X920" s="7">
        <v>2.9</v>
      </c>
      <c r="Y920" s="7">
        <f t="shared" si="31"/>
        <v>0</v>
      </c>
      <c r="Z920" s="7">
        <f t="shared" si="30"/>
        <v>2.9</v>
      </c>
      <c r="AA920" s="469"/>
      <c r="AB920" s="701" t="s">
        <v>201</v>
      </c>
      <c r="AC920" s="694"/>
      <c r="AD920" s="187">
        <v>0.5</v>
      </c>
      <c r="AE920" s="195"/>
      <c r="AF920" s="9">
        <f t="shared" si="32"/>
        <v>0.5</v>
      </c>
      <c r="AG920" s="197">
        <v>7</v>
      </c>
      <c r="AH920" s="197" t="s">
        <v>2280</v>
      </c>
      <c r="AI920" s="197"/>
      <c r="AJ920" s="197" t="s">
        <v>1188</v>
      </c>
      <c r="AK920" s="197" t="s">
        <v>1185</v>
      </c>
      <c r="AL920" s="138" t="s">
        <v>1178</v>
      </c>
    </row>
    <row r="921" spans="1:38" ht="15" customHeight="1" x14ac:dyDescent="0.3">
      <c r="A921" s="30" t="s">
        <v>22</v>
      </c>
      <c r="B921" s="145" t="s">
        <v>144</v>
      </c>
      <c r="C921" s="135">
        <v>8</v>
      </c>
      <c r="D921" s="11" t="s">
        <v>143</v>
      </c>
      <c r="E921" s="108">
        <v>37742</v>
      </c>
      <c r="F921" s="12">
        <v>2003</v>
      </c>
      <c r="G921" s="142" t="s">
        <v>2444</v>
      </c>
      <c r="H921" s="162" t="s">
        <v>2445</v>
      </c>
      <c r="I921" s="12" t="s">
        <v>25</v>
      </c>
      <c r="J921" s="32" t="s">
        <v>26</v>
      </c>
      <c r="K921" s="197" t="s">
        <v>111</v>
      </c>
      <c r="L921" s="137" t="s">
        <v>40</v>
      </c>
      <c r="M921" s="137" t="s">
        <v>804</v>
      </c>
      <c r="N921" s="137"/>
      <c r="O921" s="138" t="s">
        <v>2446</v>
      </c>
      <c r="P921" s="138" t="s">
        <v>2447</v>
      </c>
      <c r="Q921" s="15" t="s">
        <v>282</v>
      </c>
      <c r="R921" s="132">
        <v>39801</v>
      </c>
      <c r="S921" s="16" t="s">
        <v>35</v>
      </c>
      <c r="T921" s="133">
        <v>40451</v>
      </c>
      <c r="U921" s="710"/>
      <c r="V921" s="711"/>
      <c r="W921" s="735">
        <v>25</v>
      </c>
      <c r="X921" s="7">
        <v>25</v>
      </c>
      <c r="Y921" s="7">
        <f t="shared" si="31"/>
        <v>0</v>
      </c>
      <c r="Z921" s="7">
        <f t="shared" si="30"/>
        <v>25</v>
      </c>
      <c r="AA921" s="469"/>
      <c r="AB921" s="503" t="s">
        <v>6055</v>
      </c>
      <c r="AC921" s="222"/>
      <c r="AD921" s="187">
        <v>1</v>
      </c>
      <c r="AE921" s="187"/>
      <c r="AF921" s="9">
        <f t="shared" si="32"/>
        <v>1</v>
      </c>
      <c r="AG921" s="88">
        <v>10</v>
      </c>
      <c r="AH921" s="138" t="s">
        <v>1380</v>
      </c>
      <c r="AI921" s="718" t="s">
        <v>2448</v>
      </c>
      <c r="AJ921" s="181" t="s">
        <v>1188</v>
      </c>
      <c r="AK921" s="181" t="s">
        <v>1185</v>
      </c>
      <c r="AL921" s="93" t="s">
        <v>1178</v>
      </c>
    </row>
    <row r="922" spans="1:38" ht="15" customHeight="1" x14ac:dyDescent="0.3">
      <c r="A922" s="30" t="s">
        <v>525</v>
      </c>
      <c r="B922" s="163" t="s">
        <v>148</v>
      </c>
      <c r="C922" s="107">
        <v>4</v>
      </c>
      <c r="D922" s="11" t="s">
        <v>143</v>
      </c>
      <c r="E922" s="108">
        <v>38596</v>
      </c>
      <c r="F922" s="12">
        <v>2005</v>
      </c>
      <c r="G922" s="142" t="s">
        <v>871</v>
      </c>
      <c r="H922" s="162" t="s">
        <v>2449</v>
      </c>
      <c r="I922" s="33" t="s">
        <v>33</v>
      </c>
      <c r="J922" s="30" t="s">
        <v>630</v>
      </c>
      <c r="K922" s="138" t="s">
        <v>1367</v>
      </c>
      <c r="L922" s="137" t="s">
        <v>40</v>
      </c>
      <c r="M922" s="137" t="s">
        <v>804</v>
      </c>
      <c r="N922" s="137"/>
      <c r="O922" s="93" t="s">
        <v>2450</v>
      </c>
      <c r="P922" s="138" t="s">
        <v>2451</v>
      </c>
      <c r="Q922" s="15" t="s">
        <v>35</v>
      </c>
      <c r="R922" s="132">
        <v>39118</v>
      </c>
      <c r="S922" s="16" t="s">
        <v>35</v>
      </c>
      <c r="T922" s="133">
        <v>39549</v>
      </c>
      <c r="U922" s="623"/>
      <c r="V922" s="624"/>
      <c r="W922" s="735">
        <v>100</v>
      </c>
      <c r="X922" s="7">
        <v>100</v>
      </c>
      <c r="Y922" s="7">
        <f t="shared" si="31"/>
        <v>0</v>
      </c>
      <c r="Z922" s="7">
        <f t="shared" si="30"/>
        <v>100</v>
      </c>
      <c r="AA922" s="469"/>
      <c r="AB922" s="518" t="s">
        <v>5972</v>
      </c>
      <c r="AC922" s="519"/>
      <c r="AD922" s="187">
        <v>1</v>
      </c>
      <c r="AE922" s="187"/>
      <c r="AF922" s="9">
        <f t="shared" si="32"/>
        <v>1</v>
      </c>
      <c r="AG922" s="163">
        <v>10</v>
      </c>
      <c r="AH922" s="93" t="s">
        <v>5974</v>
      </c>
      <c r="AI922" s="752" t="s">
        <v>2452</v>
      </c>
      <c r="AJ922" s="93" t="s">
        <v>1188</v>
      </c>
      <c r="AK922" s="30" t="s">
        <v>1185</v>
      </c>
      <c r="AL922" s="93" t="s">
        <v>1175</v>
      </c>
    </row>
    <row r="923" spans="1:38" ht="15" customHeight="1" x14ac:dyDescent="0.3">
      <c r="A923" s="181" t="s">
        <v>22</v>
      </c>
      <c r="B923" s="145" t="s">
        <v>227</v>
      </c>
      <c r="C923" s="134">
        <v>14</v>
      </c>
      <c r="D923" s="11" t="s">
        <v>225</v>
      </c>
      <c r="E923" s="203">
        <v>40140</v>
      </c>
      <c r="F923" s="202">
        <v>2009</v>
      </c>
      <c r="G923" s="753" t="s">
        <v>2453</v>
      </c>
      <c r="H923" s="754" t="s">
        <v>2454</v>
      </c>
      <c r="I923" s="202" t="s">
        <v>25</v>
      </c>
      <c r="J923" s="32" t="s">
        <v>26</v>
      </c>
      <c r="K923" s="200" t="s">
        <v>111</v>
      </c>
      <c r="L923" s="746" t="s">
        <v>2099</v>
      </c>
      <c r="M923" s="137" t="s">
        <v>804</v>
      </c>
      <c r="N923" s="746"/>
      <c r="O923" s="138" t="s">
        <v>2455</v>
      </c>
      <c r="P923" s="138" t="s">
        <v>2456</v>
      </c>
      <c r="Q923" s="15" t="s">
        <v>282</v>
      </c>
      <c r="R923" s="179">
        <v>40393</v>
      </c>
      <c r="S923" s="16" t="s">
        <v>35</v>
      </c>
      <c r="T923" s="191">
        <v>40437</v>
      </c>
      <c r="U923" s="707"/>
      <c r="V923" s="707"/>
      <c r="W923" s="755">
        <v>17</v>
      </c>
      <c r="X923" s="7">
        <v>17</v>
      </c>
      <c r="Y923" s="7">
        <f t="shared" si="31"/>
        <v>0</v>
      </c>
      <c r="Z923" s="7">
        <f t="shared" si="30"/>
        <v>17</v>
      </c>
      <c r="AA923" s="469"/>
      <c r="AB923" s="500" t="s">
        <v>5953</v>
      </c>
      <c r="AC923" s="501"/>
      <c r="AD923" s="187">
        <v>1</v>
      </c>
      <c r="AE923" s="195"/>
      <c r="AF923" s="9">
        <f t="shared" si="32"/>
        <v>1</v>
      </c>
      <c r="AG923" s="200">
        <v>6</v>
      </c>
      <c r="AH923" s="476" t="s">
        <v>5967</v>
      </c>
      <c r="AI923" s="719" t="s">
        <v>2458</v>
      </c>
      <c r="AJ923" s="200" t="s">
        <v>1188</v>
      </c>
      <c r="AK923" s="200" t="s">
        <v>1185</v>
      </c>
      <c r="AL923" s="200" t="s">
        <v>1178</v>
      </c>
    </row>
    <row r="924" spans="1:38" ht="15" customHeight="1" x14ac:dyDescent="0.3">
      <c r="A924" s="181" t="s">
        <v>22</v>
      </c>
      <c r="B924" s="167" t="s">
        <v>233</v>
      </c>
      <c r="C924" s="135">
        <v>3</v>
      </c>
      <c r="D924" s="11" t="s">
        <v>225</v>
      </c>
      <c r="E924" s="168">
        <v>39600</v>
      </c>
      <c r="F924" s="136">
        <v>2008</v>
      </c>
      <c r="G924" s="178" t="s">
        <v>2459</v>
      </c>
      <c r="H924" s="204"/>
      <c r="I924" s="30" t="s">
        <v>38</v>
      </c>
      <c r="J924" s="32" t="s">
        <v>26</v>
      </c>
      <c r="K924" s="138" t="s">
        <v>1930</v>
      </c>
      <c r="L924" s="138" t="s">
        <v>1319</v>
      </c>
      <c r="M924" s="137" t="s">
        <v>804</v>
      </c>
      <c r="N924" s="137"/>
      <c r="O924" s="138" t="s">
        <v>2460</v>
      </c>
      <c r="P924" s="138" t="s">
        <v>2461</v>
      </c>
      <c r="Q924" s="15" t="s">
        <v>282</v>
      </c>
      <c r="R924" s="132">
        <v>40273</v>
      </c>
      <c r="S924" s="16" t="s">
        <v>35</v>
      </c>
      <c r="T924" s="133">
        <v>40414</v>
      </c>
      <c r="U924" s="623"/>
      <c r="V924" s="623"/>
      <c r="W924" s="734">
        <v>30</v>
      </c>
      <c r="X924" s="7">
        <v>30</v>
      </c>
      <c r="Y924" s="7">
        <f t="shared" si="31"/>
        <v>0</v>
      </c>
      <c r="Z924" s="7">
        <f t="shared" si="30"/>
        <v>30</v>
      </c>
      <c r="AA924" s="469"/>
      <c r="AB924" s="564" t="s">
        <v>1073</v>
      </c>
      <c r="AC924" s="693"/>
      <c r="AD924" s="187">
        <v>1</v>
      </c>
      <c r="AE924" s="187"/>
      <c r="AF924" s="9">
        <f t="shared" si="32"/>
        <v>1</v>
      </c>
      <c r="AG924" s="138">
        <v>7.5</v>
      </c>
      <c r="AH924" s="138" t="s">
        <v>2457</v>
      </c>
      <c r="AI924" s="718" t="s">
        <v>2463</v>
      </c>
      <c r="AJ924" s="138" t="s">
        <v>1188</v>
      </c>
      <c r="AK924" s="138" t="s">
        <v>1185</v>
      </c>
      <c r="AL924" s="93" t="s">
        <v>1178</v>
      </c>
    </row>
    <row r="925" spans="1:38" ht="15" customHeight="1" x14ac:dyDescent="0.3">
      <c r="A925" s="30" t="s">
        <v>22</v>
      </c>
      <c r="B925" s="153" t="s">
        <v>23</v>
      </c>
      <c r="C925" s="109">
        <v>8</v>
      </c>
      <c r="D925" s="11" t="s">
        <v>24</v>
      </c>
      <c r="E925" s="114">
        <v>40127</v>
      </c>
      <c r="F925" s="33">
        <v>2009</v>
      </c>
      <c r="G925" s="142" t="s">
        <v>2464</v>
      </c>
      <c r="H925" s="162" t="s">
        <v>2465</v>
      </c>
      <c r="I925" s="57" t="s">
        <v>6176</v>
      </c>
      <c r="J925" s="37" t="s">
        <v>67</v>
      </c>
      <c r="K925" s="197" t="s">
        <v>2466</v>
      </c>
      <c r="L925" s="137" t="s">
        <v>1319</v>
      </c>
      <c r="M925" s="137" t="s">
        <v>804</v>
      </c>
      <c r="N925" s="238"/>
      <c r="O925" s="146" t="s">
        <v>2467</v>
      </c>
      <c r="P925" s="138" t="s">
        <v>6018</v>
      </c>
      <c r="Q925" s="91"/>
      <c r="R925" s="132"/>
      <c r="S925" s="92"/>
      <c r="T925" s="139"/>
      <c r="U925" s="624"/>
      <c r="V925" s="624"/>
      <c r="W925" s="735">
        <v>400</v>
      </c>
      <c r="X925" s="7">
        <v>80</v>
      </c>
      <c r="Y925" s="7">
        <f t="shared" si="31"/>
        <v>0</v>
      </c>
      <c r="Z925" s="7">
        <f t="shared" si="30"/>
        <v>80</v>
      </c>
      <c r="AA925" s="469"/>
      <c r="AB925" s="518" t="s">
        <v>933</v>
      </c>
      <c r="AC925" s="519"/>
      <c r="AD925" s="187">
        <v>0.2</v>
      </c>
      <c r="AE925" s="187"/>
      <c r="AF925" s="9">
        <f t="shared" si="32"/>
        <v>0.2</v>
      </c>
      <c r="AG925" s="163">
        <v>6</v>
      </c>
      <c r="AH925" s="93" t="s">
        <v>2462</v>
      </c>
      <c r="AI925" s="146"/>
      <c r="AJ925" s="93" t="s">
        <v>1188</v>
      </c>
      <c r="AK925" s="30" t="s">
        <v>1177</v>
      </c>
      <c r="AL925" s="93" t="s">
        <v>1178</v>
      </c>
    </row>
    <row r="926" spans="1:38" ht="15" customHeight="1" x14ac:dyDescent="0.3">
      <c r="A926" s="30" t="s">
        <v>22</v>
      </c>
      <c r="B926" s="153" t="s">
        <v>23</v>
      </c>
      <c r="C926" s="107">
        <v>14</v>
      </c>
      <c r="D926" s="11" t="s">
        <v>24</v>
      </c>
      <c r="E926" s="114">
        <v>39535</v>
      </c>
      <c r="F926" s="12">
        <v>2008</v>
      </c>
      <c r="G926" s="142" t="s">
        <v>2469</v>
      </c>
      <c r="H926" s="162" t="s">
        <v>2470</v>
      </c>
      <c r="I926" s="33" t="s">
        <v>33</v>
      </c>
      <c r="J926" s="32" t="s">
        <v>26</v>
      </c>
      <c r="K926" s="197" t="s">
        <v>1173</v>
      </c>
      <c r="L926" s="137" t="s">
        <v>1319</v>
      </c>
      <c r="M926" s="137" t="s">
        <v>804</v>
      </c>
      <c r="N926" s="137"/>
      <c r="O926" s="93" t="s">
        <v>2471</v>
      </c>
      <c r="P926" s="718" t="s">
        <v>2472</v>
      </c>
      <c r="Q926" s="15" t="s">
        <v>282</v>
      </c>
      <c r="R926" s="132">
        <v>40084</v>
      </c>
      <c r="S926" s="16" t="s">
        <v>44</v>
      </c>
      <c r="T926" s="165"/>
      <c r="U926" s="624" t="s">
        <v>2190</v>
      </c>
      <c r="V926" s="180">
        <v>40568</v>
      </c>
      <c r="W926" s="735">
        <v>95</v>
      </c>
      <c r="X926" s="7">
        <v>47.5</v>
      </c>
      <c r="Y926" s="7">
        <f t="shared" si="31"/>
        <v>0</v>
      </c>
      <c r="Z926" s="7">
        <f t="shared" si="30"/>
        <v>47.5</v>
      </c>
      <c r="AA926" s="469"/>
      <c r="AB926" s="479" t="s">
        <v>49</v>
      </c>
      <c r="AC926" s="480"/>
      <c r="AD926" s="187">
        <v>0.5</v>
      </c>
      <c r="AE926" s="187"/>
      <c r="AF926" s="9">
        <f t="shared" si="32"/>
        <v>0.5</v>
      </c>
      <c r="AG926" s="163">
        <v>6</v>
      </c>
      <c r="AH926" s="93" t="s">
        <v>2468</v>
      </c>
      <c r="AI926" s="93"/>
      <c r="AJ926" s="93" t="s">
        <v>1188</v>
      </c>
      <c r="AK926" s="30" t="s">
        <v>99</v>
      </c>
      <c r="AL926" s="93" t="s">
        <v>1178</v>
      </c>
    </row>
    <row r="927" spans="1:38" ht="15" customHeight="1" x14ac:dyDescent="0.3">
      <c r="A927" s="181" t="s">
        <v>22</v>
      </c>
      <c r="B927" s="167" t="s">
        <v>189</v>
      </c>
      <c r="C927" s="135">
        <v>6</v>
      </c>
      <c r="D927" s="136" t="s">
        <v>190</v>
      </c>
      <c r="E927" s="168">
        <v>39083</v>
      </c>
      <c r="F927" s="136">
        <v>2007</v>
      </c>
      <c r="G927" s="178" t="s">
        <v>2473</v>
      </c>
      <c r="H927" s="204" t="s">
        <v>2474</v>
      </c>
      <c r="I927" s="33" t="s">
        <v>33</v>
      </c>
      <c r="J927" s="32" t="s">
        <v>191</v>
      </c>
      <c r="K927" s="138" t="s">
        <v>1173</v>
      </c>
      <c r="L927" s="138" t="s">
        <v>40</v>
      </c>
      <c r="M927" s="137" t="s">
        <v>804</v>
      </c>
      <c r="N927" s="137"/>
      <c r="O927" s="138" t="s">
        <v>2475</v>
      </c>
      <c r="P927" s="647" t="s">
        <v>2476</v>
      </c>
      <c r="Q927" s="15" t="s">
        <v>35</v>
      </c>
      <c r="R927" s="132">
        <v>39470</v>
      </c>
      <c r="S927" s="16" t="s">
        <v>35</v>
      </c>
      <c r="T927" s="133">
        <v>39617</v>
      </c>
      <c r="U927" s="623" t="s">
        <v>1336</v>
      </c>
      <c r="V927" s="721">
        <v>40393</v>
      </c>
      <c r="W927" s="734">
        <v>55</v>
      </c>
      <c r="X927" s="7">
        <v>55</v>
      </c>
      <c r="Y927" s="7">
        <f t="shared" si="31"/>
        <v>0</v>
      </c>
      <c r="Z927" s="7">
        <f t="shared" si="30"/>
        <v>55</v>
      </c>
      <c r="AA927" s="469"/>
      <c r="AB927" s="564" t="s">
        <v>1073</v>
      </c>
      <c r="AC927" s="693"/>
      <c r="AD927" s="187">
        <v>1</v>
      </c>
      <c r="AE927" s="187"/>
      <c r="AF927" s="9">
        <f t="shared" si="32"/>
        <v>1</v>
      </c>
      <c r="AG927" s="138">
        <v>7.5</v>
      </c>
      <c r="AH927" s="138" t="s">
        <v>2258</v>
      </c>
      <c r="AI927" s="718" t="s">
        <v>2477</v>
      </c>
      <c r="AJ927" s="138" t="s">
        <v>1188</v>
      </c>
      <c r="AK927" s="30" t="s">
        <v>99</v>
      </c>
      <c r="AL927" s="138" t="s">
        <v>1178</v>
      </c>
    </row>
    <row r="928" spans="1:38" ht="15" customHeight="1" x14ac:dyDescent="0.3">
      <c r="A928" s="181" t="s">
        <v>22</v>
      </c>
      <c r="B928" s="167" t="s">
        <v>189</v>
      </c>
      <c r="C928" s="135">
        <v>6</v>
      </c>
      <c r="D928" s="136" t="s">
        <v>190</v>
      </c>
      <c r="E928" s="168">
        <v>39083</v>
      </c>
      <c r="F928" s="136">
        <v>2007</v>
      </c>
      <c r="G928" s="178" t="s">
        <v>2473</v>
      </c>
      <c r="H928" s="204" t="s">
        <v>2474</v>
      </c>
      <c r="I928" s="33" t="s">
        <v>33</v>
      </c>
      <c r="J928" s="32" t="s">
        <v>191</v>
      </c>
      <c r="K928" s="138" t="s">
        <v>1173</v>
      </c>
      <c r="L928" s="138" t="s">
        <v>40</v>
      </c>
      <c r="M928" s="137" t="s">
        <v>804</v>
      </c>
      <c r="N928" s="137"/>
      <c r="O928" s="138" t="s">
        <v>2478</v>
      </c>
      <c r="P928" s="647" t="s">
        <v>2479</v>
      </c>
      <c r="Q928" s="15" t="s">
        <v>35</v>
      </c>
      <c r="R928" s="132">
        <v>39470</v>
      </c>
      <c r="S928" s="16" t="s">
        <v>35</v>
      </c>
      <c r="T928" s="133">
        <v>39617</v>
      </c>
      <c r="U928" s="623" t="s">
        <v>1336</v>
      </c>
      <c r="V928" s="721">
        <v>40393</v>
      </c>
      <c r="W928" s="734">
        <v>70</v>
      </c>
      <c r="X928" s="7">
        <v>70</v>
      </c>
      <c r="Y928" s="7">
        <f t="shared" si="31"/>
        <v>0</v>
      </c>
      <c r="Z928" s="7">
        <f t="shared" si="30"/>
        <v>70</v>
      </c>
      <c r="AA928" s="469"/>
      <c r="AB928" s="564" t="s">
        <v>1073</v>
      </c>
      <c r="AC928" s="693"/>
      <c r="AD928" s="187">
        <v>1</v>
      </c>
      <c r="AE928" s="187"/>
      <c r="AF928" s="9">
        <f t="shared" si="32"/>
        <v>1</v>
      </c>
      <c r="AG928" s="138">
        <v>7.5</v>
      </c>
      <c r="AH928" s="138" t="s">
        <v>2258</v>
      </c>
      <c r="AI928" s="718" t="s">
        <v>2477</v>
      </c>
      <c r="AJ928" s="138" t="s">
        <v>1188</v>
      </c>
      <c r="AK928" s="30" t="s">
        <v>99</v>
      </c>
      <c r="AL928" s="138" t="s">
        <v>1178</v>
      </c>
    </row>
    <row r="929" spans="1:38" ht="15" customHeight="1" x14ac:dyDescent="0.3">
      <c r="A929" s="181" t="s">
        <v>22</v>
      </c>
      <c r="B929" s="167" t="s">
        <v>189</v>
      </c>
      <c r="C929" s="135">
        <v>6</v>
      </c>
      <c r="D929" s="136" t="s">
        <v>190</v>
      </c>
      <c r="E929" s="168">
        <v>39083</v>
      </c>
      <c r="F929" s="136">
        <v>2007</v>
      </c>
      <c r="G929" s="178" t="s">
        <v>2473</v>
      </c>
      <c r="H929" s="204" t="s">
        <v>2474</v>
      </c>
      <c r="I929" s="33" t="s">
        <v>33</v>
      </c>
      <c r="J929" s="32" t="s">
        <v>191</v>
      </c>
      <c r="K929" s="138" t="s">
        <v>1173</v>
      </c>
      <c r="L929" s="138" t="s">
        <v>40</v>
      </c>
      <c r="M929" s="137" t="s">
        <v>804</v>
      </c>
      <c r="N929" s="137"/>
      <c r="O929" s="138" t="s">
        <v>2478</v>
      </c>
      <c r="P929" s="647" t="s">
        <v>2479</v>
      </c>
      <c r="Q929" s="15" t="s">
        <v>35</v>
      </c>
      <c r="R929" s="132">
        <v>39470</v>
      </c>
      <c r="S929" s="16" t="s">
        <v>35</v>
      </c>
      <c r="T929" s="133">
        <v>39617</v>
      </c>
      <c r="U929" s="623" t="s">
        <v>1336</v>
      </c>
      <c r="V929" s="721">
        <v>40393</v>
      </c>
      <c r="W929" s="734">
        <v>70</v>
      </c>
      <c r="X929" s="7">
        <v>70</v>
      </c>
      <c r="Y929" s="7">
        <f t="shared" si="31"/>
        <v>0</v>
      </c>
      <c r="Z929" s="7">
        <f t="shared" si="30"/>
        <v>70</v>
      </c>
      <c r="AA929" s="469"/>
      <c r="AB929" s="564" t="s">
        <v>1073</v>
      </c>
      <c r="AC929" s="693"/>
      <c r="AD929" s="187">
        <v>1</v>
      </c>
      <c r="AE929" s="187"/>
      <c r="AF929" s="9">
        <f t="shared" si="32"/>
        <v>1</v>
      </c>
      <c r="AG929" s="138">
        <v>7.5</v>
      </c>
      <c r="AH929" s="138" t="s">
        <v>2258</v>
      </c>
      <c r="AI929" s="718" t="s">
        <v>2477</v>
      </c>
      <c r="AJ929" s="138" t="s">
        <v>1188</v>
      </c>
      <c r="AK929" s="30" t="s">
        <v>99</v>
      </c>
      <c r="AL929" s="138" t="s">
        <v>1178</v>
      </c>
    </row>
    <row r="930" spans="1:38" ht="15" customHeight="1" x14ac:dyDescent="0.3">
      <c r="A930" s="181" t="s">
        <v>22</v>
      </c>
      <c r="B930" s="167" t="s">
        <v>189</v>
      </c>
      <c r="C930" s="135">
        <v>6</v>
      </c>
      <c r="D930" s="136" t="s">
        <v>190</v>
      </c>
      <c r="E930" s="168">
        <v>39083</v>
      </c>
      <c r="F930" s="136">
        <v>2007</v>
      </c>
      <c r="G930" s="178" t="s">
        <v>2473</v>
      </c>
      <c r="H930" s="204" t="s">
        <v>2474</v>
      </c>
      <c r="I930" s="33" t="s">
        <v>33</v>
      </c>
      <c r="J930" s="32" t="s">
        <v>191</v>
      </c>
      <c r="K930" s="138" t="s">
        <v>1173</v>
      </c>
      <c r="L930" s="138" t="s">
        <v>40</v>
      </c>
      <c r="M930" s="137" t="s">
        <v>804</v>
      </c>
      <c r="N930" s="137"/>
      <c r="O930" s="138" t="s">
        <v>2475</v>
      </c>
      <c r="P930" s="647" t="s">
        <v>2480</v>
      </c>
      <c r="Q930" s="15" t="s">
        <v>35</v>
      </c>
      <c r="R930" s="132">
        <v>39470</v>
      </c>
      <c r="S930" s="16" t="s">
        <v>35</v>
      </c>
      <c r="T930" s="133">
        <v>39617</v>
      </c>
      <c r="U930" s="623" t="s">
        <v>1336</v>
      </c>
      <c r="V930" s="721">
        <v>40393</v>
      </c>
      <c r="W930" s="734">
        <v>40</v>
      </c>
      <c r="X930" s="7">
        <v>40</v>
      </c>
      <c r="Y930" s="7">
        <f t="shared" si="31"/>
        <v>0</v>
      </c>
      <c r="Z930" s="7">
        <f t="shared" si="30"/>
        <v>40</v>
      </c>
      <c r="AA930" s="469"/>
      <c r="AB930" s="564" t="s">
        <v>1073</v>
      </c>
      <c r="AC930" s="693"/>
      <c r="AD930" s="187">
        <v>1</v>
      </c>
      <c r="AE930" s="187"/>
      <c r="AF930" s="9">
        <f t="shared" si="32"/>
        <v>1</v>
      </c>
      <c r="AG930" s="138">
        <v>7.5</v>
      </c>
      <c r="AH930" s="138" t="s">
        <v>2258</v>
      </c>
      <c r="AI930" s="718" t="s">
        <v>2477</v>
      </c>
      <c r="AJ930" s="138" t="s">
        <v>1188</v>
      </c>
      <c r="AK930" s="30" t="s">
        <v>99</v>
      </c>
      <c r="AL930" s="138" t="s">
        <v>1178</v>
      </c>
    </row>
    <row r="931" spans="1:38" ht="15" customHeight="1" x14ac:dyDescent="0.3">
      <c r="A931" s="30" t="s">
        <v>22</v>
      </c>
      <c r="B931" s="153" t="s">
        <v>148</v>
      </c>
      <c r="C931" s="135">
        <v>2</v>
      </c>
      <c r="D931" s="11" t="s">
        <v>143</v>
      </c>
      <c r="E931" s="108">
        <v>37518</v>
      </c>
      <c r="F931" s="12">
        <v>2002</v>
      </c>
      <c r="G931" s="142" t="s">
        <v>2482</v>
      </c>
      <c r="H931" s="162" t="s">
        <v>2483</v>
      </c>
      <c r="I931" s="33" t="s">
        <v>33</v>
      </c>
      <c r="J931" s="32" t="s">
        <v>26</v>
      </c>
      <c r="K931" s="197" t="s">
        <v>111</v>
      </c>
      <c r="L931" s="137" t="s">
        <v>40</v>
      </c>
      <c r="M931" s="137" t="s">
        <v>804</v>
      </c>
      <c r="N931" s="137"/>
      <c r="O931" s="138" t="s">
        <v>2292</v>
      </c>
      <c r="P931" s="138" t="s">
        <v>2484</v>
      </c>
      <c r="Q931" s="15" t="s">
        <v>282</v>
      </c>
      <c r="R931" s="132">
        <v>39241</v>
      </c>
      <c r="S931" s="16" t="s">
        <v>44</v>
      </c>
      <c r="T931" s="133">
        <v>39974</v>
      </c>
      <c r="U931" s="710"/>
      <c r="V931" s="711"/>
      <c r="W931" s="735">
        <v>70</v>
      </c>
      <c r="X931" s="7">
        <v>35</v>
      </c>
      <c r="Y931" s="7">
        <f t="shared" si="31"/>
        <v>0</v>
      </c>
      <c r="Z931" s="7">
        <f t="shared" si="30"/>
        <v>35</v>
      </c>
      <c r="AA931" s="469"/>
      <c r="AB931" s="518" t="s">
        <v>5972</v>
      </c>
      <c r="AC931" s="519"/>
      <c r="AD931" s="187">
        <v>0.5</v>
      </c>
      <c r="AE931" s="187"/>
      <c r="AF931" s="9">
        <f t="shared" si="32"/>
        <v>0.5</v>
      </c>
      <c r="AG931" s="163">
        <v>9</v>
      </c>
      <c r="AH931" s="138" t="s">
        <v>2481</v>
      </c>
      <c r="AI931" s="138"/>
      <c r="AJ931" s="181" t="s">
        <v>1188</v>
      </c>
      <c r="AK931" s="181" t="s">
        <v>1185</v>
      </c>
      <c r="AL931" s="93" t="s">
        <v>1178</v>
      </c>
    </row>
    <row r="932" spans="1:38" ht="15" customHeight="1" x14ac:dyDescent="0.3">
      <c r="A932" s="30" t="s">
        <v>22</v>
      </c>
      <c r="B932" s="153" t="s">
        <v>144</v>
      </c>
      <c r="C932" s="107">
        <v>9</v>
      </c>
      <c r="D932" s="11" t="s">
        <v>143</v>
      </c>
      <c r="E932" s="108">
        <v>36684</v>
      </c>
      <c r="F932" s="33">
        <v>2000</v>
      </c>
      <c r="G932" s="142" t="s">
        <v>2485</v>
      </c>
      <c r="H932" s="162" t="s">
        <v>2486</v>
      </c>
      <c r="I932" s="33" t="s">
        <v>33</v>
      </c>
      <c r="J932" s="32" t="s">
        <v>26</v>
      </c>
      <c r="K932" s="197" t="s">
        <v>1194</v>
      </c>
      <c r="L932" s="137" t="s">
        <v>40</v>
      </c>
      <c r="M932" s="137" t="s">
        <v>804</v>
      </c>
      <c r="N932" s="137"/>
      <c r="O932" s="93" t="s">
        <v>2487</v>
      </c>
      <c r="P932" s="647" t="s">
        <v>2488</v>
      </c>
      <c r="Q932" s="15" t="s">
        <v>35</v>
      </c>
      <c r="R932" s="132">
        <v>37887</v>
      </c>
      <c r="S932" s="16" t="s">
        <v>44</v>
      </c>
      <c r="T932" s="133">
        <v>39478</v>
      </c>
      <c r="U932" s="623" t="s">
        <v>1336</v>
      </c>
      <c r="V932" s="180">
        <v>40512</v>
      </c>
      <c r="W932" s="735">
        <v>150</v>
      </c>
      <c r="X932" s="7">
        <v>112.5</v>
      </c>
      <c r="Y932" s="7">
        <f t="shared" si="31"/>
        <v>0</v>
      </c>
      <c r="Z932" s="7">
        <f t="shared" si="30"/>
        <v>112.5</v>
      </c>
      <c r="AA932" s="469"/>
      <c r="AB932" s="503" t="s">
        <v>6055</v>
      </c>
      <c r="AC932" s="222"/>
      <c r="AD932" s="187">
        <v>0.75</v>
      </c>
      <c r="AE932" s="187"/>
      <c r="AF932" s="9">
        <f t="shared" si="32"/>
        <v>0.75</v>
      </c>
      <c r="AG932" s="163">
        <v>10</v>
      </c>
      <c r="AH932" s="93" t="s">
        <v>6004</v>
      </c>
      <c r="AI932" s="93"/>
      <c r="AJ932" s="93" t="s">
        <v>1188</v>
      </c>
      <c r="AK932" s="30" t="s">
        <v>99</v>
      </c>
      <c r="AL932" s="93" t="s">
        <v>1178</v>
      </c>
    </row>
    <row r="933" spans="1:38" ht="15" customHeight="1" x14ac:dyDescent="0.3">
      <c r="A933" s="181" t="s">
        <v>22</v>
      </c>
      <c r="B933" s="140" t="s">
        <v>189</v>
      </c>
      <c r="C933" s="107">
        <v>5</v>
      </c>
      <c r="D933" s="12" t="s">
        <v>190</v>
      </c>
      <c r="E933" s="114">
        <v>39533</v>
      </c>
      <c r="F933" s="12">
        <v>2008</v>
      </c>
      <c r="G933" s="142" t="s">
        <v>2489</v>
      </c>
      <c r="H933" s="162" t="s">
        <v>2490</v>
      </c>
      <c r="I933" s="57" t="s">
        <v>6176</v>
      </c>
      <c r="J933" s="30" t="s">
        <v>67</v>
      </c>
      <c r="K933" s="138" t="s">
        <v>2177</v>
      </c>
      <c r="L933" s="138" t="s">
        <v>1319</v>
      </c>
      <c r="M933" s="137" t="s">
        <v>804</v>
      </c>
      <c r="N933" s="137"/>
      <c r="O933" s="138" t="s">
        <v>2491</v>
      </c>
      <c r="P933" s="138" t="s">
        <v>2492</v>
      </c>
      <c r="Q933" s="15" t="s">
        <v>282</v>
      </c>
      <c r="R933" s="132">
        <v>40256</v>
      </c>
      <c r="S933" s="16" t="s">
        <v>44</v>
      </c>
      <c r="T933" s="133">
        <v>40585</v>
      </c>
      <c r="U933" s="623"/>
      <c r="V933" s="623"/>
      <c r="W933" s="734">
        <v>40</v>
      </c>
      <c r="X933" s="7">
        <v>20</v>
      </c>
      <c r="Y933" s="7">
        <f t="shared" si="31"/>
        <v>0</v>
      </c>
      <c r="Z933" s="7">
        <f t="shared" si="30"/>
        <v>20</v>
      </c>
      <c r="AA933" s="469"/>
      <c r="AB933" s="564" t="s">
        <v>1073</v>
      </c>
      <c r="AC933" s="693"/>
      <c r="AD933" s="187">
        <v>0.5</v>
      </c>
      <c r="AE933" s="187"/>
      <c r="AF933" s="9">
        <f t="shared" si="32"/>
        <v>0.5</v>
      </c>
      <c r="AG933" s="138">
        <v>7.5</v>
      </c>
      <c r="AH933" s="138" t="s">
        <v>2258</v>
      </c>
      <c r="AI933" s="683"/>
      <c r="AJ933" s="138" t="s">
        <v>1188</v>
      </c>
      <c r="AK933" s="138" t="s">
        <v>1185</v>
      </c>
      <c r="AL933" s="138" t="s">
        <v>1175</v>
      </c>
    </row>
    <row r="934" spans="1:38" ht="15" customHeight="1" x14ac:dyDescent="0.3">
      <c r="A934" s="30" t="s">
        <v>22</v>
      </c>
      <c r="B934" s="153" t="s">
        <v>23</v>
      </c>
      <c r="C934" s="109">
        <v>1</v>
      </c>
      <c r="D934" s="11" t="s">
        <v>24</v>
      </c>
      <c r="E934" s="114">
        <v>40843</v>
      </c>
      <c r="F934" s="33">
        <v>2010</v>
      </c>
      <c r="G934" s="142" t="s">
        <v>2494</v>
      </c>
      <c r="H934" s="162" t="s">
        <v>2495</v>
      </c>
      <c r="I934" s="12" t="s">
        <v>80</v>
      </c>
      <c r="J934" s="32" t="s">
        <v>26</v>
      </c>
      <c r="K934" s="197" t="s">
        <v>2496</v>
      </c>
      <c r="L934" s="137" t="s">
        <v>1319</v>
      </c>
      <c r="M934" s="137" t="s">
        <v>804</v>
      </c>
      <c r="N934" s="238"/>
      <c r="O934" s="146" t="s">
        <v>2497</v>
      </c>
      <c r="P934" s="138" t="s">
        <v>6019</v>
      </c>
      <c r="Q934" s="91"/>
      <c r="R934" s="132"/>
      <c r="S934" s="92"/>
      <c r="T934" s="139"/>
      <c r="U934" s="624"/>
      <c r="V934" s="624"/>
      <c r="W934" s="735">
        <v>40</v>
      </c>
      <c r="X934" s="7">
        <v>16</v>
      </c>
      <c r="Y934" s="7">
        <f t="shared" si="31"/>
        <v>0</v>
      </c>
      <c r="Z934" s="7">
        <f t="shared" si="30"/>
        <v>16</v>
      </c>
      <c r="AA934" s="469"/>
      <c r="AB934" s="513" t="s">
        <v>2493</v>
      </c>
      <c r="AC934" s="147"/>
      <c r="AD934" s="187">
        <v>0.4</v>
      </c>
      <c r="AE934" s="187"/>
      <c r="AF934" s="9">
        <f t="shared" si="32"/>
        <v>0.4</v>
      </c>
      <c r="AG934" s="163">
        <v>0</v>
      </c>
      <c r="AH934" s="93" t="s">
        <v>58</v>
      </c>
      <c r="AI934" s="146" t="s">
        <v>6020</v>
      </c>
      <c r="AJ934" s="93" t="s">
        <v>1188</v>
      </c>
      <c r="AK934" s="30" t="s">
        <v>1177</v>
      </c>
      <c r="AL934" s="93" t="s">
        <v>1178</v>
      </c>
    </row>
    <row r="935" spans="1:38" ht="15" customHeight="1" x14ac:dyDescent="0.3">
      <c r="A935" s="30" t="s">
        <v>22</v>
      </c>
      <c r="B935" s="153" t="s">
        <v>23</v>
      </c>
      <c r="C935" s="107">
        <v>11</v>
      </c>
      <c r="D935" s="11" t="s">
        <v>24</v>
      </c>
      <c r="E935" s="114">
        <v>39493</v>
      </c>
      <c r="F935" s="12">
        <v>2008</v>
      </c>
      <c r="G935" s="142" t="s">
        <v>2499</v>
      </c>
      <c r="H935" s="162" t="s">
        <v>2500</v>
      </c>
      <c r="I935" s="12" t="s">
        <v>80</v>
      </c>
      <c r="J935" s="32" t="s">
        <v>26</v>
      </c>
      <c r="K935" s="197" t="s">
        <v>1930</v>
      </c>
      <c r="L935" s="137" t="s">
        <v>1319</v>
      </c>
      <c r="M935" s="137" t="s">
        <v>804</v>
      </c>
      <c r="N935" s="137"/>
      <c r="O935" s="93" t="s">
        <v>2501</v>
      </c>
      <c r="P935" s="138" t="s">
        <v>2502</v>
      </c>
      <c r="Q935" s="15" t="s">
        <v>282</v>
      </c>
      <c r="R935" s="132">
        <v>40254</v>
      </c>
      <c r="S935" s="16" t="s">
        <v>44</v>
      </c>
      <c r="T935" s="165">
        <v>40676</v>
      </c>
      <c r="U935" s="624"/>
      <c r="V935" s="624"/>
      <c r="W935" s="735">
        <v>25</v>
      </c>
      <c r="X935" s="7">
        <v>12.5</v>
      </c>
      <c r="Y935" s="7">
        <f t="shared" si="31"/>
        <v>0</v>
      </c>
      <c r="Z935" s="7">
        <f t="shared" si="30"/>
        <v>12.5</v>
      </c>
      <c r="AA935" s="469"/>
      <c r="AB935" s="513" t="s">
        <v>36</v>
      </c>
      <c r="AC935" s="147"/>
      <c r="AD935" s="187">
        <v>0.5</v>
      </c>
      <c r="AE935" s="187"/>
      <c r="AF935" s="9">
        <f t="shared" si="32"/>
        <v>0.5</v>
      </c>
      <c r="AG935" s="163">
        <v>7</v>
      </c>
      <c r="AH935" s="93" t="s">
        <v>2498</v>
      </c>
      <c r="AI935" s="93" t="s">
        <v>2503</v>
      </c>
      <c r="AJ935" s="93" t="s">
        <v>1188</v>
      </c>
      <c r="AK935" s="30" t="s">
        <v>1185</v>
      </c>
      <c r="AL935" s="93" t="s">
        <v>1178</v>
      </c>
    </row>
    <row r="936" spans="1:38" ht="15" customHeight="1" x14ac:dyDescent="0.3">
      <c r="A936" s="181" t="s">
        <v>22</v>
      </c>
      <c r="B936" s="167" t="s">
        <v>189</v>
      </c>
      <c r="C936" s="135">
        <v>5</v>
      </c>
      <c r="D936" s="136" t="s">
        <v>190</v>
      </c>
      <c r="E936" s="168">
        <v>39834</v>
      </c>
      <c r="F936" s="136">
        <v>2009</v>
      </c>
      <c r="G936" s="178" t="s">
        <v>2505</v>
      </c>
      <c r="H936" s="204" t="s">
        <v>2506</v>
      </c>
      <c r="I936" s="33" t="s">
        <v>33</v>
      </c>
      <c r="J936" s="32" t="s">
        <v>26</v>
      </c>
      <c r="K936" s="138" t="s">
        <v>1194</v>
      </c>
      <c r="L936" s="138" t="s">
        <v>1319</v>
      </c>
      <c r="M936" s="137" t="s">
        <v>804</v>
      </c>
      <c r="N936" s="138"/>
      <c r="O936" s="138" t="s">
        <v>2507</v>
      </c>
      <c r="P936" s="138" t="s">
        <v>2508</v>
      </c>
      <c r="Q936" s="15" t="s">
        <v>35</v>
      </c>
      <c r="R936" s="132">
        <v>40620</v>
      </c>
      <c r="S936" s="92"/>
      <c r="T936" s="92"/>
      <c r="U936" s="623"/>
      <c r="V936" s="623"/>
      <c r="W936" s="743">
        <v>50</v>
      </c>
      <c r="X936" s="7">
        <v>37.5</v>
      </c>
      <c r="Y936" s="7">
        <f t="shared" si="31"/>
        <v>0</v>
      </c>
      <c r="Z936" s="7">
        <f t="shared" si="30"/>
        <v>37.5</v>
      </c>
      <c r="AA936" s="469"/>
      <c r="AB936" s="564" t="s">
        <v>1073</v>
      </c>
      <c r="AC936" s="693"/>
      <c r="AD936" s="187">
        <v>0.75</v>
      </c>
      <c r="AE936" s="196"/>
      <c r="AF936" s="9">
        <f t="shared" si="32"/>
        <v>0.75</v>
      </c>
      <c r="AG936" s="138">
        <v>7</v>
      </c>
      <c r="AH936" s="138" t="s">
        <v>2258</v>
      </c>
      <c r="AI936" s="718" t="s">
        <v>2510</v>
      </c>
      <c r="AJ936" s="138" t="s">
        <v>1188</v>
      </c>
      <c r="AK936" s="138" t="s">
        <v>1185</v>
      </c>
      <c r="AL936" s="138" t="s">
        <v>1178</v>
      </c>
    </row>
    <row r="937" spans="1:38" ht="15" customHeight="1" x14ac:dyDescent="0.3">
      <c r="A937" s="181" t="s">
        <v>22</v>
      </c>
      <c r="B937" s="167" t="s">
        <v>2504</v>
      </c>
      <c r="C937" s="135"/>
      <c r="D937" s="136" t="s">
        <v>190</v>
      </c>
      <c r="E937" s="168">
        <v>39906</v>
      </c>
      <c r="F937" s="136">
        <v>2009</v>
      </c>
      <c r="G937" s="178" t="s">
        <v>2511</v>
      </c>
      <c r="H937" s="204"/>
      <c r="I937" s="30" t="s">
        <v>38</v>
      </c>
      <c r="J937" s="32" t="s">
        <v>26</v>
      </c>
      <c r="K937" s="138" t="s">
        <v>111</v>
      </c>
      <c r="L937" s="138" t="s">
        <v>1319</v>
      </c>
      <c r="M937" s="137" t="s">
        <v>804</v>
      </c>
      <c r="N937" s="138"/>
      <c r="O937" s="138" t="s">
        <v>2512</v>
      </c>
      <c r="P937" s="138" t="s">
        <v>2513</v>
      </c>
      <c r="Q937" s="15" t="s">
        <v>35</v>
      </c>
      <c r="R937" s="132">
        <v>40115</v>
      </c>
      <c r="S937" s="16" t="s">
        <v>35</v>
      </c>
      <c r="T937" s="133">
        <v>40674</v>
      </c>
      <c r="U937" s="623"/>
      <c r="V937" s="623"/>
      <c r="W937" s="743">
        <v>5</v>
      </c>
      <c r="X937" s="7">
        <v>5</v>
      </c>
      <c r="Y937" s="7">
        <f t="shared" si="31"/>
        <v>0</v>
      </c>
      <c r="Z937" s="189">
        <f t="shared" si="30"/>
        <v>5</v>
      </c>
      <c r="AA937" s="469"/>
      <c r="AB937" s="564" t="s">
        <v>1073</v>
      </c>
      <c r="AC937" s="693"/>
      <c r="AD937" s="187">
        <v>1</v>
      </c>
      <c r="AE937" s="196"/>
      <c r="AF937" s="9">
        <f t="shared" si="32"/>
        <v>1</v>
      </c>
      <c r="AG937" s="138">
        <v>7</v>
      </c>
      <c r="AH937" s="138" t="s">
        <v>2509</v>
      </c>
      <c r="AI937" s="718" t="s">
        <v>2515</v>
      </c>
      <c r="AJ937" s="138" t="s">
        <v>1188</v>
      </c>
      <c r="AK937" s="138" t="s">
        <v>1185</v>
      </c>
      <c r="AL937" s="138" t="s">
        <v>1178</v>
      </c>
    </row>
    <row r="938" spans="1:38" ht="15" customHeight="1" x14ac:dyDescent="0.3">
      <c r="A938" s="30" t="s">
        <v>22</v>
      </c>
      <c r="B938" s="153" t="s">
        <v>1120</v>
      </c>
      <c r="C938" s="109">
        <v>2</v>
      </c>
      <c r="D938" s="11" t="s">
        <v>24</v>
      </c>
      <c r="E938" s="114">
        <v>40604</v>
      </c>
      <c r="F938" s="33">
        <v>2011</v>
      </c>
      <c r="G938" s="142" t="s">
        <v>2516</v>
      </c>
      <c r="H938" s="162" t="s">
        <v>2517</v>
      </c>
      <c r="I938" s="12" t="s">
        <v>25</v>
      </c>
      <c r="J938" s="32" t="s">
        <v>26</v>
      </c>
      <c r="K938" s="197" t="s">
        <v>111</v>
      </c>
      <c r="L938" s="137" t="s">
        <v>1319</v>
      </c>
      <c r="M938" s="137" t="s">
        <v>804</v>
      </c>
      <c r="N938" s="238"/>
      <c r="O938" s="146" t="s">
        <v>2518</v>
      </c>
      <c r="P938" s="138" t="s">
        <v>6021</v>
      </c>
      <c r="Q938" s="91"/>
      <c r="R938" s="132"/>
      <c r="S938" s="92"/>
      <c r="T938" s="139"/>
      <c r="U938" s="624"/>
      <c r="V938" s="624"/>
      <c r="W938" s="735">
        <v>120</v>
      </c>
      <c r="X938" s="7">
        <v>60</v>
      </c>
      <c r="Y938" s="7">
        <f t="shared" si="31"/>
        <v>0</v>
      </c>
      <c r="Z938" s="7">
        <f t="shared" si="30"/>
        <v>60</v>
      </c>
      <c r="AA938" s="469"/>
      <c r="AB938" s="479" t="s">
        <v>49</v>
      </c>
      <c r="AC938" s="480"/>
      <c r="AD938" s="187">
        <v>0.5</v>
      </c>
      <c r="AE938" s="187"/>
      <c r="AF938" s="9">
        <f t="shared" si="32"/>
        <v>0.5</v>
      </c>
      <c r="AG938" s="163">
        <v>6</v>
      </c>
      <c r="AH938" s="93" t="s">
        <v>2514</v>
      </c>
      <c r="AI938" s="719" t="s">
        <v>2519</v>
      </c>
      <c r="AJ938" s="93" t="s">
        <v>1188</v>
      </c>
      <c r="AK938" s="30" t="s">
        <v>1177</v>
      </c>
      <c r="AL938" s="93" t="s">
        <v>1178</v>
      </c>
    </row>
    <row r="939" spans="1:38" ht="15" customHeight="1" x14ac:dyDescent="0.3">
      <c r="A939" s="30" t="s">
        <v>22</v>
      </c>
      <c r="B939" s="153" t="s">
        <v>23</v>
      </c>
      <c r="C939" s="109">
        <v>12</v>
      </c>
      <c r="D939" s="11" t="s">
        <v>24</v>
      </c>
      <c r="E939" s="114">
        <v>40284</v>
      </c>
      <c r="F939" s="33">
        <v>2010</v>
      </c>
      <c r="G939" s="142" t="s">
        <v>2520</v>
      </c>
      <c r="H939" s="162" t="s">
        <v>2521</v>
      </c>
      <c r="I939" s="12" t="s">
        <v>80</v>
      </c>
      <c r="J939" s="32" t="s">
        <v>26</v>
      </c>
      <c r="K939" s="197" t="s">
        <v>111</v>
      </c>
      <c r="L939" s="137" t="s">
        <v>1319</v>
      </c>
      <c r="M939" s="137" t="s">
        <v>804</v>
      </c>
      <c r="N939" s="238"/>
      <c r="O939" s="146" t="s">
        <v>2522</v>
      </c>
      <c r="P939" s="138" t="s">
        <v>6022</v>
      </c>
      <c r="Q939" s="91"/>
      <c r="R939" s="132"/>
      <c r="S939" s="92"/>
      <c r="T939" s="139"/>
      <c r="U939" s="624"/>
      <c r="V939" s="624"/>
      <c r="W939" s="735">
        <v>186</v>
      </c>
      <c r="X939" s="7">
        <v>37.200000000000003</v>
      </c>
      <c r="Y939" s="7">
        <f t="shared" si="31"/>
        <v>0</v>
      </c>
      <c r="Z939" s="7">
        <f t="shared" si="30"/>
        <v>37.200000000000003</v>
      </c>
      <c r="AA939" s="469"/>
      <c r="AB939" s="479" t="s">
        <v>49</v>
      </c>
      <c r="AC939" s="480"/>
      <c r="AD939" s="187">
        <v>0.2</v>
      </c>
      <c r="AE939" s="187"/>
      <c r="AF939" s="9">
        <f t="shared" si="32"/>
        <v>0.2</v>
      </c>
      <c r="AG939" s="163">
        <v>6</v>
      </c>
      <c r="AH939" s="93" t="s">
        <v>1934</v>
      </c>
      <c r="AI939" s="719" t="s">
        <v>2523</v>
      </c>
      <c r="AJ939" s="93" t="s">
        <v>1188</v>
      </c>
      <c r="AK939" s="30" t="s">
        <v>1177</v>
      </c>
      <c r="AL939" s="93" t="s">
        <v>1178</v>
      </c>
    </row>
    <row r="940" spans="1:38" ht="15" customHeight="1" x14ac:dyDescent="0.3">
      <c r="A940" s="30" t="s">
        <v>22</v>
      </c>
      <c r="B940" s="120" t="s">
        <v>105</v>
      </c>
      <c r="C940" s="109">
        <v>8</v>
      </c>
      <c r="D940" s="11" t="s">
        <v>5936</v>
      </c>
      <c r="E940" s="108">
        <v>38292</v>
      </c>
      <c r="F940" s="33">
        <v>2004</v>
      </c>
      <c r="G940" s="142" t="s">
        <v>2524</v>
      </c>
      <c r="H940" s="162" t="s">
        <v>2525</v>
      </c>
      <c r="I940" s="33" t="s">
        <v>33</v>
      </c>
      <c r="J940" s="32" t="s">
        <v>26</v>
      </c>
      <c r="K940" s="138" t="s">
        <v>103</v>
      </c>
      <c r="L940" s="137" t="s">
        <v>1445</v>
      </c>
      <c r="M940" s="137" t="s">
        <v>804</v>
      </c>
      <c r="N940" s="137"/>
      <c r="O940" s="93" t="s">
        <v>2526</v>
      </c>
      <c r="P940" s="719" t="s">
        <v>2527</v>
      </c>
      <c r="Q940" s="15" t="s">
        <v>282</v>
      </c>
      <c r="R940" s="132">
        <v>39568</v>
      </c>
      <c r="S940" s="16" t="s">
        <v>44</v>
      </c>
      <c r="T940" s="133">
        <v>40116</v>
      </c>
      <c r="U940" s="623" t="s">
        <v>2218</v>
      </c>
      <c r="V940" s="180">
        <v>40582</v>
      </c>
      <c r="W940" s="735">
        <v>40</v>
      </c>
      <c r="X940" s="7">
        <v>20</v>
      </c>
      <c r="Y940" s="7">
        <f t="shared" si="31"/>
        <v>0</v>
      </c>
      <c r="Z940" s="7">
        <f t="shared" si="30"/>
        <v>20</v>
      </c>
      <c r="AA940" s="469"/>
      <c r="AB940" s="513" t="s">
        <v>1231</v>
      </c>
      <c r="AC940" s="147"/>
      <c r="AD940" s="187">
        <v>0.5</v>
      </c>
      <c r="AE940" s="187"/>
      <c r="AF940" s="9">
        <f t="shared" si="32"/>
        <v>0.5</v>
      </c>
      <c r="AG940" s="163">
        <v>6.5</v>
      </c>
      <c r="AH940" s="476" t="s">
        <v>851</v>
      </c>
      <c r="AI940" s="146"/>
      <c r="AJ940" s="93" t="s">
        <v>1188</v>
      </c>
      <c r="AK940" s="30" t="s">
        <v>99</v>
      </c>
      <c r="AL940" s="93" t="s">
        <v>1175</v>
      </c>
    </row>
    <row r="941" spans="1:38" ht="15" customHeight="1" x14ac:dyDescent="0.3">
      <c r="A941" s="181" t="s">
        <v>22</v>
      </c>
      <c r="B941" s="153" t="s">
        <v>105</v>
      </c>
      <c r="C941" s="135">
        <v>28</v>
      </c>
      <c r="D941" s="11" t="s">
        <v>5936</v>
      </c>
      <c r="E941" s="168">
        <v>40150</v>
      </c>
      <c r="F941" s="136">
        <v>2009</v>
      </c>
      <c r="G941" s="178" t="s">
        <v>2528</v>
      </c>
      <c r="H941" s="204" t="s">
        <v>2529</v>
      </c>
      <c r="I941" s="136" t="s">
        <v>25</v>
      </c>
      <c r="J941" s="32" t="s">
        <v>26</v>
      </c>
      <c r="K941" s="197" t="s">
        <v>111</v>
      </c>
      <c r="L941" s="197" t="s">
        <v>40</v>
      </c>
      <c r="M941" s="137" t="s">
        <v>804</v>
      </c>
      <c r="N941" s="197"/>
      <c r="O941" s="197" t="s">
        <v>2530</v>
      </c>
      <c r="P941" s="197" t="s">
        <v>2531</v>
      </c>
      <c r="Q941" s="15" t="s">
        <v>35</v>
      </c>
      <c r="R941" s="227">
        <v>40420</v>
      </c>
      <c r="S941" s="16" t="s">
        <v>35</v>
      </c>
      <c r="T941" s="756">
        <v>40675</v>
      </c>
      <c r="U941" s="737"/>
      <c r="V941" s="733"/>
      <c r="W941" s="256">
        <v>52.5</v>
      </c>
      <c r="X941" s="7">
        <v>52.5</v>
      </c>
      <c r="Y941" s="7">
        <f t="shared" si="31"/>
        <v>0</v>
      </c>
      <c r="Z941" s="7">
        <f t="shared" si="30"/>
        <v>52.5</v>
      </c>
      <c r="AA941" s="469"/>
      <c r="AB941" s="564" t="s">
        <v>1073</v>
      </c>
      <c r="AC941" s="693"/>
      <c r="AD941" s="187">
        <v>1</v>
      </c>
      <c r="AE941" s="195"/>
      <c r="AF941" s="9">
        <f t="shared" si="32"/>
        <v>1</v>
      </c>
      <c r="AG941" s="30">
        <v>7</v>
      </c>
      <c r="AH941" s="30"/>
      <c r="AI941" s="718" t="s">
        <v>2532</v>
      </c>
      <c r="AJ941" s="30" t="s">
        <v>1188</v>
      </c>
      <c r="AK941" s="30" t="s">
        <v>1185</v>
      </c>
      <c r="AL941" s="30" t="s">
        <v>1178</v>
      </c>
    </row>
    <row r="942" spans="1:38" ht="15" customHeight="1" x14ac:dyDescent="0.3">
      <c r="A942" s="181" t="s">
        <v>22</v>
      </c>
      <c r="B942" s="145" t="s">
        <v>105</v>
      </c>
      <c r="C942" s="135">
        <v>15</v>
      </c>
      <c r="D942" s="11" t="s">
        <v>5936</v>
      </c>
      <c r="E942" s="168">
        <v>39933</v>
      </c>
      <c r="F942" s="136">
        <v>2009</v>
      </c>
      <c r="G942" s="178" t="s">
        <v>2533</v>
      </c>
      <c r="H942" s="204" t="s">
        <v>2534</v>
      </c>
      <c r="I942" s="33" t="s">
        <v>33</v>
      </c>
      <c r="J942" s="32" t="s">
        <v>26</v>
      </c>
      <c r="K942" s="197" t="s">
        <v>1173</v>
      </c>
      <c r="L942" s="138" t="s">
        <v>1319</v>
      </c>
      <c r="M942" s="137" t="s">
        <v>804</v>
      </c>
      <c r="N942" s="138"/>
      <c r="O942" s="138" t="s">
        <v>2535</v>
      </c>
      <c r="P942" s="138" t="s">
        <v>2536</v>
      </c>
      <c r="Q942" s="15" t="s">
        <v>282</v>
      </c>
      <c r="R942" s="132">
        <v>40053</v>
      </c>
      <c r="S942" s="16" t="s">
        <v>44</v>
      </c>
      <c r="T942" s="133">
        <v>40329</v>
      </c>
      <c r="U942" s="623"/>
      <c r="V942" s="623"/>
      <c r="W942" s="743">
        <v>80</v>
      </c>
      <c r="X942" s="7">
        <v>40</v>
      </c>
      <c r="Y942" s="7">
        <f t="shared" si="31"/>
        <v>0</v>
      </c>
      <c r="Z942" s="7">
        <f t="shared" si="30"/>
        <v>40</v>
      </c>
      <c r="AA942" s="469"/>
      <c r="AB942" s="564" t="s">
        <v>1073</v>
      </c>
      <c r="AC942" s="693"/>
      <c r="AD942" s="187">
        <v>0.5</v>
      </c>
      <c r="AE942" s="196"/>
      <c r="AF942" s="9">
        <f t="shared" si="32"/>
        <v>0.5</v>
      </c>
      <c r="AG942" s="138">
        <v>7</v>
      </c>
      <c r="AH942" s="138" t="s">
        <v>2258</v>
      </c>
      <c r="AI942" s="138"/>
      <c r="AJ942" s="138" t="s">
        <v>1188</v>
      </c>
      <c r="AK942" s="138" t="s">
        <v>1185</v>
      </c>
      <c r="AL942" s="138" t="s">
        <v>1178</v>
      </c>
    </row>
    <row r="943" spans="1:38" ht="15" customHeight="1" x14ac:dyDescent="0.3">
      <c r="A943" s="181" t="s">
        <v>22</v>
      </c>
      <c r="B943" s="153" t="s">
        <v>105</v>
      </c>
      <c r="C943" s="135">
        <v>25</v>
      </c>
      <c r="D943" s="11" t="s">
        <v>5936</v>
      </c>
      <c r="E943" s="168">
        <v>40022</v>
      </c>
      <c r="F943" s="136">
        <v>2009</v>
      </c>
      <c r="G943" s="178" t="s">
        <v>2537</v>
      </c>
      <c r="H943" s="204" t="s">
        <v>2538</v>
      </c>
      <c r="I943" s="136" t="s">
        <v>80</v>
      </c>
      <c r="J943" s="32" t="s">
        <v>26</v>
      </c>
      <c r="K943" s="197" t="s">
        <v>111</v>
      </c>
      <c r="L943" s="746" t="s">
        <v>40</v>
      </c>
      <c r="M943" s="137" t="s">
        <v>804</v>
      </c>
      <c r="N943" s="746"/>
      <c r="O943" s="197" t="s">
        <v>2539</v>
      </c>
      <c r="P943" s="197" t="s">
        <v>2540</v>
      </c>
      <c r="Q943" s="15" t="s">
        <v>282</v>
      </c>
      <c r="R943" s="227">
        <v>40413</v>
      </c>
      <c r="S943" s="16" t="s">
        <v>44</v>
      </c>
      <c r="T943" s="756">
        <v>40648</v>
      </c>
      <c r="U943" s="737"/>
      <c r="V943" s="733"/>
      <c r="W943" s="256">
        <v>77.2</v>
      </c>
      <c r="X943" s="7">
        <v>38.6</v>
      </c>
      <c r="Y943" s="7">
        <f t="shared" si="31"/>
        <v>0</v>
      </c>
      <c r="Z943" s="7">
        <f t="shared" si="30"/>
        <v>38.6</v>
      </c>
      <c r="AA943" s="469"/>
      <c r="AB943" s="564" t="s">
        <v>1073</v>
      </c>
      <c r="AC943" s="693"/>
      <c r="AD943" s="187">
        <v>0.5</v>
      </c>
      <c r="AE943" s="195"/>
      <c r="AF943" s="9">
        <f t="shared" si="32"/>
        <v>0.5</v>
      </c>
      <c r="AG943" s="30">
        <v>7</v>
      </c>
      <c r="AH943" s="30"/>
      <c r="AI943" s="30"/>
      <c r="AJ943" s="30" t="s">
        <v>1188</v>
      </c>
      <c r="AK943" s="30" t="s">
        <v>1185</v>
      </c>
      <c r="AL943" s="30" t="s">
        <v>1178</v>
      </c>
    </row>
    <row r="944" spans="1:38" ht="15" customHeight="1" x14ac:dyDescent="0.3">
      <c r="A944" s="181" t="s">
        <v>22</v>
      </c>
      <c r="B944" s="153" t="s">
        <v>105</v>
      </c>
      <c r="C944" s="135">
        <v>3</v>
      </c>
      <c r="D944" s="11" t="s">
        <v>5936</v>
      </c>
      <c r="E944" s="168">
        <v>39996</v>
      </c>
      <c r="F944" s="136">
        <v>2009</v>
      </c>
      <c r="G944" s="178" t="s">
        <v>2541</v>
      </c>
      <c r="H944" s="204" t="s">
        <v>2542</v>
      </c>
      <c r="I944" s="33" t="s">
        <v>33</v>
      </c>
      <c r="J944" s="32" t="s">
        <v>26</v>
      </c>
      <c r="K944" s="197" t="s">
        <v>1173</v>
      </c>
      <c r="L944" s="197" t="s">
        <v>40</v>
      </c>
      <c r="M944" s="137" t="s">
        <v>804</v>
      </c>
      <c r="N944" s="197"/>
      <c r="O944" s="197" t="s">
        <v>2543</v>
      </c>
      <c r="P944" s="197" t="s">
        <v>2544</v>
      </c>
      <c r="Q944" s="15" t="s">
        <v>282</v>
      </c>
      <c r="R944" s="227">
        <v>40359</v>
      </c>
      <c r="S944" s="16" t="s">
        <v>44</v>
      </c>
      <c r="T944" s="756">
        <v>40396</v>
      </c>
      <c r="U944" s="737"/>
      <c r="V944" s="733"/>
      <c r="W944" s="256">
        <v>80</v>
      </c>
      <c r="X944" s="7">
        <v>40</v>
      </c>
      <c r="Y944" s="7">
        <f t="shared" si="31"/>
        <v>0</v>
      </c>
      <c r="Z944" s="7">
        <f t="shared" si="30"/>
        <v>40</v>
      </c>
      <c r="AA944" s="469"/>
      <c r="AB944" s="564" t="s">
        <v>1073</v>
      </c>
      <c r="AC944" s="693"/>
      <c r="AD944" s="187">
        <v>0.5</v>
      </c>
      <c r="AE944" s="195"/>
      <c r="AF944" s="9">
        <f t="shared" si="32"/>
        <v>0.5</v>
      </c>
      <c r="AG944" s="30">
        <v>7</v>
      </c>
      <c r="AH944" s="30"/>
      <c r="AI944" s="30"/>
      <c r="AJ944" s="30" t="s">
        <v>1188</v>
      </c>
      <c r="AK944" s="30" t="s">
        <v>1185</v>
      </c>
      <c r="AL944" s="30" t="s">
        <v>1178</v>
      </c>
    </row>
    <row r="945" spans="1:38" ht="15" customHeight="1" x14ac:dyDescent="0.3">
      <c r="A945" s="181" t="s">
        <v>22</v>
      </c>
      <c r="B945" s="153" t="s">
        <v>105</v>
      </c>
      <c r="C945" s="135">
        <v>2</v>
      </c>
      <c r="D945" s="11" t="s">
        <v>5936</v>
      </c>
      <c r="E945" s="168">
        <v>40150</v>
      </c>
      <c r="F945" s="136">
        <v>2009</v>
      </c>
      <c r="G945" s="178" t="s">
        <v>2546</v>
      </c>
      <c r="H945" s="204" t="s">
        <v>2547</v>
      </c>
      <c r="I945" s="33" t="s">
        <v>33</v>
      </c>
      <c r="J945" s="32" t="s">
        <v>26</v>
      </c>
      <c r="K945" s="197" t="s">
        <v>1173</v>
      </c>
      <c r="L945" s="197" t="s">
        <v>40</v>
      </c>
      <c r="M945" s="137" t="s">
        <v>804</v>
      </c>
      <c r="N945" s="197"/>
      <c r="O945" s="197" t="s">
        <v>2548</v>
      </c>
      <c r="P945" s="197" t="s">
        <v>2549</v>
      </c>
      <c r="Q945" s="15" t="s">
        <v>282</v>
      </c>
      <c r="R945" s="227">
        <v>40506</v>
      </c>
      <c r="S945" s="16" t="s">
        <v>44</v>
      </c>
      <c r="T945" s="756">
        <v>40676</v>
      </c>
      <c r="U945" s="737"/>
      <c r="V945" s="733"/>
      <c r="W945" s="256">
        <v>90</v>
      </c>
      <c r="X945" s="7">
        <v>36</v>
      </c>
      <c r="Y945" s="7">
        <f t="shared" si="31"/>
        <v>0</v>
      </c>
      <c r="Z945" s="7">
        <f t="shared" si="30"/>
        <v>36</v>
      </c>
      <c r="AA945" s="469"/>
      <c r="AB945" s="564" t="s">
        <v>1073</v>
      </c>
      <c r="AC945" s="693"/>
      <c r="AD945" s="187">
        <v>0.4</v>
      </c>
      <c r="AE945" s="195"/>
      <c r="AF945" s="9">
        <f t="shared" si="32"/>
        <v>0.4</v>
      </c>
      <c r="AG945" s="30">
        <v>7</v>
      </c>
      <c r="AH945" s="197" t="s">
        <v>2545</v>
      </c>
      <c r="AI945" s="30"/>
      <c r="AJ945" s="30" t="s">
        <v>1188</v>
      </c>
      <c r="AK945" s="30" t="s">
        <v>1185</v>
      </c>
      <c r="AL945" s="30" t="s">
        <v>1178</v>
      </c>
    </row>
    <row r="946" spans="1:38" ht="15" customHeight="1" x14ac:dyDescent="0.3">
      <c r="A946" s="181" t="s">
        <v>22</v>
      </c>
      <c r="B946" s="153" t="s">
        <v>105</v>
      </c>
      <c r="C946" s="135">
        <v>31</v>
      </c>
      <c r="D946" s="11" t="s">
        <v>5936</v>
      </c>
      <c r="E946" s="168">
        <v>40147</v>
      </c>
      <c r="F946" s="136">
        <v>2009</v>
      </c>
      <c r="G946" s="178" t="s">
        <v>2551</v>
      </c>
      <c r="H946" s="204" t="s">
        <v>2552</v>
      </c>
      <c r="I946" s="136" t="s">
        <v>25</v>
      </c>
      <c r="J946" s="32" t="s">
        <v>26</v>
      </c>
      <c r="K946" s="197" t="s">
        <v>111</v>
      </c>
      <c r="L946" s="197" t="s">
        <v>40</v>
      </c>
      <c r="M946" s="137" t="s">
        <v>804</v>
      </c>
      <c r="N946" s="197"/>
      <c r="O946" s="197" t="s">
        <v>2553</v>
      </c>
      <c r="P946" s="197" t="s">
        <v>2554</v>
      </c>
      <c r="Q946" s="15" t="s">
        <v>282</v>
      </c>
      <c r="R946" s="227">
        <v>40473</v>
      </c>
      <c r="S946" s="16" t="s">
        <v>44</v>
      </c>
      <c r="T946" s="756">
        <v>40632</v>
      </c>
      <c r="U946" s="737"/>
      <c r="V946" s="733"/>
      <c r="W946" s="256">
        <v>86</v>
      </c>
      <c r="X946" s="7">
        <v>17.2</v>
      </c>
      <c r="Y946" s="7">
        <f t="shared" si="31"/>
        <v>0</v>
      </c>
      <c r="Z946" s="7">
        <f t="shared" si="30"/>
        <v>17.2</v>
      </c>
      <c r="AA946" s="469"/>
      <c r="AB946" s="564" t="s">
        <v>1073</v>
      </c>
      <c r="AC946" s="693"/>
      <c r="AD946" s="187">
        <v>0.2</v>
      </c>
      <c r="AE946" s="195"/>
      <c r="AF946" s="9">
        <f t="shared" si="32"/>
        <v>0.2</v>
      </c>
      <c r="AG946" s="30">
        <v>7</v>
      </c>
      <c r="AH946" s="30" t="s">
        <v>2550</v>
      </c>
      <c r="AI946" s="30"/>
      <c r="AJ946" s="30" t="s">
        <v>1188</v>
      </c>
      <c r="AK946" s="30" t="s">
        <v>1185</v>
      </c>
      <c r="AL946" s="30" t="s">
        <v>1178</v>
      </c>
    </row>
    <row r="947" spans="1:38" ht="15" customHeight="1" x14ac:dyDescent="0.3">
      <c r="A947" s="30" t="s">
        <v>22</v>
      </c>
      <c r="B947" s="140" t="s">
        <v>105</v>
      </c>
      <c r="C947" s="107">
        <v>16</v>
      </c>
      <c r="D947" s="11" t="s">
        <v>5936</v>
      </c>
      <c r="E947" s="114">
        <v>39083</v>
      </c>
      <c r="F947" s="12">
        <v>2007</v>
      </c>
      <c r="G947" s="142" t="s">
        <v>2555</v>
      </c>
      <c r="H947" s="162" t="s">
        <v>2556</v>
      </c>
      <c r="I947" s="33" t="s">
        <v>33</v>
      </c>
      <c r="J947" s="32" t="s">
        <v>191</v>
      </c>
      <c r="K947" s="138" t="s">
        <v>1173</v>
      </c>
      <c r="L947" s="138" t="s">
        <v>1319</v>
      </c>
      <c r="M947" s="137" t="s">
        <v>804</v>
      </c>
      <c r="N947" s="137"/>
      <c r="O947" s="138" t="s">
        <v>2557</v>
      </c>
      <c r="P947" s="138" t="s">
        <v>2558</v>
      </c>
      <c r="Q947" s="15" t="s">
        <v>35</v>
      </c>
      <c r="R947" s="132">
        <v>39598</v>
      </c>
      <c r="S947" s="16" t="s">
        <v>44</v>
      </c>
      <c r="T947" s="133">
        <v>40263</v>
      </c>
      <c r="U947" s="631"/>
      <c r="V947" s="631"/>
      <c r="W947" s="734">
        <v>60</v>
      </c>
      <c r="X947" s="7">
        <v>45</v>
      </c>
      <c r="Y947" s="7">
        <f t="shared" si="31"/>
        <v>0</v>
      </c>
      <c r="Z947" s="7">
        <f t="shared" si="30"/>
        <v>45</v>
      </c>
      <c r="AA947" s="469"/>
      <c r="AB947" s="564" t="s">
        <v>1073</v>
      </c>
      <c r="AC947" s="693"/>
      <c r="AD947" s="187">
        <v>0.75</v>
      </c>
      <c r="AE947" s="187"/>
      <c r="AF947" s="9">
        <f t="shared" si="32"/>
        <v>0.75</v>
      </c>
      <c r="AG947" s="138">
        <v>7.5</v>
      </c>
      <c r="AH947" s="138"/>
      <c r="AI947" s="138"/>
      <c r="AJ947" s="138" t="s">
        <v>1188</v>
      </c>
      <c r="AK947" s="138" t="s">
        <v>1185</v>
      </c>
      <c r="AL947" s="93" t="s">
        <v>1178</v>
      </c>
    </row>
    <row r="948" spans="1:38" ht="15" customHeight="1" x14ac:dyDescent="0.3">
      <c r="A948" s="181" t="s">
        <v>22</v>
      </c>
      <c r="B948" s="145" t="s">
        <v>189</v>
      </c>
      <c r="C948" s="135">
        <v>1</v>
      </c>
      <c r="D948" s="136" t="s">
        <v>190</v>
      </c>
      <c r="E948" s="192">
        <v>39638</v>
      </c>
      <c r="F948" s="138">
        <v>2008</v>
      </c>
      <c r="G948" s="744" t="s">
        <v>2559</v>
      </c>
      <c r="H948" s="204" t="s">
        <v>2560</v>
      </c>
      <c r="I948" s="33" t="s">
        <v>33</v>
      </c>
      <c r="J948" s="32" t="s">
        <v>26</v>
      </c>
      <c r="K948" s="197" t="s">
        <v>1708</v>
      </c>
      <c r="L948" s="197" t="s">
        <v>40</v>
      </c>
      <c r="M948" s="137" t="s">
        <v>804</v>
      </c>
      <c r="N948" s="137"/>
      <c r="O948" s="138" t="s">
        <v>2561</v>
      </c>
      <c r="P948" s="138" t="s">
        <v>2562</v>
      </c>
      <c r="Q948" s="15" t="s">
        <v>282</v>
      </c>
      <c r="R948" s="132">
        <v>40263</v>
      </c>
      <c r="S948" s="16" t="s">
        <v>44</v>
      </c>
      <c r="T948" s="133">
        <v>40585</v>
      </c>
      <c r="U948" s="623"/>
      <c r="V948" s="624"/>
      <c r="W948" s="734">
        <v>30</v>
      </c>
      <c r="X948" s="7">
        <v>15</v>
      </c>
      <c r="Y948" s="7">
        <f t="shared" si="31"/>
        <v>0</v>
      </c>
      <c r="Z948" s="7">
        <f t="shared" si="30"/>
        <v>15</v>
      </c>
      <c r="AA948" s="469"/>
      <c r="AB948" s="564" t="s">
        <v>1073</v>
      </c>
      <c r="AC948" s="693"/>
      <c r="AD948" s="187">
        <v>0.5</v>
      </c>
      <c r="AE948" s="187"/>
      <c r="AF948" s="9">
        <f t="shared" si="32"/>
        <v>0.5</v>
      </c>
      <c r="AG948" s="163">
        <v>7.5</v>
      </c>
      <c r="AH948" s="138"/>
      <c r="AI948" s="683"/>
      <c r="AJ948" s="138" t="s">
        <v>1188</v>
      </c>
      <c r="AK948" s="138" t="s">
        <v>1185</v>
      </c>
      <c r="AL948" s="138" t="s">
        <v>1178</v>
      </c>
    </row>
    <row r="949" spans="1:38" ht="15" customHeight="1" x14ac:dyDescent="0.3">
      <c r="A949" s="181" t="s">
        <v>140</v>
      </c>
      <c r="B949" s="153" t="s">
        <v>195</v>
      </c>
      <c r="C949" s="135" t="s">
        <v>196</v>
      </c>
      <c r="D949" s="136" t="s">
        <v>190</v>
      </c>
      <c r="E949" s="168">
        <v>40204</v>
      </c>
      <c r="F949" s="136">
        <v>2010</v>
      </c>
      <c r="G949" s="178" t="s">
        <v>2563</v>
      </c>
      <c r="H949" s="204"/>
      <c r="I949" s="33" t="s">
        <v>33</v>
      </c>
      <c r="J949" s="181" t="s">
        <v>81</v>
      </c>
      <c r="K949" s="197" t="s">
        <v>141</v>
      </c>
      <c r="L949" s="197" t="s">
        <v>40</v>
      </c>
      <c r="M949" s="137" t="s">
        <v>804</v>
      </c>
      <c r="N949" s="197"/>
      <c r="O949" s="197" t="s">
        <v>2564</v>
      </c>
      <c r="P949" s="197" t="s">
        <v>2565</v>
      </c>
      <c r="Q949" s="15" t="s">
        <v>282</v>
      </c>
      <c r="R949" s="132">
        <v>40396</v>
      </c>
      <c r="S949" s="16" t="s">
        <v>44</v>
      </c>
      <c r="T949" s="133">
        <v>40438</v>
      </c>
      <c r="U949" s="623"/>
      <c r="V949" s="623"/>
      <c r="W949" s="734">
        <v>5</v>
      </c>
      <c r="X949" s="7">
        <v>2.5</v>
      </c>
      <c r="Y949" s="7">
        <f t="shared" si="31"/>
        <v>0</v>
      </c>
      <c r="Z949" s="7">
        <f t="shared" si="30"/>
        <v>2.5</v>
      </c>
      <c r="AA949" s="469"/>
      <c r="AB949" s="604" t="s">
        <v>6081</v>
      </c>
      <c r="AC949" s="163"/>
      <c r="AD949" s="187">
        <v>0.5</v>
      </c>
      <c r="AE949" s="187"/>
      <c r="AF949" s="9">
        <f t="shared" si="32"/>
        <v>0.5</v>
      </c>
      <c r="AG949" s="138">
        <v>10</v>
      </c>
      <c r="AH949" s="138"/>
      <c r="AI949" s="138"/>
      <c r="AJ949" s="138" t="s">
        <v>1188</v>
      </c>
      <c r="AK949" s="138" t="s">
        <v>1185</v>
      </c>
      <c r="AL949" s="93" t="s">
        <v>1178</v>
      </c>
    </row>
    <row r="950" spans="1:38" ht="15" customHeight="1" x14ac:dyDescent="0.3">
      <c r="A950" s="181" t="s">
        <v>22</v>
      </c>
      <c r="B950" s="204" t="s">
        <v>148</v>
      </c>
      <c r="C950" s="204" t="s">
        <v>2567</v>
      </c>
      <c r="D950" s="11" t="s">
        <v>143</v>
      </c>
      <c r="E950" s="459">
        <v>38588</v>
      </c>
      <c r="F950" s="12">
        <v>2005</v>
      </c>
      <c r="G950" s="204" t="s">
        <v>2568</v>
      </c>
      <c r="H950" s="162" t="s">
        <v>2569</v>
      </c>
      <c r="I950" s="33" t="s">
        <v>33</v>
      </c>
      <c r="J950" s="32" t="s">
        <v>26</v>
      </c>
      <c r="K950" s="197" t="s">
        <v>2570</v>
      </c>
      <c r="L950" s="197" t="s">
        <v>40</v>
      </c>
      <c r="M950" s="137" t="s">
        <v>804</v>
      </c>
      <c r="N950" s="137"/>
      <c r="O950" s="138" t="s">
        <v>2571</v>
      </c>
      <c r="P950" s="153" t="s">
        <v>2572</v>
      </c>
      <c r="Q950" s="15" t="s">
        <v>282</v>
      </c>
      <c r="R950" s="132">
        <v>39955</v>
      </c>
      <c r="S950" s="16" t="s">
        <v>44</v>
      </c>
      <c r="T950" s="133">
        <v>40261</v>
      </c>
      <c r="U950" s="623"/>
      <c r="V950" s="624"/>
      <c r="W950" s="735">
        <v>40</v>
      </c>
      <c r="X950" s="7">
        <v>20</v>
      </c>
      <c r="Y950" s="7">
        <f t="shared" si="31"/>
        <v>0</v>
      </c>
      <c r="Z950" s="7">
        <f t="shared" si="30"/>
        <v>20</v>
      </c>
      <c r="AA950" s="469"/>
      <c r="AB950" s="564" t="s">
        <v>147</v>
      </c>
      <c r="AC950" s="693"/>
      <c r="AD950" s="187">
        <v>0.5</v>
      </c>
      <c r="AE950" s="187"/>
      <c r="AF950" s="9">
        <f t="shared" si="32"/>
        <v>0.5</v>
      </c>
      <c r="AG950" s="138"/>
      <c r="AH950" s="204" t="s">
        <v>2566</v>
      </c>
      <c r="AI950" s="138"/>
      <c r="AJ950" s="138" t="s">
        <v>1188</v>
      </c>
      <c r="AK950" s="138" t="s">
        <v>1185</v>
      </c>
      <c r="AL950" s="93" t="s">
        <v>1178</v>
      </c>
    </row>
    <row r="951" spans="1:38" ht="15" customHeight="1" x14ac:dyDescent="0.3">
      <c r="A951" s="30" t="s">
        <v>22</v>
      </c>
      <c r="B951" s="120" t="s">
        <v>145</v>
      </c>
      <c r="C951" s="107">
        <v>2</v>
      </c>
      <c r="D951" s="11" t="s">
        <v>143</v>
      </c>
      <c r="E951" s="114">
        <v>40044</v>
      </c>
      <c r="F951" s="12">
        <v>2009</v>
      </c>
      <c r="G951" s="142" t="s">
        <v>2574</v>
      </c>
      <c r="H951" s="162" t="s">
        <v>2575</v>
      </c>
      <c r="I951" s="30" t="s">
        <v>38</v>
      </c>
      <c r="J951" s="32" t="s">
        <v>26</v>
      </c>
      <c r="K951" s="197" t="s">
        <v>111</v>
      </c>
      <c r="L951" s="197" t="s">
        <v>1319</v>
      </c>
      <c r="M951" s="137" t="s">
        <v>804</v>
      </c>
      <c r="N951" s="197"/>
      <c r="O951" s="197" t="s">
        <v>2576</v>
      </c>
      <c r="P951" s="197" t="s">
        <v>2577</v>
      </c>
      <c r="Q951" s="15" t="s">
        <v>35</v>
      </c>
      <c r="R951" s="164">
        <v>40508</v>
      </c>
      <c r="S951" s="16" t="s">
        <v>35</v>
      </c>
      <c r="T951" s="165">
        <v>40674</v>
      </c>
      <c r="U951" s="624"/>
      <c r="V951" s="624"/>
      <c r="W951" s="735">
        <v>22</v>
      </c>
      <c r="X951" s="7">
        <v>22</v>
      </c>
      <c r="Y951" s="7">
        <f t="shared" si="31"/>
        <v>0</v>
      </c>
      <c r="Z951" s="7">
        <f t="shared" ref="Z951:Z994" si="33">IF(Y951="",X951,Y951+X951)</f>
        <v>22</v>
      </c>
      <c r="AA951" s="469"/>
      <c r="AB951" s="564" t="s">
        <v>578</v>
      </c>
      <c r="AC951" s="693"/>
      <c r="AD951" s="187">
        <v>1</v>
      </c>
      <c r="AE951" s="187"/>
      <c r="AF951" s="9">
        <f t="shared" si="32"/>
        <v>1</v>
      </c>
      <c r="AG951" s="138"/>
      <c r="AH951" s="197" t="s">
        <v>2573</v>
      </c>
      <c r="AI951" s="718" t="s">
        <v>2578</v>
      </c>
      <c r="AJ951" s="138" t="s">
        <v>1188</v>
      </c>
      <c r="AK951" s="138" t="s">
        <v>1185</v>
      </c>
      <c r="AL951" s="93" t="s">
        <v>1178</v>
      </c>
    </row>
    <row r="952" spans="1:38" ht="15" customHeight="1" x14ac:dyDescent="0.3">
      <c r="A952" s="30" t="s">
        <v>22</v>
      </c>
      <c r="B952" s="120" t="s">
        <v>227</v>
      </c>
      <c r="C952" s="107">
        <v>1</v>
      </c>
      <c r="D952" s="11" t="s">
        <v>225</v>
      </c>
      <c r="E952" s="108">
        <v>38139</v>
      </c>
      <c r="F952" s="12">
        <v>2004</v>
      </c>
      <c r="G952" s="142" t="s">
        <v>2579</v>
      </c>
      <c r="H952" s="162" t="s">
        <v>2580</v>
      </c>
      <c r="I952" s="12" t="s">
        <v>25</v>
      </c>
      <c r="J952" s="32" t="s">
        <v>26</v>
      </c>
      <c r="K952" s="197" t="s">
        <v>111</v>
      </c>
      <c r="L952" s="137" t="s">
        <v>40</v>
      </c>
      <c r="M952" s="137" t="s">
        <v>804</v>
      </c>
      <c r="N952" s="137"/>
      <c r="O952" s="93" t="s">
        <v>2581</v>
      </c>
      <c r="P952" s="138" t="s">
        <v>2582</v>
      </c>
      <c r="Q952" s="15" t="s">
        <v>282</v>
      </c>
      <c r="R952" s="132">
        <v>39920</v>
      </c>
      <c r="S952" s="16" t="s">
        <v>44</v>
      </c>
      <c r="T952" s="133">
        <v>40701</v>
      </c>
      <c r="U952" s="623"/>
      <c r="V952" s="624"/>
      <c r="W952" s="735">
        <v>20</v>
      </c>
      <c r="X952" s="7">
        <v>10</v>
      </c>
      <c r="Y952" s="7">
        <f t="shared" si="31"/>
        <v>0</v>
      </c>
      <c r="Z952" s="7">
        <f t="shared" si="33"/>
        <v>10</v>
      </c>
      <c r="AA952" s="469"/>
      <c r="AB952" s="504" t="s">
        <v>6115</v>
      </c>
      <c r="AC952" s="138"/>
      <c r="AD952" s="187">
        <v>0.5</v>
      </c>
      <c r="AE952" s="187"/>
      <c r="AF952" s="9">
        <f t="shared" si="32"/>
        <v>0.5</v>
      </c>
      <c r="AG952" s="163"/>
      <c r="AH952" s="93"/>
      <c r="AI952" s="93"/>
      <c r="AJ952" s="93" t="s">
        <v>1188</v>
      </c>
      <c r="AK952" s="30" t="s">
        <v>1185</v>
      </c>
      <c r="AL952" s="93" t="s">
        <v>1178</v>
      </c>
    </row>
    <row r="953" spans="1:38" ht="15" customHeight="1" x14ac:dyDescent="0.3">
      <c r="A953" s="181" t="s">
        <v>22</v>
      </c>
      <c r="B953" s="167" t="s">
        <v>228</v>
      </c>
      <c r="C953" s="135">
        <v>1</v>
      </c>
      <c r="D953" s="11" t="s">
        <v>225</v>
      </c>
      <c r="E953" s="168">
        <v>39600</v>
      </c>
      <c r="F953" s="136">
        <v>2008</v>
      </c>
      <c r="G953" s="178" t="s">
        <v>2583</v>
      </c>
      <c r="H953" s="204"/>
      <c r="I953" s="33" t="s">
        <v>33</v>
      </c>
      <c r="J953" s="32" t="s">
        <v>191</v>
      </c>
      <c r="K953" s="138" t="s">
        <v>103</v>
      </c>
      <c r="L953" s="138" t="s">
        <v>1319</v>
      </c>
      <c r="M953" s="137" t="s">
        <v>804</v>
      </c>
      <c r="N953" s="137"/>
      <c r="O953" s="138" t="s">
        <v>2584</v>
      </c>
      <c r="P953" s="138" t="s">
        <v>2585</v>
      </c>
      <c r="Q953" s="15" t="s">
        <v>282</v>
      </c>
      <c r="R953" s="132">
        <v>39939</v>
      </c>
      <c r="S953" s="16" t="s">
        <v>44</v>
      </c>
      <c r="T953" s="133">
        <v>40018</v>
      </c>
      <c r="U953" s="623"/>
      <c r="V953" s="623"/>
      <c r="W953" s="734">
        <v>30</v>
      </c>
      <c r="X953" s="7">
        <v>15</v>
      </c>
      <c r="Y953" s="7">
        <f t="shared" si="31"/>
        <v>0</v>
      </c>
      <c r="Z953" s="7">
        <f t="shared" si="33"/>
        <v>15</v>
      </c>
      <c r="AA953" s="469"/>
      <c r="AB953" s="564" t="s">
        <v>1073</v>
      </c>
      <c r="AC953" s="693"/>
      <c r="AD953" s="187">
        <v>0.5</v>
      </c>
      <c r="AE953" s="187"/>
      <c r="AF953" s="9">
        <f t="shared" si="32"/>
        <v>0.5</v>
      </c>
      <c r="AG953" s="138">
        <v>7.5</v>
      </c>
      <c r="AH953" s="138"/>
      <c r="AI953" s="138" t="s">
        <v>2586</v>
      </c>
      <c r="AJ953" s="138" t="s">
        <v>1188</v>
      </c>
      <c r="AK953" s="138" t="s">
        <v>1185</v>
      </c>
      <c r="AL953" s="93" t="s">
        <v>1178</v>
      </c>
    </row>
    <row r="954" spans="1:38" ht="15" customHeight="1" x14ac:dyDescent="0.3">
      <c r="A954" s="30" t="s">
        <v>22</v>
      </c>
      <c r="B954" s="140" t="s">
        <v>227</v>
      </c>
      <c r="C954" s="107">
        <v>6</v>
      </c>
      <c r="D954" s="11" t="s">
        <v>225</v>
      </c>
      <c r="E954" s="114">
        <v>39258</v>
      </c>
      <c r="F954" s="12">
        <v>2007</v>
      </c>
      <c r="G954" s="142" t="s">
        <v>2587</v>
      </c>
      <c r="H954" s="162" t="s">
        <v>2588</v>
      </c>
      <c r="I954" s="12" t="s">
        <v>80</v>
      </c>
      <c r="J954" s="32" t="s">
        <v>26</v>
      </c>
      <c r="K954" s="138" t="s">
        <v>111</v>
      </c>
      <c r="L954" s="138" t="s">
        <v>40</v>
      </c>
      <c r="M954" s="137" t="s">
        <v>804</v>
      </c>
      <c r="N954" s="137"/>
      <c r="O954" s="138" t="s">
        <v>2589</v>
      </c>
      <c r="P954" s="138" t="s">
        <v>2590</v>
      </c>
      <c r="Q954" s="15" t="s">
        <v>35</v>
      </c>
      <c r="R954" s="132">
        <v>40512</v>
      </c>
      <c r="S954" s="16" t="s">
        <v>44</v>
      </c>
      <c r="T954" s="133">
        <v>40627</v>
      </c>
      <c r="U954" s="623"/>
      <c r="V954" s="623"/>
      <c r="W954" s="734">
        <v>137</v>
      </c>
      <c r="X954" s="7">
        <v>102.75</v>
      </c>
      <c r="Y954" s="7">
        <f t="shared" si="31"/>
        <v>0</v>
      </c>
      <c r="Z954" s="7">
        <f t="shared" si="33"/>
        <v>102.75</v>
      </c>
      <c r="AA954" s="469"/>
      <c r="AB954" s="504" t="s">
        <v>6115</v>
      </c>
      <c r="AC954" s="138"/>
      <c r="AD954" s="187">
        <v>0.75</v>
      </c>
      <c r="AE954" s="187"/>
      <c r="AF954" s="9">
        <f t="shared" si="32"/>
        <v>0.75</v>
      </c>
      <c r="AG954" s="138">
        <v>8.5</v>
      </c>
      <c r="AH954" s="138"/>
      <c r="AI954" s="718" t="s">
        <v>2591</v>
      </c>
      <c r="AJ954" s="138" t="s">
        <v>1188</v>
      </c>
      <c r="AK954" s="138" t="s">
        <v>1185</v>
      </c>
      <c r="AL954" s="93" t="s">
        <v>1178</v>
      </c>
    </row>
    <row r="955" spans="1:38" ht="15" customHeight="1" x14ac:dyDescent="0.3">
      <c r="A955" s="30" t="s">
        <v>140</v>
      </c>
      <c r="B955" s="153" t="s">
        <v>23</v>
      </c>
      <c r="C955" s="109">
        <v>15</v>
      </c>
      <c r="D955" s="11" t="s">
        <v>24</v>
      </c>
      <c r="E955" s="114">
        <v>40554</v>
      </c>
      <c r="F955" s="33">
        <v>2011</v>
      </c>
      <c r="G955" s="142" t="s">
        <v>2592</v>
      </c>
      <c r="H955" s="162" t="s">
        <v>2593</v>
      </c>
      <c r="I955" s="12" t="s">
        <v>80</v>
      </c>
      <c r="J955" s="37" t="s">
        <v>81</v>
      </c>
      <c r="K955" s="197" t="s">
        <v>141</v>
      </c>
      <c r="L955" s="137" t="s">
        <v>1319</v>
      </c>
      <c r="M955" s="137" t="s">
        <v>804</v>
      </c>
      <c r="N955" s="137"/>
      <c r="O955" s="93" t="s">
        <v>2594</v>
      </c>
      <c r="P955" s="138" t="s">
        <v>6023</v>
      </c>
      <c r="Q955" s="91"/>
      <c r="R955" s="132"/>
      <c r="S955" s="92"/>
      <c r="T955" s="139"/>
      <c r="U955" s="624"/>
      <c r="V955" s="624"/>
      <c r="W955" s="735">
        <v>5</v>
      </c>
      <c r="X955" s="7">
        <v>2.5</v>
      </c>
      <c r="Y955" s="7">
        <f t="shared" si="31"/>
        <v>0</v>
      </c>
      <c r="Z955" s="7">
        <f t="shared" si="33"/>
        <v>2.5</v>
      </c>
      <c r="AA955" s="469"/>
      <c r="AB955" s="479" t="s">
        <v>49</v>
      </c>
      <c r="AC955" s="480"/>
      <c r="AD955" s="187">
        <v>0.5</v>
      </c>
      <c r="AE955" s="187"/>
      <c r="AF955" s="9">
        <f t="shared" si="32"/>
        <v>0.5</v>
      </c>
      <c r="AG955" s="163">
        <v>8</v>
      </c>
      <c r="AH955" s="93"/>
      <c r="AI955" s="146"/>
      <c r="AJ955" s="93" t="s">
        <v>1188</v>
      </c>
      <c r="AK955" s="30" t="s">
        <v>1177</v>
      </c>
      <c r="AL955" s="93" t="s">
        <v>1178</v>
      </c>
    </row>
    <row r="956" spans="1:38" ht="15" customHeight="1" x14ac:dyDescent="0.3">
      <c r="A956" s="181" t="s">
        <v>22</v>
      </c>
      <c r="B956" s="153" t="s">
        <v>197</v>
      </c>
      <c r="C956" s="135">
        <v>4</v>
      </c>
      <c r="D956" s="136" t="s">
        <v>190</v>
      </c>
      <c r="E956" s="168">
        <v>39359</v>
      </c>
      <c r="F956" s="136">
        <v>2007</v>
      </c>
      <c r="G956" s="178" t="s">
        <v>2597</v>
      </c>
      <c r="H956" s="204" t="s">
        <v>2598</v>
      </c>
      <c r="I956" s="33" t="s">
        <v>33</v>
      </c>
      <c r="J956" s="32" t="s">
        <v>26</v>
      </c>
      <c r="K956" s="197" t="s">
        <v>103</v>
      </c>
      <c r="L956" s="746" t="s">
        <v>40</v>
      </c>
      <c r="M956" s="137" t="s">
        <v>804</v>
      </c>
      <c r="N956" s="746"/>
      <c r="O956" s="197" t="s">
        <v>2599</v>
      </c>
      <c r="P956" s="197" t="s">
        <v>2600</v>
      </c>
      <c r="Q956" s="15" t="s">
        <v>35</v>
      </c>
      <c r="R956" s="132">
        <v>40647</v>
      </c>
      <c r="S956" s="92"/>
      <c r="T956" s="92"/>
      <c r="U956" s="623"/>
      <c r="V956" s="624"/>
      <c r="W956" s="256">
        <v>150</v>
      </c>
      <c r="X956" s="7">
        <v>112.5</v>
      </c>
      <c r="Y956" s="7">
        <f t="shared" si="31"/>
        <v>0</v>
      </c>
      <c r="Z956" s="189">
        <f t="shared" si="33"/>
        <v>112.5</v>
      </c>
      <c r="AA956" s="469"/>
      <c r="AB956" s="564" t="s">
        <v>2595</v>
      </c>
      <c r="AC956" s="693"/>
      <c r="AD956" s="187">
        <v>0.75</v>
      </c>
      <c r="AE956" s="196"/>
      <c r="AF956" s="9">
        <f t="shared" si="32"/>
        <v>0.75</v>
      </c>
      <c r="AG956" s="138">
        <v>7</v>
      </c>
      <c r="AH956" s="138"/>
      <c r="AI956" s="718" t="s">
        <v>2602</v>
      </c>
      <c r="AJ956" s="138" t="s">
        <v>1188</v>
      </c>
      <c r="AK956" s="138" t="s">
        <v>1185</v>
      </c>
      <c r="AL956" s="138" t="s">
        <v>1178</v>
      </c>
    </row>
    <row r="957" spans="1:38" ht="15" customHeight="1" x14ac:dyDescent="0.3">
      <c r="A957" s="30" t="s">
        <v>2603</v>
      </c>
      <c r="B957" s="112" t="s">
        <v>2596</v>
      </c>
      <c r="C957" s="109" t="s">
        <v>2192</v>
      </c>
      <c r="D957" s="11" t="s">
        <v>225</v>
      </c>
      <c r="E957" s="156">
        <v>38899</v>
      </c>
      <c r="F957" s="33">
        <v>2006</v>
      </c>
      <c r="G957" s="157" t="s">
        <v>2255</v>
      </c>
      <c r="H957" s="161"/>
      <c r="I957" s="33" t="s">
        <v>33</v>
      </c>
      <c r="J957" s="32" t="s">
        <v>26</v>
      </c>
      <c r="K957" s="138" t="s">
        <v>1194</v>
      </c>
      <c r="L957" s="138" t="s">
        <v>1319</v>
      </c>
      <c r="M957" s="137" t="s">
        <v>804</v>
      </c>
      <c r="N957" s="238"/>
      <c r="O957" s="200" t="s">
        <v>2604</v>
      </c>
      <c r="P957" s="684" t="s">
        <v>2605</v>
      </c>
      <c r="Q957" s="15" t="s">
        <v>282</v>
      </c>
      <c r="R957" s="179">
        <v>39328</v>
      </c>
      <c r="S957" s="16" t="s">
        <v>44</v>
      </c>
      <c r="T957" s="133">
        <v>39416</v>
      </c>
      <c r="U957" s="623"/>
      <c r="V957" s="623"/>
      <c r="W957" s="734">
        <v>60</v>
      </c>
      <c r="X957" s="7">
        <v>30</v>
      </c>
      <c r="Y957" s="7">
        <f t="shared" si="31"/>
        <v>0</v>
      </c>
      <c r="Z957" s="7">
        <f t="shared" si="33"/>
        <v>30</v>
      </c>
      <c r="AA957" s="469"/>
      <c r="AB957" s="564" t="s">
        <v>1073</v>
      </c>
      <c r="AC957" s="693"/>
      <c r="AD957" s="187">
        <v>0.5</v>
      </c>
      <c r="AE957" s="187"/>
      <c r="AF957" s="9">
        <f t="shared" si="32"/>
        <v>0.5</v>
      </c>
      <c r="AG957" s="163">
        <v>7</v>
      </c>
      <c r="AH957" s="138" t="s">
        <v>2601</v>
      </c>
      <c r="AI957" s="138"/>
      <c r="AJ957" s="138" t="s">
        <v>1188</v>
      </c>
      <c r="AK957" s="30" t="s">
        <v>99</v>
      </c>
      <c r="AL957" s="200" t="s">
        <v>1178</v>
      </c>
    </row>
    <row r="958" spans="1:38" ht="15" customHeight="1" x14ac:dyDescent="0.3">
      <c r="A958" s="30" t="s">
        <v>22</v>
      </c>
      <c r="B958" s="153" t="s">
        <v>23</v>
      </c>
      <c r="C958" s="109">
        <v>10</v>
      </c>
      <c r="D958" s="11" t="s">
        <v>24</v>
      </c>
      <c r="E958" s="114">
        <v>40661</v>
      </c>
      <c r="F958" s="33">
        <v>2011</v>
      </c>
      <c r="G958" s="142" t="s">
        <v>2607</v>
      </c>
      <c r="H958" s="162" t="s">
        <v>2608</v>
      </c>
      <c r="I958" s="12" t="s">
        <v>25</v>
      </c>
      <c r="J958" s="32" t="s">
        <v>26</v>
      </c>
      <c r="K958" s="197" t="s">
        <v>50</v>
      </c>
      <c r="L958" s="137" t="s">
        <v>1319</v>
      </c>
      <c r="M958" s="137" t="s">
        <v>804</v>
      </c>
      <c r="N958" s="238"/>
      <c r="O958" s="146" t="s">
        <v>2609</v>
      </c>
      <c r="P958" s="138" t="s">
        <v>6024</v>
      </c>
      <c r="Q958" s="91"/>
      <c r="R958" s="132"/>
      <c r="S958" s="92"/>
      <c r="T958" s="139"/>
      <c r="U958" s="624"/>
      <c r="V958" s="624"/>
      <c r="W958" s="735">
        <v>54</v>
      </c>
      <c r="X958" s="7">
        <v>10.8</v>
      </c>
      <c r="Y958" s="7">
        <f t="shared" si="31"/>
        <v>0</v>
      </c>
      <c r="Z958" s="7">
        <f t="shared" si="33"/>
        <v>10.8</v>
      </c>
      <c r="AA958" s="469"/>
      <c r="AB958" s="479" t="s">
        <v>49</v>
      </c>
      <c r="AC958" s="480"/>
      <c r="AD958" s="187">
        <v>0.2</v>
      </c>
      <c r="AE958" s="187"/>
      <c r="AF958" s="9">
        <f t="shared" si="32"/>
        <v>0.2</v>
      </c>
      <c r="AG958" s="163">
        <v>6</v>
      </c>
      <c r="AH958" s="93" t="s">
        <v>2606</v>
      </c>
      <c r="AI958" s="719" t="s">
        <v>2610</v>
      </c>
      <c r="AJ958" s="93" t="s">
        <v>1188</v>
      </c>
      <c r="AK958" s="30" t="s">
        <v>1177</v>
      </c>
      <c r="AL958" s="93" t="s">
        <v>1178</v>
      </c>
    </row>
    <row r="959" spans="1:38" ht="15" customHeight="1" x14ac:dyDescent="0.3">
      <c r="A959" s="181" t="s">
        <v>22</v>
      </c>
      <c r="B959" s="167" t="s">
        <v>233</v>
      </c>
      <c r="C959" s="135">
        <v>1</v>
      </c>
      <c r="D959" s="11" t="s">
        <v>225</v>
      </c>
      <c r="E959" s="168">
        <v>39417</v>
      </c>
      <c r="F959" s="136">
        <v>2008</v>
      </c>
      <c r="G959" s="178"/>
      <c r="H959" s="204"/>
      <c r="I959" s="136" t="s">
        <v>80</v>
      </c>
      <c r="J959" s="32" t="s">
        <v>26</v>
      </c>
      <c r="K959" s="138" t="s">
        <v>111</v>
      </c>
      <c r="L959" s="138" t="s">
        <v>1319</v>
      </c>
      <c r="M959" s="137" t="s">
        <v>804</v>
      </c>
      <c r="N959" s="137"/>
      <c r="O959" s="138" t="s">
        <v>2611</v>
      </c>
      <c r="P959" s="138" t="s">
        <v>2612</v>
      </c>
      <c r="Q959" s="15" t="s">
        <v>282</v>
      </c>
      <c r="R959" s="132">
        <v>39996</v>
      </c>
      <c r="S959" s="16" t="s">
        <v>44</v>
      </c>
      <c r="T959" s="133">
        <v>40085</v>
      </c>
      <c r="U959" s="623"/>
      <c r="V959" s="623"/>
      <c r="W959" s="734">
        <v>60</v>
      </c>
      <c r="X959" s="7">
        <v>30</v>
      </c>
      <c r="Y959" s="7">
        <f t="shared" si="31"/>
        <v>0</v>
      </c>
      <c r="Z959" s="7">
        <f t="shared" si="33"/>
        <v>30</v>
      </c>
      <c r="AA959" s="469"/>
      <c r="AB959" s="564" t="s">
        <v>1073</v>
      </c>
      <c r="AC959" s="693"/>
      <c r="AD959" s="187">
        <v>0.5</v>
      </c>
      <c r="AE959" s="187"/>
      <c r="AF959" s="9">
        <f t="shared" si="32"/>
        <v>0.5</v>
      </c>
      <c r="AG959" s="138">
        <v>7.5</v>
      </c>
      <c r="AH959" s="138"/>
      <c r="AI959" s="138" t="s">
        <v>2613</v>
      </c>
      <c r="AJ959" s="138" t="s">
        <v>1188</v>
      </c>
      <c r="AK959" s="138" t="s">
        <v>1185</v>
      </c>
      <c r="AL959" s="138" t="s">
        <v>1178</v>
      </c>
    </row>
    <row r="960" spans="1:38" ht="15" customHeight="1" x14ac:dyDescent="0.3">
      <c r="A960" s="30" t="s">
        <v>140</v>
      </c>
      <c r="B960" s="301" t="s">
        <v>819</v>
      </c>
      <c r="C960" s="107">
        <v>2</v>
      </c>
      <c r="D960" s="11" t="s">
        <v>225</v>
      </c>
      <c r="E960" s="114">
        <v>38705</v>
      </c>
      <c r="F960" s="12">
        <v>2005</v>
      </c>
      <c r="G960" s="757"/>
      <c r="H960" s="162"/>
      <c r="I960" s="33" t="s">
        <v>33</v>
      </c>
      <c r="J960" s="30" t="s">
        <v>81</v>
      </c>
      <c r="K960" s="197" t="s">
        <v>141</v>
      </c>
      <c r="L960" s="137" t="s">
        <v>1049</v>
      </c>
      <c r="M960" s="137" t="s">
        <v>804</v>
      </c>
      <c r="N960" s="137"/>
      <c r="O960" s="93" t="s">
        <v>2614</v>
      </c>
      <c r="P960" s="758" t="s">
        <v>2615</v>
      </c>
      <c r="Q960" s="91"/>
      <c r="R960" s="91"/>
      <c r="S960" s="92"/>
      <c r="T960" s="92"/>
      <c r="U960" s="623"/>
      <c r="V960" s="624"/>
      <c r="W960" s="735">
        <v>10</v>
      </c>
      <c r="X960" s="7">
        <v>4</v>
      </c>
      <c r="Y960" s="7">
        <f t="shared" si="31"/>
        <v>0</v>
      </c>
      <c r="Z960" s="7">
        <f t="shared" si="33"/>
        <v>4</v>
      </c>
      <c r="AA960" s="469"/>
      <c r="AB960" s="504" t="s">
        <v>6115</v>
      </c>
      <c r="AC960" s="138"/>
      <c r="AD960" s="187">
        <v>0.4</v>
      </c>
      <c r="AE960" s="187"/>
      <c r="AF960" s="9">
        <f t="shared" si="32"/>
        <v>0.4</v>
      </c>
      <c r="AG960" s="163"/>
      <c r="AH960" s="93"/>
      <c r="AI960" s="718" t="s">
        <v>2616</v>
      </c>
      <c r="AJ960" s="93" t="s">
        <v>1188</v>
      </c>
      <c r="AK960" s="30" t="s">
        <v>1177</v>
      </c>
      <c r="AL960" s="93" t="s">
        <v>1178</v>
      </c>
    </row>
    <row r="961" spans="1:38" ht="15" customHeight="1" x14ac:dyDescent="0.3">
      <c r="A961" s="30" t="s">
        <v>22</v>
      </c>
      <c r="B961" s="153" t="s">
        <v>23</v>
      </c>
      <c r="C961" s="109">
        <v>1</v>
      </c>
      <c r="D961" s="11" t="s">
        <v>24</v>
      </c>
      <c r="E961" s="114">
        <v>39630</v>
      </c>
      <c r="F961" s="33">
        <v>2008</v>
      </c>
      <c r="G961" s="142" t="s">
        <v>2617</v>
      </c>
      <c r="H961" s="162" t="s">
        <v>2618</v>
      </c>
      <c r="I961" s="12" t="s">
        <v>80</v>
      </c>
      <c r="J961" s="32" t="s">
        <v>26</v>
      </c>
      <c r="K961" s="197" t="s">
        <v>111</v>
      </c>
      <c r="L961" s="137" t="s">
        <v>1319</v>
      </c>
      <c r="M961" s="137" t="s">
        <v>804</v>
      </c>
      <c r="N961" s="137"/>
      <c r="O961" s="93" t="s">
        <v>2619</v>
      </c>
      <c r="P961" s="138" t="s">
        <v>2620</v>
      </c>
      <c r="Q961" s="15" t="s">
        <v>282</v>
      </c>
      <c r="R961" s="132">
        <v>40263</v>
      </c>
      <c r="S961" s="16" t="s">
        <v>44</v>
      </c>
      <c r="T961" s="165">
        <v>40737</v>
      </c>
      <c r="U961" s="624"/>
      <c r="V961" s="624"/>
      <c r="W961" s="735">
        <v>42.6</v>
      </c>
      <c r="X961" s="7">
        <v>21.3</v>
      </c>
      <c r="Y961" s="7">
        <f t="shared" si="31"/>
        <v>0</v>
      </c>
      <c r="Z961" s="7">
        <f t="shared" si="33"/>
        <v>21.3</v>
      </c>
      <c r="AA961" s="469"/>
      <c r="AB961" s="513" t="s">
        <v>36</v>
      </c>
      <c r="AC961" s="147"/>
      <c r="AD961" s="187">
        <v>0.5</v>
      </c>
      <c r="AE961" s="187"/>
      <c r="AF961" s="9">
        <f t="shared" si="32"/>
        <v>0.5</v>
      </c>
      <c r="AG961" s="163">
        <v>7</v>
      </c>
      <c r="AH961" s="93" t="s">
        <v>5970</v>
      </c>
      <c r="AI961" s="146"/>
      <c r="AJ961" s="93" t="s">
        <v>1188</v>
      </c>
      <c r="AK961" s="30" t="s">
        <v>1185</v>
      </c>
      <c r="AL961" s="93" t="s">
        <v>1178</v>
      </c>
    </row>
    <row r="962" spans="1:38" ht="15" customHeight="1" x14ac:dyDescent="0.3">
      <c r="A962" s="30" t="s">
        <v>22</v>
      </c>
      <c r="B962" s="200" t="s">
        <v>6171</v>
      </c>
      <c r="C962" s="107" t="s">
        <v>240</v>
      </c>
      <c r="D962" s="11" t="s">
        <v>143</v>
      </c>
      <c r="E962" s="114">
        <v>39325</v>
      </c>
      <c r="F962" s="12">
        <v>2007</v>
      </c>
      <c r="G962" s="142" t="s">
        <v>2623</v>
      </c>
      <c r="H962" s="162" t="s">
        <v>2624</v>
      </c>
      <c r="I962" s="12" t="s">
        <v>25</v>
      </c>
      <c r="J962" s="32" t="s">
        <v>26</v>
      </c>
      <c r="K962" s="197" t="s">
        <v>1708</v>
      </c>
      <c r="L962" s="197" t="s">
        <v>1319</v>
      </c>
      <c r="M962" s="137" t="s">
        <v>804</v>
      </c>
      <c r="N962" s="137"/>
      <c r="O962" s="138" t="s">
        <v>2625</v>
      </c>
      <c r="P962" s="647" t="s">
        <v>2626</v>
      </c>
      <c r="Q962" s="15" t="s">
        <v>282</v>
      </c>
      <c r="R962" s="132">
        <v>39556</v>
      </c>
      <c r="S962" s="16" t="s">
        <v>44</v>
      </c>
      <c r="T962" s="133">
        <v>39616</v>
      </c>
      <c r="U962" s="623" t="s">
        <v>1336</v>
      </c>
      <c r="V962" s="180">
        <v>40764</v>
      </c>
      <c r="W962" s="735">
        <v>56</v>
      </c>
      <c r="X962" s="7">
        <v>28</v>
      </c>
      <c r="Y962" s="7">
        <f t="shared" ref="Y962:Y980" si="34">W962*AE962</f>
        <v>0</v>
      </c>
      <c r="Z962" s="7">
        <f t="shared" si="33"/>
        <v>28</v>
      </c>
      <c r="AA962" s="469"/>
      <c r="AB962" s="564" t="s">
        <v>2621</v>
      </c>
      <c r="AC962" s="693"/>
      <c r="AD962" s="187">
        <v>0.5</v>
      </c>
      <c r="AE962" s="187"/>
      <c r="AF962" s="9">
        <f t="shared" si="32"/>
        <v>0.5</v>
      </c>
      <c r="AG962" s="138">
        <v>8</v>
      </c>
      <c r="AH962" s="138" t="s">
        <v>2622</v>
      </c>
      <c r="AI962" s="138"/>
      <c r="AJ962" s="138" t="s">
        <v>1188</v>
      </c>
      <c r="AK962" s="30" t="s">
        <v>99</v>
      </c>
      <c r="AL962" s="93" t="s">
        <v>1178</v>
      </c>
    </row>
    <row r="963" spans="1:38" ht="15" customHeight="1" x14ac:dyDescent="0.3">
      <c r="A963" s="181" t="s">
        <v>22</v>
      </c>
      <c r="B963" s="167" t="s">
        <v>105</v>
      </c>
      <c r="C963" s="135">
        <v>12</v>
      </c>
      <c r="D963" s="11" t="s">
        <v>5936</v>
      </c>
      <c r="E963" s="168">
        <v>39645</v>
      </c>
      <c r="F963" s="136">
        <v>2008</v>
      </c>
      <c r="G963" s="178" t="s">
        <v>2627</v>
      </c>
      <c r="H963" s="204" t="s">
        <v>2628</v>
      </c>
      <c r="I963" s="30" t="s">
        <v>38</v>
      </c>
      <c r="J963" s="32" t="s">
        <v>26</v>
      </c>
      <c r="K963" s="138" t="s">
        <v>1930</v>
      </c>
      <c r="L963" s="138" t="s">
        <v>1319</v>
      </c>
      <c r="M963" s="137" t="s">
        <v>804</v>
      </c>
      <c r="N963" s="137"/>
      <c r="O963" s="138" t="s">
        <v>2629</v>
      </c>
      <c r="P963" s="138" t="s">
        <v>2630</v>
      </c>
      <c r="Q963" s="15" t="s">
        <v>282</v>
      </c>
      <c r="R963" s="132">
        <v>39969</v>
      </c>
      <c r="S963" s="16" t="s">
        <v>35</v>
      </c>
      <c r="T963" s="133">
        <v>40745</v>
      </c>
      <c r="U963" s="623"/>
      <c r="V963" s="623"/>
      <c r="W963" s="734">
        <v>35</v>
      </c>
      <c r="X963" s="7">
        <v>17.5</v>
      </c>
      <c r="Y963" s="7">
        <f t="shared" si="34"/>
        <v>0</v>
      </c>
      <c r="Z963" s="7">
        <f t="shared" si="33"/>
        <v>17.5</v>
      </c>
      <c r="AA963" s="469"/>
      <c r="AB963" s="564" t="s">
        <v>1073</v>
      </c>
      <c r="AC963" s="693"/>
      <c r="AD963" s="187">
        <v>0.5</v>
      </c>
      <c r="AE963" s="187"/>
      <c r="AF963" s="9">
        <f t="shared" ref="AF963:AF980" si="35">AD963+AE963</f>
        <v>0.5</v>
      </c>
      <c r="AG963" s="138">
        <v>7.5</v>
      </c>
      <c r="AH963" s="138"/>
      <c r="AI963" s="718" t="s">
        <v>2631</v>
      </c>
      <c r="AJ963" s="138" t="s">
        <v>1188</v>
      </c>
      <c r="AK963" s="138" t="s">
        <v>1185</v>
      </c>
      <c r="AL963" s="138" t="s">
        <v>1178</v>
      </c>
    </row>
    <row r="964" spans="1:38" ht="15" customHeight="1" x14ac:dyDescent="0.3">
      <c r="A964" s="30" t="s">
        <v>22</v>
      </c>
      <c r="B964" s="30" t="s">
        <v>23</v>
      </c>
      <c r="C964" s="30">
        <v>17</v>
      </c>
      <c r="D964" s="11" t="s">
        <v>24</v>
      </c>
      <c r="E964" s="108">
        <v>40729</v>
      </c>
      <c r="F964" s="30">
        <v>2011</v>
      </c>
      <c r="G964" s="30" t="s">
        <v>2632</v>
      </c>
      <c r="H964" s="162" t="s">
        <v>2633</v>
      </c>
      <c r="I964" s="12" t="s">
        <v>80</v>
      </c>
      <c r="J964" s="32" t="s">
        <v>26</v>
      </c>
      <c r="K964" s="30" t="s">
        <v>50</v>
      </c>
      <c r="L964" s="137" t="s">
        <v>1319</v>
      </c>
      <c r="M964" s="137" t="s">
        <v>804</v>
      </c>
      <c r="N964" s="37"/>
      <c r="O964" s="146" t="s">
        <v>2634</v>
      </c>
      <c r="P964" s="138" t="s">
        <v>6025</v>
      </c>
      <c r="Q964" s="91"/>
      <c r="R964" s="132"/>
      <c r="S964" s="92"/>
      <c r="T964" s="139"/>
      <c r="U964" s="624"/>
      <c r="V964" s="624"/>
      <c r="W964" s="735">
        <v>86.7</v>
      </c>
      <c r="X964" s="30">
        <v>17.34</v>
      </c>
      <c r="Y964" s="7">
        <f t="shared" si="34"/>
        <v>0</v>
      </c>
      <c r="Z964" s="7">
        <f t="shared" si="33"/>
        <v>17.34</v>
      </c>
      <c r="AA964" s="469"/>
      <c r="AB964" s="479" t="s">
        <v>49</v>
      </c>
      <c r="AC964" s="480"/>
      <c r="AD964" s="187">
        <v>0.2</v>
      </c>
      <c r="AE964" s="187"/>
      <c r="AF964" s="9">
        <f t="shared" si="35"/>
        <v>0.2</v>
      </c>
      <c r="AG964" s="30">
        <v>6</v>
      </c>
      <c r="AH964" s="30" t="s">
        <v>2065</v>
      </c>
      <c r="AI964" s="750" t="s">
        <v>2635</v>
      </c>
      <c r="AJ964" s="30" t="s">
        <v>1188</v>
      </c>
      <c r="AK964" s="30" t="s">
        <v>1177</v>
      </c>
      <c r="AL964" s="93" t="s">
        <v>1178</v>
      </c>
    </row>
    <row r="965" spans="1:38" ht="15" customHeight="1" x14ac:dyDescent="0.3">
      <c r="A965" s="30" t="s">
        <v>22</v>
      </c>
      <c r="B965" s="167" t="s">
        <v>148</v>
      </c>
      <c r="C965" s="107">
        <v>8</v>
      </c>
      <c r="D965" s="11" t="s">
        <v>143</v>
      </c>
      <c r="E965" s="114">
        <v>38785</v>
      </c>
      <c r="F965" s="12">
        <v>2006</v>
      </c>
      <c r="G965" s="142" t="s">
        <v>2636</v>
      </c>
      <c r="H965" s="162" t="s">
        <v>2637</v>
      </c>
      <c r="I965" s="33" t="s">
        <v>33</v>
      </c>
      <c r="J965" s="32" t="s">
        <v>26</v>
      </c>
      <c r="K965" s="197" t="s">
        <v>1708</v>
      </c>
      <c r="L965" s="138" t="s">
        <v>1319</v>
      </c>
      <c r="M965" s="137" t="s">
        <v>804</v>
      </c>
      <c r="N965" s="137"/>
      <c r="O965" s="93" t="s">
        <v>2638</v>
      </c>
      <c r="P965" s="138" t="s">
        <v>6026</v>
      </c>
      <c r="Q965" s="91"/>
      <c r="R965" s="91"/>
      <c r="S965" s="92"/>
      <c r="T965" s="92"/>
      <c r="U965" s="623"/>
      <c r="V965" s="624"/>
      <c r="W965" s="735">
        <v>60</v>
      </c>
      <c r="X965" s="7">
        <v>30</v>
      </c>
      <c r="Y965" s="7">
        <f t="shared" si="34"/>
        <v>0</v>
      </c>
      <c r="Z965" s="7">
        <f t="shared" si="33"/>
        <v>30</v>
      </c>
      <c r="AA965" s="469"/>
      <c r="AB965" s="518" t="s">
        <v>5972</v>
      </c>
      <c r="AC965" s="519"/>
      <c r="AD965" s="187">
        <v>0.5</v>
      </c>
      <c r="AE965" s="187"/>
      <c r="AF965" s="9">
        <f t="shared" si="35"/>
        <v>0.5</v>
      </c>
      <c r="AG965" s="163"/>
      <c r="AH965" s="93" t="s">
        <v>2566</v>
      </c>
      <c r="AI965" s="93"/>
      <c r="AJ965" s="93" t="s">
        <v>1188</v>
      </c>
      <c r="AK965" s="30" t="s">
        <v>1177</v>
      </c>
      <c r="AL965" s="93" t="s">
        <v>1178</v>
      </c>
    </row>
    <row r="966" spans="1:38" ht="15" customHeight="1" x14ac:dyDescent="0.3">
      <c r="A966" s="181" t="s">
        <v>22</v>
      </c>
      <c r="B966" s="167" t="s">
        <v>105</v>
      </c>
      <c r="C966" s="135">
        <v>15</v>
      </c>
      <c r="D966" s="11" t="s">
        <v>5936</v>
      </c>
      <c r="E966" s="168">
        <v>39408</v>
      </c>
      <c r="F966" s="136">
        <v>2007</v>
      </c>
      <c r="G966" s="178" t="s">
        <v>2639</v>
      </c>
      <c r="H966" s="204" t="s">
        <v>2640</v>
      </c>
      <c r="I966" s="33" t="s">
        <v>33</v>
      </c>
      <c r="J966" s="32" t="s">
        <v>26</v>
      </c>
      <c r="K966" s="138" t="s">
        <v>1930</v>
      </c>
      <c r="L966" s="138" t="s">
        <v>40</v>
      </c>
      <c r="M966" s="137" t="s">
        <v>804</v>
      </c>
      <c r="N966" s="137"/>
      <c r="O966" s="138" t="s">
        <v>2641</v>
      </c>
      <c r="P966" s="138" t="s">
        <v>2642</v>
      </c>
      <c r="Q966" s="15" t="s">
        <v>282</v>
      </c>
      <c r="R966" s="132">
        <v>40074</v>
      </c>
      <c r="S966" s="16" t="s">
        <v>35</v>
      </c>
      <c r="T966" s="133">
        <v>40816</v>
      </c>
      <c r="U966" s="623"/>
      <c r="V966" s="623"/>
      <c r="W966" s="734">
        <v>40</v>
      </c>
      <c r="X966" s="7">
        <v>40</v>
      </c>
      <c r="Y966" s="7">
        <f t="shared" si="34"/>
        <v>0</v>
      </c>
      <c r="Z966" s="7">
        <f t="shared" si="33"/>
        <v>40</v>
      </c>
      <c r="AA966" s="469"/>
      <c r="AB966" s="564" t="s">
        <v>1073</v>
      </c>
      <c r="AC966" s="693"/>
      <c r="AD966" s="187">
        <v>1</v>
      </c>
      <c r="AE966" s="187"/>
      <c r="AF966" s="9">
        <f t="shared" si="35"/>
        <v>1</v>
      </c>
      <c r="AG966" s="138">
        <v>7.5</v>
      </c>
      <c r="AH966" s="138"/>
      <c r="AI966" s="718" t="s">
        <v>2644</v>
      </c>
      <c r="AJ966" s="138" t="s">
        <v>1188</v>
      </c>
      <c r="AK966" s="138" t="s">
        <v>1185</v>
      </c>
      <c r="AL966" s="138" t="s">
        <v>1178</v>
      </c>
    </row>
    <row r="967" spans="1:38" ht="15" customHeight="1" x14ac:dyDescent="0.3">
      <c r="A967" s="181" t="s">
        <v>22</v>
      </c>
      <c r="B967" s="153" t="s">
        <v>105</v>
      </c>
      <c r="C967" s="135">
        <v>28</v>
      </c>
      <c r="D967" s="11" t="s">
        <v>5936</v>
      </c>
      <c r="E967" s="168">
        <v>40029</v>
      </c>
      <c r="F967" s="136">
        <v>2009</v>
      </c>
      <c r="G967" s="178" t="s">
        <v>2645</v>
      </c>
      <c r="H967" s="204" t="s">
        <v>2646</v>
      </c>
      <c r="I967" s="136" t="s">
        <v>80</v>
      </c>
      <c r="J967" s="32" t="s">
        <v>26</v>
      </c>
      <c r="K967" s="197" t="s">
        <v>1930</v>
      </c>
      <c r="L967" s="746" t="s">
        <v>40</v>
      </c>
      <c r="M967" s="137" t="s">
        <v>804</v>
      </c>
      <c r="N967" s="746"/>
      <c r="O967" s="197" t="s">
        <v>2647</v>
      </c>
      <c r="P967" s="197" t="s">
        <v>2648</v>
      </c>
      <c r="Q967" s="15" t="s">
        <v>35</v>
      </c>
      <c r="R967" s="227">
        <v>40289</v>
      </c>
      <c r="S967" s="16" t="s">
        <v>35</v>
      </c>
      <c r="T967" s="756">
        <v>40686</v>
      </c>
      <c r="U967" s="737"/>
      <c r="V967" s="733"/>
      <c r="W967" s="256">
        <v>23.8</v>
      </c>
      <c r="X967" s="7">
        <v>23.8</v>
      </c>
      <c r="Y967" s="7">
        <f t="shared" si="34"/>
        <v>0</v>
      </c>
      <c r="Z967" s="7">
        <f t="shared" si="33"/>
        <v>23.8</v>
      </c>
      <c r="AA967" s="469"/>
      <c r="AB967" s="564" t="s">
        <v>1073</v>
      </c>
      <c r="AC967" s="693"/>
      <c r="AD967" s="187">
        <v>1</v>
      </c>
      <c r="AE967" s="195"/>
      <c r="AF967" s="9">
        <f t="shared" si="35"/>
        <v>1</v>
      </c>
      <c r="AG967" s="30">
        <v>7</v>
      </c>
      <c r="AH967" s="30" t="s">
        <v>2643</v>
      </c>
      <c r="AI967" s="750" t="s">
        <v>2649</v>
      </c>
      <c r="AJ967" s="30" t="s">
        <v>1188</v>
      </c>
      <c r="AK967" s="30" t="s">
        <v>1185</v>
      </c>
      <c r="AL967" s="30" t="s">
        <v>1178</v>
      </c>
    </row>
    <row r="968" spans="1:38" ht="15" customHeight="1" x14ac:dyDescent="0.3">
      <c r="A968" s="30" t="s">
        <v>22</v>
      </c>
      <c r="B968" s="140" t="s">
        <v>105</v>
      </c>
      <c r="C968" s="107">
        <v>4</v>
      </c>
      <c r="D968" s="11" t="s">
        <v>5936</v>
      </c>
      <c r="E968" s="114">
        <v>39052</v>
      </c>
      <c r="F968" s="12">
        <v>2006</v>
      </c>
      <c r="G968" s="142" t="s">
        <v>1212</v>
      </c>
      <c r="H968" s="162" t="s">
        <v>2650</v>
      </c>
      <c r="I968" s="33" t="s">
        <v>33</v>
      </c>
      <c r="J968" s="32" t="s">
        <v>191</v>
      </c>
      <c r="K968" s="162" t="s">
        <v>1173</v>
      </c>
      <c r="L968" s="138" t="s">
        <v>1319</v>
      </c>
      <c r="M968" s="137" t="s">
        <v>804</v>
      </c>
      <c r="N968" s="238"/>
      <c r="O968" s="146" t="s">
        <v>2651</v>
      </c>
      <c r="P968" s="138" t="s">
        <v>2652</v>
      </c>
      <c r="Q968" s="15" t="s">
        <v>35</v>
      </c>
      <c r="R968" s="132">
        <v>39479</v>
      </c>
      <c r="S968" s="16" t="s">
        <v>44</v>
      </c>
      <c r="T968" s="133">
        <v>39933</v>
      </c>
      <c r="U968" s="623"/>
      <c r="V968" s="623"/>
      <c r="W968" s="734">
        <v>30</v>
      </c>
      <c r="X968" s="7">
        <v>22.5</v>
      </c>
      <c r="Y968" s="7">
        <f t="shared" si="34"/>
        <v>0</v>
      </c>
      <c r="Z968" s="7">
        <f t="shared" si="33"/>
        <v>22.5</v>
      </c>
      <c r="AA968" s="469"/>
      <c r="AB968" s="564" t="s">
        <v>1073</v>
      </c>
      <c r="AC968" s="693"/>
      <c r="AD968" s="187">
        <v>0.75</v>
      </c>
      <c r="AE968" s="187"/>
      <c r="AF968" s="9">
        <f t="shared" si="35"/>
        <v>0.75</v>
      </c>
      <c r="AG968" s="138">
        <v>7.5</v>
      </c>
      <c r="AH968" s="138"/>
      <c r="AI968" s="138" t="s">
        <v>2653</v>
      </c>
      <c r="AJ968" s="138" t="s">
        <v>1188</v>
      </c>
      <c r="AK968" s="138" t="s">
        <v>1185</v>
      </c>
      <c r="AL968" s="93" t="s">
        <v>1178</v>
      </c>
    </row>
    <row r="969" spans="1:38" ht="15" customHeight="1" x14ac:dyDescent="0.3">
      <c r="A969" s="30" t="s">
        <v>22</v>
      </c>
      <c r="B969" s="120" t="s">
        <v>23</v>
      </c>
      <c r="C969" s="107">
        <v>14</v>
      </c>
      <c r="D969" s="11" t="s">
        <v>24</v>
      </c>
      <c r="E969" s="114">
        <v>38911</v>
      </c>
      <c r="F969" s="12">
        <v>2006</v>
      </c>
      <c r="G969" s="142" t="s">
        <v>2654</v>
      </c>
      <c r="H969" s="162" t="s">
        <v>2655</v>
      </c>
      <c r="I969" s="12" t="s">
        <v>80</v>
      </c>
      <c r="J969" s="32" t="s">
        <v>26</v>
      </c>
      <c r="K969" s="197" t="s">
        <v>180</v>
      </c>
      <c r="L969" s="138" t="s">
        <v>1319</v>
      </c>
      <c r="M969" s="137" t="s">
        <v>804</v>
      </c>
      <c r="N969" s="137"/>
      <c r="O969" s="138" t="s">
        <v>2656</v>
      </c>
      <c r="P969" s="138" t="s">
        <v>2657</v>
      </c>
      <c r="Q969" s="15" t="s">
        <v>282</v>
      </c>
      <c r="R969" s="164">
        <v>40158</v>
      </c>
      <c r="S969" s="16" t="s">
        <v>44</v>
      </c>
      <c r="T969" s="165">
        <v>40847</v>
      </c>
      <c r="U969" s="624"/>
      <c r="V969" s="624"/>
      <c r="W969" s="735">
        <v>20</v>
      </c>
      <c r="X969" s="7">
        <v>10</v>
      </c>
      <c r="Y969" s="7">
        <f t="shared" si="34"/>
        <v>0</v>
      </c>
      <c r="Z969" s="7">
        <f t="shared" si="33"/>
        <v>10</v>
      </c>
      <c r="AA969" s="469"/>
      <c r="AB969" s="564" t="s">
        <v>36</v>
      </c>
      <c r="AC969" s="693"/>
      <c r="AD969" s="187">
        <v>0.5</v>
      </c>
      <c r="AE969" s="187"/>
      <c r="AF969" s="9">
        <f t="shared" si="35"/>
        <v>0.5</v>
      </c>
      <c r="AG969" s="138">
        <v>7</v>
      </c>
      <c r="AH969" s="93" t="s">
        <v>6008</v>
      </c>
      <c r="AI969" s="138"/>
      <c r="AJ969" s="138" t="s">
        <v>1188</v>
      </c>
      <c r="AK969" s="138" t="s">
        <v>1185</v>
      </c>
      <c r="AL969" s="93" t="s">
        <v>1178</v>
      </c>
    </row>
    <row r="970" spans="1:38" ht="15" customHeight="1" x14ac:dyDescent="0.3">
      <c r="A970" s="30" t="s">
        <v>140</v>
      </c>
      <c r="B970" s="145" t="s">
        <v>144</v>
      </c>
      <c r="C970" s="107">
        <v>7</v>
      </c>
      <c r="D970" s="11" t="s">
        <v>143</v>
      </c>
      <c r="E970" s="108">
        <v>37016</v>
      </c>
      <c r="F970" s="12">
        <v>2001</v>
      </c>
      <c r="G970" s="142" t="s">
        <v>2658</v>
      </c>
      <c r="H970" s="162" t="s">
        <v>2659</v>
      </c>
      <c r="I970" s="33" t="s">
        <v>33</v>
      </c>
      <c r="J970" s="30" t="s">
        <v>81</v>
      </c>
      <c r="K970" s="197" t="s">
        <v>141</v>
      </c>
      <c r="L970" s="137" t="s">
        <v>1049</v>
      </c>
      <c r="M970" s="137" t="s">
        <v>804</v>
      </c>
      <c r="N970" s="137"/>
      <c r="O970" s="93" t="s">
        <v>2660</v>
      </c>
      <c r="P970" s="138" t="s">
        <v>6027</v>
      </c>
      <c r="Q970" s="15" t="s">
        <v>35</v>
      </c>
      <c r="R970" s="132">
        <v>40715</v>
      </c>
      <c r="S970" s="92"/>
      <c r="T970" s="92"/>
      <c r="U970" s="623"/>
      <c r="V970" s="624"/>
      <c r="W970" s="735">
        <v>15</v>
      </c>
      <c r="X970" s="7">
        <v>7.5</v>
      </c>
      <c r="Y970" s="7">
        <f t="shared" si="34"/>
        <v>0</v>
      </c>
      <c r="Z970" s="7">
        <f t="shared" si="33"/>
        <v>7.5</v>
      </c>
      <c r="AA970" s="469"/>
      <c r="AB970" s="503" t="s">
        <v>6055</v>
      </c>
      <c r="AC970" s="222"/>
      <c r="AD970" s="187">
        <v>0.5</v>
      </c>
      <c r="AE970" s="187"/>
      <c r="AF970" s="9">
        <f t="shared" si="35"/>
        <v>0.5</v>
      </c>
      <c r="AG970" s="163">
        <v>10</v>
      </c>
      <c r="AH970" s="93"/>
      <c r="AI970" s="93"/>
      <c r="AJ970" s="93" t="s">
        <v>1188</v>
      </c>
      <c r="AK970" s="30" t="s">
        <v>1177</v>
      </c>
      <c r="AL970" s="93" t="s">
        <v>1178</v>
      </c>
    </row>
    <row r="971" spans="1:38" ht="15" customHeight="1" x14ac:dyDescent="0.3">
      <c r="A971" s="30" t="s">
        <v>22</v>
      </c>
      <c r="B971" s="140" t="s">
        <v>144</v>
      </c>
      <c r="C971" s="107">
        <v>4</v>
      </c>
      <c r="D971" s="11" t="s">
        <v>143</v>
      </c>
      <c r="E971" s="114">
        <v>39000</v>
      </c>
      <c r="F971" s="12">
        <v>2006</v>
      </c>
      <c r="G971" s="142" t="s">
        <v>2661</v>
      </c>
      <c r="H971" s="204" t="s">
        <v>2662</v>
      </c>
      <c r="I971" s="12" t="s">
        <v>25</v>
      </c>
      <c r="J971" s="32" t="s">
        <v>26</v>
      </c>
      <c r="K971" s="197" t="s">
        <v>111</v>
      </c>
      <c r="L971" s="138" t="s">
        <v>1319</v>
      </c>
      <c r="M971" s="137" t="s">
        <v>804</v>
      </c>
      <c r="N971" s="137"/>
      <c r="O971" s="138" t="s">
        <v>2663</v>
      </c>
      <c r="P971" s="138" t="s">
        <v>2664</v>
      </c>
      <c r="Q971" s="15" t="s">
        <v>282</v>
      </c>
      <c r="R971" s="132">
        <v>40015</v>
      </c>
      <c r="S971" s="16" t="s">
        <v>44</v>
      </c>
      <c r="T971" s="133">
        <v>40662</v>
      </c>
      <c r="U971" s="623"/>
      <c r="V971" s="624"/>
      <c r="W971" s="735">
        <v>40</v>
      </c>
      <c r="X971" s="7">
        <v>20</v>
      </c>
      <c r="Y971" s="7">
        <f t="shared" si="34"/>
        <v>0</v>
      </c>
      <c r="Z971" s="7">
        <f t="shared" si="33"/>
        <v>20</v>
      </c>
      <c r="AA971" s="469"/>
      <c r="AB971" s="564" t="s">
        <v>147</v>
      </c>
      <c r="AC971" s="693"/>
      <c r="AD971" s="187">
        <v>0.5</v>
      </c>
      <c r="AE971" s="187"/>
      <c r="AF971" s="9">
        <f t="shared" si="35"/>
        <v>0.5</v>
      </c>
      <c r="AG971" s="138"/>
      <c r="AH971" s="138"/>
      <c r="AI971" s="138"/>
      <c r="AJ971" s="138" t="s">
        <v>1188</v>
      </c>
      <c r="AK971" s="138" t="s">
        <v>1185</v>
      </c>
      <c r="AL971" s="93" t="s">
        <v>1178</v>
      </c>
    </row>
    <row r="972" spans="1:38" ht="15" customHeight="1" x14ac:dyDescent="0.3">
      <c r="A972" s="30" t="s">
        <v>22</v>
      </c>
      <c r="B972" s="154" t="s">
        <v>144</v>
      </c>
      <c r="C972" s="107">
        <v>3</v>
      </c>
      <c r="D972" s="11" t="s">
        <v>143</v>
      </c>
      <c r="E972" s="114">
        <v>39197</v>
      </c>
      <c r="F972" s="12">
        <v>2007</v>
      </c>
      <c r="G972" s="142" t="s">
        <v>2665</v>
      </c>
      <c r="H972" s="162"/>
      <c r="I972" s="12" t="s">
        <v>25</v>
      </c>
      <c r="J972" s="32" t="s">
        <v>26</v>
      </c>
      <c r="K972" s="197" t="s">
        <v>111</v>
      </c>
      <c r="L972" s="197" t="s">
        <v>1319</v>
      </c>
      <c r="M972" s="137" t="s">
        <v>804</v>
      </c>
      <c r="N972" s="137"/>
      <c r="O972" s="138" t="s">
        <v>2666</v>
      </c>
      <c r="P972" s="138" t="s">
        <v>2667</v>
      </c>
      <c r="Q972" s="15" t="s">
        <v>282</v>
      </c>
      <c r="R972" s="132">
        <v>40134</v>
      </c>
      <c r="S972" s="16" t="s">
        <v>44</v>
      </c>
      <c r="T972" s="133">
        <v>40512</v>
      </c>
      <c r="U972" s="623"/>
      <c r="V972" s="624"/>
      <c r="W972" s="735">
        <v>35.6</v>
      </c>
      <c r="X972" s="7">
        <v>14.240000000000002</v>
      </c>
      <c r="Y972" s="7">
        <f t="shared" si="34"/>
        <v>0</v>
      </c>
      <c r="Z972" s="7">
        <f t="shared" si="33"/>
        <v>14.240000000000002</v>
      </c>
      <c r="AA972" s="469"/>
      <c r="AB972" s="564" t="s">
        <v>147</v>
      </c>
      <c r="AC972" s="693"/>
      <c r="AD972" s="187">
        <v>0.4</v>
      </c>
      <c r="AE972" s="187"/>
      <c r="AF972" s="9">
        <f t="shared" si="35"/>
        <v>0.4</v>
      </c>
      <c r="AG972" s="138">
        <v>9</v>
      </c>
      <c r="AH972" s="138"/>
      <c r="AI972" s="138"/>
      <c r="AJ972" s="138" t="s">
        <v>1188</v>
      </c>
      <c r="AK972" s="138" t="s">
        <v>1185</v>
      </c>
      <c r="AL972" s="93" t="s">
        <v>1178</v>
      </c>
    </row>
    <row r="973" spans="1:38" ht="15" customHeight="1" x14ac:dyDescent="0.3">
      <c r="A973" s="30" t="s">
        <v>22</v>
      </c>
      <c r="B973" s="120" t="s">
        <v>144</v>
      </c>
      <c r="C973" s="107">
        <v>14</v>
      </c>
      <c r="D973" s="11" t="s">
        <v>143</v>
      </c>
      <c r="E973" s="114">
        <v>40074</v>
      </c>
      <c r="F973" s="12">
        <v>2009</v>
      </c>
      <c r="G973" s="142" t="s">
        <v>2668</v>
      </c>
      <c r="H973" s="162" t="s">
        <v>2669</v>
      </c>
      <c r="I973" s="33" t="s">
        <v>33</v>
      </c>
      <c r="J973" s="32" t="s">
        <v>26</v>
      </c>
      <c r="K973" s="197" t="s">
        <v>103</v>
      </c>
      <c r="L973" s="197" t="s">
        <v>1319</v>
      </c>
      <c r="M973" s="137" t="s">
        <v>804</v>
      </c>
      <c r="N973" s="197"/>
      <c r="O973" s="197" t="s">
        <v>2670</v>
      </c>
      <c r="P973" s="197" t="s">
        <v>2671</v>
      </c>
      <c r="Q973" s="15" t="s">
        <v>282</v>
      </c>
      <c r="R973" s="164">
        <v>40157</v>
      </c>
      <c r="S973" s="16" t="s">
        <v>44</v>
      </c>
      <c r="T973" s="165">
        <v>40526</v>
      </c>
      <c r="U973" s="624"/>
      <c r="V973" s="624"/>
      <c r="W973" s="735">
        <v>40</v>
      </c>
      <c r="X973" s="7">
        <v>20</v>
      </c>
      <c r="Y973" s="7">
        <f t="shared" si="34"/>
        <v>0</v>
      </c>
      <c r="Z973" s="7">
        <f t="shared" si="33"/>
        <v>20</v>
      </c>
      <c r="AA973" s="469"/>
      <c r="AB973" s="503" t="s">
        <v>6055</v>
      </c>
      <c r="AC973" s="222"/>
      <c r="AD973" s="187">
        <v>0.5</v>
      </c>
      <c r="AE973" s="187"/>
      <c r="AF973" s="9">
        <f t="shared" si="35"/>
        <v>0.5</v>
      </c>
      <c r="AG973" s="138"/>
      <c r="AH973" s="138"/>
      <c r="AI973" s="138"/>
      <c r="AJ973" s="138" t="s">
        <v>1188</v>
      </c>
      <c r="AK973" s="138" t="s">
        <v>1185</v>
      </c>
      <c r="AL973" s="93" t="s">
        <v>1178</v>
      </c>
    </row>
    <row r="974" spans="1:38" ht="15" customHeight="1" x14ac:dyDescent="0.3">
      <c r="A974" s="30" t="s">
        <v>22</v>
      </c>
      <c r="B974" s="153" t="s">
        <v>148</v>
      </c>
      <c r="C974" s="107">
        <v>4</v>
      </c>
      <c r="D974" s="11" t="s">
        <v>143</v>
      </c>
      <c r="E974" s="108">
        <v>37956</v>
      </c>
      <c r="F974" s="12">
        <v>2003</v>
      </c>
      <c r="G974" s="142" t="s">
        <v>2673</v>
      </c>
      <c r="H974" s="162" t="s">
        <v>2674</v>
      </c>
      <c r="I974" s="33" t="s">
        <v>33</v>
      </c>
      <c r="J974" s="32" t="s">
        <v>26</v>
      </c>
      <c r="K974" s="197" t="s">
        <v>1668</v>
      </c>
      <c r="L974" s="137" t="s">
        <v>40</v>
      </c>
      <c r="M974" s="137" t="s">
        <v>804</v>
      </c>
      <c r="N974" s="137"/>
      <c r="O974" s="93" t="s">
        <v>2675</v>
      </c>
      <c r="P974" s="138" t="s">
        <v>2676</v>
      </c>
      <c r="Q974" s="15" t="s">
        <v>282</v>
      </c>
      <c r="R974" s="132">
        <v>38789</v>
      </c>
      <c r="S974" s="16" t="s">
        <v>44</v>
      </c>
      <c r="T974" s="133">
        <v>39317</v>
      </c>
      <c r="U974" s="623"/>
      <c r="V974" s="624"/>
      <c r="W974" s="735">
        <v>100</v>
      </c>
      <c r="X974" s="7">
        <v>50</v>
      </c>
      <c r="Y974" s="7">
        <f t="shared" si="34"/>
        <v>0</v>
      </c>
      <c r="Z974" s="7">
        <f t="shared" si="33"/>
        <v>50</v>
      </c>
      <c r="AA974" s="469"/>
      <c r="AB974" s="518" t="s">
        <v>5972</v>
      </c>
      <c r="AC974" s="519"/>
      <c r="AD974" s="187">
        <v>0.5</v>
      </c>
      <c r="AE974" s="187"/>
      <c r="AF974" s="9">
        <f t="shared" si="35"/>
        <v>0.5</v>
      </c>
      <c r="AG974" s="163"/>
      <c r="AH974" s="93" t="s">
        <v>2672</v>
      </c>
      <c r="AI974" s="93"/>
      <c r="AJ974" s="93" t="s">
        <v>1188</v>
      </c>
      <c r="AK974" s="30" t="s">
        <v>1185</v>
      </c>
      <c r="AL974" s="93" t="s">
        <v>1178</v>
      </c>
    </row>
    <row r="975" spans="1:38" ht="15" customHeight="1" x14ac:dyDescent="0.3">
      <c r="A975" s="30" t="s">
        <v>22</v>
      </c>
      <c r="B975" s="145" t="s">
        <v>144</v>
      </c>
      <c r="C975" s="107">
        <v>2</v>
      </c>
      <c r="D975" s="11" t="s">
        <v>143</v>
      </c>
      <c r="E975" s="108">
        <v>36334</v>
      </c>
      <c r="F975" s="12">
        <v>1999</v>
      </c>
      <c r="G975" s="142" t="s">
        <v>2677</v>
      </c>
      <c r="H975" s="162" t="s">
        <v>2678</v>
      </c>
      <c r="I975" s="57" t="s">
        <v>6176</v>
      </c>
      <c r="J975" s="30" t="s">
        <v>67</v>
      </c>
      <c r="K975" s="197" t="s">
        <v>1612</v>
      </c>
      <c r="L975" s="137" t="s">
        <v>40</v>
      </c>
      <c r="M975" s="137" t="s">
        <v>804</v>
      </c>
      <c r="N975" s="137"/>
      <c r="O975" s="93" t="s">
        <v>2679</v>
      </c>
      <c r="P975" s="138" t="s">
        <v>6028</v>
      </c>
      <c r="Q975" s="91"/>
      <c r="R975" s="91"/>
      <c r="S975" s="92"/>
      <c r="T975" s="92"/>
      <c r="U975" s="623"/>
      <c r="V975" s="624"/>
      <c r="W975" s="735">
        <v>25</v>
      </c>
      <c r="X975" s="7">
        <v>10</v>
      </c>
      <c r="Y975" s="7">
        <f t="shared" si="34"/>
        <v>0</v>
      </c>
      <c r="Z975" s="7">
        <f t="shared" si="33"/>
        <v>10</v>
      </c>
      <c r="AA975" s="469"/>
      <c r="AB975" s="503" t="s">
        <v>6055</v>
      </c>
      <c r="AC975" s="222"/>
      <c r="AD975" s="187">
        <v>0.4</v>
      </c>
      <c r="AE975" s="187"/>
      <c r="AF975" s="9">
        <f t="shared" si="35"/>
        <v>0.4</v>
      </c>
      <c r="AG975" s="88">
        <v>10</v>
      </c>
      <c r="AH975" s="93"/>
      <c r="AI975" s="93"/>
      <c r="AJ975" s="93" t="s">
        <v>1188</v>
      </c>
      <c r="AK975" s="30" t="s">
        <v>1177</v>
      </c>
      <c r="AL975" s="93" t="s">
        <v>1175</v>
      </c>
    </row>
    <row r="976" spans="1:38" ht="15" customHeight="1" x14ac:dyDescent="0.3">
      <c r="A976" s="30" t="s">
        <v>22</v>
      </c>
      <c r="B976" s="120" t="s">
        <v>105</v>
      </c>
      <c r="C976" s="109">
        <v>8</v>
      </c>
      <c r="D976" s="11" t="s">
        <v>5936</v>
      </c>
      <c r="E976" s="114">
        <v>38630</v>
      </c>
      <c r="F976" s="33">
        <v>2005</v>
      </c>
      <c r="G976" s="142" t="s">
        <v>2680</v>
      </c>
      <c r="H976" s="162" t="s">
        <v>2681</v>
      </c>
      <c r="I976" s="33" t="s">
        <v>33</v>
      </c>
      <c r="J976" s="32" t="s">
        <v>26</v>
      </c>
      <c r="K976" s="197" t="s">
        <v>111</v>
      </c>
      <c r="L976" s="137" t="s">
        <v>2099</v>
      </c>
      <c r="M976" s="137" t="s">
        <v>804</v>
      </c>
      <c r="N976" s="137"/>
      <c r="O976" s="93" t="s">
        <v>2682</v>
      </c>
      <c r="P976" s="138" t="s">
        <v>2683</v>
      </c>
      <c r="Q976" s="15" t="s">
        <v>282</v>
      </c>
      <c r="R976" s="132">
        <v>39903</v>
      </c>
      <c r="S976" s="16" t="s">
        <v>44</v>
      </c>
      <c r="T976" s="133">
        <v>40423</v>
      </c>
      <c r="U976" s="623"/>
      <c r="V976" s="624"/>
      <c r="W976" s="735">
        <v>85</v>
      </c>
      <c r="X976" s="7">
        <v>42.5</v>
      </c>
      <c r="Y976" s="7">
        <f t="shared" si="34"/>
        <v>0</v>
      </c>
      <c r="Z976" s="7">
        <f t="shared" si="33"/>
        <v>42.5</v>
      </c>
      <c r="AA976" s="469"/>
      <c r="AB976" s="513" t="s">
        <v>1231</v>
      </c>
      <c r="AC976" s="147"/>
      <c r="AD976" s="187">
        <v>0.5</v>
      </c>
      <c r="AE976" s="187"/>
      <c r="AF976" s="9">
        <f t="shared" si="35"/>
        <v>0.5</v>
      </c>
      <c r="AG976" s="163">
        <v>6.5</v>
      </c>
      <c r="AH976" s="93"/>
      <c r="AI976" s="146"/>
      <c r="AJ976" s="93" t="s">
        <v>1188</v>
      </c>
      <c r="AK976" s="30" t="s">
        <v>1185</v>
      </c>
      <c r="AL976" s="93" t="s">
        <v>1178</v>
      </c>
    </row>
    <row r="977" spans="1:38" ht="15" customHeight="1" x14ac:dyDescent="0.3">
      <c r="A977" s="30" t="s">
        <v>140</v>
      </c>
      <c r="B977" s="301" t="s">
        <v>819</v>
      </c>
      <c r="C977" s="109">
        <v>1</v>
      </c>
      <c r="D977" s="11" t="s">
        <v>225</v>
      </c>
      <c r="E977" s="156">
        <v>39731</v>
      </c>
      <c r="F977" s="33">
        <v>2008</v>
      </c>
      <c r="G977" s="157" t="s">
        <v>2684</v>
      </c>
      <c r="H977" s="161"/>
      <c r="I977" s="30" t="s">
        <v>38</v>
      </c>
      <c r="J977" s="37" t="s">
        <v>81</v>
      </c>
      <c r="K977" s="138" t="s">
        <v>141</v>
      </c>
      <c r="L977" s="93" t="s">
        <v>1319</v>
      </c>
      <c r="M977" s="137" t="s">
        <v>804</v>
      </c>
      <c r="N977" s="137"/>
      <c r="O977" s="93" t="s">
        <v>2685</v>
      </c>
      <c r="P977" s="200" t="s">
        <v>2686</v>
      </c>
      <c r="Q977" s="15" t="s">
        <v>282</v>
      </c>
      <c r="R977" s="179">
        <v>40631</v>
      </c>
      <c r="S977" s="16" t="s">
        <v>35</v>
      </c>
      <c r="T977" s="133">
        <v>40847</v>
      </c>
      <c r="U977" s="623"/>
      <c r="V977" s="623"/>
      <c r="W977" s="734">
        <v>5</v>
      </c>
      <c r="X977" s="7">
        <v>2.5</v>
      </c>
      <c r="Y977" s="7">
        <f t="shared" si="34"/>
        <v>0</v>
      </c>
      <c r="Z977" s="7">
        <f t="shared" si="33"/>
        <v>2.5</v>
      </c>
      <c r="AA977" s="469"/>
      <c r="AB977" s="500" t="s">
        <v>5953</v>
      </c>
      <c r="AC977" s="501"/>
      <c r="AD977" s="187">
        <v>0.5</v>
      </c>
      <c r="AE977" s="187"/>
      <c r="AF977" s="9">
        <f t="shared" si="35"/>
        <v>0.5</v>
      </c>
      <c r="AG977" s="88">
        <v>6</v>
      </c>
      <c r="AH977" s="138" t="s">
        <v>2227</v>
      </c>
      <c r="AI977" s="719" t="s">
        <v>2688</v>
      </c>
      <c r="AJ977" s="146" t="s">
        <v>1188</v>
      </c>
      <c r="AK977" s="37" t="s">
        <v>1185</v>
      </c>
      <c r="AL977" s="146" t="s">
        <v>1178</v>
      </c>
    </row>
    <row r="978" spans="1:38" ht="15" customHeight="1" x14ac:dyDescent="0.3">
      <c r="A978" s="30" t="s">
        <v>22</v>
      </c>
      <c r="B978" s="153" t="s">
        <v>23</v>
      </c>
      <c r="C978" s="107">
        <v>12</v>
      </c>
      <c r="D978" s="11" t="s">
        <v>24</v>
      </c>
      <c r="E978" s="114">
        <v>39347</v>
      </c>
      <c r="F978" s="12">
        <v>2007</v>
      </c>
      <c r="G978" s="142" t="s">
        <v>2689</v>
      </c>
      <c r="H978" s="162" t="s">
        <v>2690</v>
      </c>
      <c r="I978" s="33" t="s">
        <v>33</v>
      </c>
      <c r="J978" s="32" t="s">
        <v>26</v>
      </c>
      <c r="K978" s="197" t="s">
        <v>1173</v>
      </c>
      <c r="L978" s="137" t="s">
        <v>40</v>
      </c>
      <c r="M978" s="137" t="s">
        <v>804</v>
      </c>
      <c r="N978" s="137"/>
      <c r="O978" s="93" t="s">
        <v>2691</v>
      </c>
      <c r="P978" s="718" t="s">
        <v>2692</v>
      </c>
      <c r="Q978" s="15" t="s">
        <v>282</v>
      </c>
      <c r="R978" s="132">
        <v>40095</v>
      </c>
      <c r="S978" s="16" t="s">
        <v>35</v>
      </c>
      <c r="T978" s="165">
        <v>40525</v>
      </c>
      <c r="U978" s="624"/>
      <c r="V978" s="624"/>
      <c r="W978" s="735">
        <v>200</v>
      </c>
      <c r="X978" s="7">
        <v>200</v>
      </c>
      <c r="Y978" s="7">
        <f t="shared" si="34"/>
        <v>0</v>
      </c>
      <c r="Z978" s="7">
        <f t="shared" si="33"/>
        <v>200</v>
      </c>
      <c r="AA978" s="469"/>
      <c r="AB978" s="479" t="s">
        <v>49</v>
      </c>
      <c r="AC978" s="480"/>
      <c r="AD978" s="187">
        <v>1</v>
      </c>
      <c r="AE978" s="187"/>
      <c r="AF978" s="9">
        <f t="shared" si="35"/>
        <v>1</v>
      </c>
      <c r="AG978" s="163">
        <v>6</v>
      </c>
      <c r="AH978" s="93" t="s">
        <v>2687</v>
      </c>
      <c r="AI978" s="718" t="s">
        <v>2693</v>
      </c>
      <c r="AJ978" s="93" t="s">
        <v>1188</v>
      </c>
      <c r="AK978" s="30" t="s">
        <v>99</v>
      </c>
      <c r="AL978" s="93" t="s">
        <v>1178</v>
      </c>
    </row>
    <row r="979" spans="1:38" ht="15" customHeight="1" x14ac:dyDescent="0.3">
      <c r="A979" s="181" t="s">
        <v>140</v>
      </c>
      <c r="B979" s="145" t="s">
        <v>105</v>
      </c>
      <c r="C979" s="135">
        <v>13</v>
      </c>
      <c r="D979" s="11" t="s">
        <v>5936</v>
      </c>
      <c r="E979" s="168">
        <v>40589</v>
      </c>
      <c r="F979" s="136">
        <v>2011</v>
      </c>
      <c r="G979" s="178" t="s">
        <v>2694</v>
      </c>
      <c r="H979" s="204" t="s">
        <v>2695</v>
      </c>
      <c r="I979" s="136" t="s">
        <v>25</v>
      </c>
      <c r="J979" s="181" t="s">
        <v>81</v>
      </c>
      <c r="K979" s="197" t="s">
        <v>141</v>
      </c>
      <c r="L979" s="138" t="s">
        <v>1319</v>
      </c>
      <c r="M979" s="137" t="s">
        <v>804</v>
      </c>
      <c r="N979" s="197"/>
      <c r="O979" s="138" t="s">
        <v>2696</v>
      </c>
      <c r="P979" s="138" t="s">
        <v>6029</v>
      </c>
      <c r="Q979" s="91"/>
      <c r="R979" s="132"/>
      <c r="S979" s="92"/>
      <c r="T979" s="133"/>
      <c r="U979" s="623"/>
      <c r="V979" s="624"/>
      <c r="W979" s="256">
        <v>5</v>
      </c>
      <c r="X979" s="7">
        <v>1</v>
      </c>
      <c r="Y979" s="7">
        <f t="shared" si="34"/>
        <v>0</v>
      </c>
      <c r="Z979" s="7">
        <f t="shared" si="33"/>
        <v>1</v>
      </c>
      <c r="AA979" s="469"/>
      <c r="AB979" s="564" t="s">
        <v>1073</v>
      </c>
      <c r="AC979" s="693"/>
      <c r="AD979" s="196">
        <v>0.2</v>
      </c>
      <c r="AE979" s="196"/>
      <c r="AF979" s="9">
        <f t="shared" si="35"/>
        <v>0.2</v>
      </c>
      <c r="AG979" s="163">
        <v>8</v>
      </c>
      <c r="AH979" s="264" t="s">
        <v>6158</v>
      </c>
      <c r="AI979" s="138"/>
      <c r="AJ979" s="93" t="s">
        <v>1188</v>
      </c>
      <c r="AK979" s="30" t="s">
        <v>1177</v>
      </c>
      <c r="AL979" s="93" t="s">
        <v>1178</v>
      </c>
    </row>
    <row r="980" spans="1:38" ht="15" customHeight="1" x14ac:dyDescent="0.3">
      <c r="A980" s="30" t="s">
        <v>22</v>
      </c>
      <c r="B980" s="120" t="s">
        <v>105</v>
      </c>
      <c r="C980" s="109">
        <v>19</v>
      </c>
      <c r="D980" s="11" t="s">
        <v>5936</v>
      </c>
      <c r="E980" s="108">
        <v>36783</v>
      </c>
      <c r="F980" s="33">
        <v>2000</v>
      </c>
      <c r="G980" s="142" t="s">
        <v>2697</v>
      </c>
      <c r="H980" s="162" t="s">
        <v>2698</v>
      </c>
      <c r="I980" s="33" t="s">
        <v>33</v>
      </c>
      <c r="J980" s="32" t="s">
        <v>26</v>
      </c>
      <c r="K980" s="197" t="s">
        <v>111</v>
      </c>
      <c r="L980" s="137" t="s">
        <v>40</v>
      </c>
      <c r="M980" s="137" t="s">
        <v>804</v>
      </c>
      <c r="N980" s="137"/>
      <c r="O980" s="93" t="s">
        <v>2699</v>
      </c>
      <c r="P980" s="647" t="s">
        <v>2700</v>
      </c>
      <c r="Q980" s="15" t="s">
        <v>35</v>
      </c>
      <c r="R980" s="132">
        <v>38763</v>
      </c>
      <c r="S980" s="16" t="s">
        <v>35</v>
      </c>
      <c r="T980" s="133">
        <v>39556</v>
      </c>
      <c r="U980" s="623" t="s">
        <v>1336</v>
      </c>
      <c r="V980" s="180">
        <v>40813</v>
      </c>
      <c r="W980" s="735">
        <v>56</v>
      </c>
      <c r="X980" s="7">
        <v>56</v>
      </c>
      <c r="Y980" s="7">
        <f t="shared" si="34"/>
        <v>0</v>
      </c>
      <c r="Z980" s="7">
        <f t="shared" si="33"/>
        <v>56</v>
      </c>
      <c r="AA980" s="469"/>
      <c r="AB980" s="513" t="s">
        <v>1231</v>
      </c>
      <c r="AC980" s="147"/>
      <c r="AD980" s="187">
        <v>1</v>
      </c>
      <c r="AE980" s="187"/>
      <c r="AF980" s="9">
        <f t="shared" si="35"/>
        <v>1</v>
      </c>
      <c r="AG980" s="163">
        <v>6.5</v>
      </c>
      <c r="AH980" s="93" t="s">
        <v>1507</v>
      </c>
      <c r="AI980" s="719" t="s">
        <v>2701</v>
      </c>
      <c r="AJ980" s="93" t="s">
        <v>1188</v>
      </c>
      <c r="AK980" s="30" t="s">
        <v>99</v>
      </c>
      <c r="AL980" s="93" t="s">
        <v>1178</v>
      </c>
    </row>
    <row r="981" spans="1:38" ht="15" customHeight="1" x14ac:dyDescent="0.3">
      <c r="A981" s="30" t="s">
        <v>22</v>
      </c>
      <c r="B981" s="140" t="s">
        <v>105</v>
      </c>
      <c r="C981" s="107">
        <v>11</v>
      </c>
      <c r="D981" s="11" t="s">
        <v>5936</v>
      </c>
      <c r="E981" s="114">
        <v>39266</v>
      </c>
      <c r="F981" s="12">
        <v>2007</v>
      </c>
      <c r="G981" s="142" t="s">
        <v>2702</v>
      </c>
      <c r="H981" s="162" t="s">
        <v>2703</v>
      </c>
      <c r="I981" s="30" t="s">
        <v>38</v>
      </c>
      <c r="J981" s="32" t="s">
        <v>26</v>
      </c>
      <c r="K981" s="138" t="s">
        <v>111</v>
      </c>
      <c r="L981" s="138" t="s">
        <v>1319</v>
      </c>
      <c r="M981" s="137" t="s">
        <v>804</v>
      </c>
      <c r="N981" s="137"/>
      <c r="O981" s="138" t="s">
        <v>2704</v>
      </c>
      <c r="P981" s="138" t="s">
        <v>2705</v>
      </c>
      <c r="Q981" s="15" t="s">
        <v>282</v>
      </c>
      <c r="R981" s="132">
        <v>40074</v>
      </c>
      <c r="S981" s="16" t="s">
        <v>44</v>
      </c>
      <c r="T981" s="133">
        <v>40877</v>
      </c>
      <c r="U981" s="623"/>
      <c r="V981" s="623"/>
      <c r="W981" s="734">
        <v>10</v>
      </c>
      <c r="X981" s="7">
        <v>5</v>
      </c>
      <c r="Y981" s="7" t="str">
        <f t="shared" ref="Y981:Y1044" si="36">IF(AE981="","",W981*AE981)</f>
        <v/>
      </c>
      <c r="Z981" s="7">
        <f t="shared" si="33"/>
        <v>5</v>
      </c>
      <c r="AA981" s="469"/>
      <c r="AB981" s="564" t="s">
        <v>1073</v>
      </c>
      <c r="AC981" s="693"/>
      <c r="AD981" s="187">
        <v>0.5</v>
      </c>
      <c r="AE981" s="187"/>
      <c r="AF981" s="205">
        <f t="shared" ref="AF981:AF994" si="37">AE981+AD981</f>
        <v>0.5</v>
      </c>
      <c r="AG981" s="138">
        <v>7.5</v>
      </c>
      <c r="AH981" s="138"/>
      <c r="AI981" s="138" t="s">
        <v>2706</v>
      </c>
      <c r="AJ981" s="138" t="s">
        <v>1188</v>
      </c>
      <c r="AK981" s="138" t="s">
        <v>1185</v>
      </c>
      <c r="AL981" s="93" t="s">
        <v>1178</v>
      </c>
    </row>
    <row r="982" spans="1:38" ht="15" customHeight="1" x14ac:dyDescent="0.3">
      <c r="A982" s="181" t="s">
        <v>22</v>
      </c>
      <c r="B982" s="145" t="s">
        <v>228</v>
      </c>
      <c r="C982" s="135">
        <v>3</v>
      </c>
      <c r="D982" s="11" t="s">
        <v>225</v>
      </c>
      <c r="E982" s="192">
        <v>39448</v>
      </c>
      <c r="F982" s="138">
        <v>2008</v>
      </c>
      <c r="G982" s="744" t="s">
        <v>2707</v>
      </c>
      <c r="H982" s="204" t="s">
        <v>2708</v>
      </c>
      <c r="I982" s="136" t="s">
        <v>80</v>
      </c>
      <c r="J982" s="32" t="s">
        <v>26</v>
      </c>
      <c r="K982" s="197" t="s">
        <v>2121</v>
      </c>
      <c r="L982" s="197" t="s">
        <v>40</v>
      </c>
      <c r="M982" s="137" t="s">
        <v>804</v>
      </c>
      <c r="N982" s="137"/>
      <c r="O982" s="138" t="s">
        <v>2063</v>
      </c>
      <c r="P982" s="138" t="s">
        <v>2709</v>
      </c>
      <c r="Q982" s="15" t="s">
        <v>282</v>
      </c>
      <c r="R982" s="132">
        <v>40238</v>
      </c>
      <c r="S982" s="16" t="s">
        <v>35</v>
      </c>
      <c r="T982" s="133">
        <v>40851</v>
      </c>
      <c r="U982" s="623"/>
      <c r="V982" s="624"/>
      <c r="W982" s="734">
        <v>30</v>
      </c>
      <c r="X982" s="7">
        <v>15</v>
      </c>
      <c r="Y982" s="7">
        <f t="shared" si="36"/>
        <v>15</v>
      </c>
      <c r="Z982" s="7">
        <f t="shared" si="33"/>
        <v>30</v>
      </c>
      <c r="AA982" s="469"/>
      <c r="AB982" s="564" t="s">
        <v>1073</v>
      </c>
      <c r="AC982" s="693"/>
      <c r="AD982" s="187">
        <v>0.5</v>
      </c>
      <c r="AE982" s="187">
        <v>0.5</v>
      </c>
      <c r="AF982" s="205">
        <f t="shared" si="37"/>
        <v>1</v>
      </c>
      <c r="AG982" s="163">
        <v>7.5</v>
      </c>
      <c r="AH982" s="138"/>
      <c r="AI982" s="718" t="s">
        <v>2711</v>
      </c>
      <c r="AJ982" s="138" t="s">
        <v>1188</v>
      </c>
      <c r="AK982" s="138" t="s">
        <v>1185</v>
      </c>
      <c r="AL982" s="138" t="s">
        <v>1178</v>
      </c>
    </row>
    <row r="983" spans="1:38" ht="15" customHeight="1" x14ac:dyDescent="0.3">
      <c r="A983" s="30" t="s">
        <v>22</v>
      </c>
      <c r="B983" s="140" t="s">
        <v>227</v>
      </c>
      <c r="C983" s="107">
        <v>10</v>
      </c>
      <c r="D983" s="11" t="s">
        <v>225</v>
      </c>
      <c r="E983" s="114">
        <v>39083</v>
      </c>
      <c r="F983" s="12">
        <v>2007</v>
      </c>
      <c r="G983" s="142" t="s">
        <v>2712</v>
      </c>
      <c r="H983" s="162" t="s">
        <v>2713</v>
      </c>
      <c r="I983" s="12" t="s">
        <v>25</v>
      </c>
      <c r="J983" s="32" t="s">
        <v>26</v>
      </c>
      <c r="K983" s="138" t="s">
        <v>111</v>
      </c>
      <c r="L983" s="138" t="s">
        <v>1319</v>
      </c>
      <c r="M983" s="137" t="s">
        <v>804</v>
      </c>
      <c r="N983" s="137"/>
      <c r="O983" s="138" t="s">
        <v>2714</v>
      </c>
      <c r="P983" s="138" t="s">
        <v>2715</v>
      </c>
      <c r="Q983" s="15" t="s">
        <v>282</v>
      </c>
      <c r="R983" s="132">
        <v>40662</v>
      </c>
      <c r="S983" s="16" t="s">
        <v>44</v>
      </c>
      <c r="T983" s="133">
        <v>40877</v>
      </c>
      <c r="U983" s="623"/>
      <c r="V983" s="623"/>
      <c r="W983" s="734">
        <v>10</v>
      </c>
      <c r="X983" s="7">
        <v>5</v>
      </c>
      <c r="Y983" s="7" t="str">
        <f t="shared" si="36"/>
        <v/>
      </c>
      <c r="Z983" s="7">
        <f t="shared" si="33"/>
        <v>5</v>
      </c>
      <c r="AA983" s="469"/>
      <c r="AB983" s="500" t="s">
        <v>5953</v>
      </c>
      <c r="AC983" s="501"/>
      <c r="AD983" s="187">
        <v>0.5</v>
      </c>
      <c r="AE983" s="187"/>
      <c r="AF983" s="205">
        <f t="shared" si="37"/>
        <v>0.5</v>
      </c>
      <c r="AG983" s="138">
        <v>6</v>
      </c>
      <c r="AH983" s="138" t="s">
        <v>2710</v>
      </c>
      <c r="AI983" s="138"/>
      <c r="AJ983" s="138" t="s">
        <v>1188</v>
      </c>
      <c r="AK983" s="138" t="s">
        <v>1185</v>
      </c>
      <c r="AL983" s="93" t="s">
        <v>1178</v>
      </c>
    </row>
    <row r="984" spans="1:38" ht="15" customHeight="1" x14ac:dyDescent="0.3">
      <c r="A984" s="181" t="s">
        <v>22</v>
      </c>
      <c r="B984" s="167" t="s">
        <v>105</v>
      </c>
      <c r="C984" s="135">
        <v>2</v>
      </c>
      <c r="D984" s="11" t="s">
        <v>5936</v>
      </c>
      <c r="E984" s="206">
        <v>39600</v>
      </c>
      <c r="F984" s="12">
        <v>2008</v>
      </c>
      <c r="G984" s="136" t="s">
        <v>2716</v>
      </c>
      <c r="H984" s="204" t="s">
        <v>2717</v>
      </c>
      <c r="I984" s="33" t="s">
        <v>33</v>
      </c>
      <c r="J984" s="32" t="s">
        <v>191</v>
      </c>
      <c r="K984" s="181" t="s">
        <v>1173</v>
      </c>
      <c r="L984" s="138" t="s">
        <v>1319</v>
      </c>
      <c r="M984" s="137" t="s">
        <v>804</v>
      </c>
      <c r="N984" s="138"/>
      <c r="O984" s="138" t="s">
        <v>2718</v>
      </c>
      <c r="P984" s="138" t="s">
        <v>2719</v>
      </c>
      <c r="Q984" s="15" t="s">
        <v>282</v>
      </c>
      <c r="R984" s="132">
        <v>40329</v>
      </c>
      <c r="S984" s="16" t="s">
        <v>44</v>
      </c>
      <c r="T984" s="133">
        <v>40724</v>
      </c>
      <c r="U984" s="623"/>
      <c r="V984" s="623"/>
      <c r="W984" s="734">
        <v>90</v>
      </c>
      <c r="X984" s="7">
        <v>45</v>
      </c>
      <c r="Y984" s="7" t="str">
        <f t="shared" si="36"/>
        <v/>
      </c>
      <c r="Z984" s="7">
        <f t="shared" si="33"/>
        <v>45</v>
      </c>
      <c r="AA984" s="469"/>
      <c r="AB984" s="564" t="s">
        <v>1073</v>
      </c>
      <c r="AC984" s="693"/>
      <c r="AD984" s="187">
        <v>0.5</v>
      </c>
      <c r="AE984" s="187"/>
      <c r="AF984" s="205">
        <f t="shared" si="37"/>
        <v>0.5</v>
      </c>
      <c r="AG984" s="138">
        <v>7.5</v>
      </c>
      <c r="AH984" s="138" t="s">
        <v>2258</v>
      </c>
      <c r="AI984" s="138"/>
      <c r="AJ984" s="138" t="s">
        <v>1188</v>
      </c>
      <c r="AK984" s="138" t="s">
        <v>1185</v>
      </c>
      <c r="AL984" s="138" t="s">
        <v>1178</v>
      </c>
    </row>
    <row r="985" spans="1:38" ht="15" customHeight="1" x14ac:dyDescent="0.3">
      <c r="A985" s="30" t="s">
        <v>22</v>
      </c>
      <c r="B985" s="754" t="s">
        <v>211</v>
      </c>
      <c r="C985" s="162" t="s">
        <v>2721</v>
      </c>
      <c r="D985" s="162" t="s">
        <v>190</v>
      </c>
      <c r="E985" s="458">
        <v>38947</v>
      </c>
      <c r="F985" s="161" t="s">
        <v>5995</v>
      </c>
      <c r="G985" s="162" t="s">
        <v>2722</v>
      </c>
      <c r="H985" s="162" t="s">
        <v>2723</v>
      </c>
      <c r="I985" s="33" t="s">
        <v>33</v>
      </c>
      <c r="J985" s="32" t="s">
        <v>26</v>
      </c>
      <c r="K985" s="759" t="s">
        <v>1708</v>
      </c>
      <c r="L985" s="138" t="s">
        <v>1319</v>
      </c>
      <c r="M985" s="137" t="s">
        <v>804</v>
      </c>
      <c r="N985" s="137"/>
      <c r="O985" s="138" t="s">
        <v>2724</v>
      </c>
      <c r="P985" s="138" t="s">
        <v>2725</v>
      </c>
      <c r="Q985" s="15" t="s">
        <v>282</v>
      </c>
      <c r="R985" s="132">
        <v>39784</v>
      </c>
      <c r="S985" s="16" t="s">
        <v>44</v>
      </c>
      <c r="T985" s="207" t="s">
        <v>2726</v>
      </c>
      <c r="U985" s="742"/>
      <c r="V985" s="760"/>
      <c r="W985" s="735">
        <v>120</v>
      </c>
      <c r="X985" s="7">
        <v>60</v>
      </c>
      <c r="Y985" s="7" t="str">
        <f t="shared" si="36"/>
        <v/>
      </c>
      <c r="Z985" s="7">
        <f t="shared" si="33"/>
        <v>60</v>
      </c>
      <c r="AA985" s="469"/>
      <c r="AB985" s="604" t="s">
        <v>6081</v>
      </c>
      <c r="AC985" s="163"/>
      <c r="AD985" s="187">
        <v>0.5</v>
      </c>
      <c r="AE985" s="187"/>
      <c r="AF985" s="205">
        <f t="shared" si="37"/>
        <v>0.5</v>
      </c>
      <c r="AG985" s="204" t="s">
        <v>2727</v>
      </c>
      <c r="AH985" s="162" t="s">
        <v>2720</v>
      </c>
      <c r="AI985" s="138" t="s">
        <v>2728</v>
      </c>
      <c r="AJ985" s="162" t="s">
        <v>1188</v>
      </c>
      <c r="AK985" s="162" t="s">
        <v>1185</v>
      </c>
      <c r="AL985" s="162" t="s">
        <v>1178</v>
      </c>
    </row>
    <row r="986" spans="1:38" ht="15" customHeight="1" x14ac:dyDescent="0.3">
      <c r="A986" s="181" t="s">
        <v>22</v>
      </c>
      <c r="B986" s="153" t="s">
        <v>144</v>
      </c>
      <c r="C986" s="135">
        <v>4</v>
      </c>
      <c r="D986" s="11" t="s">
        <v>143</v>
      </c>
      <c r="E986" s="459">
        <v>39432</v>
      </c>
      <c r="F986" s="12">
        <v>2007</v>
      </c>
      <c r="G986" s="204" t="s">
        <v>2729</v>
      </c>
      <c r="H986" s="162" t="s">
        <v>2730</v>
      </c>
      <c r="I986" s="30" t="s">
        <v>38</v>
      </c>
      <c r="J986" s="32" t="s">
        <v>26</v>
      </c>
      <c r="K986" s="197" t="s">
        <v>111</v>
      </c>
      <c r="L986" s="197" t="s">
        <v>40</v>
      </c>
      <c r="M986" s="137" t="s">
        <v>804</v>
      </c>
      <c r="N986" s="137"/>
      <c r="O986" s="138" t="s">
        <v>2731</v>
      </c>
      <c r="P986" s="153" t="s">
        <v>2732</v>
      </c>
      <c r="Q986" s="15" t="s">
        <v>282</v>
      </c>
      <c r="R986" s="132">
        <v>40294</v>
      </c>
      <c r="S986" s="16" t="s">
        <v>44</v>
      </c>
      <c r="T986" s="133">
        <v>40877</v>
      </c>
      <c r="U986" s="623"/>
      <c r="V986" s="624"/>
      <c r="W986" s="735">
        <v>57.5</v>
      </c>
      <c r="X986" s="7">
        <v>28.75</v>
      </c>
      <c r="Y986" s="7" t="str">
        <f t="shared" si="36"/>
        <v/>
      </c>
      <c r="Z986" s="7">
        <f t="shared" si="33"/>
        <v>28.75</v>
      </c>
      <c r="AA986" s="469"/>
      <c r="AB986" s="564" t="s">
        <v>147</v>
      </c>
      <c r="AC986" s="693"/>
      <c r="AD986" s="187">
        <v>0.5</v>
      </c>
      <c r="AE986" s="187"/>
      <c r="AF986" s="205">
        <f t="shared" si="37"/>
        <v>0.5</v>
      </c>
      <c r="AG986" s="138"/>
      <c r="AH986" s="138" t="s">
        <v>1540</v>
      </c>
      <c r="AI986" s="138"/>
      <c r="AJ986" s="138" t="s">
        <v>1188</v>
      </c>
      <c r="AK986" s="138" t="s">
        <v>1185</v>
      </c>
      <c r="AL986" s="93" t="s">
        <v>1178</v>
      </c>
    </row>
    <row r="987" spans="1:38" ht="15" customHeight="1" x14ac:dyDescent="0.3">
      <c r="A987" s="138" t="s">
        <v>22</v>
      </c>
      <c r="B987" s="181" t="s">
        <v>227</v>
      </c>
      <c r="C987" s="181">
        <v>7</v>
      </c>
      <c r="D987" s="11" t="s">
        <v>225</v>
      </c>
      <c r="E987" s="168">
        <v>39799</v>
      </c>
      <c r="F987" s="136">
        <v>2009</v>
      </c>
      <c r="G987" s="178" t="s">
        <v>2734</v>
      </c>
      <c r="H987" s="754" t="s">
        <v>2735</v>
      </c>
      <c r="I987" s="33" t="s">
        <v>33</v>
      </c>
      <c r="J987" s="32" t="s">
        <v>26</v>
      </c>
      <c r="K987" s="200" t="s">
        <v>1173</v>
      </c>
      <c r="L987" s="197" t="s">
        <v>1319</v>
      </c>
      <c r="M987" s="137" t="s">
        <v>804</v>
      </c>
      <c r="N987" s="197"/>
      <c r="O987" s="197" t="s">
        <v>2736</v>
      </c>
      <c r="P987" s="197" t="s">
        <v>2737</v>
      </c>
      <c r="Q987" s="15" t="s">
        <v>282</v>
      </c>
      <c r="R987" s="132">
        <v>40512</v>
      </c>
      <c r="S987" s="16" t="s">
        <v>44</v>
      </c>
      <c r="T987" s="133">
        <v>40660</v>
      </c>
      <c r="U987" s="623"/>
      <c r="V987" s="761"/>
      <c r="W987" s="755">
        <v>110</v>
      </c>
      <c r="X987" s="7">
        <v>55</v>
      </c>
      <c r="Y987" s="7" t="str">
        <f t="shared" si="36"/>
        <v/>
      </c>
      <c r="Z987" s="7">
        <f t="shared" si="33"/>
        <v>55</v>
      </c>
      <c r="AA987" s="469"/>
      <c r="AB987" s="500" t="s">
        <v>5953</v>
      </c>
      <c r="AC987" s="501"/>
      <c r="AD987" s="187">
        <v>0.5</v>
      </c>
      <c r="AE987" s="195"/>
      <c r="AF987" s="205">
        <f t="shared" si="37"/>
        <v>0.5</v>
      </c>
      <c r="AG987" s="200">
        <v>6</v>
      </c>
      <c r="AH987" s="200" t="s">
        <v>2733</v>
      </c>
      <c r="AI987" s="138"/>
      <c r="AJ987" s="138" t="s">
        <v>1188</v>
      </c>
      <c r="AK987" s="138" t="s">
        <v>1185</v>
      </c>
      <c r="AL987" s="200" t="s">
        <v>1178</v>
      </c>
    </row>
    <row r="988" spans="1:38" ht="15" customHeight="1" x14ac:dyDescent="0.3">
      <c r="A988" s="181" t="s">
        <v>22</v>
      </c>
      <c r="B988" s="145" t="s">
        <v>228</v>
      </c>
      <c r="C988" s="135">
        <v>4</v>
      </c>
      <c r="D988" s="11" t="s">
        <v>225</v>
      </c>
      <c r="E988" s="168">
        <v>40226</v>
      </c>
      <c r="F988" s="136">
        <v>2010</v>
      </c>
      <c r="G988" s="178" t="s">
        <v>2738</v>
      </c>
      <c r="H988" s="204" t="s">
        <v>2739</v>
      </c>
      <c r="I988" s="33" t="s">
        <v>33</v>
      </c>
      <c r="J988" s="32" t="s">
        <v>26</v>
      </c>
      <c r="K988" s="197" t="s">
        <v>1708</v>
      </c>
      <c r="L988" s="197" t="s">
        <v>40</v>
      </c>
      <c r="M988" s="137" t="s">
        <v>804</v>
      </c>
      <c r="N988" s="197"/>
      <c r="O988" s="197" t="s">
        <v>2740</v>
      </c>
      <c r="P988" s="197" t="s">
        <v>2741</v>
      </c>
      <c r="Q988" s="15" t="s">
        <v>282</v>
      </c>
      <c r="R988" s="179">
        <v>40455</v>
      </c>
      <c r="S988" s="16" t="s">
        <v>44</v>
      </c>
      <c r="T988" s="191">
        <v>40828</v>
      </c>
      <c r="U988" s="707"/>
      <c r="V988" s="707"/>
      <c r="W988" s="755">
        <v>150</v>
      </c>
      <c r="X988" s="7">
        <v>75</v>
      </c>
      <c r="Y988" s="7" t="str">
        <f t="shared" si="36"/>
        <v/>
      </c>
      <c r="Z988" s="7">
        <f t="shared" si="33"/>
        <v>75</v>
      </c>
      <c r="AA988" s="469"/>
      <c r="AB988" s="504" t="s">
        <v>6126</v>
      </c>
      <c r="AC988" s="138"/>
      <c r="AD988" s="187">
        <v>0.5</v>
      </c>
      <c r="AE988" s="195"/>
      <c r="AF988" s="205">
        <f t="shared" si="37"/>
        <v>0.5</v>
      </c>
      <c r="AG988" s="200"/>
      <c r="AH988" s="200"/>
      <c r="AI988" s="200"/>
      <c r="AJ988" s="200" t="s">
        <v>1188</v>
      </c>
      <c r="AK988" s="200" t="s">
        <v>1185</v>
      </c>
      <c r="AL988" s="200" t="s">
        <v>1178</v>
      </c>
    </row>
    <row r="989" spans="1:38" ht="15" customHeight="1" x14ac:dyDescent="0.3">
      <c r="A989" s="181" t="s">
        <v>22</v>
      </c>
      <c r="B989" s="145" t="s">
        <v>233</v>
      </c>
      <c r="C989" s="135">
        <v>2</v>
      </c>
      <c r="D989" s="11" t="s">
        <v>225</v>
      </c>
      <c r="E989" s="168">
        <v>40445</v>
      </c>
      <c r="F989" s="136">
        <v>2010</v>
      </c>
      <c r="G989" s="178" t="s">
        <v>2742</v>
      </c>
      <c r="H989" s="204" t="s">
        <v>2743</v>
      </c>
      <c r="I989" s="33" t="s">
        <v>33</v>
      </c>
      <c r="J989" s="32" t="s">
        <v>26</v>
      </c>
      <c r="K989" s="197" t="s">
        <v>1708</v>
      </c>
      <c r="L989" s="138" t="s">
        <v>1319</v>
      </c>
      <c r="M989" s="137" t="s">
        <v>804</v>
      </c>
      <c r="N989" s="197"/>
      <c r="O989" s="138" t="s">
        <v>2744</v>
      </c>
      <c r="P989" s="138" t="s">
        <v>2745</v>
      </c>
      <c r="Q989" s="15" t="s">
        <v>282</v>
      </c>
      <c r="R989" s="132">
        <v>40641</v>
      </c>
      <c r="S989" s="16" t="s">
        <v>44</v>
      </c>
      <c r="T989" s="133">
        <v>40805</v>
      </c>
      <c r="U989" s="623"/>
      <c r="V989" s="623"/>
      <c r="W989" s="734">
        <v>180</v>
      </c>
      <c r="X989" s="7">
        <v>90</v>
      </c>
      <c r="Y989" s="7" t="str">
        <f t="shared" si="36"/>
        <v/>
      </c>
      <c r="Z989" s="7">
        <f t="shared" si="33"/>
        <v>90</v>
      </c>
      <c r="AA989" s="469"/>
      <c r="AB989" s="504" t="s">
        <v>6126</v>
      </c>
      <c r="AC989" s="138"/>
      <c r="AD989" s="187">
        <v>0.5</v>
      </c>
      <c r="AE989" s="187"/>
      <c r="AF989" s="205">
        <f t="shared" si="37"/>
        <v>0.5</v>
      </c>
      <c r="AG989" s="138">
        <v>7</v>
      </c>
      <c r="AH989" s="138"/>
      <c r="AI989" s="138"/>
      <c r="AJ989" s="138" t="s">
        <v>1188</v>
      </c>
      <c r="AK989" s="138" t="s">
        <v>1185</v>
      </c>
      <c r="AL989" s="93" t="s">
        <v>1178</v>
      </c>
    </row>
    <row r="990" spans="1:38" ht="15" customHeight="1" x14ac:dyDescent="0.3">
      <c r="A990" s="30" t="s">
        <v>22</v>
      </c>
      <c r="B990" s="140" t="s">
        <v>23</v>
      </c>
      <c r="C990" s="109">
        <v>14</v>
      </c>
      <c r="D990" s="11" t="s">
        <v>24</v>
      </c>
      <c r="E990" s="114">
        <v>38995</v>
      </c>
      <c r="F990" s="12">
        <v>2006</v>
      </c>
      <c r="G990" s="142" t="s">
        <v>2746</v>
      </c>
      <c r="H990" s="162" t="s">
        <v>2747</v>
      </c>
      <c r="I990" s="12" t="s">
        <v>80</v>
      </c>
      <c r="J990" s="32" t="s">
        <v>26</v>
      </c>
      <c r="K990" s="197" t="s">
        <v>2748</v>
      </c>
      <c r="L990" s="197" t="s">
        <v>2069</v>
      </c>
      <c r="M990" s="137" t="s">
        <v>804</v>
      </c>
      <c r="N990" s="137"/>
      <c r="O990" s="138" t="s">
        <v>2749</v>
      </c>
      <c r="P990" s="138" t="s">
        <v>2750</v>
      </c>
      <c r="Q990" s="15" t="s">
        <v>282</v>
      </c>
      <c r="R990" s="164">
        <v>40658</v>
      </c>
      <c r="S990" s="16" t="s">
        <v>44</v>
      </c>
      <c r="T990" s="165">
        <v>40872</v>
      </c>
      <c r="U990" s="624"/>
      <c r="V990" s="624"/>
      <c r="W990" s="735">
        <v>70</v>
      </c>
      <c r="X990" s="7">
        <v>35</v>
      </c>
      <c r="Y990" s="7" t="str">
        <f t="shared" si="36"/>
        <v/>
      </c>
      <c r="Z990" s="7">
        <f t="shared" si="33"/>
        <v>35</v>
      </c>
      <c r="AA990" s="469"/>
      <c r="AB990" s="479" t="s">
        <v>49</v>
      </c>
      <c r="AC990" s="480"/>
      <c r="AD990" s="187">
        <v>0.5</v>
      </c>
      <c r="AE990" s="187"/>
      <c r="AF990" s="205">
        <f t="shared" si="37"/>
        <v>0.5</v>
      </c>
      <c r="AG990" s="163">
        <v>6</v>
      </c>
      <c r="AH990" s="93" t="s">
        <v>6008</v>
      </c>
      <c r="AI990" s="138"/>
      <c r="AJ990" s="93" t="s">
        <v>1188</v>
      </c>
      <c r="AK990" s="138" t="s">
        <v>1185</v>
      </c>
      <c r="AL990" s="93" t="s">
        <v>1178</v>
      </c>
    </row>
    <row r="991" spans="1:38" ht="15" customHeight="1" x14ac:dyDescent="0.3">
      <c r="A991" s="30" t="s">
        <v>22</v>
      </c>
      <c r="B991" s="153" t="s">
        <v>23</v>
      </c>
      <c r="C991" s="107">
        <v>4</v>
      </c>
      <c r="D991" s="11" t="s">
        <v>24</v>
      </c>
      <c r="E991" s="114">
        <v>39493</v>
      </c>
      <c r="F991" s="12">
        <v>2008</v>
      </c>
      <c r="G991" s="142" t="s">
        <v>2751</v>
      </c>
      <c r="H991" s="162" t="s">
        <v>2752</v>
      </c>
      <c r="I991" s="12" t="s">
        <v>25</v>
      </c>
      <c r="J991" s="32" t="s">
        <v>26</v>
      </c>
      <c r="K991" s="197" t="s">
        <v>111</v>
      </c>
      <c r="L991" s="137" t="s">
        <v>1319</v>
      </c>
      <c r="M991" s="137" t="s">
        <v>804</v>
      </c>
      <c r="N991" s="137"/>
      <c r="O991" s="93" t="s">
        <v>2753</v>
      </c>
      <c r="P991" s="138" t="s">
        <v>2754</v>
      </c>
      <c r="Q991" s="15" t="s">
        <v>282</v>
      </c>
      <c r="R991" s="132">
        <v>40359</v>
      </c>
      <c r="S991" s="16" t="s">
        <v>44</v>
      </c>
      <c r="T991" s="165">
        <v>40896</v>
      </c>
      <c r="U991" s="624"/>
      <c r="V991" s="624"/>
      <c r="W991" s="735">
        <v>48</v>
      </c>
      <c r="X991" s="7">
        <v>24</v>
      </c>
      <c r="Y991" s="7" t="str">
        <f t="shared" si="36"/>
        <v/>
      </c>
      <c r="Z991" s="7">
        <f t="shared" si="33"/>
        <v>24</v>
      </c>
      <c r="AA991" s="469"/>
      <c r="AB991" s="513" t="s">
        <v>36</v>
      </c>
      <c r="AC991" s="147"/>
      <c r="AD991" s="187">
        <v>0.5</v>
      </c>
      <c r="AE991" s="187"/>
      <c r="AF991" s="205">
        <f t="shared" si="37"/>
        <v>0.5</v>
      </c>
      <c r="AG991" s="163">
        <v>7</v>
      </c>
      <c r="AH991" s="93" t="s">
        <v>58</v>
      </c>
      <c r="AI991" s="93"/>
      <c r="AJ991" s="93" t="s">
        <v>1188</v>
      </c>
      <c r="AK991" s="30" t="s">
        <v>1185</v>
      </c>
      <c r="AL991" s="93" t="s">
        <v>1178</v>
      </c>
    </row>
    <row r="992" spans="1:38" ht="15" customHeight="1" x14ac:dyDescent="0.3">
      <c r="A992" s="30" t="s">
        <v>22</v>
      </c>
      <c r="B992" s="153" t="s">
        <v>23</v>
      </c>
      <c r="C992" s="109">
        <v>17</v>
      </c>
      <c r="D992" s="11" t="s">
        <v>24</v>
      </c>
      <c r="E992" s="114">
        <v>40113</v>
      </c>
      <c r="F992" s="33">
        <v>2009</v>
      </c>
      <c r="G992" s="142" t="s">
        <v>2756</v>
      </c>
      <c r="H992" s="162" t="s">
        <v>2757</v>
      </c>
      <c r="I992" s="12" t="s">
        <v>80</v>
      </c>
      <c r="J992" s="32" t="s">
        <v>26</v>
      </c>
      <c r="K992" s="197" t="s">
        <v>2758</v>
      </c>
      <c r="L992" s="137" t="s">
        <v>1319</v>
      </c>
      <c r="M992" s="137" t="s">
        <v>804</v>
      </c>
      <c r="N992" s="238"/>
      <c r="O992" s="146" t="s">
        <v>2759</v>
      </c>
      <c r="P992" s="138" t="s">
        <v>2760</v>
      </c>
      <c r="Q992" s="15" t="s">
        <v>282</v>
      </c>
      <c r="R992" s="132">
        <v>40288</v>
      </c>
      <c r="S992" s="16" t="s">
        <v>44</v>
      </c>
      <c r="T992" s="165">
        <v>40780</v>
      </c>
      <c r="U992" s="624"/>
      <c r="V992" s="624"/>
      <c r="W992" s="735">
        <v>40</v>
      </c>
      <c r="X992" s="7">
        <v>20</v>
      </c>
      <c r="Y992" s="7" t="str">
        <f t="shared" si="36"/>
        <v/>
      </c>
      <c r="Z992" s="7">
        <f t="shared" si="33"/>
        <v>20</v>
      </c>
      <c r="AA992" s="469"/>
      <c r="AB992" s="513" t="s">
        <v>36</v>
      </c>
      <c r="AC992" s="147"/>
      <c r="AD992" s="187">
        <v>0.5</v>
      </c>
      <c r="AE992" s="187"/>
      <c r="AF992" s="205">
        <f t="shared" si="37"/>
        <v>0.5</v>
      </c>
      <c r="AG992" s="163">
        <v>7</v>
      </c>
      <c r="AH992" s="93" t="s">
        <v>2755</v>
      </c>
      <c r="AI992" s="93"/>
      <c r="AJ992" s="93" t="s">
        <v>1188</v>
      </c>
      <c r="AK992" s="30" t="s">
        <v>1185</v>
      </c>
      <c r="AL992" s="93" t="s">
        <v>1178</v>
      </c>
    </row>
    <row r="993" spans="1:38" ht="15" customHeight="1" x14ac:dyDescent="0.3">
      <c r="A993" s="181" t="s">
        <v>22</v>
      </c>
      <c r="B993" s="145" t="s">
        <v>105</v>
      </c>
      <c r="C993" s="135">
        <v>15</v>
      </c>
      <c r="D993" s="11" t="s">
        <v>5936</v>
      </c>
      <c r="E993" s="168">
        <v>40290</v>
      </c>
      <c r="F993" s="136">
        <v>2010</v>
      </c>
      <c r="G993" s="178" t="s">
        <v>2762</v>
      </c>
      <c r="H993" s="204" t="s">
        <v>2763</v>
      </c>
      <c r="I993" s="136" t="s">
        <v>80</v>
      </c>
      <c r="J993" s="32" t="s">
        <v>26</v>
      </c>
      <c r="K993" s="197" t="s">
        <v>111</v>
      </c>
      <c r="L993" s="197" t="s">
        <v>40</v>
      </c>
      <c r="M993" s="137" t="s">
        <v>804</v>
      </c>
      <c r="N993" s="197"/>
      <c r="O993" s="138" t="s">
        <v>2764</v>
      </c>
      <c r="P993" s="138" t="s">
        <v>2765</v>
      </c>
      <c r="Q993" s="15" t="s">
        <v>282</v>
      </c>
      <c r="R993" s="164">
        <v>40512</v>
      </c>
      <c r="S993" s="16" t="s">
        <v>44</v>
      </c>
      <c r="T993" s="165">
        <v>40694</v>
      </c>
      <c r="U993" s="624"/>
      <c r="V993" s="624"/>
      <c r="W993" s="256">
        <v>60.5</v>
      </c>
      <c r="X993" s="7">
        <v>30.25</v>
      </c>
      <c r="Y993" s="7" t="str">
        <f t="shared" si="36"/>
        <v/>
      </c>
      <c r="Z993" s="7">
        <f t="shared" si="33"/>
        <v>30.25</v>
      </c>
      <c r="AA993" s="469"/>
      <c r="AB993" s="564" t="s">
        <v>1073</v>
      </c>
      <c r="AC993" s="693"/>
      <c r="AD993" s="187">
        <v>0.5</v>
      </c>
      <c r="AE993" s="195"/>
      <c r="AF993" s="205">
        <f t="shared" si="37"/>
        <v>0.5</v>
      </c>
      <c r="AG993" s="197">
        <v>7</v>
      </c>
      <c r="AH993" s="197" t="s">
        <v>2761</v>
      </c>
      <c r="AI993" s="197"/>
      <c r="AJ993" s="197" t="s">
        <v>1188</v>
      </c>
      <c r="AK993" s="197" t="s">
        <v>1185</v>
      </c>
      <c r="AL993" s="138" t="s">
        <v>1178</v>
      </c>
    </row>
    <row r="994" spans="1:38" ht="15" customHeight="1" x14ac:dyDescent="0.3">
      <c r="A994" s="181" t="s">
        <v>22</v>
      </c>
      <c r="B994" s="145" t="s">
        <v>105</v>
      </c>
      <c r="C994" s="135">
        <v>14</v>
      </c>
      <c r="D994" s="11" t="s">
        <v>5936</v>
      </c>
      <c r="E994" s="192">
        <v>39346</v>
      </c>
      <c r="F994" s="138">
        <v>2007</v>
      </c>
      <c r="G994" s="744" t="s">
        <v>2766</v>
      </c>
      <c r="H994" s="204" t="s">
        <v>2767</v>
      </c>
      <c r="I994" s="30" t="s">
        <v>38</v>
      </c>
      <c r="J994" s="32" t="s">
        <v>26</v>
      </c>
      <c r="K994" s="197" t="s">
        <v>111</v>
      </c>
      <c r="L994" s="197" t="s">
        <v>40</v>
      </c>
      <c r="M994" s="137" t="s">
        <v>804</v>
      </c>
      <c r="N994" s="137"/>
      <c r="O994" s="138" t="s">
        <v>2768</v>
      </c>
      <c r="P994" s="138" t="s">
        <v>2769</v>
      </c>
      <c r="Q994" s="15" t="s">
        <v>282</v>
      </c>
      <c r="R994" s="132">
        <v>40116</v>
      </c>
      <c r="S994" s="16" t="s">
        <v>44</v>
      </c>
      <c r="T994" s="133">
        <v>40466</v>
      </c>
      <c r="U994" s="623"/>
      <c r="V994" s="624"/>
      <c r="W994" s="734">
        <v>10</v>
      </c>
      <c r="X994" s="7">
        <v>4</v>
      </c>
      <c r="Y994" s="7" t="str">
        <f t="shared" si="36"/>
        <v/>
      </c>
      <c r="Z994" s="7">
        <f t="shared" si="33"/>
        <v>4</v>
      </c>
      <c r="AA994" s="469"/>
      <c r="AB994" s="564" t="s">
        <v>1073</v>
      </c>
      <c r="AC994" s="693"/>
      <c r="AD994" s="187">
        <v>0.4</v>
      </c>
      <c r="AE994" s="187"/>
      <c r="AF994" s="205">
        <f t="shared" si="37"/>
        <v>0.4</v>
      </c>
      <c r="AG994" s="163">
        <v>7.5</v>
      </c>
      <c r="AH994" s="138"/>
      <c r="AI994" s="683"/>
      <c r="AJ994" s="138" t="s">
        <v>1188</v>
      </c>
      <c r="AK994" s="138" t="s">
        <v>1185</v>
      </c>
      <c r="AL994" s="138" t="s">
        <v>1178</v>
      </c>
    </row>
    <row r="995" spans="1:38" ht="15" customHeight="1" x14ac:dyDescent="0.3">
      <c r="A995" s="30" t="s">
        <v>22</v>
      </c>
      <c r="B995" s="30" t="s">
        <v>23</v>
      </c>
      <c r="C995" s="37" t="s">
        <v>2770</v>
      </c>
      <c r="D995" s="11" t="s">
        <v>24</v>
      </c>
      <c r="E995" s="108"/>
      <c r="F995" s="37">
        <v>2011</v>
      </c>
      <c r="G995" s="30" t="s">
        <v>2771</v>
      </c>
      <c r="H995" s="162" t="s">
        <v>2772</v>
      </c>
      <c r="I995" s="30" t="s">
        <v>38</v>
      </c>
      <c r="J995" s="32" t="s">
        <v>26</v>
      </c>
      <c r="K995" s="660" t="s">
        <v>111</v>
      </c>
      <c r="L995" s="137" t="s">
        <v>1319</v>
      </c>
      <c r="M995" s="137" t="s">
        <v>804</v>
      </c>
      <c r="N995" s="709"/>
      <c r="O995" s="146" t="s">
        <v>2773</v>
      </c>
      <c r="P995" s="138" t="s">
        <v>6030</v>
      </c>
      <c r="Q995" s="91"/>
      <c r="R995" s="132"/>
      <c r="S995" s="92"/>
      <c r="T995" s="139"/>
      <c r="U995" s="624"/>
      <c r="V995" s="624"/>
      <c r="W995" s="735">
        <v>6.2</v>
      </c>
      <c r="X995" s="208"/>
      <c r="Y995" s="7">
        <f t="shared" si="36"/>
        <v>6.2</v>
      </c>
      <c r="Z995" s="7">
        <f>IF(Y995="",X995,Y995+X995)</f>
        <v>6.2</v>
      </c>
      <c r="AA995" s="469"/>
      <c r="AB995" s="762" t="s">
        <v>36</v>
      </c>
      <c r="AC995" s="652"/>
      <c r="AD995" s="187"/>
      <c r="AE995" s="187">
        <v>1</v>
      </c>
      <c r="AF995" s="205">
        <f>AE995+AD995</f>
        <v>1</v>
      </c>
      <c r="AG995" s="30">
        <v>7</v>
      </c>
      <c r="AH995" s="93" t="s">
        <v>5970</v>
      </c>
      <c r="AI995" s="763" t="s">
        <v>2774</v>
      </c>
      <c r="AJ995" s="30" t="s">
        <v>1188</v>
      </c>
      <c r="AK995" s="197" t="s">
        <v>3457</v>
      </c>
      <c r="AL995" s="93" t="s">
        <v>1178</v>
      </c>
    </row>
    <row r="996" spans="1:38" ht="15" customHeight="1" x14ac:dyDescent="0.3">
      <c r="A996" s="30" t="s">
        <v>140</v>
      </c>
      <c r="B996" s="153" t="s">
        <v>39</v>
      </c>
      <c r="C996" s="109" t="s">
        <v>196</v>
      </c>
      <c r="D996" s="11" t="s">
        <v>24</v>
      </c>
      <c r="E996" s="114">
        <v>40515</v>
      </c>
      <c r="F996" s="33">
        <v>2010</v>
      </c>
      <c r="G996" s="142" t="s">
        <v>2775</v>
      </c>
      <c r="H996" s="162"/>
      <c r="I996" s="30" t="s">
        <v>38</v>
      </c>
      <c r="J996" s="37" t="s">
        <v>81</v>
      </c>
      <c r="K996" s="197" t="s">
        <v>141</v>
      </c>
      <c r="L996" s="137" t="s">
        <v>1319</v>
      </c>
      <c r="M996" s="137" t="s">
        <v>804</v>
      </c>
      <c r="N996" s="238"/>
      <c r="O996" s="146" t="s">
        <v>2776</v>
      </c>
      <c r="P996" s="138" t="s">
        <v>6031</v>
      </c>
      <c r="Q996" s="15" t="s">
        <v>282</v>
      </c>
      <c r="R996" s="132">
        <v>40848</v>
      </c>
      <c r="S996" s="16" t="s">
        <v>44</v>
      </c>
      <c r="T996" s="165">
        <v>40933</v>
      </c>
      <c r="U996" s="624"/>
      <c r="V996" s="624"/>
      <c r="W996" s="735">
        <v>5</v>
      </c>
      <c r="X996" s="7">
        <v>2.5</v>
      </c>
      <c r="Y996" s="7" t="str">
        <f t="shared" si="36"/>
        <v/>
      </c>
      <c r="Z996" s="7">
        <f>IF(Y996="",X996,Y996+X996)</f>
        <v>2.5</v>
      </c>
      <c r="AA996" s="469"/>
      <c r="AB996" s="479" t="s">
        <v>49</v>
      </c>
      <c r="AC996" s="480"/>
      <c r="AD996" s="187">
        <v>0.5</v>
      </c>
      <c r="AE996" s="187"/>
      <c r="AF996" s="205">
        <f>AE996+AD996</f>
        <v>0.5</v>
      </c>
      <c r="AG996" s="163">
        <v>8</v>
      </c>
      <c r="AH996" s="93"/>
      <c r="AI996" s="146"/>
      <c r="AJ996" s="93" t="s">
        <v>1188</v>
      </c>
      <c r="AK996" s="30" t="s">
        <v>1185</v>
      </c>
      <c r="AL996" s="93" t="s">
        <v>1178</v>
      </c>
    </row>
    <row r="997" spans="1:38" ht="15" customHeight="1" x14ac:dyDescent="0.3">
      <c r="A997" s="30" t="s">
        <v>22</v>
      </c>
      <c r="B997" s="140" t="s">
        <v>142</v>
      </c>
      <c r="C997" s="107">
        <v>2</v>
      </c>
      <c r="D997" s="11" t="s">
        <v>143</v>
      </c>
      <c r="E997" s="114">
        <v>39751</v>
      </c>
      <c r="F997" s="12">
        <v>2008</v>
      </c>
      <c r="G997" s="142" t="s">
        <v>2778</v>
      </c>
      <c r="H997" s="162" t="s">
        <v>2779</v>
      </c>
      <c r="I997" s="30" t="s">
        <v>38</v>
      </c>
      <c r="J997" s="32" t="s">
        <v>26</v>
      </c>
      <c r="K997" s="204" t="s">
        <v>111</v>
      </c>
      <c r="L997" s="197" t="s">
        <v>1319</v>
      </c>
      <c r="M997" s="137" t="s">
        <v>804</v>
      </c>
      <c r="N997" s="197"/>
      <c r="O997" s="138" t="s">
        <v>2780</v>
      </c>
      <c r="P997" s="197" t="s">
        <v>2781</v>
      </c>
      <c r="Q997" s="15" t="s">
        <v>35</v>
      </c>
      <c r="R997" s="164">
        <v>40568</v>
      </c>
      <c r="S997" s="16" t="s">
        <v>35</v>
      </c>
      <c r="T997" s="165">
        <v>40821</v>
      </c>
      <c r="U997" s="624"/>
      <c r="V997" s="624"/>
      <c r="W997" s="735">
        <v>20</v>
      </c>
      <c r="X997" s="7">
        <v>10</v>
      </c>
      <c r="Y997" s="7" t="str">
        <f t="shared" si="36"/>
        <v/>
      </c>
      <c r="Z997" s="7">
        <f>IF(Y997="",X997,Y997+X997)</f>
        <v>10</v>
      </c>
      <c r="AA997" s="469"/>
      <c r="AB997" s="564" t="s">
        <v>147</v>
      </c>
      <c r="AC997" s="693"/>
      <c r="AD997" s="187">
        <v>0.5</v>
      </c>
      <c r="AE997" s="187"/>
      <c r="AF997" s="205">
        <f>AE997+AD997</f>
        <v>0.5</v>
      </c>
      <c r="AG997" s="138"/>
      <c r="AH997" s="93" t="s">
        <v>500</v>
      </c>
      <c r="AI997" s="718" t="s">
        <v>2783</v>
      </c>
      <c r="AJ997" s="138" t="s">
        <v>1188</v>
      </c>
      <c r="AK997" s="138" t="s">
        <v>1185</v>
      </c>
      <c r="AL997" s="93" t="s">
        <v>1178</v>
      </c>
    </row>
    <row r="998" spans="1:38" ht="15" customHeight="1" x14ac:dyDescent="0.3">
      <c r="A998" s="200" t="s">
        <v>22</v>
      </c>
      <c r="B998" s="209" t="s">
        <v>2777</v>
      </c>
      <c r="C998" s="209" t="s">
        <v>196</v>
      </c>
      <c r="D998" s="11" t="s">
        <v>225</v>
      </c>
      <c r="E998" s="168">
        <v>39653</v>
      </c>
      <c r="F998" s="136">
        <v>2008</v>
      </c>
      <c r="G998" s="178" t="s">
        <v>2784</v>
      </c>
      <c r="H998" s="204"/>
      <c r="I998" s="33" t="s">
        <v>33</v>
      </c>
      <c r="J998" s="32" t="s">
        <v>26</v>
      </c>
      <c r="K998" s="138" t="s">
        <v>111</v>
      </c>
      <c r="L998" s="197" t="s">
        <v>1319</v>
      </c>
      <c r="M998" s="137" t="s">
        <v>804</v>
      </c>
      <c r="N998" s="197"/>
      <c r="O998" s="138" t="s">
        <v>2785</v>
      </c>
      <c r="P998" s="138" t="s">
        <v>2786</v>
      </c>
      <c r="Q998" s="15" t="s">
        <v>35</v>
      </c>
      <c r="R998" s="164">
        <v>40357</v>
      </c>
      <c r="S998" s="16" t="s">
        <v>35</v>
      </c>
      <c r="T998" s="165">
        <v>40877</v>
      </c>
      <c r="U998" s="624"/>
      <c r="V998" s="623"/>
      <c r="W998" s="734">
        <v>40</v>
      </c>
      <c r="X998" s="7">
        <v>30</v>
      </c>
      <c r="Y998" s="7" t="str">
        <f t="shared" si="36"/>
        <v/>
      </c>
      <c r="Z998" s="7">
        <f>IF(Y998="",X998,Y998+X998)</f>
        <v>30</v>
      </c>
      <c r="AA998" s="469"/>
      <c r="AB998" s="504" t="s">
        <v>6115</v>
      </c>
      <c r="AC998" s="138"/>
      <c r="AD998" s="187">
        <v>0.75</v>
      </c>
      <c r="AE998" s="187"/>
      <c r="AF998" s="205">
        <f>AE998+AD998</f>
        <v>0.75</v>
      </c>
      <c r="AG998" s="138">
        <v>6.5</v>
      </c>
      <c r="AH998" s="88" t="s">
        <v>2782</v>
      </c>
      <c r="AI998" s="718" t="s">
        <v>2787</v>
      </c>
      <c r="AJ998" s="138" t="s">
        <v>1188</v>
      </c>
      <c r="AK998" s="138" t="s">
        <v>1185</v>
      </c>
      <c r="AL998" s="138" t="s">
        <v>1178</v>
      </c>
    </row>
    <row r="999" spans="1:38" ht="15" customHeight="1" x14ac:dyDescent="0.3">
      <c r="A999" s="30" t="s">
        <v>22</v>
      </c>
      <c r="B999" s="153" t="s">
        <v>105</v>
      </c>
      <c r="C999" s="109">
        <v>19</v>
      </c>
      <c r="D999" s="11" t="s">
        <v>5936</v>
      </c>
      <c r="E999" s="108">
        <v>38412</v>
      </c>
      <c r="F999" s="12">
        <v>2005</v>
      </c>
      <c r="G999" s="142" t="s">
        <v>2788</v>
      </c>
      <c r="H999" s="162" t="s">
        <v>2789</v>
      </c>
      <c r="I999" s="33" t="s">
        <v>33</v>
      </c>
      <c r="J999" s="32" t="s">
        <v>26</v>
      </c>
      <c r="K999" s="197" t="s">
        <v>111</v>
      </c>
      <c r="L999" s="138" t="s">
        <v>1319</v>
      </c>
      <c r="M999" s="137" t="s">
        <v>804</v>
      </c>
      <c r="N999" s="137"/>
      <c r="O999" s="93" t="s">
        <v>2790</v>
      </c>
      <c r="P999" s="200" t="s">
        <v>2791</v>
      </c>
      <c r="Q999" s="15" t="s">
        <v>282</v>
      </c>
      <c r="R999" s="132">
        <v>40147</v>
      </c>
      <c r="S999" s="16" t="s">
        <v>44</v>
      </c>
      <c r="T999" s="133">
        <v>40926</v>
      </c>
      <c r="U999" s="623"/>
      <c r="V999" s="624"/>
      <c r="W999" s="735">
        <v>115</v>
      </c>
      <c r="X999" s="7">
        <v>57.5</v>
      </c>
      <c r="Y999" s="7" t="str">
        <f t="shared" si="36"/>
        <v/>
      </c>
      <c r="Z999" s="7">
        <f>IF(Y999="",X999,Y999+X999)</f>
        <v>57.5</v>
      </c>
      <c r="AA999" s="469"/>
      <c r="AB999" s="513" t="s">
        <v>1231</v>
      </c>
      <c r="AC999" s="147"/>
      <c r="AD999" s="187">
        <v>0.5</v>
      </c>
      <c r="AE999" s="187"/>
      <c r="AF999" s="205">
        <f>AE999+AD999</f>
        <v>0.5</v>
      </c>
      <c r="AG999" s="163">
        <v>6.5</v>
      </c>
      <c r="AH999" s="93"/>
      <c r="AI999" s="146"/>
      <c r="AJ999" s="93" t="s">
        <v>1188</v>
      </c>
      <c r="AK999" s="30" t="s">
        <v>1185</v>
      </c>
      <c r="AL999" s="93" t="s">
        <v>1178</v>
      </c>
    </row>
    <row r="1000" spans="1:38" ht="15" customHeight="1" x14ac:dyDescent="0.3">
      <c r="A1000" s="181" t="s">
        <v>22</v>
      </c>
      <c r="B1000" s="167" t="s">
        <v>105</v>
      </c>
      <c r="C1000" s="135">
        <v>6</v>
      </c>
      <c r="D1000" s="11" t="s">
        <v>5936</v>
      </c>
      <c r="E1000" s="168">
        <v>39419</v>
      </c>
      <c r="F1000" s="136">
        <v>2007</v>
      </c>
      <c r="G1000" s="178" t="s">
        <v>2793</v>
      </c>
      <c r="H1000" s="204" t="s">
        <v>2794</v>
      </c>
      <c r="I1000" s="30" t="s">
        <v>38</v>
      </c>
      <c r="J1000" s="32" t="s">
        <v>26</v>
      </c>
      <c r="K1000" s="138" t="s">
        <v>111</v>
      </c>
      <c r="L1000" s="138" t="s">
        <v>1319</v>
      </c>
      <c r="M1000" s="137" t="s">
        <v>804</v>
      </c>
      <c r="N1000" s="138"/>
      <c r="O1000" s="138" t="s">
        <v>2795</v>
      </c>
      <c r="P1000" s="138" t="s">
        <v>2796</v>
      </c>
      <c r="Q1000" s="15" t="s">
        <v>282</v>
      </c>
      <c r="R1000" s="132">
        <v>40512</v>
      </c>
      <c r="S1000" s="16" t="s">
        <v>44</v>
      </c>
      <c r="T1000" s="133">
        <v>40927</v>
      </c>
      <c r="U1000" s="623"/>
      <c r="V1000" s="623"/>
      <c r="W1000" s="743">
        <v>10</v>
      </c>
      <c r="X1000" s="7">
        <v>5</v>
      </c>
      <c r="Y1000" s="7" t="str">
        <f t="shared" si="36"/>
        <v/>
      </c>
      <c r="Z1000" s="7">
        <f t="shared" ref="Z1000:Z1063" si="38">IF(Y1000="",X1000,Y1000+X1000)</f>
        <v>5</v>
      </c>
      <c r="AA1000" s="469"/>
      <c r="AB1000" s="564" t="s">
        <v>1073</v>
      </c>
      <c r="AC1000" s="693"/>
      <c r="AD1000" s="187">
        <v>0.5</v>
      </c>
      <c r="AE1000" s="196"/>
      <c r="AF1000" s="205">
        <f t="shared" ref="AF1000:AF1063" si="39">AE1000+AD1000</f>
        <v>0.5</v>
      </c>
      <c r="AG1000" s="138">
        <v>7</v>
      </c>
      <c r="AH1000" s="138" t="s">
        <v>2792</v>
      </c>
      <c r="AI1000" s="138"/>
      <c r="AJ1000" s="138" t="s">
        <v>1188</v>
      </c>
      <c r="AK1000" s="138" t="s">
        <v>1185</v>
      </c>
      <c r="AL1000" s="138" t="s">
        <v>1178</v>
      </c>
    </row>
    <row r="1001" spans="1:38" ht="15" customHeight="1" x14ac:dyDescent="0.3">
      <c r="A1001" s="184" t="s">
        <v>22</v>
      </c>
      <c r="B1001" s="184" t="s">
        <v>227</v>
      </c>
      <c r="C1001" s="184">
        <v>5</v>
      </c>
      <c r="D1001" s="11" t="s">
        <v>225</v>
      </c>
      <c r="E1001" s="168">
        <v>39583</v>
      </c>
      <c r="F1001" s="136">
        <v>2008</v>
      </c>
      <c r="G1001" s="178" t="s">
        <v>2798</v>
      </c>
      <c r="H1001" s="204" t="s">
        <v>2799</v>
      </c>
      <c r="I1001" s="30" t="s">
        <v>38</v>
      </c>
      <c r="J1001" s="32" t="s">
        <v>26</v>
      </c>
      <c r="K1001" s="138" t="s">
        <v>2121</v>
      </c>
      <c r="L1001" s="197" t="s">
        <v>1319</v>
      </c>
      <c r="M1001" s="137" t="s">
        <v>804</v>
      </c>
      <c r="N1001" s="197"/>
      <c r="O1001" s="138" t="s">
        <v>2800</v>
      </c>
      <c r="P1001" s="138" t="s">
        <v>6032</v>
      </c>
      <c r="Q1001" s="15" t="s">
        <v>282</v>
      </c>
      <c r="R1001" s="164">
        <v>40753</v>
      </c>
      <c r="S1001" s="16" t="s">
        <v>35</v>
      </c>
      <c r="T1001" s="165">
        <v>41029</v>
      </c>
      <c r="U1001" s="624"/>
      <c r="V1001" s="624"/>
      <c r="W1001" s="743">
        <v>54</v>
      </c>
      <c r="X1001" s="7">
        <v>27</v>
      </c>
      <c r="Y1001" s="7" t="str">
        <f t="shared" si="36"/>
        <v/>
      </c>
      <c r="Z1001" s="7">
        <f t="shared" si="38"/>
        <v>27</v>
      </c>
      <c r="AA1001" s="469"/>
      <c r="AB1001" s="500" t="s">
        <v>5953</v>
      </c>
      <c r="AC1001" s="501"/>
      <c r="AD1001" s="187">
        <v>0.5</v>
      </c>
      <c r="AE1001" s="195"/>
      <c r="AF1001" s="205">
        <f t="shared" si="39"/>
        <v>0.5</v>
      </c>
      <c r="AG1001" s="184">
        <v>6</v>
      </c>
      <c r="AH1001" s="181" t="s">
        <v>2797</v>
      </c>
      <c r="AI1001" s="736" t="s">
        <v>2801</v>
      </c>
      <c r="AJ1001" s="197" t="s">
        <v>1188</v>
      </c>
      <c r="AK1001" s="197" t="s">
        <v>1185</v>
      </c>
      <c r="AL1001" s="138" t="s">
        <v>1178</v>
      </c>
    </row>
    <row r="1002" spans="1:38" ht="15" customHeight="1" x14ac:dyDescent="0.3">
      <c r="A1002" s="181" t="s">
        <v>22</v>
      </c>
      <c r="B1002" s="145" t="s">
        <v>227</v>
      </c>
      <c r="C1002" s="135">
        <v>15</v>
      </c>
      <c r="D1002" s="11" t="s">
        <v>225</v>
      </c>
      <c r="E1002" s="168">
        <v>40420</v>
      </c>
      <c r="F1002" s="136">
        <v>2010</v>
      </c>
      <c r="G1002" s="178" t="s">
        <v>2802</v>
      </c>
      <c r="H1002" s="204" t="s">
        <v>2803</v>
      </c>
      <c r="I1002" s="33" t="s">
        <v>33</v>
      </c>
      <c r="J1002" s="32" t="s">
        <v>26</v>
      </c>
      <c r="K1002" s="197" t="s">
        <v>111</v>
      </c>
      <c r="L1002" s="197" t="s">
        <v>40</v>
      </c>
      <c r="M1002" s="137" t="s">
        <v>804</v>
      </c>
      <c r="N1002" s="197"/>
      <c r="O1002" s="138" t="s">
        <v>2804</v>
      </c>
      <c r="P1002" s="138" t="s">
        <v>2805</v>
      </c>
      <c r="Q1002" s="15" t="s">
        <v>35</v>
      </c>
      <c r="R1002" s="179">
        <v>40504</v>
      </c>
      <c r="S1002" s="16" t="s">
        <v>35</v>
      </c>
      <c r="T1002" s="191">
        <v>40970</v>
      </c>
      <c r="U1002" s="707"/>
      <c r="V1002" s="623"/>
      <c r="W1002" s="734">
        <v>93.5</v>
      </c>
      <c r="X1002" s="7">
        <v>70.125</v>
      </c>
      <c r="Y1002" s="7">
        <f t="shared" si="36"/>
        <v>23.375</v>
      </c>
      <c r="Z1002" s="7">
        <f t="shared" si="38"/>
        <v>93.5</v>
      </c>
      <c r="AA1002" s="469"/>
      <c r="AB1002" s="500" t="s">
        <v>5953</v>
      </c>
      <c r="AC1002" s="501"/>
      <c r="AD1002" s="187">
        <v>0.75</v>
      </c>
      <c r="AE1002" s="195">
        <v>0.25</v>
      </c>
      <c r="AF1002" s="205">
        <f t="shared" si="39"/>
        <v>1</v>
      </c>
      <c r="AG1002" s="200">
        <v>7</v>
      </c>
      <c r="AH1002" s="200"/>
      <c r="AI1002" s="719" t="s">
        <v>2806</v>
      </c>
      <c r="AJ1002" s="200" t="s">
        <v>1188</v>
      </c>
      <c r="AK1002" s="200" t="s">
        <v>1185</v>
      </c>
      <c r="AL1002" s="200" t="s">
        <v>1178</v>
      </c>
    </row>
    <row r="1003" spans="1:38" ht="15" customHeight="1" x14ac:dyDescent="0.3">
      <c r="A1003" s="181" t="s">
        <v>22</v>
      </c>
      <c r="B1003" s="153" t="s">
        <v>220</v>
      </c>
      <c r="C1003" s="135" t="s">
        <v>196</v>
      </c>
      <c r="D1003" s="136" t="s">
        <v>190</v>
      </c>
      <c r="E1003" s="168">
        <v>40066</v>
      </c>
      <c r="F1003" s="136">
        <v>2009</v>
      </c>
      <c r="G1003" s="178" t="s">
        <v>2808</v>
      </c>
      <c r="H1003" s="204"/>
      <c r="I1003" s="33" t="s">
        <v>33</v>
      </c>
      <c r="J1003" s="32" t="s">
        <v>26</v>
      </c>
      <c r="K1003" s="138" t="s">
        <v>111</v>
      </c>
      <c r="L1003" s="138" t="s">
        <v>1319</v>
      </c>
      <c r="M1003" s="137" t="s">
        <v>804</v>
      </c>
      <c r="N1003" s="197"/>
      <c r="O1003" s="197" t="s">
        <v>2809</v>
      </c>
      <c r="P1003" s="138" t="s">
        <v>2810</v>
      </c>
      <c r="Q1003" s="15" t="s">
        <v>282</v>
      </c>
      <c r="R1003" s="179">
        <v>40674</v>
      </c>
      <c r="S1003" s="16" t="s">
        <v>44</v>
      </c>
      <c r="T1003" s="191">
        <v>40962</v>
      </c>
      <c r="U1003" s="707"/>
      <c r="V1003" s="623"/>
      <c r="W1003" s="734">
        <v>66.400000000000006</v>
      </c>
      <c r="X1003" s="7">
        <v>33.200000000000003</v>
      </c>
      <c r="Y1003" s="7" t="str">
        <f t="shared" si="36"/>
        <v/>
      </c>
      <c r="Z1003" s="7">
        <f t="shared" si="38"/>
        <v>33.200000000000003</v>
      </c>
      <c r="AA1003" s="469"/>
      <c r="AB1003" s="564" t="s">
        <v>1073</v>
      </c>
      <c r="AC1003" s="693"/>
      <c r="AD1003" s="187">
        <v>0.5</v>
      </c>
      <c r="AE1003" s="195"/>
      <c r="AF1003" s="205">
        <f t="shared" si="39"/>
        <v>0.5</v>
      </c>
      <c r="AG1003" s="200">
        <v>7</v>
      </c>
      <c r="AH1003" s="200"/>
      <c r="AI1003" s="200"/>
      <c r="AJ1003" s="200" t="s">
        <v>1188</v>
      </c>
      <c r="AK1003" s="200" t="s">
        <v>1185</v>
      </c>
      <c r="AL1003" s="200" t="s">
        <v>1178</v>
      </c>
    </row>
    <row r="1004" spans="1:38" ht="15" customHeight="1" x14ac:dyDescent="0.3">
      <c r="A1004" s="30" t="s">
        <v>22</v>
      </c>
      <c r="B1004" s="181" t="s">
        <v>2807</v>
      </c>
      <c r="C1004" s="109">
        <v>1</v>
      </c>
      <c r="D1004" s="11" t="s">
        <v>225</v>
      </c>
      <c r="E1004" s="156">
        <v>39683</v>
      </c>
      <c r="F1004" s="33">
        <v>2008</v>
      </c>
      <c r="G1004" s="157" t="s">
        <v>2813</v>
      </c>
      <c r="H1004" s="161"/>
      <c r="I1004" s="33" t="s">
        <v>33</v>
      </c>
      <c r="J1004" s="32" t="s">
        <v>26</v>
      </c>
      <c r="K1004" s="200" t="s">
        <v>111</v>
      </c>
      <c r="L1004" s="93" t="s">
        <v>1319</v>
      </c>
      <c r="M1004" s="137" t="s">
        <v>804</v>
      </c>
      <c r="N1004" s="764"/>
      <c r="O1004" s="764" t="s">
        <v>2814</v>
      </c>
      <c r="P1004" s="200" t="s">
        <v>2815</v>
      </c>
      <c r="Q1004" s="15" t="s">
        <v>35</v>
      </c>
      <c r="R1004" s="132">
        <v>40634</v>
      </c>
      <c r="S1004" s="16" t="s">
        <v>35</v>
      </c>
      <c r="T1004" s="133">
        <v>41029</v>
      </c>
      <c r="U1004" s="623"/>
      <c r="V1004" s="623"/>
      <c r="W1004" s="734">
        <v>15</v>
      </c>
      <c r="X1004" s="7">
        <v>7.5</v>
      </c>
      <c r="Y1004" s="7">
        <f t="shared" si="36"/>
        <v>7.5</v>
      </c>
      <c r="Z1004" s="7">
        <f t="shared" si="38"/>
        <v>15</v>
      </c>
      <c r="AA1004" s="469"/>
      <c r="AB1004" s="500" t="s">
        <v>5953</v>
      </c>
      <c r="AC1004" s="501"/>
      <c r="AD1004" s="187">
        <v>0.5</v>
      </c>
      <c r="AE1004" s="187">
        <v>0.5</v>
      </c>
      <c r="AF1004" s="205">
        <f t="shared" si="39"/>
        <v>1</v>
      </c>
      <c r="AG1004" s="88">
        <v>6</v>
      </c>
      <c r="AH1004" s="146" t="s">
        <v>2811</v>
      </c>
      <c r="AI1004" s="718" t="s">
        <v>2816</v>
      </c>
      <c r="AJ1004" s="93" t="s">
        <v>1188</v>
      </c>
      <c r="AK1004" s="30" t="s">
        <v>1185</v>
      </c>
      <c r="AL1004" s="146" t="s">
        <v>1178</v>
      </c>
    </row>
    <row r="1005" spans="1:38" ht="15" customHeight="1" x14ac:dyDescent="0.3">
      <c r="A1005" s="181" t="s">
        <v>22</v>
      </c>
      <c r="B1005" s="145" t="s">
        <v>2812</v>
      </c>
      <c r="C1005" s="135" t="s">
        <v>196</v>
      </c>
      <c r="D1005" s="11" t="s">
        <v>5936</v>
      </c>
      <c r="E1005" s="168">
        <v>40378</v>
      </c>
      <c r="F1005" s="136">
        <v>2010</v>
      </c>
      <c r="G1005" s="178" t="s">
        <v>2817</v>
      </c>
      <c r="H1005" s="204"/>
      <c r="I1005" s="33" t="s">
        <v>33</v>
      </c>
      <c r="J1005" s="32" t="s">
        <v>26</v>
      </c>
      <c r="K1005" s="197" t="s">
        <v>111</v>
      </c>
      <c r="L1005" s="197" t="s">
        <v>40</v>
      </c>
      <c r="M1005" s="137" t="s">
        <v>804</v>
      </c>
      <c r="N1005" s="197"/>
      <c r="O1005" s="138" t="s">
        <v>2818</v>
      </c>
      <c r="P1005" s="138" t="s">
        <v>6033</v>
      </c>
      <c r="Q1005" s="747"/>
      <c r="R1005" s="227"/>
      <c r="S1005" s="748"/>
      <c r="T1005" s="748"/>
      <c r="U1005" s="737"/>
      <c r="V1005" s="733"/>
      <c r="W1005" s="256">
        <v>108</v>
      </c>
      <c r="X1005" s="7">
        <v>21.6</v>
      </c>
      <c r="Y1005" s="7" t="str">
        <f t="shared" si="36"/>
        <v/>
      </c>
      <c r="Z1005" s="7">
        <f t="shared" si="38"/>
        <v>21.6</v>
      </c>
      <c r="AA1005" s="469"/>
      <c r="AB1005" s="564" t="s">
        <v>1073</v>
      </c>
      <c r="AC1005" s="693"/>
      <c r="AD1005" s="187">
        <v>0.2</v>
      </c>
      <c r="AE1005" s="195"/>
      <c r="AF1005" s="205">
        <f t="shared" si="39"/>
        <v>0.2</v>
      </c>
      <c r="AG1005" s="30">
        <v>7</v>
      </c>
      <c r="AH1005" s="30"/>
      <c r="AI1005" s="718" t="s">
        <v>2819</v>
      </c>
      <c r="AJ1005" s="30" t="s">
        <v>1188</v>
      </c>
      <c r="AK1005" s="30" t="s">
        <v>1177</v>
      </c>
      <c r="AL1005" s="30" t="s">
        <v>1178</v>
      </c>
    </row>
    <row r="1006" spans="1:38" ht="15" customHeight="1" x14ac:dyDescent="0.3">
      <c r="A1006" s="30" t="s">
        <v>22</v>
      </c>
      <c r="B1006" s="140" t="s">
        <v>142</v>
      </c>
      <c r="C1006" s="107">
        <v>1</v>
      </c>
      <c r="D1006" s="11" t="s">
        <v>143</v>
      </c>
      <c r="E1006" s="114">
        <v>39749</v>
      </c>
      <c r="F1006" s="12">
        <v>2008</v>
      </c>
      <c r="G1006" s="142" t="s">
        <v>2820</v>
      </c>
      <c r="H1006" s="162" t="s">
        <v>2821</v>
      </c>
      <c r="I1006" s="30" t="s">
        <v>38</v>
      </c>
      <c r="J1006" s="32" t="s">
        <v>26</v>
      </c>
      <c r="K1006" s="204" t="s">
        <v>111</v>
      </c>
      <c r="L1006" s="197" t="s">
        <v>1319</v>
      </c>
      <c r="M1006" s="137" t="s">
        <v>804</v>
      </c>
      <c r="N1006" s="197"/>
      <c r="O1006" s="197" t="s">
        <v>2780</v>
      </c>
      <c r="P1006" s="197" t="s">
        <v>2822</v>
      </c>
      <c r="Q1006" s="15" t="s">
        <v>282</v>
      </c>
      <c r="R1006" s="164">
        <v>40856</v>
      </c>
      <c r="S1006" s="16" t="s">
        <v>44</v>
      </c>
      <c r="T1006" s="165">
        <v>41025</v>
      </c>
      <c r="U1006" s="624"/>
      <c r="V1006" s="624"/>
      <c r="W1006" s="735">
        <v>50</v>
      </c>
      <c r="X1006" s="7">
        <v>20</v>
      </c>
      <c r="Y1006" s="7">
        <f t="shared" si="36"/>
        <v>5</v>
      </c>
      <c r="Z1006" s="7">
        <f t="shared" si="38"/>
        <v>25</v>
      </c>
      <c r="AA1006" s="469"/>
      <c r="AB1006" s="564" t="s">
        <v>147</v>
      </c>
      <c r="AC1006" s="693"/>
      <c r="AD1006" s="187">
        <v>0.4</v>
      </c>
      <c r="AE1006" s="187">
        <v>0.1</v>
      </c>
      <c r="AF1006" s="205">
        <f t="shared" si="39"/>
        <v>0.5</v>
      </c>
      <c r="AG1006" s="138"/>
      <c r="AH1006" s="93" t="s">
        <v>500</v>
      </c>
      <c r="AI1006" s="718" t="s">
        <v>2823</v>
      </c>
      <c r="AJ1006" s="138" t="s">
        <v>1188</v>
      </c>
      <c r="AK1006" s="138" t="s">
        <v>1185</v>
      </c>
      <c r="AL1006" s="93" t="s">
        <v>1178</v>
      </c>
    </row>
    <row r="1007" spans="1:38" ht="15" customHeight="1" x14ac:dyDescent="0.3">
      <c r="A1007" s="30" t="s">
        <v>22</v>
      </c>
      <c r="B1007" s="140" t="s">
        <v>189</v>
      </c>
      <c r="C1007" s="107">
        <v>5</v>
      </c>
      <c r="D1007" s="12" t="s">
        <v>190</v>
      </c>
      <c r="E1007" s="114">
        <v>39341</v>
      </c>
      <c r="F1007" s="12">
        <v>2007</v>
      </c>
      <c r="G1007" s="142" t="s">
        <v>2824</v>
      </c>
      <c r="H1007" s="162" t="s">
        <v>2825</v>
      </c>
      <c r="I1007" s="33" t="s">
        <v>33</v>
      </c>
      <c r="J1007" s="32" t="s">
        <v>26</v>
      </c>
      <c r="K1007" s="138" t="s">
        <v>1173</v>
      </c>
      <c r="L1007" s="138" t="s">
        <v>1319</v>
      </c>
      <c r="M1007" s="137" t="s">
        <v>804</v>
      </c>
      <c r="N1007" s="138"/>
      <c r="O1007" s="138" t="s">
        <v>2826</v>
      </c>
      <c r="P1007" s="740" t="s">
        <v>2827</v>
      </c>
      <c r="Q1007" s="15" t="s">
        <v>282</v>
      </c>
      <c r="R1007" s="132">
        <v>40765</v>
      </c>
      <c r="S1007" s="16" t="s">
        <v>44</v>
      </c>
      <c r="T1007" s="133">
        <v>41044</v>
      </c>
      <c r="U1007" s="623"/>
      <c r="V1007" s="623"/>
      <c r="W1007" s="734">
        <v>80</v>
      </c>
      <c r="X1007" s="7">
        <v>40</v>
      </c>
      <c r="Y1007" s="7" t="str">
        <f t="shared" si="36"/>
        <v/>
      </c>
      <c r="Z1007" s="7">
        <f t="shared" si="38"/>
        <v>40</v>
      </c>
      <c r="AA1007" s="469"/>
      <c r="AB1007" s="564" t="s">
        <v>1073</v>
      </c>
      <c r="AC1007" s="693"/>
      <c r="AD1007" s="187">
        <v>0.5</v>
      </c>
      <c r="AE1007" s="187"/>
      <c r="AF1007" s="205">
        <f t="shared" si="39"/>
        <v>0.5</v>
      </c>
      <c r="AG1007" s="138">
        <v>7.5</v>
      </c>
      <c r="AH1007" s="138"/>
      <c r="AI1007" s="718" t="s">
        <v>2828</v>
      </c>
      <c r="AJ1007" s="138" t="s">
        <v>1188</v>
      </c>
      <c r="AK1007" s="138" t="s">
        <v>1185</v>
      </c>
      <c r="AL1007" s="93" t="s">
        <v>1178</v>
      </c>
    </row>
    <row r="1008" spans="1:38" ht="15" customHeight="1" x14ac:dyDescent="0.3">
      <c r="A1008" s="30" t="s">
        <v>22</v>
      </c>
      <c r="B1008" s="140" t="s">
        <v>189</v>
      </c>
      <c r="C1008" s="107">
        <v>5</v>
      </c>
      <c r="D1008" s="12" t="s">
        <v>190</v>
      </c>
      <c r="E1008" s="114">
        <v>39341</v>
      </c>
      <c r="F1008" s="12">
        <v>2007</v>
      </c>
      <c r="G1008" s="142" t="s">
        <v>2824</v>
      </c>
      <c r="H1008" s="162" t="s">
        <v>2825</v>
      </c>
      <c r="I1008" s="33" t="s">
        <v>33</v>
      </c>
      <c r="J1008" s="32" t="s">
        <v>26</v>
      </c>
      <c r="K1008" s="138" t="s">
        <v>1173</v>
      </c>
      <c r="L1008" s="138" t="s">
        <v>1319</v>
      </c>
      <c r="M1008" s="137" t="s">
        <v>804</v>
      </c>
      <c r="N1008" s="138"/>
      <c r="O1008" s="138" t="s">
        <v>2829</v>
      </c>
      <c r="P1008" s="740" t="s">
        <v>2830</v>
      </c>
      <c r="Q1008" s="15" t="s">
        <v>35</v>
      </c>
      <c r="R1008" s="132">
        <v>40765</v>
      </c>
      <c r="S1008" s="16" t="s">
        <v>35</v>
      </c>
      <c r="T1008" s="133">
        <v>41044</v>
      </c>
      <c r="U1008" s="623"/>
      <c r="V1008" s="623"/>
      <c r="W1008" s="734">
        <v>80</v>
      </c>
      <c r="X1008" s="7">
        <v>60</v>
      </c>
      <c r="Y1008" s="7" t="str">
        <f t="shared" si="36"/>
        <v/>
      </c>
      <c r="Z1008" s="7">
        <f t="shared" si="38"/>
        <v>60</v>
      </c>
      <c r="AA1008" s="469"/>
      <c r="AB1008" s="564" t="s">
        <v>1073</v>
      </c>
      <c r="AC1008" s="693"/>
      <c r="AD1008" s="187">
        <v>0.75</v>
      </c>
      <c r="AE1008" s="187"/>
      <c r="AF1008" s="205">
        <f t="shared" si="39"/>
        <v>0.75</v>
      </c>
      <c r="AG1008" s="138">
        <v>7.5</v>
      </c>
      <c r="AH1008" s="138"/>
      <c r="AI1008" s="718" t="s">
        <v>2832</v>
      </c>
      <c r="AJ1008" s="138" t="s">
        <v>1188</v>
      </c>
      <c r="AK1008" s="138" t="s">
        <v>1185</v>
      </c>
      <c r="AL1008" s="93" t="s">
        <v>1178</v>
      </c>
    </row>
    <row r="1009" spans="1:38" ht="15" customHeight="1" x14ac:dyDescent="0.3">
      <c r="A1009" s="181" t="s">
        <v>22</v>
      </c>
      <c r="B1009" s="153" t="s">
        <v>2596</v>
      </c>
      <c r="C1009" s="135" t="s">
        <v>196</v>
      </c>
      <c r="D1009" s="11" t="s">
        <v>225</v>
      </c>
      <c r="E1009" s="168">
        <v>40001</v>
      </c>
      <c r="F1009" s="136">
        <v>2009</v>
      </c>
      <c r="G1009" s="178" t="s">
        <v>2833</v>
      </c>
      <c r="H1009" s="204"/>
      <c r="I1009" s="33" t="s">
        <v>33</v>
      </c>
      <c r="J1009" s="32" t="s">
        <v>26</v>
      </c>
      <c r="K1009" s="197" t="s">
        <v>111</v>
      </c>
      <c r="L1009" s="138" t="s">
        <v>1319</v>
      </c>
      <c r="M1009" s="137" t="s">
        <v>804</v>
      </c>
      <c r="N1009" s="197"/>
      <c r="O1009" s="197" t="s">
        <v>2834</v>
      </c>
      <c r="P1009" s="197" t="s">
        <v>2835</v>
      </c>
      <c r="Q1009" s="15" t="s">
        <v>282</v>
      </c>
      <c r="R1009" s="164">
        <v>40702</v>
      </c>
      <c r="S1009" s="16" t="s">
        <v>35</v>
      </c>
      <c r="T1009" s="165">
        <v>41060</v>
      </c>
      <c r="U1009" s="624"/>
      <c r="V1009" s="624"/>
      <c r="W1009" s="256">
        <v>59</v>
      </c>
      <c r="X1009" s="7">
        <v>29.5</v>
      </c>
      <c r="Y1009" s="7">
        <f t="shared" si="36"/>
        <v>29.5</v>
      </c>
      <c r="Z1009" s="7">
        <f t="shared" si="38"/>
        <v>59</v>
      </c>
      <c r="AA1009" s="469"/>
      <c r="AB1009" s="564" t="s">
        <v>1073</v>
      </c>
      <c r="AC1009" s="693"/>
      <c r="AD1009" s="187">
        <v>0.5</v>
      </c>
      <c r="AE1009" s="195">
        <v>0.5</v>
      </c>
      <c r="AF1009" s="205">
        <f t="shared" si="39"/>
        <v>1</v>
      </c>
      <c r="AG1009" s="197">
        <v>7.5</v>
      </c>
      <c r="AH1009" s="197" t="s">
        <v>2831</v>
      </c>
      <c r="AI1009" s="736" t="s">
        <v>2836</v>
      </c>
      <c r="AJ1009" s="138" t="s">
        <v>1188</v>
      </c>
      <c r="AK1009" s="138" t="s">
        <v>1185</v>
      </c>
      <c r="AL1009" s="138" t="s">
        <v>1178</v>
      </c>
    </row>
    <row r="1010" spans="1:38" ht="15" customHeight="1" x14ac:dyDescent="0.3">
      <c r="A1010" s="30" t="s">
        <v>22</v>
      </c>
      <c r="B1010" s="153" t="s">
        <v>23</v>
      </c>
      <c r="C1010" s="107">
        <v>13</v>
      </c>
      <c r="D1010" s="11" t="s">
        <v>24</v>
      </c>
      <c r="E1010" s="114">
        <v>39384</v>
      </c>
      <c r="F1010" s="12">
        <v>2007</v>
      </c>
      <c r="G1010" s="142" t="s">
        <v>2837</v>
      </c>
      <c r="H1010" s="162" t="s">
        <v>2838</v>
      </c>
      <c r="I1010" s="12" t="s">
        <v>80</v>
      </c>
      <c r="J1010" s="32" t="s">
        <v>26</v>
      </c>
      <c r="K1010" s="197" t="s">
        <v>180</v>
      </c>
      <c r="L1010" s="137" t="s">
        <v>1319</v>
      </c>
      <c r="M1010" s="137" t="s">
        <v>804</v>
      </c>
      <c r="N1010" s="137"/>
      <c r="O1010" s="93" t="s">
        <v>2225</v>
      </c>
      <c r="P1010" s="138" t="s">
        <v>2839</v>
      </c>
      <c r="Q1010" s="15" t="s">
        <v>282</v>
      </c>
      <c r="R1010" s="132">
        <v>40389</v>
      </c>
      <c r="S1010" s="16" t="s">
        <v>44</v>
      </c>
      <c r="T1010" s="165">
        <v>40889</v>
      </c>
      <c r="U1010" s="624"/>
      <c r="V1010" s="624"/>
      <c r="W1010" s="735">
        <v>38</v>
      </c>
      <c r="X1010" s="7">
        <v>19</v>
      </c>
      <c r="Y1010" s="7" t="str">
        <f t="shared" si="36"/>
        <v/>
      </c>
      <c r="Z1010" s="7">
        <f t="shared" si="38"/>
        <v>19</v>
      </c>
      <c r="AA1010" s="469"/>
      <c r="AB1010" s="518" t="s">
        <v>933</v>
      </c>
      <c r="AC1010" s="519"/>
      <c r="AD1010" s="187">
        <v>0.5</v>
      </c>
      <c r="AE1010" s="187"/>
      <c r="AF1010" s="205">
        <f t="shared" si="39"/>
        <v>0.5</v>
      </c>
      <c r="AG1010" s="163">
        <v>6</v>
      </c>
      <c r="AH1010" s="93" t="s">
        <v>6008</v>
      </c>
      <c r="AI1010" s="93"/>
      <c r="AJ1010" s="93" t="s">
        <v>1188</v>
      </c>
      <c r="AK1010" s="30" t="s">
        <v>1185</v>
      </c>
      <c r="AL1010" s="93" t="s">
        <v>1178</v>
      </c>
    </row>
    <row r="1011" spans="1:38" ht="15" customHeight="1" x14ac:dyDescent="0.3">
      <c r="A1011" s="181" t="s">
        <v>22</v>
      </c>
      <c r="B1011" s="153" t="s">
        <v>105</v>
      </c>
      <c r="C1011" s="135">
        <v>12</v>
      </c>
      <c r="D1011" s="11" t="s">
        <v>5936</v>
      </c>
      <c r="E1011" s="168">
        <v>40021</v>
      </c>
      <c r="F1011" s="136">
        <v>2009</v>
      </c>
      <c r="G1011" s="168" t="s">
        <v>2840</v>
      </c>
      <c r="H1011" s="204" t="s">
        <v>2841</v>
      </c>
      <c r="I1011" s="136" t="s">
        <v>25</v>
      </c>
      <c r="J1011" s="32" t="s">
        <v>26</v>
      </c>
      <c r="K1011" s="197" t="s">
        <v>111</v>
      </c>
      <c r="L1011" s="138" t="s">
        <v>1319</v>
      </c>
      <c r="M1011" s="137" t="s">
        <v>804</v>
      </c>
      <c r="N1011" s="197"/>
      <c r="O1011" s="197" t="s">
        <v>2842</v>
      </c>
      <c r="P1011" s="197" t="s">
        <v>2843</v>
      </c>
      <c r="Q1011" s="15" t="s">
        <v>35</v>
      </c>
      <c r="R1011" s="164">
        <v>40693</v>
      </c>
      <c r="S1011" s="16" t="s">
        <v>44</v>
      </c>
      <c r="T1011" s="165">
        <v>41121</v>
      </c>
      <c r="U1011" s="624"/>
      <c r="V1011" s="624"/>
      <c r="W1011" s="256">
        <v>32</v>
      </c>
      <c r="X1011" s="7">
        <v>24</v>
      </c>
      <c r="Y1011" s="7" t="str">
        <f t="shared" si="36"/>
        <v/>
      </c>
      <c r="Z1011" s="7">
        <f t="shared" si="38"/>
        <v>24</v>
      </c>
      <c r="AA1011" s="469"/>
      <c r="AB1011" s="564" t="s">
        <v>1073</v>
      </c>
      <c r="AC1011" s="693"/>
      <c r="AD1011" s="187">
        <v>0.75</v>
      </c>
      <c r="AE1011" s="195"/>
      <c r="AF1011" s="205">
        <f t="shared" si="39"/>
        <v>0.75</v>
      </c>
      <c r="AG1011" s="197">
        <v>7.5</v>
      </c>
      <c r="AH1011" s="197"/>
      <c r="AI1011" s="197"/>
      <c r="AJ1011" s="197" t="s">
        <v>1188</v>
      </c>
      <c r="AK1011" s="197" t="s">
        <v>1185</v>
      </c>
      <c r="AL1011" s="138" t="s">
        <v>1178</v>
      </c>
    </row>
    <row r="1012" spans="1:38" ht="15" customHeight="1" x14ac:dyDescent="0.3">
      <c r="A1012" s="181" t="s">
        <v>22</v>
      </c>
      <c r="B1012" s="153" t="s">
        <v>233</v>
      </c>
      <c r="C1012" s="135">
        <v>3</v>
      </c>
      <c r="D1012" s="11" t="s">
        <v>225</v>
      </c>
      <c r="E1012" s="168">
        <v>40211</v>
      </c>
      <c r="F1012" s="136">
        <v>2009</v>
      </c>
      <c r="G1012" s="178" t="s">
        <v>2845</v>
      </c>
      <c r="H1012" s="204" t="s">
        <v>2846</v>
      </c>
      <c r="I1012" s="136" t="s">
        <v>80</v>
      </c>
      <c r="J1012" s="32" t="s">
        <v>26</v>
      </c>
      <c r="K1012" s="138" t="s">
        <v>111</v>
      </c>
      <c r="L1012" s="765" t="s">
        <v>40</v>
      </c>
      <c r="M1012" s="137" t="s">
        <v>804</v>
      </c>
      <c r="N1012" s="138"/>
      <c r="O1012" s="765" t="s">
        <v>2847</v>
      </c>
      <c r="P1012" s="765" t="s">
        <v>2848</v>
      </c>
      <c r="Q1012" s="15" t="s">
        <v>282</v>
      </c>
      <c r="R1012" s="132">
        <v>40753</v>
      </c>
      <c r="S1012" s="92"/>
      <c r="T1012" s="133"/>
      <c r="U1012" s="623"/>
      <c r="V1012" s="623"/>
      <c r="W1012" s="734">
        <v>15</v>
      </c>
      <c r="X1012" s="7">
        <v>7.5</v>
      </c>
      <c r="Y1012" s="7" t="str">
        <f t="shared" si="36"/>
        <v/>
      </c>
      <c r="Z1012" s="7">
        <f t="shared" si="38"/>
        <v>7.5</v>
      </c>
      <c r="AA1012" s="469"/>
      <c r="AB1012" s="504" t="s">
        <v>6126</v>
      </c>
      <c r="AC1012" s="138"/>
      <c r="AD1012" s="187">
        <v>0.5</v>
      </c>
      <c r="AE1012" s="187"/>
      <c r="AF1012" s="205">
        <f t="shared" si="39"/>
        <v>0.5</v>
      </c>
      <c r="AG1012" s="138">
        <v>7</v>
      </c>
      <c r="AH1012" s="138" t="s">
        <v>2844</v>
      </c>
      <c r="AI1012" s="718" t="s">
        <v>2849</v>
      </c>
      <c r="AJ1012" s="138" t="s">
        <v>1188</v>
      </c>
      <c r="AK1012" s="138" t="s">
        <v>1185</v>
      </c>
      <c r="AL1012" s="93" t="s">
        <v>1178</v>
      </c>
    </row>
    <row r="1013" spans="1:38" ht="15" customHeight="1" x14ac:dyDescent="0.3">
      <c r="A1013" s="181" t="s">
        <v>140</v>
      </c>
      <c r="B1013" s="145" t="s">
        <v>105</v>
      </c>
      <c r="C1013" s="135">
        <v>11</v>
      </c>
      <c r="D1013" s="11" t="s">
        <v>5936</v>
      </c>
      <c r="E1013" s="168"/>
      <c r="F1013" s="136">
        <v>2011</v>
      </c>
      <c r="G1013" s="178" t="s">
        <v>2850</v>
      </c>
      <c r="H1013" s="204" t="s">
        <v>2851</v>
      </c>
      <c r="I1013" s="30" t="s">
        <v>38</v>
      </c>
      <c r="J1013" s="181" t="s">
        <v>81</v>
      </c>
      <c r="K1013" s="197" t="s">
        <v>141</v>
      </c>
      <c r="L1013" s="765" t="s">
        <v>1319</v>
      </c>
      <c r="M1013" s="137" t="s">
        <v>804</v>
      </c>
      <c r="N1013" s="553" t="s">
        <v>122</v>
      </c>
      <c r="O1013" s="138" t="s">
        <v>2852</v>
      </c>
      <c r="P1013" s="138" t="s">
        <v>6034</v>
      </c>
      <c r="Q1013" s="91"/>
      <c r="R1013" s="132"/>
      <c r="S1013" s="92"/>
      <c r="T1013" s="133"/>
      <c r="U1013" s="623"/>
      <c r="V1013" s="624"/>
      <c r="W1013" s="256">
        <v>5</v>
      </c>
      <c r="X1013" s="163"/>
      <c r="Y1013" s="7">
        <f t="shared" si="36"/>
        <v>1</v>
      </c>
      <c r="Z1013" s="7">
        <f t="shared" si="38"/>
        <v>1</v>
      </c>
      <c r="AA1013" s="469"/>
      <c r="AB1013" s="564" t="s">
        <v>1073</v>
      </c>
      <c r="AC1013" s="693"/>
      <c r="AD1013" s="196"/>
      <c r="AE1013" s="196">
        <v>0.2</v>
      </c>
      <c r="AF1013" s="205">
        <f t="shared" si="39"/>
        <v>0.2</v>
      </c>
      <c r="AG1013" s="138">
        <v>8</v>
      </c>
      <c r="AH1013" s="138"/>
      <c r="AI1013" s="718" t="s">
        <v>2853</v>
      </c>
      <c r="AJ1013" s="138" t="s">
        <v>1188</v>
      </c>
      <c r="AK1013" s="181" t="s">
        <v>1177</v>
      </c>
      <c r="AL1013" s="138" t="s">
        <v>1178</v>
      </c>
    </row>
    <row r="1014" spans="1:38" ht="15" customHeight="1" x14ac:dyDescent="0.3">
      <c r="A1014" s="181" t="s">
        <v>22</v>
      </c>
      <c r="B1014" s="145" t="s">
        <v>105</v>
      </c>
      <c r="C1014" s="135">
        <v>29</v>
      </c>
      <c r="D1014" s="11" t="s">
        <v>5936</v>
      </c>
      <c r="E1014" s="168">
        <v>40857</v>
      </c>
      <c r="F1014" s="136">
        <v>2011</v>
      </c>
      <c r="G1014" s="178" t="s">
        <v>2854</v>
      </c>
      <c r="H1014" s="204" t="s">
        <v>2855</v>
      </c>
      <c r="I1014" s="33" t="s">
        <v>33</v>
      </c>
      <c r="J1014" s="32" t="s">
        <v>26</v>
      </c>
      <c r="K1014" s="197" t="s">
        <v>103</v>
      </c>
      <c r="L1014" s="765" t="s">
        <v>1319</v>
      </c>
      <c r="M1014" s="137" t="s">
        <v>804</v>
      </c>
      <c r="N1014" s="138"/>
      <c r="O1014" s="765" t="s">
        <v>2856</v>
      </c>
      <c r="P1014" s="765" t="s">
        <v>2857</v>
      </c>
      <c r="Q1014" s="15" t="s">
        <v>282</v>
      </c>
      <c r="R1014" s="132">
        <v>41129</v>
      </c>
      <c r="S1014" s="92"/>
      <c r="T1014" s="133"/>
      <c r="U1014" s="623"/>
      <c r="V1014" s="624"/>
      <c r="W1014" s="256">
        <v>80</v>
      </c>
      <c r="X1014" s="163"/>
      <c r="Y1014" s="7">
        <f t="shared" si="36"/>
        <v>16</v>
      </c>
      <c r="Z1014" s="7">
        <f t="shared" si="38"/>
        <v>16</v>
      </c>
      <c r="AA1014" s="469"/>
      <c r="AB1014" s="564" t="s">
        <v>1073</v>
      </c>
      <c r="AC1014" s="693"/>
      <c r="AD1014" s="196"/>
      <c r="AE1014" s="196">
        <v>0.2</v>
      </c>
      <c r="AF1014" s="205">
        <f t="shared" si="39"/>
        <v>0.2</v>
      </c>
      <c r="AG1014" s="138">
        <v>7</v>
      </c>
      <c r="AH1014" s="138"/>
      <c r="AI1014" s="718" t="s">
        <v>2858</v>
      </c>
      <c r="AJ1014" s="138" t="s">
        <v>1188</v>
      </c>
      <c r="AK1014" s="181" t="s">
        <v>1177</v>
      </c>
      <c r="AL1014" s="138" t="s">
        <v>1178</v>
      </c>
    </row>
    <row r="1015" spans="1:38" ht="15" customHeight="1" x14ac:dyDescent="0.3">
      <c r="A1015" s="30" t="s">
        <v>22</v>
      </c>
      <c r="B1015" s="120" t="s">
        <v>228</v>
      </c>
      <c r="C1015" s="107">
        <v>1</v>
      </c>
      <c r="D1015" s="11" t="s">
        <v>225</v>
      </c>
      <c r="E1015" s="114">
        <v>38546</v>
      </c>
      <c r="F1015" s="12">
        <v>2005</v>
      </c>
      <c r="G1015" s="142" t="s">
        <v>2859</v>
      </c>
      <c r="H1015" s="162" t="s">
        <v>2860</v>
      </c>
      <c r="I1015" s="12" t="s">
        <v>25</v>
      </c>
      <c r="J1015" s="32" t="s">
        <v>26</v>
      </c>
      <c r="K1015" s="138" t="s">
        <v>111</v>
      </c>
      <c r="L1015" s="138" t="s">
        <v>1319</v>
      </c>
      <c r="M1015" s="137" t="s">
        <v>804</v>
      </c>
      <c r="N1015" s="137"/>
      <c r="O1015" s="93" t="s">
        <v>2861</v>
      </c>
      <c r="P1015" s="138" t="s">
        <v>2862</v>
      </c>
      <c r="Q1015" s="15" t="s">
        <v>282</v>
      </c>
      <c r="R1015" s="132">
        <v>39800</v>
      </c>
      <c r="S1015" s="16" t="s">
        <v>44</v>
      </c>
      <c r="T1015" s="92"/>
      <c r="U1015" s="623"/>
      <c r="V1015" s="624"/>
      <c r="W1015" s="735">
        <v>60</v>
      </c>
      <c r="X1015" s="7">
        <v>30</v>
      </c>
      <c r="Y1015" s="7" t="str">
        <f t="shared" si="36"/>
        <v/>
      </c>
      <c r="Z1015" s="7">
        <f t="shared" si="38"/>
        <v>30</v>
      </c>
      <c r="AA1015" s="469"/>
      <c r="AB1015" s="518" t="s">
        <v>933</v>
      </c>
      <c r="AC1015" s="519"/>
      <c r="AD1015" s="187">
        <v>0.5</v>
      </c>
      <c r="AE1015" s="187"/>
      <c r="AF1015" s="205">
        <f t="shared" si="39"/>
        <v>0.5</v>
      </c>
      <c r="AG1015" s="163">
        <v>6</v>
      </c>
      <c r="AH1015" s="93"/>
      <c r="AI1015" s="93" t="s">
        <v>2864</v>
      </c>
      <c r="AJ1015" s="93" t="s">
        <v>1188</v>
      </c>
      <c r="AK1015" s="30" t="s">
        <v>1185</v>
      </c>
      <c r="AL1015" s="93" t="s">
        <v>1178</v>
      </c>
    </row>
    <row r="1016" spans="1:38" ht="15" customHeight="1" x14ac:dyDescent="0.3">
      <c r="A1016" s="30" t="s">
        <v>22</v>
      </c>
      <c r="B1016" s="154" t="s">
        <v>148</v>
      </c>
      <c r="C1016" s="107">
        <v>4</v>
      </c>
      <c r="D1016" s="11" t="s">
        <v>143</v>
      </c>
      <c r="E1016" s="114">
        <v>39065</v>
      </c>
      <c r="F1016" s="12">
        <v>2006</v>
      </c>
      <c r="G1016" s="142" t="s">
        <v>2865</v>
      </c>
      <c r="H1016" s="162" t="s">
        <v>2866</v>
      </c>
      <c r="I1016" s="33" t="s">
        <v>33</v>
      </c>
      <c r="J1016" s="32" t="s">
        <v>26</v>
      </c>
      <c r="K1016" s="197" t="s">
        <v>111</v>
      </c>
      <c r="L1016" s="137" t="s">
        <v>2867</v>
      </c>
      <c r="M1016" s="137" t="s">
        <v>804</v>
      </c>
      <c r="N1016" s="137"/>
      <c r="O1016" s="93" t="s">
        <v>2868</v>
      </c>
      <c r="P1016" s="138" t="s">
        <v>2869</v>
      </c>
      <c r="Q1016" s="15" t="s">
        <v>282</v>
      </c>
      <c r="R1016" s="132">
        <v>39797</v>
      </c>
      <c r="S1016" s="16" t="s">
        <v>44</v>
      </c>
      <c r="T1016" s="133">
        <v>41095</v>
      </c>
      <c r="U1016" s="623"/>
      <c r="V1016" s="624"/>
      <c r="W1016" s="735">
        <v>40</v>
      </c>
      <c r="X1016" s="7">
        <v>20</v>
      </c>
      <c r="Y1016" s="7" t="str">
        <f t="shared" si="36"/>
        <v/>
      </c>
      <c r="Z1016" s="7">
        <f t="shared" si="38"/>
        <v>20</v>
      </c>
      <c r="AA1016" s="469"/>
      <c r="AB1016" s="518" t="s">
        <v>5972</v>
      </c>
      <c r="AC1016" s="519"/>
      <c r="AD1016" s="187">
        <v>0.5</v>
      </c>
      <c r="AE1016" s="187"/>
      <c r="AF1016" s="205">
        <f t="shared" si="39"/>
        <v>0.5</v>
      </c>
      <c r="AG1016" s="163"/>
      <c r="AH1016" s="93" t="s">
        <v>2863</v>
      </c>
      <c r="AI1016" s="93"/>
      <c r="AJ1016" s="93" t="s">
        <v>1188</v>
      </c>
      <c r="AK1016" s="30" t="s">
        <v>1185</v>
      </c>
      <c r="AL1016" s="93" t="s">
        <v>1178</v>
      </c>
    </row>
    <row r="1017" spans="1:38" ht="15" customHeight="1" x14ac:dyDescent="0.3">
      <c r="A1017" s="30" t="s">
        <v>22</v>
      </c>
      <c r="B1017" s="30" t="s">
        <v>23</v>
      </c>
      <c r="C1017" s="37">
        <v>12</v>
      </c>
      <c r="D1017" s="11" t="s">
        <v>24</v>
      </c>
      <c r="E1017" s="108">
        <v>40777</v>
      </c>
      <c r="F1017" s="37">
        <v>2011</v>
      </c>
      <c r="G1017" s="30" t="s">
        <v>2870</v>
      </c>
      <c r="H1017" s="162" t="s">
        <v>2871</v>
      </c>
      <c r="I1017" s="33" t="s">
        <v>33</v>
      </c>
      <c r="J1017" s="32" t="s">
        <v>26</v>
      </c>
      <c r="K1017" s="660" t="s">
        <v>111</v>
      </c>
      <c r="L1017" s="137" t="s">
        <v>1319</v>
      </c>
      <c r="M1017" s="137" t="s">
        <v>804</v>
      </c>
      <c r="N1017" s="660"/>
      <c r="O1017" s="93" t="s">
        <v>2872</v>
      </c>
      <c r="P1017" s="138" t="s">
        <v>6035</v>
      </c>
      <c r="Q1017" s="91"/>
      <c r="R1017" s="132"/>
      <c r="S1017" s="92"/>
      <c r="T1017" s="139"/>
      <c r="U1017" s="624"/>
      <c r="V1017" s="624"/>
      <c r="W1017" s="735">
        <v>135.6</v>
      </c>
      <c r="X1017" s="208"/>
      <c r="Y1017" s="7">
        <f t="shared" si="36"/>
        <v>27.12</v>
      </c>
      <c r="Z1017" s="7">
        <f t="shared" si="38"/>
        <v>27.12</v>
      </c>
      <c r="AA1017" s="469"/>
      <c r="AB1017" s="479" t="s">
        <v>49</v>
      </c>
      <c r="AC1017" s="480"/>
      <c r="AD1017" s="187"/>
      <c r="AE1017" s="187">
        <v>0.2</v>
      </c>
      <c r="AF1017" s="205">
        <f t="shared" si="39"/>
        <v>0.2</v>
      </c>
      <c r="AG1017" s="30">
        <v>8</v>
      </c>
      <c r="AH1017" s="93" t="s">
        <v>5970</v>
      </c>
      <c r="AI1017" s="719" t="s">
        <v>2873</v>
      </c>
      <c r="AJ1017" s="30" t="s">
        <v>1188</v>
      </c>
      <c r="AK1017" s="30" t="s">
        <v>1177</v>
      </c>
      <c r="AL1017" s="93" t="s">
        <v>1178</v>
      </c>
    </row>
    <row r="1018" spans="1:38" ht="15" customHeight="1" x14ac:dyDescent="0.3">
      <c r="A1018" s="30" t="s">
        <v>22</v>
      </c>
      <c r="B1018" s="120" t="s">
        <v>159</v>
      </c>
      <c r="C1018" s="107">
        <v>2</v>
      </c>
      <c r="D1018" s="11" t="s">
        <v>143</v>
      </c>
      <c r="E1018" s="114">
        <v>40094</v>
      </c>
      <c r="F1018" s="12">
        <v>2009</v>
      </c>
      <c r="G1018" s="142" t="s">
        <v>2874</v>
      </c>
      <c r="H1018" s="162"/>
      <c r="I1018" s="33" t="s">
        <v>33</v>
      </c>
      <c r="J1018" s="32" t="s">
        <v>26</v>
      </c>
      <c r="K1018" s="197" t="s">
        <v>103</v>
      </c>
      <c r="L1018" s="197" t="s">
        <v>1319</v>
      </c>
      <c r="M1018" s="137" t="s">
        <v>804</v>
      </c>
      <c r="N1018" s="197"/>
      <c r="O1018" s="197" t="s">
        <v>2875</v>
      </c>
      <c r="P1018" s="197" t="s">
        <v>2876</v>
      </c>
      <c r="Q1018" s="15" t="s">
        <v>35</v>
      </c>
      <c r="R1018" s="164">
        <v>40877</v>
      </c>
      <c r="S1018" s="16" t="s">
        <v>35</v>
      </c>
      <c r="T1018" s="165">
        <v>41096</v>
      </c>
      <c r="U1018" s="624"/>
      <c r="V1018" s="624"/>
      <c r="W1018" s="735">
        <v>50</v>
      </c>
      <c r="X1018" s="7">
        <v>10</v>
      </c>
      <c r="Y1018" s="7">
        <f t="shared" si="36"/>
        <v>40</v>
      </c>
      <c r="Z1018" s="7">
        <f t="shared" si="38"/>
        <v>50</v>
      </c>
      <c r="AA1018" s="469"/>
      <c r="AB1018" s="579" t="s">
        <v>5975</v>
      </c>
      <c r="AC1018" s="580"/>
      <c r="AD1018" s="187">
        <v>0.2</v>
      </c>
      <c r="AE1018" s="187">
        <v>0.8</v>
      </c>
      <c r="AF1018" s="205">
        <f t="shared" si="39"/>
        <v>1</v>
      </c>
      <c r="AG1018" s="138"/>
      <c r="AH1018" s="197"/>
      <c r="AI1018" s="732" t="s">
        <v>2878</v>
      </c>
      <c r="AJ1018" s="138" t="s">
        <v>1188</v>
      </c>
      <c r="AK1018" s="138" t="s">
        <v>1185</v>
      </c>
      <c r="AL1018" s="93" t="s">
        <v>1178</v>
      </c>
    </row>
    <row r="1019" spans="1:38" ht="15" customHeight="1" x14ac:dyDescent="0.3">
      <c r="A1019" s="181" t="s">
        <v>22</v>
      </c>
      <c r="B1019" s="145" t="s">
        <v>105</v>
      </c>
      <c r="C1019" s="135">
        <v>25</v>
      </c>
      <c r="D1019" s="11" t="s">
        <v>5936</v>
      </c>
      <c r="E1019" s="168">
        <v>40484</v>
      </c>
      <c r="F1019" s="136">
        <v>2010</v>
      </c>
      <c r="G1019" s="178" t="s">
        <v>2879</v>
      </c>
      <c r="H1019" s="204" t="s">
        <v>2880</v>
      </c>
      <c r="I1019" s="136" t="s">
        <v>25</v>
      </c>
      <c r="J1019" s="32" t="s">
        <v>26</v>
      </c>
      <c r="K1019" s="197" t="s">
        <v>1708</v>
      </c>
      <c r="L1019" s="138" t="s">
        <v>1319</v>
      </c>
      <c r="M1019" s="137" t="s">
        <v>804</v>
      </c>
      <c r="N1019" s="197"/>
      <c r="O1019" s="138" t="s">
        <v>2881</v>
      </c>
      <c r="P1019" s="138" t="s">
        <v>2882</v>
      </c>
      <c r="Q1019" s="15" t="s">
        <v>282</v>
      </c>
      <c r="R1019" s="132">
        <v>40785</v>
      </c>
      <c r="S1019" s="16" t="s">
        <v>44</v>
      </c>
      <c r="T1019" s="133">
        <v>40842</v>
      </c>
      <c r="U1019" s="623"/>
      <c r="V1019" s="624"/>
      <c r="W1019" s="256">
        <v>100</v>
      </c>
      <c r="X1019" s="7">
        <v>50</v>
      </c>
      <c r="Y1019" s="7" t="str">
        <f t="shared" si="36"/>
        <v/>
      </c>
      <c r="Z1019" s="7">
        <f t="shared" si="38"/>
        <v>50</v>
      </c>
      <c r="AA1019" s="469"/>
      <c r="AB1019" s="564" t="s">
        <v>1073</v>
      </c>
      <c r="AC1019" s="693"/>
      <c r="AD1019" s="196">
        <v>0.5</v>
      </c>
      <c r="AE1019" s="196"/>
      <c r="AF1019" s="205">
        <f t="shared" si="39"/>
        <v>0.5</v>
      </c>
      <c r="AG1019" s="163">
        <v>7</v>
      </c>
      <c r="AH1019" s="138" t="s">
        <v>2877</v>
      </c>
      <c r="AI1019" s="138"/>
      <c r="AJ1019" s="93" t="s">
        <v>1188</v>
      </c>
      <c r="AK1019" s="30" t="s">
        <v>1185</v>
      </c>
      <c r="AL1019" s="93" t="s">
        <v>1178</v>
      </c>
    </row>
    <row r="1020" spans="1:38" ht="15" customHeight="1" x14ac:dyDescent="0.3">
      <c r="A1020" s="181" t="s">
        <v>22</v>
      </c>
      <c r="B1020" s="145" t="s">
        <v>105</v>
      </c>
      <c r="C1020" s="135">
        <v>16</v>
      </c>
      <c r="D1020" s="11" t="s">
        <v>5936</v>
      </c>
      <c r="E1020" s="168">
        <v>40141</v>
      </c>
      <c r="F1020" s="136">
        <v>2009</v>
      </c>
      <c r="G1020" s="178" t="s">
        <v>2884</v>
      </c>
      <c r="H1020" s="204" t="s">
        <v>2885</v>
      </c>
      <c r="I1020" s="136" t="s">
        <v>80</v>
      </c>
      <c r="J1020" s="32" t="s">
        <v>26</v>
      </c>
      <c r="K1020" s="197" t="s">
        <v>111</v>
      </c>
      <c r="L1020" s="197" t="s">
        <v>40</v>
      </c>
      <c r="M1020" s="137" t="s">
        <v>804</v>
      </c>
      <c r="N1020" s="197"/>
      <c r="O1020" s="138" t="s">
        <v>2886</v>
      </c>
      <c r="P1020" s="138" t="s">
        <v>2887</v>
      </c>
      <c r="Q1020" s="15" t="s">
        <v>282</v>
      </c>
      <c r="R1020" s="164">
        <v>40525</v>
      </c>
      <c r="S1020" s="16" t="s">
        <v>44</v>
      </c>
      <c r="T1020" s="165">
        <v>40968</v>
      </c>
      <c r="U1020" s="624"/>
      <c r="V1020" s="624"/>
      <c r="W1020" s="256">
        <v>34.6</v>
      </c>
      <c r="X1020" s="7">
        <v>17.3</v>
      </c>
      <c r="Y1020" s="7" t="str">
        <f t="shared" si="36"/>
        <v/>
      </c>
      <c r="Z1020" s="7">
        <f t="shared" si="38"/>
        <v>17.3</v>
      </c>
      <c r="AA1020" s="469"/>
      <c r="AB1020" s="564" t="s">
        <v>1073</v>
      </c>
      <c r="AC1020" s="693"/>
      <c r="AD1020" s="187">
        <v>0.5</v>
      </c>
      <c r="AE1020" s="195"/>
      <c r="AF1020" s="205">
        <f t="shared" si="39"/>
        <v>0.5</v>
      </c>
      <c r="AG1020" s="197">
        <v>7</v>
      </c>
      <c r="AH1020" s="197" t="s">
        <v>2883</v>
      </c>
      <c r="AI1020" s="197"/>
      <c r="AJ1020" s="197" t="s">
        <v>1188</v>
      </c>
      <c r="AK1020" s="197" t="s">
        <v>1185</v>
      </c>
      <c r="AL1020" s="138" t="s">
        <v>1178</v>
      </c>
    </row>
    <row r="1021" spans="1:38" ht="15" customHeight="1" x14ac:dyDescent="0.3">
      <c r="A1021" s="181" t="s">
        <v>140</v>
      </c>
      <c r="B1021" s="153" t="s">
        <v>189</v>
      </c>
      <c r="C1021" s="135">
        <v>4</v>
      </c>
      <c r="D1021" s="136" t="s">
        <v>190</v>
      </c>
      <c r="E1021" s="168">
        <v>40095</v>
      </c>
      <c r="F1021" s="136">
        <v>2009</v>
      </c>
      <c r="G1021" s="178" t="s">
        <v>2888</v>
      </c>
      <c r="H1021" s="204" t="s">
        <v>2889</v>
      </c>
      <c r="I1021" s="33" t="s">
        <v>33</v>
      </c>
      <c r="J1021" s="181" t="s">
        <v>81</v>
      </c>
      <c r="K1021" s="197" t="s">
        <v>141</v>
      </c>
      <c r="L1021" s="138" t="s">
        <v>1319</v>
      </c>
      <c r="M1021" s="137" t="s">
        <v>804</v>
      </c>
      <c r="N1021" s="197"/>
      <c r="O1021" s="197" t="s">
        <v>2890</v>
      </c>
      <c r="P1021" s="197" t="s">
        <v>2891</v>
      </c>
      <c r="Q1021" s="15" t="s">
        <v>282</v>
      </c>
      <c r="R1021" s="132">
        <v>40827</v>
      </c>
      <c r="S1021" s="16" t="s">
        <v>35</v>
      </c>
      <c r="T1021" s="133">
        <v>40940</v>
      </c>
      <c r="U1021" s="623"/>
      <c r="V1021" s="623"/>
      <c r="W1021" s="734">
        <v>5</v>
      </c>
      <c r="X1021" s="7">
        <v>2.5</v>
      </c>
      <c r="Y1021" s="7" t="str">
        <f t="shared" si="36"/>
        <v/>
      </c>
      <c r="Z1021" s="7">
        <f t="shared" si="38"/>
        <v>2.5</v>
      </c>
      <c r="AA1021" s="469"/>
      <c r="AB1021" s="564" t="s">
        <v>1073</v>
      </c>
      <c r="AC1021" s="693"/>
      <c r="AD1021" s="187">
        <v>0.5</v>
      </c>
      <c r="AE1021" s="187"/>
      <c r="AF1021" s="205">
        <f t="shared" si="39"/>
        <v>0.5</v>
      </c>
      <c r="AG1021" s="138">
        <v>7</v>
      </c>
      <c r="AH1021" s="138"/>
      <c r="AI1021" s="138"/>
      <c r="AJ1021" s="138" t="s">
        <v>1188</v>
      </c>
      <c r="AK1021" s="138" t="s">
        <v>1185</v>
      </c>
      <c r="AL1021" s="93" t="s">
        <v>1178</v>
      </c>
    </row>
    <row r="1022" spans="1:38" ht="15" customHeight="1" x14ac:dyDescent="0.3">
      <c r="A1022" s="181" t="s">
        <v>22</v>
      </c>
      <c r="B1022" s="167" t="s">
        <v>105</v>
      </c>
      <c r="C1022" s="135">
        <v>4</v>
      </c>
      <c r="D1022" s="11" t="s">
        <v>5936</v>
      </c>
      <c r="E1022" s="168">
        <v>39941</v>
      </c>
      <c r="F1022" s="136">
        <v>2009</v>
      </c>
      <c r="G1022" s="178" t="s">
        <v>2892</v>
      </c>
      <c r="H1022" s="204" t="s">
        <v>2893</v>
      </c>
      <c r="I1022" s="33" t="s">
        <v>33</v>
      </c>
      <c r="J1022" s="32" t="s">
        <v>26</v>
      </c>
      <c r="K1022" s="197" t="s">
        <v>1708</v>
      </c>
      <c r="L1022" s="138" t="s">
        <v>1319</v>
      </c>
      <c r="M1022" s="137" t="s">
        <v>804</v>
      </c>
      <c r="N1022" s="138"/>
      <c r="O1022" s="138" t="s">
        <v>2894</v>
      </c>
      <c r="P1022" s="197" t="s">
        <v>2895</v>
      </c>
      <c r="Q1022" s="15" t="s">
        <v>282</v>
      </c>
      <c r="R1022" s="164">
        <v>40389</v>
      </c>
      <c r="S1022" s="16" t="s">
        <v>44</v>
      </c>
      <c r="T1022" s="165">
        <v>40968</v>
      </c>
      <c r="U1022" s="624"/>
      <c r="V1022" s="624"/>
      <c r="W1022" s="256">
        <v>50</v>
      </c>
      <c r="X1022" s="7">
        <v>25</v>
      </c>
      <c r="Y1022" s="7" t="str">
        <f t="shared" si="36"/>
        <v/>
      </c>
      <c r="Z1022" s="201">
        <f t="shared" si="38"/>
        <v>25</v>
      </c>
      <c r="AA1022" s="469"/>
      <c r="AB1022" s="564" t="s">
        <v>1073</v>
      </c>
      <c r="AC1022" s="693"/>
      <c r="AD1022" s="187">
        <v>0.5</v>
      </c>
      <c r="AE1022" s="195"/>
      <c r="AF1022" s="210">
        <f t="shared" si="39"/>
        <v>0.5</v>
      </c>
      <c r="AG1022" s="197">
        <v>7</v>
      </c>
      <c r="AH1022" s="197"/>
      <c r="AI1022" s="197"/>
      <c r="AJ1022" s="197" t="s">
        <v>1188</v>
      </c>
      <c r="AK1022" s="197" t="s">
        <v>1185</v>
      </c>
      <c r="AL1022" s="138" t="s">
        <v>1178</v>
      </c>
    </row>
    <row r="1023" spans="1:38" ht="15" customHeight="1" x14ac:dyDescent="0.3">
      <c r="A1023" s="181" t="s">
        <v>22</v>
      </c>
      <c r="B1023" s="167" t="s">
        <v>105</v>
      </c>
      <c r="C1023" s="135">
        <v>12</v>
      </c>
      <c r="D1023" s="11" t="s">
        <v>5936</v>
      </c>
      <c r="E1023" s="168">
        <v>39400</v>
      </c>
      <c r="F1023" s="136">
        <v>2007</v>
      </c>
      <c r="G1023" s="178" t="s">
        <v>2896</v>
      </c>
      <c r="H1023" s="204" t="s">
        <v>2897</v>
      </c>
      <c r="I1023" s="30" t="s">
        <v>38</v>
      </c>
      <c r="J1023" s="32" t="s">
        <v>26</v>
      </c>
      <c r="K1023" s="138" t="s">
        <v>111</v>
      </c>
      <c r="L1023" s="138" t="s">
        <v>1319</v>
      </c>
      <c r="M1023" s="137" t="s">
        <v>804</v>
      </c>
      <c r="N1023" s="137"/>
      <c r="O1023" s="138" t="s">
        <v>2898</v>
      </c>
      <c r="P1023" s="138" t="s">
        <v>2899</v>
      </c>
      <c r="Q1023" s="15" t="s">
        <v>282</v>
      </c>
      <c r="R1023" s="132">
        <v>40046</v>
      </c>
      <c r="S1023" s="16" t="s">
        <v>44</v>
      </c>
      <c r="T1023" s="133">
        <v>41029</v>
      </c>
      <c r="U1023" s="623"/>
      <c r="V1023" s="623"/>
      <c r="W1023" s="734">
        <v>60</v>
      </c>
      <c r="X1023" s="7">
        <v>6</v>
      </c>
      <c r="Y1023" s="7" t="str">
        <f t="shared" si="36"/>
        <v/>
      </c>
      <c r="Z1023" s="7">
        <f t="shared" si="38"/>
        <v>6</v>
      </c>
      <c r="AA1023" s="469"/>
      <c r="AB1023" s="564" t="s">
        <v>1073</v>
      </c>
      <c r="AC1023" s="693"/>
      <c r="AD1023" s="187">
        <v>0.1</v>
      </c>
      <c r="AE1023" s="187"/>
      <c r="AF1023" s="205">
        <f t="shared" si="39"/>
        <v>0.1</v>
      </c>
      <c r="AG1023" s="138">
        <v>7.5</v>
      </c>
      <c r="AH1023" s="138"/>
      <c r="AI1023" s="138"/>
      <c r="AJ1023" s="138" t="s">
        <v>1188</v>
      </c>
      <c r="AK1023" s="138" t="s">
        <v>1185</v>
      </c>
      <c r="AL1023" s="138" t="s">
        <v>1178</v>
      </c>
    </row>
    <row r="1024" spans="1:38" ht="15" customHeight="1" x14ac:dyDescent="0.3">
      <c r="A1024" s="30" t="s">
        <v>22</v>
      </c>
      <c r="B1024" s="120" t="s">
        <v>105</v>
      </c>
      <c r="C1024" s="109">
        <v>5</v>
      </c>
      <c r="D1024" s="11" t="s">
        <v>5936</v>
      </c>
      <c r="E1024" s="108">
        <v>37316</v>
      </c>
      <c r="F1024" s="33">
        <v>2002</v>
      </c>
      <c r="G1024" s="142" t="s">
        <v>2901</v>
      </c>
      <c r="H1024" s="162" t="s">
        <v>2902</v>
      </c>
      <c r="I1024" s="57" t="s">
        <v>6176</v>
      </c>
      <c r="J1024" s="30" t="s">
        <v>1358</v>
      </c>
      <c r="K1024" s="197" t="s">
        <v>1612</v>
      </c>
      <c r="L1024" s="137" t="s">
        <v>40</v>
      </c>
      <c r="M1024" s="137" t="s">
        <v>804</v>
      </c>
      <c r="N1024" s="137"/>
      <c r="O1024" s="137" t="s">
        <v>2903</v>
      </c>
      <c r="P1024" s="718" t="s">
        <v>2904</v>
      </c>
      <c r="Q1024" s="15" t="s">
        <v>282</v>
      </c>
      <c r="R1024" s="132">
        <v>38989</v>
      </c>
      <c r="S1024" s="16" t="s">
        <v>44</v>
      </c>
      <c r="T1024" s="133">
        <v>39940</v>
      </c>
      <c r="U1024" s="623" t="s">
        <v>44</v>
      </c>
      <c r="V1024" s="180">
        <v>40835</v>
      </c>
      <c r="W1024" s="735">
        <v>60</v>
      </c>
      <c r="X1024" s="7">
        <v>30</v>
      </c>
      <c r="Y1024" s="7" t="str">
        <f t="shared" si="36"/>
        <v/>
      </c>
      <c r="Z1024" s="7">
        <f t="shared" si="38"/>
        <v>30</v>
      </c>
      <c r="AA1024" s="469"/>
      <c r="AB1024" s="513" t="s">
        <v>1231</v>
      </c>
      <c r="AC1024" s="147"/>
      <c r="AD1024" s="187">
        <v>0.5</v>
      </c>
      <c r="AE1024" s="187"/>
      <c r="AF1024" s="205">
        <f t="shared" si="39"/>
        <v>0.5</v>
      </c>
      <c r="AG1024" s="88">
        <v>6.5</v>
      </c>
      <c r="AH1024" s="93" t="s">
        <v>2900</v>
      </c>
      <c r="AI1024" s="146"/>
      <c r="AJ1024" s="93" t="s">
        <v>1188</v>
      </c>
      <c r="AK1024" s="30" t="s">
        <v>99</v>
      </c>
      <c r="AL1024" s="93" t="s">
        <v>1175</v>
      </c>
    </row>
    <row r="1025" spans="1:38" ht="15" customHeight="1" x14ac:dyDescent="0.3">
      <c r="A1025" s="181" t="s">
        <v>22</v>
      </c>
      <c r="B1025" s="145" t="s">
        <v>105</v>
      </c>
      <c r="C1025" s="135">
        <v>19</v>
      </c>
      <c r="D1025" s="11" t="s">
        <v>5936</v>
      </c>
      <c r="E1025" s="168">
        <v>39681</v>
      </c>
      <c r="F1025" s="136">
        <v>2008</v>
      </c>
      <c r="G1025" s="178" t="s">
        <v>2906</v>
      </c>
      <c r="H1025" s="204" t="s">
        <v>2907</v>
      </c>
      <c r="I1025" s="33" t="s">
        <v>33</v>
      </c>
      <c r="J1025" s="32" t="s">
        <v>26</v>
      </c>
      <c r="K1025" s="138" t="s">
        <v>1173</v>
      </c>
      <c r="L1025" s="138" t="s">
        <v>1319</v>
      </c>
      <c r="M1025" s="137" t="s">
        <v>804</v>
      </c>
      <c r="N1025" s="138"/>
      <c r="O1025" s="138" t="s">
        <v>2908</v>
      </c>
      <c r="P1025" s="138" t="s">
        <v>2909</v>
      </c>
      <c r="Q1025" s="15" t="s">
        <v>282</v>
      </c>
      <c r="R1025" s="132">
        <v>40158</v>
      </c>
      <c r="S1025" s="16" t="s">
        <v>44</v>
      </c>
      <c r="T1025" s="133">
        <v>40939</v>
      </c>
      <c r="U1025" s="623"/>
      <c r="V1025" s="624"/>
      <c r="W1025" s="256">
        <v>80</v>
      </c>
      <c r="X1025" s="7">
        <v>40</v>
      </c>
      <c r="Y1025" s="7" t="str">
        <f t="shared" si="36"/>
        <v/>
      </c>
      <c r="Z1025" s="201">
        <f t="shared" si="38"/>
        <v>40</v>
      </c>
      <c r="AA1025" s="469"/>
      <c r="AB1025" s="564" t="s">
        <v>1073</v>
      </c>
      <c r="AC1025" s="693"/>
      <c r="AD1025" s="187">
        <v>0.5</v>
      </c>
      <c r="AE1025" s="196"/>
      <c r="AF1025" s="210">
        <f t="shared" si="39"/>
        <v>0.5</v>
      </c>
      <c r="AG1025" s="163">
        <v>7</v>
      </c>
      <c r="AH1025" s="138"/>
      <c r="AI1025" s="138"/>
      <c r="AJ1025" s="138" t="s">
        <v>1188</v>
      </c>
      <c r="AK1025" s="181" t="s">
        <v>1185</v>
      </c>
      <c r="AL1025" s="138" t="s">
        <v>1178</v>
      </c>
    </row>
    <row r="1026" spans="1:38" ht="15" customHeight="1" x14ac:dyDescent="0.3">
      <c r="A1026" s="181" t="s">
        <v>22</v>
      </c>
      <c r="B1026" s="153" t="s">
        <v>105</v>
      </c>
      <c r="C1026" s="135">
        <v>15</v>
      </c>
      <c r="D1026" s="11" t="s">
        <v>5936</v>
      </c>
      <c r="E1026" s="168">
        <v>39780</v>
      </c>
      <c r="F1026" s="136">
        <v>2008</v>
      </c>
      <c r="G1026" s="178" t="s">
        <v>2912</v>
      </c>
      <c r="H1026" s="204" t="s">
        <v>2913</v>
      </c>
      <c r="I1026" s="33" t="s">
        <v>33</v>
      </c>
      <c r="J1026" s="32" t="s">
        <v>26</v>
      </c>
      <c r="K1026" s="197" t="s">
        <v>1708</v>
      </c>
      <c r="L1026" s="138" t="s">
        <v>1319</v>
      </c>
      <c r="M1026" s="137" t="s">
        <v>804</v>
      </c>
      <c r="N1026" s="197"/>
      <c r="O1026" s="197" t="s">
        <v>2914</v>
      </c>
      <c r="P1026" s="197" t="s">
        <v>2915</v>
      </c>
      <c r="Q1026" s="15" t="s">
        <v>282</v>
      </c>
      <c r="R1026" s="164">
        <v>40378</v>
      </c>
      <c r="S1026" s="16" t="s">
        <v>44</v>
      </c>
      <c r="T1026" s="165">
        <v>41060</v>
      </c>
      <c r="U1026" s="624"/>
      <c r="V1026" s="624"/>
      <c r="W1026" s="256">
        <v>70</v>
      </c>
      <c r="X1026" s="7">
        <v>35</v>
      </c>
      <c r="Y1026" s="7" t="str">
        <f t="shared" si="36"/>
        <v/>
      </c>
      <c r="Z1026" s="7">
        <f t="shared" si="38"/>
        <v>35</v>
      </c>
      <c r="AA1026" s="469"/>
      <c r="AB1026" s="564" t="s">
        <v>1073</v>
      </c>
      <c r="AC1026" s="693"/>
      <c r="AD1026" s="187">
        <v>0.5</v>
      </c>
      <c r="AE1026" s="195"/>
      <c r="AF1026" s="205">
        <f t="shared" si="39"/>
        <v>0.5</v>
      </c>
      <c r="AG1026" s="197">
        <v>7</v>
      </c>
      <c r="AH1026" s="197" t="s">
        <v>2905</v>
      </c>
      <c r="AI1026" s="197"/>
      <c r="AJ1026" s="197" t="s">
        <v>1188</v>
      </c>
      <c r="AK1026" s="197" t="s">
        <v>1185</v>
      </c>
      <c r="AL1026" s="138" t="s">
        <v>1178</v>
      </c>
    </row>
    <row r="1027" spans="1:38" ht="15" customHeight="1" x14ac:dyDescent="0.3">
      <c r="A1027" s="30" t="s">
        <v>22</v>
      </c>
      <c r="B1027" s="161" t="s">
        <v>148</v>
      </c>
      <c r="C1027" s="161" t="s">
        <v>2916</v>
      </c>
      <c r="D1027" s="11" t="s">
        <v>143</v>
      </c>
      <c r="E1027" s="108">
        <v>39056</v>
      </c>
      <c r="F1027" s="161">
        <v>2006</v>
      </c>
      <c r="G1027" s="161" t="s">
        <v>2917</v>
      </c>
      <c r="H1027" s="161" t="s">
        <v>2918</v>
      </c>
      <c r="I1027" s="30" t="s">
        <v>38</v>
      </c>
      <c r="J1027" s="32" t="s">
        <v>26</v>
      </c>
      <c r="K1027" s="162" t="s">
        <v>1708</v>
      </c>
      <c r="L1027" s="197" t="s">
        <v>1319</v>
      </c>
      <c r="M1027" s="137" t="s">
        <v>804</v>
      </c>
      <c r="N1027" s="137"/>
      <c r="O1027" s="138" t="s">
        <v>2919</v>
      </c>
      <c r="P1027" s="718" t="s">
        <v>2920</v>
      </c>
      <c r="Q1027" s="15" t="s">
        <v>282</v>
      </c>
      <c r="R1027" s="132">
        <v>39318</v>
      </c>
      <c r="S1027" s="16" t="s">
        <v>44</v>
      </c>
      <c r="T1027" s="133">
        <v>39715</v>
      </c>
      <c r="U1027" s="742" t="s">
        <v>44</v>
      </c>
      <c r="V1027" s="742" t="s">
        <v>2921</v>
      </c>
      <c r="W1027" s="735">
        <v>50</v>
      </c>
      <c r="X1027" s="7">
        <v>25</v>
      </c>
      <c r="Y1027" s="7" t="str">
        <f t="shared" si="36"/>
        <v/>
      </c>
      <c r="Z1027" s="7">
        <f t="shared" si="38"/>
        <v>25</v>
      </c>
      <c r="AA1027" s="469"/>
      <c r="AB1027" s="766" t="s">
        <v>2910</v>
      </c>
      <c r="AC1027" s="767"/>
      <c r="AD1027" s="187">
        <v>0.5</v>
      </c>
      <c r="AE1027" s="187"/>
      <c r="AF1027" s="205">
        <f t="shared" si="39"/>
        <v>0.5</v>
      </c>
      <c r="AG1027" s="163">
        <v>6</v>
      </c>
      <c r="AH1027" s="161" t="s">
        <v>2911</v>
      </c>
      <c r="AI1027" s="161"/>
      <c r="AJ1027" s="138" t="s">
        <v>1188</v>
      </c>
      <c r="AK1027" s="30" t="s">
        <v>99</v>
      </c>
      <c r="AL1027" s="93" t="s">
        <v>1178</v>
      </c>
    </row>
    <row r="1028" spans="1:38" ht="15" customHeight="1" x14ac:dyDescent="0.3">
      <c r="A1028" s="181" t="s">
        <v>140</v>
      </c>
      <c r="B1028" s="211" t="s">
        <v>202</v>
      </c>
      <c r="C1028" s="135"/>
      <c r="D1028" s="136" t="s">
        <v>190</v>
      </c>
      <c r="E1028" s="168">
        <v>40389</v>
      </c>
      <c r="F1028" s="136">
        <v>2010</v>
      </c>
      <c r="G1028" s="178" t="s">
        <v>2923</v>
      </c>
      <c r="H1028" s="204"/>
      <c r="I1028" s="33" t="s">
        <v>33</v>
      </c>
      <c r="J1028" s="181" t="s">
        <v>81</v>
      </c>
      <c r="K1028" s="197" t="s">
        <v>141</v>
      </c>
      <c r="L1028" s="197" t="s">
        <v>40</v>
      </c>
      <c r="M1028" s="137" t="s">
        <v>804</v>
      </c>
      <c r="N1028" s="197"/>
      <c r="O1028" s="138" t="s">
        <v>2924</v>
      </c>
      <c r="P1028" s="138" t="s">
        <v>6036</v>
      </c>
      <c r="Q1028" s="15" t="s">
        <v>35</v>
      </c>
      <c r="R1028" s="132">
        <v>40793</v>
      </c>
      <c r="S1028" s="92"/>
      <c r="T1028" s="92"/>
      <c r="U1028" s="623"/>
      <c r="V1028" s="624"/>
      <c r="W1028" s="256">
        <v>5</v>
      </c>
      <c r="X1028" s="7">
        <v>3.75</v>
      </c>
      <c r="Y1028" s="7" t="str">
        <f t="shared" si="36"/>
        <v/>
      </c>
      <c r="Z1028" s="189">
        <f t="shared" si="38"/>
        <v>3.75</v>
      </c>
      <c r="AA1028" s="469"/>
      <c r="AB1028" s="564" t="s">
        <v>1073</v>
      </c>
      <c r="AC1028" s="693"/>
      <c r="AD1028" s="187">
        <v>0.75</v>
      </c>
      <c r="AE1028" s="196"/>
      <c r="AF1028" s="210">
        <f t="shared" si="39"/>
        <v>0.75</v>
      </c>
      <c r="AG1028" s="138">
        <v>8</v>
      </c>
      <c r="AH1028" s="138"/>
      <c r="AI1028" s="718" t="s">
        <v>2925</v>
      </c>
      <c r="AJ1028" s="138" t="s">
        <v>1188</v>
      </c>
      <c r="AK1028" s="138" t="s">
        <v>1185</v>
      </c>
      <c r="AL1028" s="138" t="s">
        <v>1178</v>
      </c>
    </row>
    <row r="1029" spans="1:38" ht="15" customHeight="1" x14ac:dyDescent="0.3">
      <c r="A1029" s="181" t="s">
        <v>140</v>
      </c>
      <c r="B1029" s="211" t="s">
        <v>202</v>
      </c>
      <c r="C1029" s="135">
        <v>2</v>
      </c>
      <c r="D1029" s="136" t="s">
        <v>190</v>
      </c>
      <c r="E1029" s="168">
        <v>40892</v>
      </c>
      <c r="F1029" s="136">
        <v>2011</v>
      </c>
      <c r="G1029" s="178"/>
      <c r="H1029" s="204"/>
      <c r="I1029" s="33" t="s">
        <v>33</v>
      </c>
      <c r="J1029" s="181" t="s">
        <v>81</v>
      </c>
      <c r="K1029" s="197" t="s">
        <v>141</v>
      </c>
      <c r="L1029" s="765" t="s">
        <v>1319</v>
      </c>
      <c r="M1029" s="137" t="s">
        <v>804</v>
      </c>
      <c r="N1029" s="553" t="s">
        <v>122</v>
      </c>
      <c r="O1029" s="138" t="s">
        <v>2926</v>
      </c>
      <c r="P1029" s="138" t="s">
        <v>6037</v>
      </c>
      <c r="Q1029" s="91"/>
      <c r="R1029" s="132"/>
      <c r="S1029" s="92"/>
      <c r="T1029" s="92"/>
      <c r="U1029" s="623"/>
      <c r="V1029" s="624"/>
      <c r="W1029" s="256">
        <v>5</v>
      </c>
      <c r="X1029" s="7"/>
      <c r="Y1029" s="7" t="str">
        <f t="shared" si="36"/>
        <v/>
      </c>
      <c r="Z1029" s="189">
        <f t="shared" si="38"/>
        <v>0</v>
      </c>
      <c r="AA1029" s="469"/>
      <c r="AB1029" s="564" t="s">
        <v>2922</v>
      </c>
      <c r="AC1029" s="693"/>
      <c r="AD1029" s="187"/>
      <c r="AE1029" s="196"/>
      <c r="AF1029" s="210">
        <f t="shared" si="39"/>
        <v>0</v>
      </c>
      <c r="AG1029" s="138">
        <v>8</v>
      </c>
      <c r="AH1029" s="138"/>
      <c r="AI1029" s="718" t="s">
        <v>2925</v>
      </c>
      <c r="AJ1029" s="138" t="s">
        <v>1188</v>
      </c>
      <c r="AK1029" s="138" t="s">
        <v>1177</v>
      </c>
      <c r="AL1029" s="138" t="s">
        <v>1178</v>
      </c>
    </row>
    <row r="1030" spans="1:38" ht="15" customHeight="1" x14ac:dyDescent="0.3">
      <c r="A1030" s="181" t="s">
        <v>22</v>
      </c>
      <c r="B1030" s="145" t="s">
        <v>227</v>
      </c>
      <c r="C1030" s="135">
        <v>7</v>
      </c>
      <c r="D1030" s="11" t="s">
        <v>225</v>
      </c>
      <c r="E1030" s="168">
        <v>40400</v>
      </c>
      <c r="F1030" s="136">
        <v>2010</v>
      </c>
      <c r="G1030" s="178" t="s">
        <v>2927</v>
      </c>
      <c r="H1030" s="204" t="s">
        <v>2928</v>
      </c>
      <c r="I1030" s="33" t="s">
        <v>33</v>
      </c>
      <c r="J1030" s="32" t="s">
        <v>26</v>
      </c>
      <c r="K1030" s="197" t="s">
        <v>111</v>
      </c>
      <c r="L1030" s="138" t="s">
        <v>1319</v>
      </c>
      <c r="M1030" s="137" t="s">
        <v>804</v>
      </c>
      <c r="N1030" s="197"/>
      <c r="O1030" s="138" t="s">
        <v>2929</v>
      </c>
      <c r="P1030" s="138" t="s">
        <v>2930</v>
      </c>
      <c r="Q1030" s="15" t="s">
        <v>282</v>
      </c>
      <c r="R1030" s="132">
        <v>40816</v>
      </c>
      <c r="S1030" s="16" t="s">
        <v>44</v>
      </c>
      <c r="T1030" s="133">
        <v>41081</v>
      </c>
      <c r="U1030" s="623"/>
      <c r="V1030" s="623"/>
      <c r="W1030" s="734">
        <v>74.5</v>
      </c>
      <c r="X1030" s="7">
        <v>37.25</v>
      </c>
      <c r="Y1030" s="7" t="str">
        <f t="shared" si="36"/>
        <v/>
      </c>
      <c r="Z1030" s="7">
        <f t="shared" si="38"/>
        <v>37.25</v>
      </c>
      <c r="AA1030" s="469"/>
      <c r="AB1030" s="504" t="s">
        <v>6115</v>
      </c>
      <c r="AC1030" s="138"/>
      <c r="AD1030" s="187">
        <v>0.5</v>
      </c>
      <c r="AE1030" s="187"/>
      <c r="AF1030" s="205">
        <f t="shared" si="39"/>
        <v>0.5</v>
      </c>
      <c r="AG1030" s="138">
        <v>8</v>
      </c>
      <c r="AH1030" s="138"/>
      <c r="AI1030" s="138"/>
      <c r="AJ1030" s="138" t="s">
        <v>1188</v>
      </c>
      <c r="AK1030" s="138" t="s">
        <v>1185</v>
      </c>
      <c r="AL1030" s="93" t="s">
        <v>1178</v>
      </c>
    </row>
    <row r="1031" spans="1:38" ht="15" customHeight="1" x14ac:dyDescent="0.3">
      <c r="A1031" s="181" t="s">
        <v>22</v>
      </c>
      <c r="B1031" s="145" t="s">
        <v>189</v>
      </c>
      <c r="C1031" s="135">
        <v>1</v>
      </c>
      <c r="D1031" s="136" t="s">
        <v>190</v>
      </c>
      <c r="E1031" s="168">
        <v>40480</v>
      </c>
      <c r="F1031" s="136">
        <v>2010</v>
      </c>
      <c r="G1031" s="178" t="s">
        <v>2932</v>
      </c>
      <c r="H1031" s="204" t="s">
        <v>2933</v>
      </c>
      <c r="I1031" s="33" t="s">
        <v>33</v>
      </c>
      <c r="J1031" s="32" t="s">
        <v>26</v>
      </c>
      <c r="K1031" s="197" t="s">
        <v>1173</v>
      </c>
      <c r="L1031" s="138" t="s">
        <v>1319</v>
      </c>
      <c r="M1031" s="137" t="s">
        <v>804</v>
      </c>
      <c r="N1031" s="197"/>
      <c r="O1031" s="138" t="s">
        <v>2934</v>
      </c>
      <c r="P1031" s="138" t="s">
        <v>2935</v>
      </c>
      <c r="Q1031" s="15" t="s">
        <v>35</v>
      </c>
      <c r="R1031" s="179">
        <v>40931</v>
      </c>
      <c r="S1031" s="16" t="s">
        <v>35</v>
      </c>
      <c r="T1031" s="191">
        <v>41115</v>
      </c>
      <c r="U1031" s="707"/>
      <c r="V1031" s="624"/>
      <c r="W1031" s="735">
        <v>80</v>
      </c>
      <c r="X1031" s="7">
        <v>40</v>
      </c>
      <c r="Y1031" s="7">
        <f t="shared" si="36"/>
        <v>40</v>
      </c>
      <c r="Z1031" s="7">
        <f t="shared" si="38"/>
        <v>80</v>
      </c>
      <c r="AA1031" s="469"/>
      <c r="AB1031" s="768" t="s">
        <v>6038</v>
      </c>
      <c r="AC1031" s="565"/>
      <c r="AD1031" s="187">
        <v>0.5</v>
      </c>
      <c r="AE1031" s="195">
        <v>0.5</v>
      </c>
      <c r="AF1031" s="205">
        <f t="shared" si="39"/>
        <v>1</v>
      </c>
      <c r="AG1031" s="200">
        <v>7</v>
      </c>
      <c r="AH1031" s="200"/>
      <c r="AI1031" s="200"/>
      <c r="AJ1031" s="200" t="s">
        <v>1188</v>
      </c>
      <c r="AK1031" s="200" t="s">
        <v>1185</v>
      </c>
      <c r="AL1031" s="200" t="s">
        <v>1178</v>
      </c>
    </row>
    <row r="1032" spans="1:38" ht="15" customHeight="1" x14ac:dyDescent="0.3">
      <c r="A1032" s="181" t="s">
        <v>22</v>
      </c>
      <c r="B1032" s="145" t="s">
        <v>105</v>
      </c>
      <c r="C1032" s="135">
        <v>27</v>
      </c>
      <c r="D1032" s="11" t="s">
        <v>5936</v>
      </c>
      <c r="E1032" s="168">
        <v>40709</v>
      </c>
      <c r="F1032" s="136">
        <v>2011</v>
      </c>
      <c r="G1032" s="178" t="s">
        <v>2936</v>
      </c>
      <c r="H1032" s="204" t="s">
        <v>2937</v>
      </c>
      <c r="I1032" s="30" t="s">
        <v>38</v>
      </c>
      <c r="J1032" s="32" t="s">
        <v>26</v>
      </c>
      <c r="K1032" s="197" t="s">
        <v>111</v>
      </c>
      <c r="L1032" s="138" t="s">
        <v>1319</v>
      </c>
      <c r="M1032" s="137" t="s">
        <v>804</v>
      </c>
      <c r="N1032" s="197"/>
      <c r="O1032" s="138" t="s">
        <v>2938</v>
      </c>
      <c r="P1032" s="138" t="s">
        <v>6039</v>
      </c>
      <c r="Q1032" s="15" t="s">
        <v>282</v>
      </c>
      <c r="R1032" s="132">
        <v>40998</v>
      </c>
      <c r="S1032" s="16" t="s">
        <v>44</v>
      </c>
      <c r="T1032" s="133">
        <v>41151</v>
      </c>
      <c r="U1032" s="623"/>
      <c r="V1032" s="624"/>
      <c r="W1032" s="256">
        <v>31.7</v>
      </c>
      <c r="X1032" s="163">
        <v>6.34</v>
      </c>
      <c r="Y1032" s="7">
        <f t="shared" si="36"/>
        <v>9.51</v>
      </c>
      <c r="Z1032" s="7">
        <f t="shared" si="38"/>
        <v>15.85</v>
      </c>
      <c r="AA1032" s="469"/>
      <c r="AB1032" s="564" t="s">
        <v>1073</v>
      </c>
      <c r="AC1032" s="693"/>
      <c r="AD1032" s="196">
        <v>0.2</v>
      </c>
      <c r="AE1032" s="196">
        <v>0.3</v>
      </c>
      <c r="AF1032" s="205">
        <f t="shared" si="39"/>
        <v>0.5</v>
      </c>
      <c r="AG1032" s="138">
        <v>7</v>
      </c>
      <c r="AH1032" s="138" t="s">
        <v>2931</v>
      </c>
      <c r="AI1032" s="138"/>
      <c r="AJ1032" s="138" t="s">
        <v>1188</v>
      </c>
      <c r="AK1032" s="181" t="s">
        <v>1185</v>
      </c>
      <c r="AL1032" s="138" t="s">
        <v>1178</v>
      </c>
    </row>
    <row r="1033" spans="1:38" ht="15" customHeight="1" x14ac:dyDescent="0.3">
      <c r="A1033" s="181" t="s">
        <v>22</v>
      </c>
      <c r="B1033" s="153" t="s">
        <v>105</v>
      </c>
      <c r="C1033" s="135">
        <v>21</v>
      </c>
      <c r="D1033" s="11" t="s">
        <v>5936</v>
      </c>
      <c r="E1033" s="168">
        <v>40678</v>
      </c>
      <c r="F1033" s="136">
        <v>2011</v>
      </c>
      <c r="G1033" s="178" t="s">
        <v>2940</v>
      </c>
      <c r="H1033" s="204" t="s">
        <v>2941</v>
      </c>
      <c r="I1033" s="30" t="s">
        <v>38</v>
      </c>
      <c r="J1033" s="32" t="s">
        <v>26</v>
      </c>
      <c r="K1033" s="138" t="s">
        <v>111</v>
      </c>
      <c r="L1033" s="765" t="s">
        <v>1319</v>
      </c>
      <c r="M1033" s="137" t="s">
        <v>804</v>
      </c>
      <c r="N1033" s="138"/>
      <c r="O1033" s="765" t="s">
        <v>2942</v>
      </c>
      <c r="P1033" s="765" t="s">
        <v>2943</v>
      </c>
      <c r="Q1033" s="15" t="s">
        <v>35</v>
      </c>
      <c r="R1033" s="132">
        <v>40998</v>
      </c>
      <c r="S1033" s="16" t="s">
        <v>44</v>
      </c>
      <c r="T1033" s="133">
        <v>41121</v>
      </c>
      <c r="U1033" s="623"/>
      <c r="V1033" s="624"/>
      <c r="W1033" s="256">
        <v>53</v>
      </c>
      <c r="X1033" s="163">
        <v>5.3000000000000007</v>
      </c>
      <c r="Y1033" s="7">
        <f t="shared" si="36"/>
        <v>34.450000000000003</v>
      </c>
      <c r="Z1033" s="7">
        <f t="shared" si="38"/>
        <v>39.75</v>
      </c>
      <c r="AA1033" s="469"/>
      <c r="AB1033" s="564" t="s">
        <v>1073</v>
      </c>
      <c r="AC1033" s="693"/>
      <c r="AD1033" s="196">
        <v>0.1</v>
      </c>
      <c r="AE1033" s="196">
        <v>0.65</v>
      </c>
      <c r="AF1033" s="205">
        <f t="shared" si="39"/>
        <v>0.75</v>
      </c>
      <c r="AG1033" s="138">
        <v>7</v>
      </c>
      <c r="AH1033" s="138"/>
      <c r="AI1033" s="138"/>
      <c r="AJ1033" s="138" t="s">
        <v>1188</v>
      </c>
      <c r="AK1033" s="181" t="s">
        <v>1185</v>
      </c>
      <c r="AL1033" s="138" t="s">
        <v>1178</v>
      </c>
    </row>
    <row r="1034" spans="1:38" ht="15" customHeight="1" x14ac:dyDescent="0.3">
      <c r="A1034" s="181" t="s">
        <v>22</v>
      </c>
      <c r="B1034" s="145" t="s">
        <v>105</v>
      </c>
      <c r="C1034" s="135">
        <v>18</v>
      </c>
      <c r="D1034" s="11" t="s">
        <v>5936</v>
      </c>
      <c r="E1034" s="168">
        <v>40793</v>
      </c>
      <c r="F1034" s="136">
        <v>2011</v>
      </c>
      <c r="G1034" s="178" t="s">
        <v>2944</v>
      </c>
      <c r="H1034" s="204" t="s">
        <v>2945</v>
      </c>
      <c r="I1034" s="136" t="s">
        <v>25</v>
      </c>
      <c r="J1034" s="32" t="s">
        <v>26</v>
      </c>
      <c r="K1034" s="197" t="s">
        <v>111</v>
      </c>
      <c r="L1034" s="765" t="s">
        <v>1319</v>
      </c>
      <c r="M1034" s="137" t="s">
        <v>804</v>
      </c>
      <c r="N1034" s="138"/>
      <c r="O1034" s="138" t="s">
        <v>2946</v>
      </c>
      <c r="P1034" s="138" t="s">
        <v>2947</v>
      </c>
      <c r="Q1034" s="15" t="s">
        <v>282</v>
      </c>
      <c r="R1034" s="132">
        <v>40995</v>
      </c>
      <c r="S1034" s="92"/>
      <c r="T1034" s="133"/>
      <c r="U1034" s="623"/>
      <c r="V1034" s="624"/>
      <c r="W1034" s="256">
        <v>49</v>
      </c>
      <c r="X1034" s="163"/>
      <c r="Y1034" s="7">
        <f t="shared" si="36"/>
        <v>24.5</v>
      </c>
      <c r="Z1034" s="7">
        <f t="shared" si="38"/>
        <v>24.5</v>
      </c>
      <c r="AA1034" s="469"/>
      <c r="AB1034" s="564" t="s">
        <v>1073</v>
      </c>
      <c r="AC1034" s="693"/>
      <c r="AD1034" s="196"/>
      <c r="AE1034" s="196">
        <v>0.5</v>
      </c>
      <c r="AF1034" s="205">
        <f t="shared" si="39"/>
        <v>0.5</v>
      </c>
      <c r="AG1034" s="138">
        <v>7</v>
      </c>
      <c r="AH1034" s="138" t="s">
        <v>2939</v>
      </c>
      <c r="AI1034" s="718" t="s">
        <v>2949</v>
      </c>
      <c r="AJ1034" s="138" t="s">
        <v>1188</v>
      </c>
      <c r="AK1034" s="181" t="s">
        <v>1185</v>
      </c>
      <c r="AL1034" s="138" t="s">
        <v>1178</v>
      </c>
    </row>
    <row r="1035" spans="1:38" ht="15" customHeight="1" x14ac:dyDescent="0.3">
      <c r="A1035" s="30" t="s">
        <v>22</v>
      </c>
      <c r="B1035" s="120" t="s">
        <v>142</v>
      </c>
      <c r="C1035" s="107">
        <v>4</v>
      </c>
      <c r="D1035" s="11" t="s">
        <v>143</v>
      </c>
      <c r="E1035" s="114">
        <v>39881</v>
      </c>
      <c r="F1035" s="12">
        <v>2009</v>
      </c>
      <c r="G1035" s="142" t="s">
        <v>2950</v>
      </c>
      <c r="H1035" s="162" t="s">
        <v>2951</v>
      </c>
      <c r="I1035" s="30" t="s">
        <v>38</v>
      </c>
      <c r="J1035" s="32" t="s">
        <v>26</v>
      </c>
      <c r="K1035" s="197" t="s">
        <v>111</v>
      </c>
      <c r="L1035" s="197" t="s">
        <v>1319</v>
      </c>
      <c r="M1035" s="137" t="s">
        <v>804</v>
      </c>
      <c r="N1035" s="197"/>
      <c r="O1035" s="197" t="s">
        <v>2952</v>
      </c>
      <c r="P1035" s="197" t="s">
        <v>2953</v>
      </c>
      <c r="Q1035" s="15" t="s">
        <v>282</v>
      </c>
      <c r="R1035" s="164">
        <v>40830</v>
      </c>
      <c r="S1035" s="16" t="s">
        <v>35</v>
      </c>
      <c r="T1035" s="165">
        <v>41047</v>
      </c>
      <c r="U1035" s="624"/>
      <c r="V1035" s="624"/>
      <c r="W1035" s="735">
        <v>40</v>
      </c>
      <c r="X1035" s="7">
        <v>8</v>
      </c>
      <c r="Y1035" s="7">
        <f t="shared" si="36"/>
        <v>22</v>
      </c>
      <c r="Z1035" s="7">
        <f t="shared" si="38"/>
        <v>30</v>
      </c>
      <c r="AA1035" s="469"/>
      <c r="AB1035" s="564" t="s">
        <v>147</v>
      </c>
      <c r="AC1035" s="693"/>
      <c r="AD1035" s="187">
        <v>0.2</v>
      </c>
      <c r="AE1035" s="187">
        <v>0.55000000000000004</v>
      </c>
      <c r="AF1035" s="205">
        <f t="shared" si="39"/>
        <v>0.75</v>
      </c>
      <c r="AG1035" s="138"/>
      <c r="AH1035" s="138"/>
      <c r="AI1035" s="718" t="s">
        <v>2955</v>
      </c>
      <c r="AJ1035" s="138" t="s">
        <v>1188</v>
      </c>
      <c r="AK1035" s="138" t="s">
        <v>1185</v>
      </c>
      <c r="AL1035" s="93" t="s">
        <v>1178</v>
      </c>
    </row>
    <row r="1036" spans="1:38" ht="15" customHeight="1" x14ac:dyDescent="0.3">
      <c r="A1036" s="181" t="s">
        <v>22</v>
      </c>
      <c r="B1036" s="153" t="s">
        <v>159</v>
      </c>
      <c r="C1036" s="135">
        <v>1</v>
      </c>
      <c r="D1036" s="11" t="s">
        <v>143</v>
      </c>
      <c r="E1036" s="206">
        <v>40413</v>
      </c>
      <c r="F1036" s="178">
        <v>2010</v>
      </c>
      <c r="G1036" s="178" t="s">
        <v>2956</v>
      </c>
      <c r="H1036" s="204"/>
      <c r="I1036" s="33" t="s">
        <v>33</v>
      </c>
      <c r="J1036" s="32" t="s">
        <v>26</v>
      </c>
      <c r="K1036" s="197" t="s">
        <v>103</v>
      </c>
      <c r="L1036" s="197" t="s">
        <v>40</v>
      </c>
      <c r="M1036" s="137" t="s">
        <v>804</v>
      </c>
      <c r="N1036" s="197"/>
      <c r="O1036" s="197" t="s">
        <v>2957</v>
      </c>
      <c r="P1036" s="197" t="s">
        <v>2958</v>
      </c>
      <c r="Q1036" s="15" t="s">
        <v>282</v>
      </c>
      <c r="R1036" s="164">
        <v>40795</v>
      </c>
      <c r="S1036" s="16" t="s">
        <v>44</v>
      </c>
      <c r="T1036" s="165">
        <v>41064</v>
      </c>
      <c r="U1036" s="624"/>
      <c r="V1036" s="624"/>
      <c r="W1036" s="735">
        <v>30</v>
      </c>
      <c r="X1036" s="7">
        <v>15</v>
      </c>
      <c r="Y1036" s="7" t="str">
        <f t="shared" si="36"/>
        <v/>
      </c>
      <c r="Z1036" s="7">
        <f t="shared" si="38"/>
        <v>15</v>
      </c>
      <c r="AA1036" s="469"/>
      <c r="AB1036" s="579" t="s">
        <v>5975</v>
      </c>
      <c r="AC1036" s="580"/>
      <c r="AD1036" s="187">
        <v>0.5</v>
      </c>
      <c r="AE1036" s="187"/>
      <c r="AF1036" s="205">
        <f t="shared" si="39"/>
        <v>0.5</v>
      </c>
      <c r="AG1036" s="138"/>
      <c r="AH1036" s="138" t="s">
        <v>2948</v>
      </c>
      <c r="AI1036" s="138"/>
      <c r="AJ1036" s="138" t="s">
        <v>1188</v>
      </c>
      <c r="AK1036" s="138" t="s">
        <v>1185</v>
      </c>
      <c r="AL1036" s="146" t="s">
        <v>1178</v>
      </c>
    </row>
    <row r="1037" spans="1:38" ht="15" customHeight="1" x14ac:dyDescent="0.3">
      <c r="A1037" s="30" t="s">
        <v>22</v>
      </c>
      <c r="B1037" s="120" t="s">
        <v>146</v>
      </c>
      <c r="C1037" s="107">
        <v>2</v>
      </c>
      <c r="D1037" s="11" t="s">
        <v>143</v>
      </c>
      <c r="E1037" s="114">
        <v>40029</v>
      </c>
      <c r="F1037" s="12">
        <v>2009</v>
      </c>
      <c r="G1037" s="142" t="s">
        <v>2959</v>
      </c>
      <c r="H1037" s="162"/>
      <c r="I1037" s="33" t="s">
        <v>33</v>
      </c>
      <c r="J1037" s="32" t="s">
        <v>26</v>
      </c>
      <c r="K1037" s="197" t="s">
        <v>103</v>
      </c>
      <c r="L1037" s="197" t="s">
        <v>1319</v>
      </c>
      <c r="M1037" s="137" t="s">
        <v>804</v>
      </c>
      <c r="N1037" s="197"/>
      <c r="O1037" s="197" t="s">
        <v>2960</v>
      </c>
      <c r="P1037" s="197" t="s">
        <v>6040</v>
      </c>
      <c r="Q1037" s="152"/>
      <c r="R1037" s="164"/>
      <c r="S1037" s="139"/>
      <c r="T1037" s="139"/>
      <c r="U1037" s="624"/>
      <c r="V1037" s="624"/>
      <c r="W1037" s="735">
        <v>50</v>
      </c>
      <c r="X1037" s="7">
        <v>10</v>
      </c>
      <c r="Y1037" s="7" t="str">
        <f t="shared" si="36"/>
        <v/>
      </c>
      <c r="Z1037" s="7">
        <f t="shared" si="38"/>
        <v>10</v>
      </c>
      <c r="AA1037" s="469"/>
      <c r="AB1037" s="564" t="s">
        <v>147</v>
      </c>
      <c r="AC1037" s="693"/>
      <c r="AD1037" s="187">
        <v>0.2</v>
      </c>
      <c r="AE1037" s="187"/>
      <c r="AF1037" s="205">
        <f t="shared" si="39"/>
        <v>0.2</v>
      </c>
      <c r="AG1037" s="138"/>
      <c r="AH1037" s="197" t="s">
        <v>2954</v>
      </c>
      <c r="AI1037" s="718" t="s">
        <v>2961</v>
      </c>
      <c r="AJ1037" s="138" t="s">
        <v>1188</v>
      </c>
      <c r="AK1037" s="138" t="s">
        <v>1177</v>
      </c>
      <c r="AL1037" s="93" t="s">
        <v>1178</v>
      </c>
    </row>
    <row r="1038" spans="1:38" ht="15" customHeight="1" x14ac:dyDescent="0.3">
      <c r="A1038" s="30" t="s">
        <v>22</v>
      </c>
      <c r="B1038" s="114" t="s">
        <v>1096</v>
      </c>
      <c r="C1038" s="107" t="s">
        <v>2962</v>
      </c>
      <c r="D1038" s="11" t="s">
        <v>143</v>
      </c>
      <c r="E1038" s="114">
        <v>39602</v>
      </c>
      <c r="F1038" s="12">
        <v>2008</v>
      </c>
      <c r="G1038" s="178"/>
      <c r="H1038" s="162"/>
      <c r="I1038" s="33" t="s">
        <v>33</v>
      </c>
      <c r="J1038" s="32" t="s">
        <v>26</v>
      </c>
      <c r="K1038" s="197" t="s">
        <v>103</v>
      </c>
      <c r="L1038" s="137" t="s">
        <v>2099</v>
      </c>
      <c r="M1038" s="137" t="s">
        <v>804</v>
      </c>
      <c r="N1038" s="137"/>
      <c r="O1038" s="197" t="s">
        <v>2963</v>
      </c>
      <c r="P1038" s="138" t="s">
        <v>2964</v>
      </c>
      <c r="Q1038" s="15" t="s">
        <v>282</v>
      </c>
      <c r="R1038" s="132">
        <v>40519</v>
      </c>
      <c r="S1038" s="16" t="s">
        <v>44</v>
      </c>
      <c r="T1038" s="133">
        <v>41036</v>
      </c>
      <c r="U1038" s="623"/>
      <c r="V1038" s="624"/>
      <c r="W1038" s="735">
        <v>30</v>
      </c>
      <c r="X1038" s="7">
        <v>6</v>
      </c>
      <c r="Y1038" s="7" t="str">
        <f t="shared" si="36"/>
        <v/>
      </c>
      <c r="Z1038" s="7">
        <f t="shared" si="38"/>
        <v>6</v>
      </c>
      <c r="AA1038" s="469"/>
      <c r="AB1038" s="579" t="s">
        <v>5975</v>
      </c>
      <c r="AC1038" s="580"/>
      <c r="AD1038" s="187">
        <v>0.2</v>
      </c>
      <c r="AE1038" s="187"/>
      <c r="AF1038" s="205">
        <f t="shared" si="39"/>
        <v>0.2</v>
      </c>
      <c r="AG1038" s="138"/>
      <c r="AH1038" s="138"/>
      <c r="AI1038" s="138" t="s">
        <v>2965</v>
      </c>
      <c r="AJ1038" s="138" t="s">
        <v>1188</v>
      </c>
      <c r="AK1038" s="138" t="s">
        <v>1185</v>
      </c>
      <c r="AL1038" s="93" t="s">
        <v>1178</v>
      </c>
    </row>
    <row r="1039" spans="1:38" ht="15" customHeight="1" x14ac:dyDescent="0.3">
      <c r="A1039" s="181" t="s">
        <v>22</v>
      </c>
      <c r="B1039" s="153" t="s">
        <v>142</v>
      </c>
      <c r="C1039" s="135">
        <v>1</v>
      </c>
      <c r="D1039" s="11" t="s">
        <v>143</v>
      </c>
      <c r="E1039" s="168">
        <v>40506</v>
      </c>
      <c r="F1039" s="135">
        <v>2010</v>
      </c>
      <c r="G1039" s="178" t="s">
        <v>2966</v>
      </c>
      <c r="H1039" s="204" t="s">
        <v>2967</v>
      </c>
      <c r="I1039" s="136" t="s">
        <v>80</v>
      </c>
      <c r="J1039" s="32" t="s">
        <v>26</v>
      </c>
      <c r="K1039" s="197" t="s">
        <v>180</v>
      </c>
      <c r="L1039" s="197" t="s">
        <v>40</v>
      </c>
      <c r="M1039" s="137" t="s">
        <v>804</v>
      </c>
      <c r="N1039" s="197"/>
      <c r="O1039" s="197" t="s">
        <v>2968</v>
      </c>
      <c r="P1039" s="197" t="s">
        <v>2969</v>
      </c>
      <c r="Q1039" s="15" t="s">
        <v>282</v>
      </c>
      <c r="R1039" s="164">
        <v>40763</v>
      </c>
      <c r="S1039" s="16" t="s">
        <v>44</v>
      </c>
      <c r="T1039" s="165">
        <v>41039</v>
      </c>
      <c r="U1039" s="624"/>
      <c r="V1039" s="624"/>
      <c r="W1039" s="735">
        <v>20</v>
      </c>
      <c r="X1039" s="7">
        <v>8</v>
      </c>
      <c r="Y1039" s="7">
        <f t="shared" si="36"/>
        <v>2</v>
      </c>
      <c r="Z1039" s="7">
        <f t="shared" si="38"/>
        <v>10</v>
      </c>
      <c r="AA1039" s="469"/>
      <c r="AB1039" s="564" t="s">
        <v>147</v>
      </c>
      <c r="AC1039" s="693"/>
      <c r="AD1039" s="187">
        <v>0.4</v>
      </c>
      <c r="AE1039" s="187">
        <v>0.1</v>
      </c>
      <c r="AF1039" s="205">
        <f t="shared" si="39"/>
        <v>0.5</v>
      </c>
      <c r="AG1039" s="138"/>
      <c r="AH1039" s="138"/>
      <c r="AI1039" s="138"/>
      <c r="AJ1039" s="138" t="s">
        <v>1188</v>
      </c>
      <c r="AK1039" s="138" t="s">
        <v>1185</v>
      </c>
      <c r="AL1039" s="146" t="s">
        <v>1178</v>
      </c>
    </row>
    <row r="1040" spans="1:38" ht="15" customHeight="1" x14ac:dyDescent="0.3">
      <c r="A1040" s="30" t="s">
        <v>22</v>
      </c>
      <c r="B1040" s="153" t="s">
        <v>23</v>
      </c>
      <c r="C1040" s="109">
        <v>20</v>
      </c>
      <c r="D1040" s="11" t="s">
        <v>24</v>
      </c>
      <c r="E1040" s="114">
        <v>40322</v>
      </c>
      <c r="F1040" s="33">
        <v>2010</v>
      </c>
      <c r="G1040" s="142" t="s">
        <v>2971</v>
      </c>
      <c r="H1040" s="162" t="s">
        <v>2972</v>
      </c>
      <c r="I1040" s="12" t="s">
        <v>25</v>
      </c>
      <c r="J1040" s="32" t="s">
        <v>26</v>
      </c>
      <c r="K1040" s="197" t="s">
        <v>111</v>
      </c>
      <c r="L1040" s="137" t="s">
        <v>1319</v>
      </c>
      <c r="M1040" s="137" t="s">
        <v>804</v>
      </c>
      <c r="N1040" s="238"/>
      <c r="O1040" s="146" t="s">
        <v>2973</v>
      </c>
      <c r="P1040" s="138" t="s">
        <v>2974</v>
      </c>
      <c r="Q1040" s="15" t="s">
        <v>282</v>
      </c>
      <c r="R1040" s="132">
        <v>40841</v>
      </c>
      <c r="S1040" s="16" t="s">
        <v>44</v>
      </c>
      <c r="T1040" s="165">
        <v>41145</v>
      </c>
      <c r="U1040" s="624"/>
      <c r="V1040" s="624"/>
      <c r="W1040" s="735">
        <v>63.8</v>
      </c>
      <c r="X1040" s="7">
        <v>31.9</v>
      </c>
      <c r="Y1040" s="7" t="str">
        <f t="shared" si="36"/>
        <v/>
      </c>
      <c r="Z1040" s="7">
        <f t="shared" si="38"/>
        <v>31.9</v>
      </c>
      <c r="AA1040" s="469"/>
      <c r="AB1040" s="479" t="s">
        <v>49</v>
      </c>
      <c r="AC1040" s="480"/>
      <c r="AD1040" s="187">
        <v>0.5</v>
      </c>
      <c r="AE1040" s="187"/>
      <c r="AF1040" s="205">
        <f t="shared" si="39"/>
        <v>0.5</v>
      </c>
      <c r="AG1040" s="163">
        <v>6</v>
      </c>
      <c r="AH1040" s="93" t="s">
        <v>58</v>
      </c>
      <c r="AI1040" s="146"/>
      <c r="AJ1040" s="93" t="s">
        <v>1188</v>
      </c>
      <c r="AK1040" s="30" t="s">
        <v>1185</v>
      </c>
      <c r="AL1040" s="93" t="s">
        <v>1178</v>
      </c>
    </row>
    <row r="1041" spans="1:38" ht="15" customHeight="1" x14ac:dyDescent="0.3">
      <c r="A1041" s="181" t="s">
        <v>22</v>
      </c>
      <c r="B1041" s="153" t="s">
        <v>2049</v>
      </c>
      <c r="C1041" s="135">
        <v>1</v>
      </c>
      <c r="D1041" s="11" t="s">
        <v>225</v>
      </c>
      <c r="E1041" s="168">
        <v>40065</v>
      </c>
      <c r="F1041" s="136">
        <v>2009</v>
      </c>
      <c r="G1041" s="178" t="s">
        <v>2975</v>
      </c>
      <c r="H1041" s="204" t="s">
        <v>2976</v>
      </c>
      <c r="I1041" s="33" t="s">
        <v>33</v>
      </c>
      <c r="J1041" s="32" t="s">
        <v>26</v>
      </c>
      <c r="K1041" s="138" t="s">
        <v>1708</v>
      </c>
      <c r="L1041" s="746" t="s">
        <v>40</v>
      </c>
      <c r="M1041" s="137" t="s">
        <v>804</v>
      </c>
      <c r="N1041" s="746"/>
      <c r="O1041" s="138" t="s">
        <v>2977</v>
      </c>
      <c r="P1041" s="138" t="s">
        <v>2978</v>
      </c>
      <c r="Q1041" s="15" t="s">
        <v>282</v>
      </c>
      <c r="R1041" s="179">
        <v>40526</v>
      </c>
      <c r="S1041" s="16" t="s">
        <v>44</v>
      </c>
      <c r="T1041" s="191">
        <v>41171</v>
      </c>
      <c r="U1041" s="707"/>
      <c r="V1041" s="707"/>
      <c r="W1041" s="755">
        <v>80</v>
      </c>
      <c r="X1041" s="7">
        <v>40</v>
      </c>
      <c r="Y1041" s="7" t="str">
        <f t="shared" si="36"/>
        <v/>
      </c>
      <c r="Z1041" s="7">
        <f t="shared" si="38"/>
        <v>40</v>
      </c>
      <c r="AA1041" s="469"/>
      <c r="AB1041" s="500" t="s">
        <v>5953</v>
      </c>
      <c r="AC1041" s="501"/>
      <c r="AD1041" s="187">
        <v>0.5</v>
      </c>
      <c r="AE1041" s="195"/>
      <c r="AF1041" s="205">
        <f t="shared" si="39"/>
        <v>0.5</v>
      </c>
      <c r="AG1041" s="200">
        <v>6</v>
      </c>
      <c r="AH1041" s="200" t="s">
        <v>2970</v>
      </c>
      <c r="AI1041" s="200"/>
      <c r="AJ1041" s="200" t="s">
        <v>1188</v>
      </c>
      <c r="AK1041" s="200" t="s">
        <v>1185</v>
      </c>
      <c r="AL1041" s="200" t="s">
        <v>1178</v>
      </c>
    </row>
    <row r="1042" spans="1:38" ht="15" customHeight="1" x14ac:dyDescent="0.3">
      <c r="A1042" s="181" t="s">
        <v>22</v>
      </c>
      <c r="B1042" s="153" t="s">
        <v>2049</v>
      </c>
      <c r="C1042" s="135">
        <v>3</v>
      </c>
      <c r="D1042" s="11" t="s">
        <v>225</v>
      </c>
      <c r="E1042" s="168">
        <v>40030</v>
      </c>
      <c r="F1042" s="136">
        <v>2009</v>
      </c>
      <c r="G1042" s="178" t="s">
        <v>2979</v>
      </c>
      <c r="H1042" s="204"/>
      <c r="I1042" s="33" t="s">
        <v>33</v>
      </c>
      <c r="J1042" s="32" t="s">
        <v>26</v>
      </c>
      <c r="K1042" s="138" t="s">
        <v>1708</v>
      </c>
      <c r="L1042" s="197" t="s">
        <v>1319</v>
      </c>
      <c r="M1042" s="137" t="s">
        <v>804</v>
      </c>
      <c r="N1042" s="197"/>
      <c r="O1042" s="197" t="s">
        <v>2980</v>
      </c>
      <c r="P1042" s="197" t="s">
        <v>2981</v>
      </c>
      <c r="Q1042" s="15" t="s">
        <v>282</v>
      </c>
      <c r="R1042" s="179">
        <v>40389</v>
      </c>
      <c r="S1042" s="16" t="s">
        <v>44</v>
      </c>
      <c r="T1042" s="191">
        <v>41180</v>
      </c>
      <c r="U1042" s="707"/>
      <c r="V1042" s="623"/>
      <c r="W1042" s="755">
        <v>60</v>
      </c>
      <c r="X1042" s="7">
        <v>30</v>
      </c>
      <c r="Y1042" s="7" t="str">
        <f t="shared" si="36"/>
        <v/>
      </c>
      <c r="Z1042" s="7">
        <f t="shared" si="38"/>
        <v>30</v>
      </c>
      <c r="AA1042" s="469"/>
      <c r="AB1042" s="500" t="s">
        <v>5953</v>
      </c>
      <c r="AC1042" s="501"/>
      <c r="AD1042" s="187">
        <v>0.5</v>
      </c>
      <c r="AE1042" s="195"/>
      <c r="AF1042" s="205">
        <f t="shared" si="39"/>
        <v>0.5</v>
      </c>
      <c r="AG1042" s="200">
        <v>6</v>
      </c>
      <c r="AH1042" s="200" t="s">
        <v>2970</v>
      </c>
      <c r="AI1042" s="200"/>
      <c r="AJ1042" s="200" t="s">
        <v>1188</v>
      </c>
      <c r="AK1042" s="200" t="s">
        <v>1185</v>
      </c>
      <c r="AL1042" s="200" t="s">
        <v>1178</v>
      </c>
    </row>
    <row r="1043" spans="1:38" ht="15" customHeight="1" x14ac:dyDescent="0.3">
      <c r="A1043" s="181" t="s">
        <v>22</v>
      </c>
      <c r="B1043" s="145" t="s">
        <v>229</v>
      </c>
      <c r="C1043" s="135">
        <v>3</v>
      </c>
      <c r="D1043" s="11" t="s">
        <v>225</v>
      </c>
      <c r="E1043" s="168">
        <v>40288</v>
      </c>
      <c r="F1043" s="136">
        <v>2010</v>
      </c>
      <c r="G1043" s="178" t="s">
        <v>2983</v>
      </c>
      <c r="H1043" s="204" t="s">
        <v>2984</v>
      </c>
      <c r="I1043" s="136" t="s">
        <v>80</v>
      </c>
      <c r="J1043" s="32" t="s">
        <v>26</v>
      </c>
      <c r="K1043" s="197" t="s">
        <v>180</v>
      </c>
      <c r="L1043" s="197" t="s">
        <v>40</v>
      </c>
      <c r="M1043" s="137" t="s">
        <v>804</v>
      </c>
      <c r="N1043" s="197"/>
      <c r="O1043" s="138" t="s">
        <v>2985</v>
      </c>
      <c r="P1043" s="138" t="s">
        <v>2986</v>
      </c>
      <c r="Q1043" s="15" t="s">
        <v>35</v>
      </c>
      <c r="R1043" s="179">
        <v>40949</v>
      </c>
      <c r="S1043" s="16" t="s">
        <v>44</v>
      </c>
      <c r="T1043" s="191">
        <v>41235</v>
      </c>
      <c r="U1043" s="707"/>
      <c r="V1043" s="623"/>
      <c r="W1043" s="734">
        <v>50</v>
      </c>
      <c r="X1043" s="7">
        <v>25</v>
      </c>
      <c r="Y1043" s="7">
        <f t="shared" si="36"/>
        <v>12.5</v>
      </c>
      <c r="Z1043" s="7">
        <f t="shared" si="38"/>
        <v>37.5</v>
      </c>
      <c r="AA1043" s="469"/>
      <c r="AB1043" s="768" t="s">
        <v>6041</v>
      </c>
      <c r="AC1043" s="565"/>
      <c r="AD1043" s="187">
        <v>0.5</v>
      </c>
      <c r="AE1043" s="195">
        <v>0.25</v>
      </c>
      <c r="AF1043" s="205">
        <f t="shared" si="39"/>
        <v>0.75</v>
      </c>
      <c r="AG1043" s="200">
        <v>7</v>
      </c>
      <c r="AH1043" s="200" t="s">
        <v>2831</v>
      </c>
      <c r="AI1043" s="719" t="s">
        <v>2988</v>
      </c>
      <c r="AJ1043" s="200" t="s">
        <v>1188</v>
      </c>
      <c r="AK1043" s="200" t="s">
        <v>1185</v>
      </c>
      <c r="AL1043" s="200" t="s">
        <v>1178</v>
      </c>
    </row>
    <row r="1044" spans="1:38" ht="15" customHeight="1" x14ac:dyDescent="0.3">
      <c r="A1044" s="181" t="s">
        <v>140</v>
      </c>
      <c r="B1044" s="301" t="s">
        <v>819</v>
      </c>
      <c r="C1044" s="135">
        <v>3</v>
      </c>
      <c r="D1044" s="11" t="s">
        <v>225</v>
      </c>
      <c r="E1044" s="168">
        <v>40511</v>
      </c>
      <c r="F1044" s="136">
        <v>2010</v>
      </c>
      <c r="G1044" s="178" t="s">
        <v>2989</v>
      </c>
      <c r="H1044" s="204"/>
      <c r="I1044" s="33" t="s">
        <v>33</v>
      </c>
      <c r="J1044" s="32" t="s">
        <v>26</v>
      </c>
      <c r="K1044" s="197" t="s">
        <v>1194</v>
      </c>
      <c r="L1044" s="138" t="s">
        <v>1319</v>
      </c>
      <c r="M1044" s="137" t="s">
        <v>804</v>
      </c>
      <c r="N1044" s="197"/>
      <c r="O1044" s="138" t="s">
        <v>2990</v>
      </c>
      <c r="P1044" s="138" t="s">
        <v>2991</v>
      </c>
      <c r="Q1044" s="15" t="s">
        <v>282</v>
      </c>
      <c r="R1044" s="132">
        <v>41088</v>
      </c>
      <c r="S1044" s="16" t="s">
        <v>44</v>
      </c>
      <c r="T1044" s="133">
        <v>41157</v>
      </c>
      <c r="U1044" s="623"/>
      <c r="V1044" s="623"/>
      <c r="W1044" s="734">
        <v>200</v>
      </c>
      <c r="X1044" s="7">
        <v>80</v>
      </c>
      <c r="Y1044" s="7">
        <f t="shared" si="36"/>
        <v>20</v>
      </c>
      <c r="Z1044" s="7">
        <f t="shared" si="38"/>
        <v>100</v>
      </c>
      <c r="AA1044" s="469"/>
      <c r="AB1044" s="504" t="s">
        <v>6115</v>
      </c>
      <c r="AC1044" s="138"/>
      <c r="AD1044" s="187">
        <v>0.4</v>
      </c>
      <c r="AE1044" s="187">
        <v>0.1</v>
      </c>
      <c r="AF1044" s="205">
        <f t="shared" si="39"/>
        <v>0.5</v>
      </c>
      <c r="AG1044" s="163">
        <v>8</v>
      </c>
      <c r="AH1044" s="138" t="s">
        <v>2982</v>
      </c>
      <c r="AI1044" s="138"/>
      <c r="AJ1044" s="138" t="s">
        <v>1188</v>
      </c>
      <c r="AK1044" s="138" t="s">
        <v>1185</v>
      </c>
      <c r="AL1044" s="93" t="s">
        <v>1178</v>
      </c>
    </row>
    <row r="1045" spans="1:38" ht="15" customHeight="1" x14ac:dyDescent="0.3">
      <c r="A1045" s="181" t="s">
        <v>22</v>
      </c>
      <c r="B1045" s="145" t="s">
        <v>105</v>
      </c>
      <c r="C1045" s="135">
        <v>17</v>
      </c>
      <c r="D1045" s="11" t="s">
        <v>5936</v>
      </c>
      <c r="E1045" s="168">
        <v>40233</v>
      </c>
      <c r="F1045" s="136">
        <v>2010</v>
      </c>
      <c r="G1045" s="178" t="s">
        <v>2993</v>
      </c>
      <c r="H1045" s="204" t="s">
        <v>2994</v>
      </c>
      <c r="I1045" s="33" t="s">
        <v>33</v>
      </c>
      <c r="J1045" s="32" t="s">
        <v>26</v>
      </c>
      <c r="K1045" s="197" t="s">
        <v>111</v>
      </c>
      <c r="L1045" s="197" t="s">
        <v>40</v>
      </c>
      <c r="M1045" s="137" t="s">
        <v>804</v>
      </c>
      <c r="N1045" s="197"/>
      <c r="O1045" s="138" t="s">
        <v>2995</v>
      </c>
      <c r="P1045" s="138" t="s">
        <v>2996</v>
      </c>
      <c r="Q1045" s="15" t="s">
        <v>282</v>
      </c>
      <c r="R1045" s="164">
        <v>40602</v>
      </c>
      <c r="S1045" s="16" t="s">
        <v>44</v>
      </c>
      <c r="T1045" s="165">
        <v>41180</v>
      </c>
      <c r="U1045" s="624"/>
      <c r="V1045" s="624"/>
      <c r="W1045" s="256">
        <v>438</v>
      </c>
      <c r="X1045" s="7">
        <v>219</v>
      </c>
      <c r="Y1045" s="7" t="str">
        <f t="shared" ref="Y1045:Y1108" si="40">IF(AE1045="","",W1045*AE1045)</f>
        <v/>
      </c>
      <c r="Z1045" s="7">
        <f t="shared" si="38"/>
        <v>219</v>
      </c>
      <c r="AA1045" s="469"/>
      <c r="AB1045" s="564" t="s">
        <v>1073</v>
      </c>
      <c r="AC1045" s="693"/>
      <c r="AD1045" s="187">
        <v>0.5</v>
      </c>
      <c r="AE1045" s="195"/>
      <c r="AF1045" s="205">
        <f t="shared" si="39"/>
        <v>0.5</v>
      </c>
      <c r="AG1045" s="197">
        <v>7</v>
      </c>
      <c r="AH1045" s="197" t="s">
        <v>2987</v>
      </c>
      <c r="AI1045" s="197"/>
      <c r="AJ1045" s="197" t="s">
        <v>1188</v>
      </c>
      <c r="AK1045" s="197" t="s">
        <v>1185</v>
      </c>
      <c r="AL1045" s="138" t="s">
        <v>1178</v>
      </c>
    </row>
    <row r="1046" spans="1:38" ht="15" customHeight="1" x14ac:dyDescent="0.3">
      <c r="A1046" s="30" t="s">
        <v>22</v>
      </c>
      <c r="B1046" s="112" t="s">
        <v>219</v>
      </c>
      <c r="C1046" s="107" t="s">
        <v>2997</v>
      </c>
      <c r="D1046" s="12" t="s">
        <v>190</v>
      </c>
      <c r="E1046" s="114">
        <v>38930</v>
      </c>
      <c r="F1046" s="33">
        <v>2006</v>
      </c>
      <c r="G1046" s="142" t="s">
        <v>2998</v>
      </c>
      <c r="H1046" s="162"/>
      <c r="I1046" s="33" t="s">
        <v>33</v>
      </c>
      <c r="J1046" s="32" t="s">
        <v>26</v>
      </c>
      <c r="K1046" s="197" t="s">
        <v>111</v>
      </c>
      <c r="L1046" s="138" t="s">
        <v>1319</v>
      </c>
      <c r="M1046" s="137" t="s">
        <v>804</v>
      </c>
      <c r="N1046" s="137"/>
      <c r="O1046" s="138" t="s">
        <v>2999</v>
      </c>
      <c r="P1046" s="647" t="s">
        <v>3000</v>
      </c>
      <c r="Q1046" s="15" t="s">
        <v>35</v>
      </c>
      <c r="R1046" s="132">
        <v>39570</v>
      </c>
      <c r="S1046" s="16" t="s">
        <v>35</v>
      </c>
      <c r="T1046" s="133">
        <v>39675</v>
      </c>
      <c r="U1046" s="623" t="s">
        <v>1336</v>
      </c>
      <c r="V1046" s="180">
        <v>41239</v>
      </c>
      <c r="W1046" s="735">
        <v>120</v>
      </c>
      <c r="X1046" s="7">
        <v>120</v>
      </c>
      <c r="Y1046" s="7" t="str">
        <f t="shared" si="40"/>
        <v/>
      </c>
      <c r="Z1046" s="7">
        <f t="shared" si="38"/>
        <v>120</v>
      </c>
      <c r="AA1046" s="469"/>
      <c r="AB1046" s="715" t="s">
        <v>619</v>
      </c>
      <c r="AC1046" s="769"/>
      <c r="AD1046" s="187">
        <v>1</v>
      </c>
      <c r="AE1046" s="187"/>
      <c r="AF1046" s="205">
        <f t="shared" si="39"/>
        <v>1</v>
      </c>
      <c r="AG1046" s="163">
        <v>7.5</v>
      </c>
      <c r="AH1046" s="138" t="s">
        <v>2992</v>
      </c>
      <c r="AI1046" s="718" t="s">
        <v>3002</v>
      </c>
      <c r="AJ1046" s="138" t="s">
        <v>1188</v>
      </c>
      <c r="AK1046" s="30" t="s">
        <v>99</v>
      </c>
      <c r="AL1046" s="138" t="s">
        <v>1178</v>
      </c>
    </row>
    <row r="1047" spans="1:38" ht="15" customHeight="1" x14ac:dyDescent="0.3">
      <c r="A1047" s="181" t="s">
        <v>22</v>
      </c>
      <c r="B1047" s="145" t="s">
        <v>239</v>
      </c>
      <c r="C1047" s="134" t="s">
        <v>2997</v>
      </c>
      <c r="D1047" s="11" t="s">
        <v>225</v>
      </c>
      <c r="E1047" s="212">
        <v>38443</v>
      </c>
      <c r="F1047" s="202">
        <v>2005</v>
      </c>
      <c r="G1047" s="753" t="s">
        <v>3003</v>
      </c>
      <c r="H1047" s="754"/>
      <c r="I1047" s="33" t="s">
        <v>33</v>
      </c>
      <c r="J1047" s="32" t="s">
        <v>26</v>
      </c>
      <c r="K1047" s="138" t="s">
        <v>2177</v>
      </c>
      <c r="L1047" s="138" t="s">
        <v>1319</v>
      </c>
      <c r="M1047" s="137" t="s">
        <v>804</v>
      </c>
      <c r="N1047" s="238"/>
      <c r="O1047" s="200" t="s">
        <v>3004</v>
      </c>
      <c r="P1047" s="138" t="s">
        <v>3005</v>
      </c>
      <c r="Q1047" s="15" t="s">
        <v>282</v>
      </c>
      <c r="R1047" s="179">
        <v>38786</v>
      </c>
      <c r="S1047" s="16" t="s">
        <v>44</v>
      </c>
      <c r="T1047" s="191">
        <v>39378</v>
      </c>
      <c r="U1047" s="707"/>
      <c r="V1047" s="623"/>
      <c r="W1047" s="734">
        <v>40</v>
      </c>
      <c r="X1047" s="7">
        <v>20</v>
      </c>
      <c r="Y1047" s="7" t="str">
        <f t="shared" si="40"/>
        <v/>
      </c>
      <c r="Z1047" s="7">
        <f t="shared" si="38"/>
        <v>20</v>
      </c>
      <c r="AA1047" s="469"/>
      <c r="AB1047" s="500" t="s">
        <v>5953</v>
      </c>
      <c r="AC1047" s="501"/>
      <c r="AD1047" s="187">
        <v>0.5</v>
      </c>
      <c r="AE1047" s="187"/>
      <c r="AF1047" s="205">
        <f t="shared" si="39"/>
        <v>0.5</v>
      </c>
      <c r="AG1047" s="88">
        <v>8</v>
      </c>
      <c r="AH1047" s="200"/>
      <c r="AI1047" s="200"/>
      <c r="AJ1047" s="138" t="s">
        <v>1188</v>
      </c>
      <c r="AK1047" s="184" t="s">
        <v>1185</v>
      </c>
      <c r="AL1047" s="200" t="s">
        <v>1178</v>
      </c>
    </row>
    <row r="1048" spans="1:38" ht="15" customHeight="1" x14ac:dyDescent="0.3">
      <c r="A1048" s="30" t="s">
        <v>22</v>
      </c>
      <c r="B1048" s="112" t="s">
        <v>105</v>
      </c>
      <c r="C1048" s="107">
        <v>16</v>
      </c>
      <c r="D1048" s="11" t="s">
        <v>5936</v>
      </c>
      <c r="E1048" s="108">
        <v>37622</v>
      </c>
      <c r="F1048" s="93">
        <v>2003</v>
      </c>
      <c r="G1048" s="142" t="s">
        <v>3006</v>
      </c>
      <c r="H1048" s="162" t="s">
        <v>3007</v>
      </c>
      <c r="I1048" s="33" t="s">
        <v>33</v>
      </c>
      <c r="J1048" s="32" t="s">
        <v>26</v>
      </c>
      <c r="K1048" s="197" t="s">
        <v>111</v>
      </c>
      <c r="L1048" s="137" t="s">
        <v>40</v>
      </c>
      <c r="M1048" s="137" t="s">
        <v>804</v>
      </c>
      <c r="N1048" s="137"/>
      <c r="O1048" s="93" t="s">
        <v>3008</v>
      </c>
      <c r="P1048" s="138" t="s">
        <v>3009</v>
      </c>
      <c r="Q1048" s="15" t="s">
        <v>282</v>
      </c>
      <c r="R1048" s="132">
        <v>39956</v>
      </c>
      <c r="S1048" s="92"/>
      <c r="T1048" s="92"/>
      <c r="U1048" s="623"/>
      <c r="V1048" s="624"/>
      <c r="W1048" s="735">
        <v>60</v>
      </c>
      <c r="X1048" s="7">
        <v>30</v>
      </c>
      <c r="Y1048" s="7" t="str">
        <f t="shared" si="40"/>
        <v/>
      </c>
      <c r="Z1048" s="7">
        <f t="shared" si="38"/>
        <v>30</v>
      </c>
      <c r="AA1048" s="469"/>
      <c r="AB1048" s="513" t="s">
        <v>1231</v>
      </c>
      <c r="AC1048" s="147"/>
      <c r="AD1048" s="187">
        <v>0.5</v>
      </c>
      <c r="AE1048" s="187"/>
      <c r="AF1048" s="205">
        <f t="shared" si="39"/>
        <v>0.5</v>
      </c>
      <c r="AG1048" s="163">
        <v>6.5</v>
      </c>
      <c r="AH1048" s="93" t="s">
        <v>3001</v>
      </c>
      <c r="AI1048" s="93"/>
      <c r="AJ1048" s="181" t="s">
        <v>1188</v>
      </c>
      <c r="AK1048" s="30" t="s">
        <v>1185</v>
      </c>
      <c r="AL1048" s="93" t="s">
        <v>1178</v>
      </c>
    </row>
    <row r="1049" spans="1:38" ht="15" customHeight="1" x14ac:dyDescent="0.3">
      <c r="A1049" s="181" t="s">
        <v>22</v>
      </c>
      <c r="B1049" s="167" t="s">
        <v>105</v>
      </c>
      <c r="C1049" s="135">
        <v>25</v>
      </c>
      <c r="D1049" s="11" t="s">
        <v>5936</v>
      </c>
      <c r="E1049" s="168">
        <v>39722</v>
      </c>
      <c r="F1049" s="136">
        <v>2008</v>
      </c>
      <c r="G1049" s="178" t="s">
        <v>3010</v>
      </c>
      <c r="H1049" s="204" t="s">
        <v>3011</v>
      </c>
      <c r="I1049" s="33" t="s">
        <v>33</v>
      </c>
      <c r="J1049" s="32" t="s">
        <v>26</v>
      </c>
      <c r="K1049" s="138" t="s">
        <v>1708</v>
      </c>
      <c r="L1049" s="138" t="s">
        <v>3012</v>
      </c>
      <c r="M1049" s="137" t="s">
        <v>804</v>
      </c>
      <c r="N1049" s="138"/>
      <c r="O1049" s="138" t="s">
        <v>3013</v>
      </c>
      <c r="P1049" s="138" t="s">
        <v>3014</v>
      </c>
      <c r="Q1049" s="15" t="s">
        <v>282</v>
      </c>
      <c r="R1049" s="132">
        <v>40036</v>
      </c>
      <c r="S1049" s="92"/>
      <c r="T1049" s="92"/>
      <c r="U1049" s="623"/>
      <c r="V1049" s="623"/>
      <c r="W1049" s="734">
        <v>30</v>
      </c>
      <c r="X1049" s="7">
        <v>15</v>
      </c>
      <c r="Y1049" s="7" t="str">
        <f t="shared" si="40"/>
        <v/>
      </c>
      <c r="Z1049" s="7">
        <f t="shared" si="38"/>
        <v>15</v>
      </c>
      <c r="AA1049" s="469"/>
      <c r="AB1049" s="564" t="s">
        <v>1073</v>
      </c>
      <c r="AC1049" s="693"/>
      <c r="AD1049" s="187">
        <v>0.5</v>
      </c>
      <c r="AE1049" s="187"/>
      <c r="AF1049" s="205">
        <f t="shared" si="39"/>
        <v>0.5</v>
      </c>
      <c r="AG1049" s="138">
        <v>7.5</v>
      </c>
      <c r="AH1049" s="138"/>
      <c r="AI1049" s="138"/>
      <c r="AJ1049" s="138" t="s">
        <v>1188</v>
      </c>
      <c r="AK1049" s="138" t="s">
        <v>1185</v>
      </c>
      <c r="AL1049" s="138" t="s">
        <v>1178</v>
      </c>
    </row>
    <row r="1050" spans="1:38" ht="15" customHeight="1" x14ac:dyDescent="0.3">
      <c r="A1050" s="181" t="s">
        <v>22</v>
      </c>
      <c r="B1050" s="154" t="s">
        <v>105</v>
      </c>
      <c r="C1050" s="134">
        <v>23</v>
      </c>
      <c r="D1050" s="11" t="s">
        <v>5936</v>
      </c>
      <c r="E1050" s="168">
        <v>39758</v>
      </c>
      <c r="F1050" s="202">
        <v>2008</v>
      </c>
      <c r="G1050" s="178" t="s">
        <v>3016</v>
      </c>
      <c r="H1050" s="204" t="s">
        <v>3017</v>
      </c>
      <c r="I1050" s="33" t="s">
        <v>33</v>
      </c>
      <c r="J1050" s="32" t="s">
        <v>26</v>
      </c>
      <c r="K1050" s="197" t="s">
        <v>1173</v>
      </c>
      <c r="L1050" s="138" t="s">
        <v>3012</v>
      </c>
      <c r="M1050" s="137" t="s">
        <v>804</v>
      </c>
      <c r="N1050" s="197"/>
      <c r="O1050" s="138" t="s">
        <v>3018</v>
      </c>
      <c r="P1050" s="719" t="s">
        <v>6042</v>
      </c>
      <c r="Q1050" s="15" t="s">
        <v>282</v>
      </c>
      <c r="R1050" s="132">
        <v>40066</v>
      </c>
      <c r="S1050" s="16" t="s">
        <v>44</v>
      </c>
      <c r="T1050" s="133">
        <v>40240</v>
      </c>
      <c r="U1050" s="623"/>
      <c r="V1050" s="624"/>
      <c r="W1050" s="735">
        <v>90</v>
      </c>
      <c r="X1050" s="7">
        <v>45</v>
      </c>
      <c r="Y1050" s="7" t="str">
        <f t="shared" si="40"/>
        <v/>
      </c>
      <c r="Z1050" s="7">
        <f t="shared" si="38"/>
        <v>45</v>
      </c>
      <c r="AA1050" s="469"/>
      <c r="AB1050" s="564" t="s">
        <v>1073</v>
      </c>
      <c r="AC1050" s="693"/>
      <c r="AD1050" s="187">
        <v>0.5</v>
      </c>
      <c r="AE1050" s="187"/>
      <c r="AF1050" s="205">
        <f t="shared" si="39"/>
        <v>0.5</v>
      </c>
      <c r="AG1050" s="200">
        <v>7.5</v>
      </c>
      <c r="AH1050" s="138" t="s">
        <v>2258</v>
      </c>
      <c r="AI1050" s="718" t="s">
        <v>3020</v>
      </c>
      <c r="AJ1050" s="138" t="s">
        <v>1188</v>
      </c>
      <c r="AK1050" s="30" t="s">
        <v>99</v>
      </c>
      <c r="AL1050" s="138" t="s">
        <v>1178</v>
      </c>
    </row>
    <row r="1051" spans="1:38" ht="15" customHeight="1" x14ac:dyDescent="0.3">
      <c r="A1051" s="181" t="s">
        <v>22</v>
      </c>
      <c r="B1051" s="153" t="s">
        <v>105</v>
      </c>
      <c r="C1051" s="135">
        <v>7</v>
      </c>
      <c r="D1051" s="11" t="s">
        <v>5936</v>
      </c>
      <c r="E1051" s="168">
        <v>40203</v>
      </c>
      <c r="F1051" s="136">
        <v>2009</v>
      </c>
      <c r="G1051" s="178" t="s">
        <v>3021</v>
      </c>
      <c r="H1051" s="204" t="s">
        <v>3022</v>
      </c>
      <c r="I1051" s="57" t="s">
        <v>6176</v>
      </c>
      <c r="J1051" s="181" t="s">
        <v>630</v>
      </c>
      <c r="K1051" s="197" t="s">
        <v>2177</v>
      </c>
      <c r="L1051" s="197" t="s">
        <v>40</v>
      </c>
      <c r="M1051" s="137" t="s">
        <v>804</v>
      </c>
      <c r="N1051" s="197"/>
      <c r="O1051" s="197" t="s">
        <v>3023</v>
      </c>
      <c r="P1051" s="197" t="s">
        <v>6043</v>
      </c>
      <c r="Q1051" s="152"/>
      <c r="R1051" s="152"/>
      <c r="S1051" s="139"/>
      <c r="T1051" s="139"/>
      <c r="U1051" s="624"/>
      <c r="V1051" s="624"/>
      <c r="W1051" s="256">
        <v>90</v>
      </c>
      <c r="X1051" s="201">
        <v>9</v>
      </c>
      <c r="Y1051" s="201" t="str">
        <f t="shared" si="40"/>
        <v/>
      </c>
      <c r="Z1051" s="201">
        <f t="shared" si="38"/>
        <v>9</v>
      </c>
      <c r="AA1051" s="469"/>
      <c r="AB1051" s="564" t="s">
        <v>1073</v>
      </c>
      <c r="AC1051" s="693"/>
      <c r="AD1051" s="187">
        <v>0.1</v>
      </c>
      <c r="AE1051" s="195"/>
      <c r="AF1051" s="210">
        <f t="shared" si="39"/>
        <v>0.1</v>
      </c>
      <c r="AG1051" s="138">
        <v>7</v>
      </c>
      <c r="AH1051" s="197" t="s">
        <v>3015</v>
      </c>
      <c r="AI1051" s="736" t="s">
        <v>3024</v>
      </c>
      <c r="AJ1051" s="197" t="s">
        <v>1188</v>
      </c>
      <c r="AK1051" s="197" t="s">
        <v>1177</v>
      </c>
      <c r="AL1051" s="138" t="s">
        <v>1178</v>
      </c>
    </row>
    <row r="1052" spans="1:38" ht="15" customHeight="1" x14ac:dyDescent="0.3">
      <c r="A1052" s="181" t="s">
        <v>22</v>
      </c>
      <c r="B1052" s="145" t="s">
        <v>105</v>
      </c>
      <c r="C1052" s="135">
        <v>14</v>
      </c>
      <c r="D1052" s="11" t="s">
        <v>5936</v>
      </c>
      <c r="E1052" s="168">
        <v>40235</v>
      </c>
      <c r="F1052" s="136">
        <v>2010</v>
      </c>
      <c r="G1052" s="178" t="s">
        <v>3025</v>
      </c>
      <c r="H1052" s="204" t="s">
        <v>3026</v>
      </c>
      <c r="I1052" s="30" t="s">
        <v>38</v>
      </c>
      <c r="J1052" s="32" t="s">
        <v>26</v>
      </c>
      <c r="K1052" s="197" t="s">
        <v>111</v>
      </c>
      <c r="L1052" s="197" t="s">
        <v>40</v>
      </c>
      <c r="M1052" s="137" t="s">
        <v>804</v>
      </c>
      <c r="N1052" s="197"/>
      <c r="O1052" s="138" t="s">
        <v>3027</v>
      </c>
      <c r="P1052" s="138" t="s">
        <v>3028</v>
      </c>
      <c r="Q1052" s="15" t="s">
        <v>282</v>
      </c>
      <c r="R1052" s="164">
        <v>40480</v>
      </c>
      <c r="S1052" s="16" t="s">
        <v>44</v>
      </c>
      <c r="T1052" s="165">
        <v>41029</v>
      </c>
      <c r="U1052" s="624"/>
      <c r="V1052" s="624"/>
      <c r="W1052" s="256">
        <v>44</v>
      </c>
      <c r="X1052" s="7">
        <v>22</v>
      </c>
      <c r="Y1052" s="7" t="str">
        <f t="shared" si="40"/>
        <v/>
      </c>
      <c r="Z1052" s="7">
        <f t="shared" si="38"/>
        <v>22</v>
      </c>
      <c r="AA1052" s="469"/>
      <c r="AB1052" s="564" t="s">
        <v>1073</v>
      </c>
      <c r="AC1052" s="693"/>
      <c r="AD1052" s="187">
        <v>0.5</v>
      </c>
      <c r="AE1052" s="195"/>
      <c r="AF1052" s="205">
        <f t="shared" si="39"/>
        <v>0.5</v>
      </c>
      <c r="AG1052" s="197">
        <v>7</v>
      </c>
      <c r="AH1052" s="197" t="s">
        <v>3019</v>
      </c>
      <c r="AI1052" s="197"/>
      <c r="AJ1052" s="197" t="s">
        <v>1188</v>
      </c>
      <c r="AK1052" s="197" t="s">
        <v>1185</v>
      </c>
      <c r="AL1052" s="138" t="s">
        <v>1178</v>
      </c>
    </row>
    <row r="1053" spans="1:38" ht="15" customHeight="1" x14ac:dyDescent="0.3">
      <c r="A1053" s="30" t="s">
        <v>22</v>
      </c>
      <c r="B1053" s="140" t="s">
        <v>105</v>
      </c>
      <c r="C1053" s="107">
        <v>22</v>
      </c>
      <c r="D1053" s="11" t="s">
        <v>5936</v>
      </c>
      <c r="E1053" s="114">
        <v>39083</v>
      </c>
      <c r="F1053" s="12">
        <v>2007</v>
      </c>
      <c r="G1053" s="142" t="s">
        <v>3030</v>
      </c>
      <c r="H1053" s="162" t="s">
        <v>3031</v>
      </c>
      <c r="I1053" s="33" t="s">
        <v>33</v>
      </c>
      <c r="J1053" s="32" t="s">
        <v>191</v>
      </c>
      <c r="K1053" s="138" t="s">
        <v>103</v>
      </c>
      <c r="L1053" s="138" t="s">
        <v>1319</v>
      </c>
      <c r="M1053" s="137" t="s">
        <v>804</v>
      </c>
      <c r="N1053" s="137"/>
      <c r="O1053" s="138" t="s">
        <v>3032</v>
      </c>
      <c r="P1053" s="718" t="s">
        <v>6044</v>
      </c>
      <c r="Q1053" s="15" t="s">
        <v>35</v>
      </c>
      <c r="R1053" s="132">
        <v>39409</v>
      </c>
      <c r="S1053" s="16" t="s">
        <v>44</v>
      </c>
      <c r="T1053" s="133">
        <v>40283</v>
      </c>
      <c r="U1053" s="623"/>
      <c r="V1053" s="623"/>
      <c r="W1053" s="734">
        <v>80</v>
      </c>
      <c r="X1053" s="7">
        <v>60</v>
      </c>
      <c r="Y1053" s="7" t="str">
        <f t="shared" si="40"/>
        <v/>
      </c>
      <c r="Z1053" s="7">
        <f t="shared" si="38"/>
        <v>60</v>
      </c>
      <c r="AA1053" s="469"/>
      <c r="AB1053" s="564" t="s">
        <v>1073</v>
      </c>
      <c r="AC1053" s="693"/>
      <c r="AD1053" s="187">
        <v>0.75</v>
      </c>
      <c r="AE1053" s="187"/>
      <c r="AF1053" s="205">
        <f t="shared" si="39"/>
        <v>0.75</v>
      </c>
      <c r="AG1053" s="138">
        <v>7.5</v>
      </c>
      <c r="AH1053" s="476" t="s">
        <v>851</v>
      </c>
      <c r="AI1053" s="138" t="s">
        <v>3034</v>
      </c>
      <c r="AJ1053" s="138" t="s">
        <v>1188</v>
      </c>
      <c r="AK1053" s="30" t="s">
        <v>99</v>
      </c>
      <c r="AL1053" s="93" t="s">
        <v>1178</v>
      </c>
    </row>
    <row r="1054" spans="1:38" ht="15" customHeight="1" x14ac:dyDescent="0.3">
      <c r="A1054" s="181" t="s">
        <v>22</v>
      </c>
      <c r="B1054" s="167" t="s">
        <v>105</v>
      </c>
      <c r="C1054" s="135">
        <v>9</v>
      </c>
      <c r="D1054" s="11" t="s">
        <v>5936</v>
      </c>
      <c r="E1054" s="168">
        <v>39840</v>
      </c>
      <c r="F1054" s="136">
        <v>2009</v>
      </c>
      <c r="G1054" s="178" t="s">
        <v>3035</v>
      </c>
      <c r="H1054" s="204" t="s">
        <v>3036</v>
      </c>
      <c r="I1054" s="33" t="s">
        <v>33</v>
      </c>
      <c r="J1054" s="32" t="s">
        <v>26</v>
      </c>
      <c r="K1054" s="138" t="s">
        <v>1173</v>
      </c>
      <c r="L1054" s="138" t="s">
        <v>1319</v>
      </c>
      <c r="M1054" s="137" t="s">
        <v>804</v>
      </c>
      <c r="N1054" s="138"/>
      <c r="O1054" s="138" t="s">
        <v>3037</v>
      </c>
      <c r="P1054" s="718" t="s">
        <v>6045</v>
      </c>
      <c r="Q1054" s="15" t="s">
        <v>282</v>
      </c>
      <c r="R1054" s="132">
        <v>40116</v>
      </c>
      <c r="S1054" s="16" t="s">
        <v>44</v>
      </c>
      <c r="T1054" s="133">
        <v>40939</v>
      </c>
      <c r="U1054" s="623"/>
      <c r="V1054" s="623"/>
      <c r="W1054" s="743">
        <v>80</v>
      </c>
      <c r="X1054" s="7">
        <v>40</v>
      </c>
      <c r="Y1054" s="7" t="str">
        <f t="shared" si="40"/>
        <v/>
      </c>
      <c r="Z1054" s="7">
        <f t="shared" si="38"/>
        <v>40</v>
      </c>
      <c r="AA1054" s="469"/>
      <c r="AB1054" s="564" t="s">
        <v>1073</v>
      </c>
      <c r="AC1054" s="693"/>
      <c r="AD1054" s="187">
        <v>0.5</v>
      </c>
      <c r="AE1054" s="196"/>
      <c r="AF1054" s="210">
        <f t="shared" si="39"/>
        <v>0.5</v>
      </c>
      <c r="AG1054" s="138">
        <v>7</v>
      </c>
      <c r="AH1054" s="138" t="s">
        <v>3029</v>
      </c>
      <c r="AI1054" s="138"/>
      <c r="AJ1054" s="138" t="s">
        <v>1188</v>
      </c>
      <c r="AK1054" s="30" t="s">
        <v>99</v>
      </c>
      <c r="AL1054" s="138" t="s">
        <v>1178</v>
      </c>
    </row>
    <row r="1055" spans="1:38" ht="15" customHeight="1" x14ac:dyDescent="0.3">
      <c r="A1055" s="181" t="s">
        <v>22</v>
      </c>
      <c r="B1055" s="145" t="s">
        <v>780</v>
      </c>
      <c r="C1055" s="135">
        <v>1</v>
      </c>
      <c r="D1055" s="136" t="s">
        <v>190</v>
      </c>
      <c r="E1055" s="168">
        <v>40366</v>
      </c>
      <c r="F1055" s="136">
        <v>2010</v>
      </c>
      <c r="G1055" s="178" t="s">
        <v>3039</v>
      </c>
      <c r="H1055" s="204"/>
      <c r="I1055" s="33" t="s">
        <v>33</v>
      </c>
      <c r="J1055" s="32" t="s">
        <v>26</v>
      </c>
      <c r="K1055" s="197" t="s">
        <v>103</v>
      </c>
      <c r="L1055" s="197" t="s">
        <v>40</v>
      </c>
      <c r="M1055" s="137" t="s">
        <v>804</v>
      </c>
      <c r="N1055" s="197"/>
      <c r="O1055" s="138" t="s">
        <v>3040</v>
      </c>
      <c r="P1055" s="138" t="s">
        <v>6046</v>
      </c>
      <c r="Q1055" s="91"/>
      <c r="R1055" s="91"/>
      <c r="S1055" s="92"/>
      <c r="T1055" s="92"/>
      <c r="U1055" s="623"/>
      <c r="V1055" s="624"/>
      <c r="W1055" s="256">
        <v>150</v>
      </c>
      <c r="X1055" s="7">
        <v>75</v>
      </c>
      <c r="Y1055" s="7" t="str">
        <f t="shared" si="40"/>
        <v/>
      </c>
      <c r="Z1055" s="189">
        <f t="shared" si="38"/>
        <v>75</v>
      </c>
      <c r="AA1055" s="469"/>
      <c r="AB1055" s="564" t="s">
        <v>1073</v>
      </c>
      <c r="AC1055" s="693"/>
      <c r="AD1055" s="187">
        <v>0.5</v>
      </c>
      <c r="AE1055" s="196"/>
      <c r="AF1055" s="210">
        <f t="shared" si="39"/>
        <v>0.5</v>
      </c>
      <c r="AG1055" s="138">
        <v>7</v>
      </c>
      <c r="AH1055" s="138" t="s">
        <v>3033</v>
      </c>
      <c r="AI1055" s="718" t="s">
        <v>3042</v>
      </c>
      <c r="AJ1055" s="138" t="s">
        <v>1188</v>
      </c>
      <c r="AK1055" s="138" t="s">
        <v>1177</v>
      </c>
      <c r="AL1055" s="138" t="s">
        <v>1178</v>
      </c>
    </row>
    <row r="1056" spans="1:38" ht="15" customHeight="1" x14ac:dyDescent="0.3">
      <c r="A1056" s="181" t="s">
        <v>22</v>
      </c>
      <c r="B1056" s="145" t="s">
        <v>105</v>
      </c>
      <c r="C1056" s="135">
        <v>29</v>
      </c>
      <c r="D1056" s="11" t="s">
        <v>5936</v>
      </c>
      <c r="E1056" s="168">
        <v>40627</v>
      </c>
      <c r="F1056" s="136">
        <v>2011</v>
      </c>
      <c r="G1056" s="178" t="s">
        <v>3043</v>
      </c>
      <c r="H1056" s="204" t="s">
        <v>3044</v>
      </c>
      <c r="I1056" s="33" t="s">
        <v>33</v>
      </c>
      <c r="J1056" s="32" t="s">
        <v>26</v>
      </c>
      <c r="K1056" s="197" t="s">
        <v>103</v>
      </c>
      <c r="L1056" s="138" t="s">
        <v>1319</v>
      </c>
      <c r="M1056" s="137" t="s">
        <v>804</v>
      </c>
      <c r="N1056" s="197"/>
      <c r="O1056" s="138" t="s">
        <v>3045</v>
      </c>
      <c r="P1056" s="138" t="s">
        <v>3046</v>
      </c>
      <c r="Q1056" s="15" t="s">
        <v>35</v>
      </c>
      <c r="R1056" s="132">
        <v>40997</v>
      </c>
      <c r="S1056" s="16" t="s">
        <v>44</v>
      </c>
      <c r="T1056" s="133">
        <v>41082</v>
      </c>
      <c r="U1056" s="623"/>
      <c r="V1056" s="624"/>
      <c r="W1056" s="256">
        <v>90</v>
      </c>
      <c r="X1056" s="7">
        <v>45</v>
      </c>
      <c r="Y1056" s="7" t="str">
        <f t="shared" si="40"/>
        <v/>
      </c>
      <c r="Z1056" s="7">
        <f t="shared" si="38"/>
        <v>45</v>
      </c>
      <c r="AA1056" s="469"/>
      <c r="AB1056" s="564" t="s">
        <v>1073</v>
      </c>
      <c r="AC1056" s="693"/>
      <c r="AD1056" s="196">
        <v>0.5</v>
      </c>
      <c r="AE1056" s="196"/>
      <c r="AF1056" s="205">
        <f t="shared" si="39"/>
        <v>0.5</v>
      </c>
      <c r="AG1056" s="138">
        <v>7</v>
      </c>
      <c r="AH1056" s="138" t="s">
        <v>3038</v>
      </c>
      <c r="AI1056" s="138"/>
      <c r="AJ1056" s="138" t="s">
        <v>1188</v>
      </c>
      <c r="AK1056" s="181" t="s">
        <v>1185</v>
      </c>
      <c r="AL1056" s="138" t="s">
        <v>1178</v>
      </c>
    </row>
    <row r="1057" spans="1:38" ht="15" customHeight="1" x14ac:dyDescent="0.3">
      <c r="A1057" s="30" t="s">
        <v>22</v>
      </c>
      <c r="B1057" s="119" t="s">
        <v>2049</v>
      </c>
      <c r="C1057" s="109">
        <v>2</v>
      </c>
      <c r="D1057" s="11" t="s">
        <v>225</v>
      </c>
      <c r="E1057" s="156">
        <v>38384</v>
      </c>
      <c r="F1057" s="33">
        <v>2005</v>
      </c>
      <c r="G1057" s="753" t="s">
        <v>3048</v>
      </c>
      <c r="H1057" s="161"/>
      <c r="I1057" s="33" t="s">
        <v>33</v>
      </c>
      <c r="J1057" s="30" t="s">
        <v>81</v>
      </c>
      <c r="K1057" s="138" t="s">
        <v>180</v>
      </c>
      <c r="L1057" s="93" t="s">
        <v>40</v>
      </c>
      <c r="M1057" s="137" t="s">
        <v>804</v>
      </c>
      <c r="N1057" s="137"/>
      <c r="O1057" s="93" t="s">
        <v>3049</v>
      </c>
      <c r="P1057" s="200" t="s">
        <v>3050</v>
      </c>
      <c r="Q1057" s="15" t="s">
        <v>282</v>
      </c>
      <c r="R1057" s="132">
        <v>39261</v>
      </c>
      <c r="S1057" s="16" t="s">
        <v>44</v>
      </c>
      <c r="T1057" s="133">
        <v>41082</v>
      </c>
      <c r="U1057" s="623"/>
      <c r="V1057" s="623"/>
      <c r="W1057" s="734">
        <v>20</v>
      </c>
      <c r="X1057" s="7">
        <v>10</v>
      </c>
      <c r="Y1057" s="7" t="str">
        <f t="shared" si="40"/>
        <v/>
      </c>
      <c r="Z1057" s="7">
        <f t="shared" si="38"/>
        <v>10</v>
      </c>
      <c r="AA1057" s="469"/>
      <c r="AB1057" s="504" t="s">
        <v>6115</v>
      </c>
      <c r="AC1057" s="138"/>
      <c r="AD1057" s="187">
        <v>0.5</v>
      </c>
      <c r="AE1057" s="187"/>
      <c r="AF1057" s="205">
        <f t="shared" si="39"/>
        <v>0.5</v>
      </c>
      <c r="AG1057" s="163">
        <v>8</v>
      </c>
      <c r="AH1057" s="93" t="s">
        <v>3041</v>
      </c>
      <c r="AI1057" s="93"/>
      <c r="AJ1057" s="93" t="s">
        <v>1188</v>
      </c>
      <c r="AK1057" s="30" t="s">
        <v>1185</v>
      </c>
      <c r="AL1057" s="146" t="s">
        <v>1178</v>
      </c>
    </row>
    <row r="1058" spans="1:38" ht="15" customHeight="1" x14ac:dyDescent="0.3">
      <c r="A1058" s="181" t="s">
        <v>22</v>
      </c>
      <c r="B1058" s="145" t="s">
        <v>197</v>
      </c>
      <c r="C1058" s="135">
        <v>5</v>
      </c>
      <c r="D1058" s="136" t="s">
        <v>190</v>
      </c>
      <c r="E1058" s="168">
        <v>40704</v>
      </c>
      <c r="F1058" s="136">
        <v>2011</v>
      </c>
      <c r="G1058" s="178" t="s">
        <v>3052</v>
      </c>
      <c r="H1058" s="204" t="s">
        <v>3053</v>
      </c>
      <c r="I1058" s="136" t="s">
        <v>80</v>
      </c>
      <c r="J1058" s="32" t="s">
        <v>26</v>
      </c>
      <c r="K1058" s="138" t="s">
        <v>111</v>
      </c>
      <c r="L1058" s="138" t="s">
        <v>1319</v>
      </c>
      <c r="M1058" s="137" t="s">
        <v>804</v>
      </c>
      <c r="N1058" s="197"/>
      <c r="O1058" s="138" t="s">
        <v>3054</v>
      </c>
      <c r="P1058" s="138" t="s">
        <v>3055</v>
      </c>
      <c r="Q1058" s="15" t="s">
        <v>282</v>
      </c>
      <c r="R1058" s="179">
        <v>40961</v>
      </c>
      <c r="S1058" s="16" t="s">
        <v>44</v>
      </c>
      <c r="T1058" s="191">
        <v>41169</v>
      </c>
      <c r="U1058" s="707"/>
      <c r="V1058" s="624"/>
      <c r="W1058" s="735">
        <v>28.6</v>
      </c>
      <c r="X1058" s="7">
        <v>14.3</v>
      </c>
      <c r="Y1058" s="7" t="str">
        <f t="shared" si="40"/>
        <v/>
      </c>
      <c r="Z1058" s="7">
        <f t="shared" si="38"/>
        <v>14.3</v>
      </c>
      <c r="AA1058" s="469"/>
      <c r="AB1058" s="564" t="s">
        <v>2595</v>
      </c>
      <c r="AC1058" s="693"/>
      <c r="AD1058" s="187">
        <v>0.5</v>
      </c>
      <c r="AE1058" s="195"/>
      <c r="AF1058" s="205">
        <f t="shared" si="39"/>
        <v>0.5</v>
      </c>
      <c r="AG1058" s="200">
        <v>7</v>
      </c>
      <c r="AH1058" s="138" t="s">
        <v>3047</v>
      </c>
      <c r="AI1058" s="200"/>
      <c r="AJ1058" s="200" t="s">
        <v>1188</v>
      </c>
      <c r="AK1058" s="200" t="s">
        <v>1185</v>
      </c>
      <c r="AL1058" s="200" t="s">
        <v>1178</v>
      </c>
    </row>
    <row r="1059" spans="1:38" ht="15" customHeight="1" x14ac:dyDescent="0.3">
      <c r="A1059" s="181" t="s">
        <v>22</v>
      </c>
      <c r="B1059" s="153" t="s">
        <v>228</v>
      </c>
      <c r="C1059" s="135">
        <v>1</v>
      </c>
      <c r="D1059" s="11" t="s">
        <v>225</v>
      </c>
      <c r="E1059" s="168">
        <v>40226</v>
      </c>
      <c r="F1059" s="136">
        <v>2010</v>
      </c>
      <c r="G1059" s="178" t="s">
        <v>3056</v>
      </c>
      <c r="H1059" s="204" t="s">
        <v>3057</v>
      </c>
      <c r="I1059" s="33" t="s">
        <v>33</v>
      </c>
      <c r="J1059" s="32" t="s">
        <v>26</v>
      </c>
      <c r="K1059" s="197" t="s">
        <v>1708</v>
      </c>
      <c r="L1059" s="197" t="s">
        <v>40</v>
      </c>
      <c r="M1059" s="137" t="s">
        <v>804</v>
      </c>
      <c r="N1059" s="197"/>
      <c r="O1059" s="197" t="s">
        <v>3058</v>
      </c>
      <c r="P1059" s="197" t="s">
        <v>3059</v>
      </c>
      <c r="Q1059" s="15" t="s">
        <v>282</v>
      </c>
      <c r="R1059" s="132">
        <v>40403</v>
      </c>
      <c r="S1059" s="16" t="s">
        <v>44</v>
      </c>
      <c r="T1059" s="133">
        <v>40708</v>
      </c>
      <c r="U1059" s="623"/>
      <c r="V1059" s="624"/>
      <c r="W1059" s="734">
        <v>80</v>
      </c>
      <c r="X1059" s="7">
        <v>40</v>
      </c>
      <c r="Y1059" s="7" t="str">
        <f t="shared" si="40"/>
        <v/>
      </c>
      <c r="Z1059" s="7">
        <f t="shared" si="38"/>
        <v>40</v>
      </c>
      <c r="AA1059" s="469"/>
      <c r="AB1059" s="564" t="s">
        <v>6041</v>
      </c>
      <c r="AC1059" s="693"/>
      <c r="AD1059" s="187">
        <v>0.5</v>
      </c>
      <c r="AE1059" s="187"/>
      <c r="AF1059" s="205">
        <f t="shared" si="39"/>
        <v>0.5</v>
      </c>
      <c r="AG1059" s="163">
        <v>7.5</v>
      </c>
      <c r="AH1059" s="138" t="s">
        <v>3051</v>
      </c>
      <c r="AI1059" s="683"/>
      <c r="AJ1059" s="138" t="s">
        <v>1188</v>
      </c>
      <c r="AK1059" s="138" t="s">
        <v>1185</v>
      </c>
      <c r="AL1059" s="138" t="s">
        <v>1178</v>
      </c>
    </row>
    <row r="1060" spans="1:38" ht="15" customHeight="1" x14ac:dyDescent="0.3">
      <c r="A1060" s="30" t="s">
        <v>22</v>
      </c>
      <c r="B1060" s="153" t="s">
        <v>227</v>
      </c>
      <c r="C1060" s="135">
        <v>10</v>
      </c>
      <c r="D1060" s="11" t="s">
        <v>225</v>
      </c>
      <c r="E1060" s="108">
        <v>37622</v>
      </c>
      <c r="F1060" s="93">
        <v>2003</v>
      </c>
      <c r="G1060" s="142" t="s">
        <v>3061</v>
      </c>
      <c r="H1060" s="162" t="s">
        <v>3062</v>
      </c>
      <c r="I1060" s="181" t="s">
        <v>25</v>
      </c>
      <c r="J1060" s="32" t="s">
        <v>26</v>
      </c>
      <c r="K1060" s="197" t="s">
        <v>111</v>
      </c>
      <c r="L1060" s="137" t="s">
        <v>40</v>
      </c>
      <c r="M1060" s="137" t="s">
        <v>804</v>
      </c>
      <c r="N1060" s="137"/>
      <c r="O1060" s="197" t="s">
        <v>3063</v>
      </c>
      <c r="P1060" s="197" t="s">
        <v>3064</v>
      </c>
      <c r="Q1060" s="15" t="s">
        <v>282</v>
      </c>
      <c r="R1060" s="164">
        <v>39626</v>
      </c>
      <c r="S1060" s="16" t="s">
        <v>44</v>
      </c>
      <c r="T1060" s="213">
        <v>40147</v>
      </c>
      <c r="U1060" s="733"/>
      <c r="V1060" s="733"/>
      <c r="W1060" s="735">
        <v>35</v>
      </c>
      <c r="X1060" s="7">
        <v>17.5</v>
      </c>
      <c r="Y1060" s="7" t="str">
        <f t="shared" si="40"/>
        <v/>
      </c>
      <c r="Z1060" s="7">
        <f t="shared" si="38"/>
        <v>17.5</v>
      </c>
      <c r="AA1060" s="469"/>
      <c r="AB1060" s="500" t="s">
        <v>5953</v>
      </c>
      <c r="AC1060" s="501"/>
      <c r="AD1060" s="187">
        <v>0.5</v>
      </c>
      <c r="AE1060" s="187"/>
      <c r="AF1060" s="205">
        <f t="shared" si="39"/>
        <v>0.5</v>
      </c>
      <c r="AG1060" s="188">
        <v>8</v>
      </c>
      <c r="AH1060" s="279"/>
      <c r="AI1060" s="279"/>
      <c r="AJ1060" s="197" t="s">
        <v>1188</v>
      </c>
      <c r="AK1060" s="279" t="s">
        <v>1185</v>
      </c>
      <c r="AL1060" s="93" t="s">
        <v>1178</v>
      </c>
    </row>
    <row r="1061" spans="1:38" ht="15" customHeight="1" x14ac:dyDescent="0.3">
      <c r="A1061" s="181" t="s">
        <v>22</v>
      </c>
      <c r="B1061" s="145" t="s">
        <v>227</v>
      </c>
      <c r="C1061" s="135">
        <v>9</v>
      </c>
      <c r="D1061" s="11" t="s">
        <v>225</v>
      </c>
      <c r="E1061" s="168">
        <v>39589</v>
      </c>
      <c r="F1061" s="136">
        <v>2008</v>
      </c>
      <c r="G1061" s="178" t="s">
        <v>3066</v>
      </c>
      <c r="H1061" s="204" t="s">
        <v>3067</v>
      </c>
      <c r="I1061" s="57" t="s">
        <v>6176</v>
      </c>
      <c r="J1061" s="181" t="s">
        <v>67</v>
      </c>
      <c r="K1061" s="197" t="s">
        <v>3068</v>
      </c>
      <c r="L1061" s="138" t="s">
        <v>1319</v>
      </c>
      <c r="M1061" s="137" t="s">
        <v>804</v>
      </c>
      <c r="N1061" s="197"/>
      <c r="O1061" s="138" t="s">
        <v>3069</v>
      </c>
      <c r="P1061" s="138" t="s">
        <v>3070</v>
      </c>
      <c r="Q1061" s="15" t="s">
        <v>282</v>
      </c>
      <c r="R1061" s="132">
        <v>40753</v>
      </c>
      <c r="S1061" s="16" t="s">
        <v>44</v>
      </c>
      <c r="T1061" s="133">
        <v>41180</v>
      </c>
      <c r="U1061" s="623"/>
      <c r="V1061" s="623"/>
      <c r="W1061" s="734">
        <v>10.3</v>
      </c>
      <c r="X1061" s="7">
        <v>5.15</v>
      </c>
      <c r="Y1061" s="7" t="str">
        <f t="shared" si="40"/>
        <v/>
      </c>
      <c r="Z1061" s="7">
        <f t="shared" si="38"/>
        <v>5.15</v>
      </c>
      <c r="AA1061" s="469"/>
      <c r="AB1061" s="500" t="s">
        <v>5953</v>
      </c>
      <c r="AC1061" s="501"/>
      <c r="AD1061" s="187">
        <v>0.5</v>
      </c>
      <c r="AE1061" s="187"/>
      <c r="AF1061" s="205">
        <f t="shared" si="39"/>
        <v>0.5</v>
      </c>
      <c r="AG1061" s="138">
        <v>7</v>
      </c>
      <c r="AH1061" s="138" t="s">
        <v>3060</v>
      </c>
      <c r="AI1061" s="718" t="s">
        <v>3072</v>
      </c>
      <c r="AJ1061" s="138" t="s">
        <v>1188</v>
      </c>
      <c r="AK1061" s="138" t="s">
        <v>1185</v>
      </c>
      <c r="AL1061" s="93" t="s">
        <v>1178</v>
      </c>
    </row>
    <row r="1062" spans="1:38" ht="15" customHeight="1" x14ac:dyDescent="0.3">
      <c r="A1062" s="30" t="s">
        <v>22</v>
      </c>
      <c r="B1062" s="112" t="s">
        <v>105</v>
      </c>
      <c r="C1062" s="109">
        <v>6</v>
      </c>
      <c r="D1062" s="11" t="s">
        <v>5936</v>
      </c>
      <c r="E1062" s="108">
        <v>38139</v>
      </c>
      <c r="F1062" s="33">
        <v>2004</v>
      </c>
      <c r="G1062" s="142" t="s">
        <v>3073</v>
      </c>
      <c r="H1062" s="162" t="s">
        <v>3074</v>
      </c>
      <c r="I1062" s="33" t="s">
        <v>33</v>
      </c>
      <c r="J1062" s="32" t="s">
        <v>26</v>
      </c>
      <c r="K1062" s="138" t="s">
        <v>103</v>
      </c>
      <c r="L1062" s="137" t="s">
        <v>40</v>
      </c>
      <c r="M1062" s="137" t="s">
        <v>804</v>
      </c>
      <c r="N1062" s="137"/>
      <c r="O1062" s="93" t="s">
        <v>3075</v>
      </c>
      <c r="P1062" s="647" t="s">
        <v>3076</v>
      </c>
      <c r="Q1062" s="15" t="s">
        <v>282</v>
      </c>
      <c r="R1062" s="132">
        <v>39372</v>
      </c>
      <c r="S1062" s="16" t="s">
        <v>35</v>
      </c>
      <c r="T1062" s="133">
        <v>39626</v>
      </c>
      <c r="U1062" s="623" t="s">
        <v>44</v>
      </c>
      <c r="V1062" s="180">
        <v>41100</v>
      </c>
      <c r="W1062" s="735">
        <v>260</v>
      </c>
      <c r="X1062" s="7">
        <v>260</v>
      </c>
      <c r="Y1062" s="7" t="str">
        <f t="shared" si="40"/>
        <v/>
      </c>
      <c r="Z1062" s="7">
        <f t="shared" si="38"/>
        <v>260</v>
      </c>
      <c r="AA1062" s="469"/>
      <c r="AB1062" s="513" t="s">
        <v>1231</v>
      </c>
      <c r="AC1062" s="147"/>
      <c r="AD1062" s="187">
        <v>1</v>
      </c>
      <c r="AE1062" s="187"/>
      <c r="AF1062" s="205">
        <f t="shared" si="39"/>
        <v>1</v>
      </c>
      <c r="AG1062" s="163">
        <v>6.5</v>
      </c>
      <c r="AH1062" s="93" t="s">
        <v>3065</v>
      </c>
      <c r="AI1062" s="146"/>
      <c r="AJ1062" s="93" t="s">
        <v>1188</v>
      </c>
      <c r="AK1062" s="30" t="s">
        <v>99</v>
      </c>
      <c r="AL1062" s="93" t="s">
        <v>1175</v>
      </c>
    </row>
    <row r="1063" spans="1:38" ht="15" customHeight="1" x14ac:dyDescent="0.3">
      <c r="A1063" s="30" t="s">
        <v>22</v>
      </c>
      <c r="B1063" s="30" t="s">
        <v>23</v>
      </c>
      <c r="C1063" s="37">
        <v>19</v>
      </c>
      <c r="D1063" s="11" t="s">
        <v>24</v>
      </c>
      <c r="E1063" s="108">
        <v>40233</v>
      </c>
      <c r="F1063" s="37">
        <v>2010</v>
      </c>
      <c r="G1063" s="30" t="s">
        <v>3078</v>
      </c>
      <c r="H1063" s="162" t="s">
        <v>3079</v>
      </c>
      <c r="I1063" s="57" t="s">
        <v>6176</v>
      </c>
      <c r="J1063" s="30" t="s">
        <v>67</v>
      </c>
      <c r="K1063" s="30" t="s">
        <v>2177</v>
      </c>
      <c r="L1063" s="137" t="s">
        <v>1319</v>
      </c>
      <c r="M1063" s="137" t="s">
        <v>804</v>
      </c>
      <c r="N1063" s="709"/>
      <c r="O1063" s="146" t="s">
        <v>3080</v>
      </c>
      <c r="P1063" s="138" t="s">
        <v>3081</v>
      </c>
      <c r="Q1063" s="15" t="s">
        <v>282</v>
      </c>
      <c r="R1063" s="132">
        <v>41068</v>
      </c>
      <c r="S1063" s="16" t="s">
        <v>44</v>
      </c>
      <c r="T1063" s="165">
        <v>41163</v>
      </c>
      <c r="U1063" s="624"/>
      <c r="V1063" s="624"/>
      <c r="W1063" s="735">
        <v>150</v>
      </c>
      <c r="X1063" s="208">
        <v>75</v>
      </c>
      <c r="Y1063" s="7" t="str">
        <f t="shared" si="40"/>
        <v/>
      </c>
      <c r="Z1063" s="7">
        <f t="shared" si="38"/>
        <v>75</v>
      </c>
      <c r="AA1063" s="469"/>
      <c r="AB1063" s="479" t="s">
        <v>49</v>
      </c>
      <c r="AC1063" s="480"/>
      <c r="AD1063" s="187">
        <v>0.5</v>
      </c>
      <c r="AE1063" s="187"/>
      <c r="AF1063" s="205">
        <f t="shared" si="39"/>
        <v>0.5</v>
      </c>
      <c r="AG1063" s="30">
        <v>6</v>
      </c>
      <c r="AH1063" s="30" t="s">
        <v>3071</v>
      </c>
      <c r="AI1063" s="146" t="s">
        <v>6047</v>
      </c>
      <c r="AJ1063" s="30" t="s">
        <v>1188</v>
      </c>
      <c r="AK1063" s="30" t="s">
        <v>1185</v>
      </c>
      <c r="AL1063" s="93" t="s">
        <v>1178</v>
      </c>
    </row>
    <row r="1064" spans="1:38" ht="15" customHeight="1" x14ac:dyDescent="0.3">
      <c r="A1064" s="30" t="s">
        <v>22</v>
      </c>
      <c r="B1064" s="30" t="s">
        <v>23</v>
      </c>
      <c r="C1064" s="37">
        <v>12</v>
      </c>
      <c r="D1064" s="11" t="s">
        <v>24</v>
      </c>
      <c r="E1064" s="108">
        <v>40994</v>
      </c>
      <c r="F1064" s="37">
        <v>2012</v>
      </c>
      <c r="G1064" s="30" t="s">
        <v>3084</v>
      </c>
      <c r="H1064" s="162" t="s">
        <v>3085</v>
      </c>
      <c r="I1064" s="30" t="s">
        <v>38</v>
      </c>
      <c r="J1064" s="32" t="s">
        <v>26</v>
      </c>
      <c r="K1064" s="137" t="s">
        <v>111</v>
      </c>
      <c r="L1064" s="137" t="s">
        <v>1319</v>
      </c>
      <c r="M1064" s="137" t="s">
        <v>804</v>
      </c>
      <c r="N1064" s="709"/>
      <c r="O1064" s="146" t="s">
        <v>3086</v>
      </c>
      <c r="P1064" s="138" t="s">
        <v>3087</v>
      </c>
      <c r="Q1064" s="15" t="s">
        <v>282</v>
      </c>
      <c r="R1064" s="132">
        <v>41193</v>
      </c>
      <c r="S1064" s="16" t="s">
        <v>44</v>
      </c>
      <c r="T1064" s="165">
        <v>41292</v>
      </c>
      <c r="U1064" s="624"/>
      <c r="V1064" s="624"/>
      <c r="W1064" s="735">
        <v>24</v>
      </c>
      <c r="X1064" s="208">
        <v>12</v>
      </c>
      <c r="Y1064" s="7" t="str">
        <f t="shared" si="40"/>
        <v/>
      </c>
      <c r="Z1064" s="7">
        <f t="shared" ref="Z1064:Z1127" si="41">IF(Y1064="",X1064,Y1064+X1064)</f>
        <v>12</v>
      </c>
      <c r="AA1064" s="469"/>
      <c r="AB1064" s="762" t="s">
        <v>3077</v>
      </c>
      <c r="AC1064" s="652"/>
      <c r="AD1064" s="187">
        <v>0.5</v>
      </c>
      <c r="AE1064" s="187"/>
      <c r="AF1064" s="205">
        <f t="shared" ref="AF1064:AF1127" si="42">AE1064+AD1064</f>
        <v>0.5</v>
      </c>
      <c r="AG1064" s="30">
        <v>8</v>
      </c>
      <c r="AH1064" s="30" t="s">
        <v>58</v>
      </c>
      <c r="AI1064" s="146"/>
      <c r="AJ1064" s="30" t="s">
        <v>1188</v>
      </c>
      <c r="AK1064" s="30" t="s">
        <v>1185</v>
      </c>
      <c r="AL1064" s="93" t="s">
        <v>1178</v>
      </c>
    </row>
    <row r="1065" spans="1:38" ht="15" customHeight="1" x14ac:dyDescent="0.3">
      <c r="A1065" s="30" t="s">
        <v>22</v>
      </c>
      <c r="B1065" s="140" t="s">
        <v>145</v>
      </c>
      <c r="C1065" s="107">
        <v>1</v>
      </c>
      <c r="D1065" s="11" t="s">
        <v>143</v>
      </c>
      <c r="E1065" s="114">
        <v>39729</v>
      </c>
      <c r="F1065" s="12">
        <v>2008</v>
      </c>
      <c r="G1065" s="142" t="s">
        <v>3090</v>
      </c>
      <c r="H1065" s="162" t="s">
        <v>3091</v>
      </c>
      <c r="I1065" s="33" t="s">
        <v>33</v>
      </c>
      <c r="J1065" s="32" t="s">
        <v>26</v>
      </c>
      <c r="K1065" s="197" t="s">
        <v>103</v>
      </c>
      <c r="L1065" s="197" t="s">
        <v>1319</v>
      </c>
      <c r="M1065" s="137" t="s">
        <v>804</v>
      </c>
      <c r="N1065" s="759"/>
      <c r="O1065" s="197" t="s">
        <v>3092</v>
      </c>
      <c r="P1065" s="197" t="s">
        <v>3093</v>
      </c>
      <c r="Q1065" s="15" t="s">
        <v>35</v>
      </c>
      <c r="R1065" s="164">
        <v>40515</v>
      </c>
      <c r="S1065" s="16" t="s">
        <v>44</v>
      </c>
      <c r="T1065" s="165">
        <v>40959</v>
      </c>
      <c r="U1065" s="624"/>
      <c r="V1065" s="624"/>
      <c r="W1065" s="735">
        <v>50</v>
      </c>
      <c r="X1065" s="7">
        <v>37.5</v>
      </c>
      <c r="Y1065" s="7" t="str">
        <f t="shared" si="40"/>
        <v/>
      </c>
      <c r="Z1065" s="7">
        <f t="shared" si="41"/>
        <v>37.5</v>
      </c>
      <c r="AA1065" s="469"/>
      <c r="AB1065" s="564" t="s">
        <v>578</v>
      </c>
      <c r="AC1065" s="693"/>
      <c r="AD1065" s="187">
        <v>0.75</v>
      </c>
      <c r="AE1065" s="187"/>
      <c r="AF1065" s="205">
        <f t="shared" si="42"/>
        <v>0.75</v>
      </c>
      <c r="AG1065" s="138"/>
      <c r="AH1065" s="138" t="s">
        <v>3082</v>
      </c>
      <c r="AI1065" s="138"/>
      <c r="AJ1065" s="138" t="s">
        <v>1188</v>
      </c>
      <c r="AK1065" s="138" t="s">
        <v>1185</v>
      </c>
      <c r="AL1065" s="93" t="s">
        <v>1178</v>
      </c>
    </row>
    <row r="1066" spans="1:38" ht="15" customHeight="1" x14ac:dyDescent="0.3">
      <c r="A1066" s="181" t="s">
        <v>22</v>
      </c>
      <c r="B1066" s="145" t="s">
        <v>3083</v>
      </c>
      <c r="C1066" s="135" t="s">
        <v>2962</v>
      </c>
      <c r="D1066" s="136" t="s">
        <v>190</v>
      </c>
      <c r="E1066" s="168">
        <v>40462</v>
      </c>
      <c r="F1066" s="136">
        <v>2010</v>
      </c>
      <c r="G1066" s="178" t="s">
        <v>3095</v>
      </c>
      <c r="H1066" s="204" t="s">
        <v>3096</v>
      </c>
      <c r="I1066" s="33" t="s">
        <v>33</v>
      </c>
      <c r="J1066" s="32" t="s">
        <v>26</v>
      </c>
      <c r="K1066" s="197" t="s">
        <v>111</v>
      </c>
      <c r="L1066" s="138" t="s">
        <v>1319</v>
      </c>
      <c r="M1066" s="137" t="s">
        <v>804</v>
      </c>
      <c r="N1066" s="197"/>
      <c r="O1066" s="138" t="s">
        <v>3097</v>
      </c>
      <c r="P1066" s="138" t="s">
        <v>3098</v>
      </c>
      <c r="Q1066" s="15" t="s">
        <v>282</v>
      </c>
      <c r="R1066" s="179">
        <v>41053</v>
      </c>
      <c r="S1066" s="16" t="s">
        <v>44</v>
      </c>
      <c r="T1066" s="191">
        <v>41129</v>
      </c>
      <c r="U1066" s="707"/>
      <c r="V1066" s="624"/>
      <c r="W1066" s="735">
        <v>294</v>
      </c>
      <c r="X1066" s="7">
        <v>147</v>
      </c>
      <c r="Y1066" s="7" t="str">
        <f t="shared" si="40"/>
        <v/>
      </c>
      <c r="Z1066" s="7">
        <f t="shared" si="41"/>
        <v>147</v>
      </c>
      <c r="AA1066" s="469"/>
      <c r="AB1066" s="768" t="s">
        <v>3088</v>
      </c>
      <c r="AC1066" s="565"/>
      <c r="AD1066" s="187">
        <v>0.5</v>
      </c>
      <c r="AE1066" s="195"/>
      <c r="AF1066" s="205">
        <f t="shared" si="42"/>
        <v>0.5</v>
      </c>
      <c r="AG1066" s="200">
        <v>7</v>
      </c>
      <c r="AH1066" s="138" t="s">
        <v>3089</v>
      </c>
      <c r="AI1066" s="200"/>
      <c r="AJ1066" s="200" t="s">
        <v>1188</v>
      </c>
      <c r="AK1066" s="200" t="s">
        <v>1185</v>
      </c>
      <c r="AL1066" s="200" t="s">
        <v>1178</v>
      </c>
    </row>
    <row r="1067" spans="1:38" ht="15" customHeight="1" x14ac:dyDescent="0.3">
      <c r="A1067" s="30" t="s">
        <v>22</v>
      </c>
      <c r="B1067" s="120" t="s">
        <v>105</v>
      </c>
      <c r="C1067" s="109">
        <v>17</v>
      </c>
      <c r="D1067" s="11" t="s">
        <v>5936</v>
      </c>
      <c r="E1067" s="108">
        <v>37987</v>
      </c>
      <c r="F1067" s="146">
        <v>2004</v>
      </c>
      <c r="G1067" s="142" t="s">
        <v>3099</v>
      </c>
      <c r="H1067" s="162" t="s">
        <v>3100</v>
      </c>
      <c r="I1067" s="33" t="s">
        <v>33</v>
      </c>
      <c r="J1067" s="32" t="s">
        <v>26</v>
      </c>
      <c r="K1067" s="197" t="s">
        <v>111</v>
      </c>
      <c r="L1067" s="137" t="s">
        <v>1319</v>
      </c>
      <c r="M1067" s="137" t="s">
        <v>804</v>
      </c>
      <c r="N1067" s="137"/>
      <c r="O1067" s="93" t="s">
        <v>3101</v>
      </c>
      <c r="P1067" s="647" t="s">
        <v>3102</v>
      </c>
      <c r="Q1067" s="15" t="s">
        <v>282</v>
      </c>
      <c r="R1067" s="132">
        <v>38474</v>
      </c>
      <c r="S1067" s="16" t="s">
        <v>44</v>
      </c>
      <c r="T1067" s="133">
        <v>39387</v>
      </c>
      <c r="U1067" s="623" t="s">
        <v>1336</v>
      </c>
      <c r="V1067" s="180">
        <v>41220</v>
      </c>
      <c r="W1067" s="735">
        <v>55</v>
      </c>
      <c r="X1067" s="7">
        <v>27.5</v>
      </c>
      <c r="Y1067" s="7" t="str">
        <f t="shared" si="40"/>
        <v/>
      </c>
      <c r="Z1067" s="7">
        <f t="shared" si="41"/>
        <v>27.5</v>
      </c>
      <c r="AA1067" s="469"/>
      <c r="AB1067" s="513" t="s">
        <v>1231</v>
      </c>
      <c r="AC1067" s="147"/>
      <c r="AD1067" s="187">
        <v>0.5</v>
      </c>
      <c r="AE1067" s="187"/>
      <c r="AF1067" s="205">
        <f t="shared" si="42"/>
        <v>0.5</v>
      </c>
      <c r="AG1067" s="163">
        <v>6.5</v>
      </c>
      <c r="AH1067" s="93" t="s">
        <v>3094</v>
      </c>
      <c r="AI1067" s="146"/>
      <c r="AJ1067" s="93" t="s">
        <v>1188</v>
      </c>
      <c r="AK1067" s="30" t="s">
        <v>99</v>
      </c>
      <c r="AL1067" s="93" t="s">
        <v>1178</v>
      </c>
    </row>
    <row r="1068" spans="1:38" ht="15" customHeight="1" x14ac:dyDescent="0.3">
      <c r="A1068" s="30" t="s">
        <v>22</v>
      </c>
      <c r="B1068" s="120" t="s">
        <v>105</v>
      </c>
      <c r="C1068" s="109">
        <v>4</v>
      </c>
      <c r="D1068" s="11" t="s">
        <v>5936</v>
      </c>
      <c r="E1068" s="108">
        <v>38413</v>
      </c>
      <c r="F1068" s="33">
        <v>2005</v>
      </c>
      <c r="G1068" s="142" t="s">
        <v>3103</v>
      </c>
      <c r="H1068" s="162" t="s">
        <v>3104</v>
      </c>
      <c r="I1068" s="33" t="s">
        <v>33</v>
      </c>
      <c r="J1068" s="32" t="s">
        <v>26</v>
      </c>
      <c r="K1068" s="197" t="s">
        <v>111</v>
      </c>
      <c r="L1068" s="137" t="s">
        <v>40</v>
      </c>
      <c r="M1068" s="137" t="s">
        <v>804</v>
      </c>
      <c r="N1068" s="137"/>
      <c r="O1068" s="93" t="s">
        <v>3105</v>
      </c>
      <c r="P1068" s="718" t="s">
        <v>3106</v>
      </c>
      <c r="Q1068" s="15" t="s">
        <v>35</v>
      </c>
      <c r="R1068" s="132">
        <v>40326</v>
      </c>
      <c r="S1068" s="16" t="s">
        <v>35</v>
      </c>
      <c r="T1068" s="133">
        <v>41121</v>
      </c>
      <c r="U1068" s="623" t="s">
        <v>1422</v>
      </c>
      <c r="V1068" s="180">
        <v>41318</v>
      </c>
      <c r="W1068" s="735">
        <v>52</v>
      </c>
      <c r="X1068" s="7">
        <v>52</v>
      </c>
      <c r="Y1068" s="7" t="str">
        <f t="shared" si="40"/>
        <v/>
      </c>
      <c r="Z1068" s="7">
        <f t="shared" si="41"/>
        <v>52</v>
      </c>
      <c r="AA1068" s="469"/>
      <c r="AB1068" s="513" t="s">
        <v>1231</v>
      </c>
      <c r="AC1068" s="147"/>
      <c r="AD1068" s="187">
        <v>1</v>
      </c>
      <c r="AE1068" s="187"/>
      <c r="AF1068" s="205">
        <f t="shared" si="42"/>
        <v>1</v>
      </c>
      <c r="AG1068" s="163">
        <v>6.5</v>
      </c>
      <c r="AH1068" s="93"/>
      <c r="AI1068" s="719" t="s">
        <v>3107</v>
      </c>
      <c r="AJ1068" s="93" t="s">
        <v>1188</v>
      </c>
      <c r="AK1068" s="30" t="s">
        <v>99</v>
      </c>
      <c r="AL1068" s="93" t="s">
        <v>1178</v>
      </c>
    </row>
    <row r="1069" spans="1:38" ht="15" customHeight="1" x14ac:dyDescent="0.3">
      <c r="A1069" s="181" t="s">
        <v>22</v>
      </c>
      <c r="B1069" s="145" t="s">
        <v>105</v>
      </c>
      <c r="C1069" s="135">
        <v>16</v>
      </c>
      <c r="D1069" s="11" t="s">
        <v>5936</v>
      </c>
      <c r="E1069" s="168">
        <v>40421</v>
      </c>
      <c r="F1069" s="136">
        <v>2010</v>
      </c>
      <c r="G1069" s="178" t="s">
        <v>3108</v>
      </c>
      <c r="H1069" s="204" t="s">
        <v>3109</v>
      </c>
      <c r="I1069" s="57" t="s">
        <v>6176</v>
      </c>
      <c r="J1069" s="181" t="s">
        <v>67</v>
      </c>
      <c r="K1069" s="197" t="s">
        <v>259</v>
      </c>
      <c r="L1069" s="138" t="s">
        <v>1319</v>
      </c>
      <c r="M1069" s="137" t="s">
        <v>804</v>
      </c>
      <c r="N1069" s="197"/>
      <c r="O1069" s="138" t="s">
        <v>3110</v>
      </c>
      <c r="P1069" s="138" t="s">
        <v>3111</v>
      </c>
      <c r="Q1069" s="15" t="s">
        <v>282</v>
      </c>
      <c r="R1069" s="132">
        <v>40739</v>
      </c>
      <c r="S1069" s="16" t="s">
        <v>44</v>
      </c>
      <c r="T1069" s="133">
        <v>41255</v>
      </c>
      <c r="U1069" s="623"/>
      <c r="V1069" s="624"/>
      <c r="W1069" s="735">
        <v>6</v>
      </c>
      <c r="X1069" s="7">
        <v>3.0000000000000004</v>
      </c>
      <c r="Y1069" s="7" t="str">
        <f t="shared" si="40"/>
        <v/>
      </c>
      <c r="Z1069" s="7">
        <f t="shared" si="41"/>
        <v>3.0000000000000004</v>
      </c>
      <c r="AA1069" s="469"/>
      <c r="AB1069" s="564" t="s">
        <v>1073</v>
      </c>
      <c r="AC1069" s="693"/>
      <c r="AD1069" s="187">
        <v>0.5</v>
      </c>
      <c r="AE1069" s="187"/>
      <c r="AF1069" s="205">
        <f t="shared" si="42"/>
        <v>0.5</v>
      </c>
      <c r="AG1069" s="163">
        <v>7</v>
      </c>
      <c r="AH1069" s="476" t="s">
        <v>851</v>
      </c>
      <c r="AI1069" s="138" t="s">
        <v>3112</v>
      </c>
      <c r="AJ1069" s="138" t="s">
        <v>1188</v>
      </c>
      <c r="AK1069" s="138" t="s">
        <v>1185</v>
      </c>
      <c r="AL1069" s="138" t="s">
        <v>1178</v>
      </c>
    </row>
    <row r="1070" spans="1:38" ht="15" customHeight="1" x14ac:dyDescent="0.3">
      <c r="A1070" s="30" t="s">
        <v>140</v>
      </c>
      <c r="B1070" s="167" t="s">
        <v>142</v>
      </c>
      <c r="C1070" s="107">
        <v>4</v>
      </c>
      <c r="D1070" s="11" t="s">
        <v>143</v>
      </c>
      <c r="E1070" s="114">
        <v>38524</v>
      </c>
      <c r="F1070" s="12">
        <v>2005</v>
      </c>
      <c r="G1070" s="178"/>
      <c r="H1070" s="162"/>
      <c r="I1070" s="12" t="s">
        <v>25</v>
      </c>
      <c r="J1070" s="30" t="s">
        <v>81</v>
      </c>
      <c r="K1070" s="197" t="s">
        <v>141</v>
      </c>
      <c r="L1070" s="137" t="s">
        <v>1049</v>
      </c>
      <c r="M1070" s="137" t="s">
        <v>804</v>
      </c>
      <c r="N1070" s="137"/>
      <c r="O1070" s="93" t="s">
        <v>3113</v>
      </c>
      <c r="P1070" s="138" t="s">
        <v>6048</v>
      </c>
      <c r="Q1070" s="91"/>
      <c r="R1070" s="91"/>
      <c r="S1070" s="92"/>
      <c r="T1070" s="92"/>
      <c r="U1070" s="623"/>
      <c r="V1070" s="624"/>
      <c r="W1070" s="735">
        <v>10</v>
      </c>
      <c r="X1070" s="7">
        <v>5</v>
      </c>
      <c r="Y1070" s="7" t="str">
        <f t="shared" si="40"/>
        <v/>
      </c>
      <c r="Z1070" s="7">
        <f t="shared" si="41"/>
        <v>5</v>
      </c>
      <c r="AA1070" s="469"/>
      <c r="AB1070" s="513" t="s">
        <v>147</v>
      </c>
      <c r="AC1070" s="147"/>
      <c r="AD1070" s="187">
        <v>0.5</v>
      </c>
      <c r="AE1070" s="187"/>
      <c r="AF1070" s="205">
        <f t="shared" si="42"/>
        <v>0.5</v>
      </c>
      <c r="AG1070" s="163"/>
      <c r="AH1070" s="93"/>
      <c r="AI1070" s="93"/>
      <c r="AJ1070" s="93" t="s">
        <v>1188</v>
      </c>
      <c r="AK1070" s="30" t="s">
        <v>1177</v>
      </c>
      <c r="AL1070" s="93" t="s">
        <v>1178</v>
      </c>
    </row>
    <row r="1071" spans="1:38" ht="15" customHeight="1" x14ac:dyDescent="0.3">
      <c r="A1071" s="30" t="s">
        <v>22</v>
      </c>
      <c r="B1071" s="153" t="s">
        <v>142</v>
      </c>
      <c r="C1071" s="107">
        <v>5</v>
      </c>
      <c r="D1071" s="11" t="s">
        <v>143</v>
      </c>
      <c r="E1071" s="108">
        <v>37561</v>
      </c>
      <c r="F1071" s="30">
        <v>2002</v>
      </c>
      <c r="G1071" s="178" t="s">
        <v>3115</v>
      </c>
      <c r="H1071" s="162" t="s">
        <v>3116</v>
      </c>
      <c r="I1071" s="12" t="s">
        <v>25</v>
      </c>
      <c r="J1071" s="32" t="s">
        <v>26</v>
      </c>
      <c r="K1071" s="197" t="s">
        <v>111</v>
      </c>
      <c r="L1071" s="137" t="s">
        <v>40</v>
      </c>
      <c r="M1071" s="137" t="s">
        <v>804</v>
      </c>
      <c r="N1071" s="137"/>
      <c r="O1071" s="93" t="s">
        <v>3117</v>
      </c>
      <c r="P1071" s="138" t="s">
        <v>3118</v>
      </c>
      <c r="Q1071" s="15" t="s">
        <v>35</v>
      </c>
      <c r="R1071" s="132">
        <v>38968</v>
      </c>
      <c r="S1071" s="16" t="s">
        <v>44</v>
      </c>
      <c r="T1071" s="133">
        <v>40056</v>
      </c>
      <c r="U1071" s="623"/>
      <c r="V1071" s="624"/>
      <c r="W1071" s="735">
        <v>60</v>
      </c>
      <c r="X1071" s="7">
        <v>45</v>
      </c>
      <c r="Y1071" s="7" t="str">
        <f t="shared" si="40"/>
        <v/>
      </c>
      <c r="Z1071" s="7">
        <f t="shared" si="41"/>
        <v>45</v>
      </c>
      <c r="AA1071" s="469"/>
      <c r="AB1071" s="513" t="s">
        <v>147</v>
      </c>
      <c r="AC1071" s="147"/>
      <c r="AD1071" s="187">
        <v>0.75</v>
      </c>
      <c r="AE1071" s="187"/>
      <c r="AF1071" s="205">
        <f t="shared" si="42"/>
        <v>0.75</v>
      </c>
      <c r="AG1071" s="163"/>
      <c r="AH1071" s="93"/>
      <c r="AI1071" s="93"/>
      <c r="AJ1071" s="93" t="s">
        <v>1188</v>
      </c>
      <c r="AK1071" s="30" t="s">
        <v>1185</v>
      </c>
      <c r="AL1071" s="93" t="s">
        <v>1178</v>
      </c>
    </row>
    <row r="1072" spans="1:38" ht="15" customHeight="1" x14ac:dyDescent="0.3">
      <c r="A1072" s="30" t="s">
        <v>22</v>
      </c>
      <c r="B1072" s="154" t="s">
        <v>146</v>
      </c>
      <c r="C1072" s="107">
        <v>2</v>
      </c>
      <c r="D1072" s="11" t="s">
        <v>143</v>
      </c>
      <c r="E1072" s="114">
        <v>38825</v>
      </c>
      <c r="F1072" s="12">
        <v>2006</v>
      </c>
      <c r="G1072" s="178" t="s">
        <v>3120</v>
      </c>
      <c r="H1072" s="162"/>
      <c r="I1072" s="12" t="s">
        <v>25</v>
      </c>
      <c r="J1072" s="32" t="s">
        <v>26</v>
      </c>
      <c r="K1072" s="197" t="s">
        <v>111</v>
      </c>
      <c r="L1072" s="138" t="s">
        <v>1319</v>
      </c>
      <c r="M1072" s="137" t="s">
        <v>804</v>
      </c>
      <c r="N1072" s="137"/>
      <c r="O1072" s="138" t="s">
        <v>3121</v>
      </c>
      <c r="P1072" s="138" t="s">
        <v>3122</v>
      </c>
      <c r="Q1072" s="15" t="s">
        <v>282</v>
      </c>
      <c r="R1072" s="132">
        <v>39492</v>
      </c>
      <c r="S1072" s="16" t="s">
        <v>44</v>
      </c>
      <c r="T1072" s="133">
        <v>40975</v>
      </c>
      <c r="U1072" s="623"/>
      <c r="V1072" s="624"/>
      <c r="W1072" s="735">
        <v>160</v>
      </c>
      <c r="X1072" s="7">
        <v>80</v>
      </c>
      <c r="Y1072" s="7" t="str">
        <f t="shared" si="40"/>
        <v/>
      </c>
      <c r="Z1072" s="7">
        <f t="shared" si="41"/>
        <v>80</v>
      </c>
      <c r="AA1072" s="469"/>
      <c r="AB1072" s="564" t="s">
        <v>147</v>
      </c>
      <c r="AC1072" s="693"/>
      <c r="AD1072" s="187">
        <v>0.5</v>
      </c>
      <c r="AE1072" s="187"/>
      <c r="AF1072" s="205">
        <f t="shared" si="42"/>
        <v>0.5</v>
      </c>
      <c r="AG1072" s="138">
        <v>12</v>
      </c>
      <c r="AH1072" s="138" t="s">
        <v>3114</v>
      </c>
      <c r="AI1072" s="138"/>
      <c r="AJ1072" s="138" t="s">
        <v>1188</v>
      </c>
      <c r="AK1072" s="138" t="s">
        <v>1185</v>
      </c>
      <c r="AL1072" s="93" t="s">
        <v>1178</v>
      </c>
    </row>
    <row r="1073" spans="1:38" ht="15" customHeight="1" x14ac:dyDescent="0.3">
      <c r="A1073" s="30" t="s">
        <v>22</v>
      </c>
      <c r="B1073" s="154" t="s">
        <v>144</v>
      </c>
      <c r="C1073" s="107">
        <v>6</v>
      </c>
      <c r="D1073" s="11" t="s">
        <v>143</v>
      </c>
      <c r="E1073" s="192">
        <v>39409</v>
      </c>
      <c r="F1073" s="12">
        <v>2007</v>
      </c>
      <c r="G1073" s="142" t="s">
        <v>3124</v>
      </c>
      <c r="H1073" s="204" t="s">
        <v>3125</v>
      </c>
      <c r="I1073" s="33" t="s">
        <v>33</v>
      </c>
      <c r="J1073" s="32" t="s">
        <v>26</v>
      </c>
      <c r="K1073" s="197" t="s">
        <v>1708</v>
      </c>
      <c r="L1073" s="197" t="s">
        <v>1319</v>
      </c>
      <c r="M1073" s="137" t="s">
        <v>804</v>
      </c>
      <c r="N1073" s="137"/>
      <c r="O1073" s="138" t="s">
        <v>3126</v>
      </c>
      <c r="P1073" s="138" t="s">
        <v>3127</v>
      </c>
      <c r="Q1073" s="15" t="s">
        <v>35</v>
      </c>
      <c r="R1073" s="132">
        <v>40451</v>
      </c>
      <c r="S1073" s="16" t="s">
        <v>44</v>
      </c>
      <c r="T1073" s="133">
        <v>41213</v>
      </c>
      <c r="U1073" s="623"/>
      <c r="V1073" s="624"/>
      <c r="W1073" s="735">
        <v>90</v>
      </c>
      <c r="X1073" s="7">
        <v>67.5</v>
      </c>
      <c r="Y1073" s="7" t="str">
        <f t="shared" si="40"/>
        <v/>
      </c>
      <c r="Z1073" s="7">
        <f t="shared" si="41"/>
        <v>67.5</v>
      </c>
      <c r="AA1073" s="469"/>
      <c r="AB1073" s="564" t="s">
        <v>147</v>
      </c>
      <c r="AC1073" s="693"/>
      <c r="AD1073" s="187">
        <v>0.75</v>
      </c>
      <c r="AE1073" s="187"/>
      <c r="AF1073" s="205">
        <f t="shared" si="42"/>
        <v>0.75</v>
      </c>
      <c r="AG1073" s="138"/>
      <c r="AH1073" s="138" t="s">
        <v>3119</v>
      </c>
      <c r="AI1073" s="718" t="s">
        <v>3129</v>
      </c>
      <c r="AJ1073" s="138" t="s">
        <v>1188</v>
      </c>
      <c r="AK1073" s="138" t="s">
        <v>1185</v>
      </c>
      <c r="AL1073" s="93" t="s">
        <v>1178</v>
      </c>
    </row>
    <row r="1074" spans="1:38" ht="15" customHeight="1" x14ac:dyDescent="0.3">
      <c r="A1074" s="181" t="s">
        <v>22</v>
      </c>
      <c r="B1074" s="145" t="s">
        <v>3083</v>
      </c>
      <c r="C1074" s="135" t="s">
        <v>2962</v>
      </c>
      <c r="D1074" s="136" t="s">
        <v>190</v>
      </c>
      <c r="E1074" s="168">
        <v>40632</v>
      </c>
      <c r="F1074" s="136">
        <v>2011</v>
      </c>
      <c r="G1074" s="178" t="s">
        <v>3130</v>
      </c>
      <c r="H1074" s="204"/>
      <c r="I1074" s="33" t="s">
        <v>33</v>
      </c>
      <c r="J1074" s="32" t="s">
        <v>26</v>
      </c>
      <c r="K1074" s="197" t="s">
        <v>1708</v>
      </c>
      <c r="L1074" s="138" t="s">
        <v>1319</v>
      </c>
      <c r="M1074" s="137" t="s">
        <v>804</v>
      </c>
      <c r="N1074" s="197"/>
      <c r="O1074" s="138" t="s">
        <v>3131</v>
      </c>
      <c r="P1074" s="138" t="s">
        <v>3132</v>
      </c>
      <c r="Q1074" s="15" t="s">
        <v>282</v>
      </c>
      <c r="R1074" s="179">
        <v>41074</v>
      </c>
      <c r="S1074" s="16" t="s">
        <v>44</v>
      </c>
      <c r="T1074" s="191">
        <v>41196</v>
      </c>
      <c r="U1074" s="707"/>
      <c r="V1074" s="624"/>
      <c r="W1074" s="735">
        <v>250</v>
      </c>
      <c r="X1074" s="7">
        <v>125</v>
      </c>
      <c r="Y1074" s="7" t="str">
        <f t="shared" si="40"/>
        <v/>
      </c>
      <c r="Z1074" s="7">
        <f t="shared" si="41"/>
        <v>125</v>
      </c>
      <c r="AA1074" s="469"/>
      <c r="AB1074" s="715" t="s">
        <v>2922</v>
      </c>
      <c r="AC1074" s="769"/>
      <c r="AD1074" s="187">
        <v>0.5</v>
      </c>
      <c r="AE1074" s="195"/>
      <c r="AF1074" s="205">
        <f t="shared" si="42"/>
        <v>0.5</v>
      </c>
      <c r="AG1074" s="200">
        <v>7</v>
      </c>
      <c r="AH1074" s="138" t="s">
        <v>3123</v>
      </c>
      <c r="AI1074" s="200"/>
      <c r="AJ1074" s="200" t="s">
        <v>1188</v>
      </c>
      <c r="AK1074" s="200" t="s">
        <v>1185</v>
      </c>
      <c r="AL1074" s="200" t="s">
        <v>1178</v>
      </c>
    </row>
    <row r="1075" spans="1:38" ht="15" customHeight="1" x14ac:dyDescent="0.3">
      <c r="A1075" s="30" t="s">
        <v>22</v>
      </c>
      <c r="B1075" s="119" t="s">
        <v>239</v>
      </c>
      <c r="C1075" s="109" t="s">
        <v>196</v>
      </c>
      <c r="D1075" s="11" t="s">
        <v>225</v>
      </c>
      <c r="E1075" s="156">
        <v>38534</v>
      </c>
      <c r="F1075" s="33">
        <v>2005</v>
      </c>
      <c r="G1075" s="157" t="s">
        <v>3134</v>
      </c>
      <c r="H1075" s="161"/>
      <c r="I1075" s="33" t="s">
        <v>33</v>
      </c>
      <c r="J1075" s="32" t="s">
        <v>191</v>
      </c>
      <c r="K1075" s="200" t="s">
        <v>1708</v>
      </c>
      <c r="L1075" s="138" t="s">
        <v>1319</v>
      </c>
      <c r="M1075" s="137" t="s">
        <v>804</v>
      </c>
      <c r="N1075" s="137"/>
      <c r="O1075" s="93" t="s">
        <v>3135</v>
      </c>
      <c r="P1075" s="200" t="s">
        <v>3136</v>
      </c>
      <c r="Q1075" s="15" t="s">
        <v>282</v>
      </c>
      <c r="R1075" s="132">
        <v>39630</v>
      </c>
      <c r="S1075" s="16" t="s">
        <v>44</v>
      </c>
      <c r="T1075" s="133">
        <v>41257</v>
      </c>
      <c r="U1075" s="623"/>
      <c r="V1075" s="623"/>
      <c r="W1075" s="755">
        <v>50</v>
      </c>
      <c r="X1075" s="7">
        <v>25</v>
      </c>
      <c r="Y1075" s="7" t="str">
        <f t="shared" si="40"/>
        <v/>
      </c>
      <c r="Z1075" s="7">
        <f t="shared" si="41"/>
        <v>25</v>
      </c>
      <c r="AA1075" s="469"/>
      <c r="AB1075" s="500" t="s">
        <v>5953</v>
      </c>
      <c r="AC1075" s="501"/>
      <c r="AD1075" s="187">
        <v>0.5</v>
      </c>
      <c r="AE1075" s="187"/>
      <c r="AF1075" s="205">
        <f t="shared" si="42"/>
        <v>0.5</v>
      </c>
      <c r="AG1075" s="88">
        <v>10</v>
      </c>
      <c r="AH1075" s="146" t="s">
        <v>3128</v>
      </c>
      <c r="AI1075" s="93"/>
      <c r="AJ1075" s="93" t="s">
        <v>1188</v>
      </c>
      <c r="AK1075" s="30" t="s">
        <v>1185</v>
      </c>
      <c r="AL1075" s="146" t="s">
        <v>1178</v>
      </c>
    </row>
    <row r="1076" spans="1:38" ht="15" customHeight="1" x14ac:dyDescent="0.3">
      <c r="A1076" s="181" t="s">
        <v>22</v>
      </c>
      <c r="B1076" s="153" t="s">
        <v>220</v>
      </c>
      <c r="C1076" s="135" t="s">
        <v>240</v>
      </c>
      <c r="D1076" s="136" t="s">
        <v>190</v>
      </c>
      <c r="E1076" s="168">
        <v>39600</v>
      </c>
      <c r="F1076" s="136">
        <v>2008</v>
      </c>
      <c r="G1076" s="178" t="s">
        <v>3137</v>
      </c>
      <c r="H1076" s="204"/>
      <c r="I1076" s="30" t="s">
        <v>38</v>
      </c>
      <c r="J1076" s="32" t="s">
        <v>26</v>
      </c>
      <c r="K1076" s="138" t="s">
        <v>111</v>
      </c>
      <c r="L1076" s="138" t="s">
        <v>1319</v>
      </c>
      <c r="M1076" s="137" t="s">
        <v>804</v>
      </c>
      <c r="N1076" s="137"/>
      <c r="O1076" s="138" t="s">
        <v>3138</v>
      </c>
      <c r="P1076" s="138" t="s">
        <v>3139</v>
      </c>
      <c r="Q1076" s="15" t="s">
        <v>282</v>
      </c>
      <c r="R1076" s="132">
        <v>40877</v>
      </c>
      <c r="S1076" s="16" t="s">
        <v>44</v>
      </c>
      <c r="T1076" s="133">
        <v>41250</v>
      </c>
      <c r="U1076" s="623"/>
      <c r="V1076" s="623"/>
      <c r="W1076" s="734">
        <v>75</v>
      </c>
      <c r="X1076" s="7">
        <v>37.5</v>
      </c>
      <c r="Y1076" s="7" t="str">
        <f t="shared" si="40"/>
        <v/>
      </c>
      <c r="Z1076" s="7">
        <f t="shared" si="41"/>
        <v>37.5</v>
      </c>
      <c r="AA1076" s="469"/>
      <c r="AB1076" s="564" t="s">
        <v>1073</v>
      </c>
      <c r="AC1076" s="693"/>
      <c r="AD1076" s="187">
        <v>0.5</v>
      </c>
      <c r="AE1076" s="187"/>
      <c r="AF1076" s="205">
        <f t="shared" si="42"/>
        <v>0.5</v>
      </c>
      <c r="AG1076" s="138">
        <v>7.5</v>
      </c>
      <c r="AH1076" s="138" t="s">
        <v>3133</v>
      </c>
      <c r="AI1076" s="138"/>
      <c r="AJ1076" s="138" t="s">
        <v>1188</v>
      </c>
      <c r="AK1076" s="138" t="s">
        <v>1185</v>
      </c>
      <c r="AL1076" s="138" t="s">
        <v>1178</v>
      </c>
    </row>
    <row r="1077" spans="1:38" ht="15" customHeight="1" x14ac:dyDescent="0.3">
      <c r="A1077" s="138" t="s">
        <v>22</v>
      </c>
      <c r="B1077" s="181" t="s">
        <v>227</v>
      </c>
      <c r="C1077" s="181">
        <v>3</v>
      </c>
      <c r="D1077" s="11" t="s">
        <v>225</v>
      </c>
      <c r="E1077" s="168">
        <v>39499</v>
      </c>
      <c r="F1077" s="136">
        <v>2007</v>
      </c>
      <c r="G1077" s="178" t="s">
        <v>3140</v>
      </c>
      <c r="H1077" s="204" t="s">
        <v>3141</v>
      </c>
      <c r="I1077" s="33" t="s">
        <v>33</v>
      </c>
      <c r="J1077" s="32" t="s">
        <v>191</v>
      </c>
      <c r="K1077" s="200" t="s">
        <v>1173</v>
      </c>
      <c r="L1077" s="197" t="s">
        <v>1319</v>
      </c>
      <c r="M1077" s="137" t="s">
        <v>804</v>
      </c>
      <c r="N1077" s="197"/>
      <c r="O1077" s="138" t="s">
        <v>3142</v>
      </c>
      <c r="P1077" s="138" t="s">
        <v>3143</v>
      </c>
      <c r="Q1077" s="15" t="s">
        <v>282</v>
      </c>
      <c r="R1077" s="214">
        <v>39990</v>
      </c>
      <c r="S1077" s="16" t="s">
        <v>35</v>
      </c>
      <c r="T1077" s="215">
        <v>41305</v>
      </c>
      <c r="U1077" s="761"/>
      <c r="V1077" s="624"/>
      <c r="W1077" s="755">
        <v>50</v>
      </c>
      <c r="X1077" s="7">
        <v>25</v>
      </c>
      <c r="Y1077" s="7">
        <f t="shared" si="40"/>
        <v>25</v>
      </c>
      <c r="Z1077" s="7">
        <f t="shared" si="41"/>
        <v>50</v>
      </c>
      <c r="AA1077" s="469"/>
      <c r="AB1077" s="500" t="s">
        <v>5953</v>
      </c>
      <c r="AC1077" s="501"/>
      <c r="AD1077" s="187">
        <v>0.5</v>
      </c>
      <c r="AE1077" s="195">
        <v>0.5</v>
      </c>
      <c r="AF1077" s="205">
        <f t="shared" si="42"/>
        <v>1</v>
      </c>
      <c r="AG1077" s="200">
        <v>6</v>
      </c>
      <c r="AH1077" s="200"/>
      <c r="AI1077" s="770" t="s">
        <v>3145</v>
      </c>
      <c r="AJ1077" s="738" t="s">
        <v>1188</v>
      </c>
      <c r="AK1077" s="738" t="s">
        <v>1185</v>
      </c>
      <c r="AL1077" s="200" t="s">
        <v>1178</v>
      </c>
    </row>
    <row r="1078" spans="1:38" ht="15" customHeight="1" x14ac:dyDescent="0.3">
      <c r="A1078" s="181" t="s">
        <v>22</v>
      </c>
      <c r="B1078" s="167" t="s">
        <v>105</v>
      </c>
      <c r="C1078" s="135">
        <v>5</v>
      </c>
      <c r="D1078" s="11" t="s">
        <v>5936</v>
      </c>
      <c r="E1078" s="168">
        <v>39783</v>
      </c>
      <c r="F1078" s="136">
        <v>2008</v>
      </c>
      <c r="G1078" s="178" t="s">
        <v>3146</v>
      </c>
      <c r="H1078" s="204" t="s">
        <v>3147</v>
      </c>
      <c r="I1078" s="136" t="s">
        <v>80</v>
      </c>
      <c r="J1078" s="32" t="s">
        <v>26</v>
      </c>
      <c r="K1078" s="138" t="s">
        <v>103</v>
      </c>
      <c r="L1078" s="138" t="s">
        <v>1319</v>
      </c>
      <c r="M1078" s="137" t="s">
        <v>804</v>
      </c>
      <c r="N1078" s="138"/>
      <c r="O1078" s="138" t="s">
        <v>2430</v>
      </c>
      <c r="P1078" s="138" t="s">
        <v>3148</v>
      </c>
      <c r="Q1078" s="15" t="s">
        <v>35</v>
      </c>
      <c r="R1078" s="132">
        <v>40298</v>
      </c>
      <c r="S1078" s="16" t="s">
        <v>44</v>
      </c>
      <c r="T1078" s="133">
        <v>41257</v>
      </c>
      <c r="U1078" s="623"/>
      <c r="V1078" s="623"/>
      <c r="W1078" s="734">
        <v>70</v>
      </c>
      <c r="X1078" s="7">
        <v>52.5</v>
      </c>
      <c r="Y1078" s="7" t="str">
        <f t="shared" si="40"/>
        <v/>
      </c>
      <c r="Z1078" s="7">
        <f t="shared" si="41"/>
        <v>52.5</v>
      </c>
      <c r="AA1078" s="469"/>
      <c r="AB1078" s="564" t="s">
        <v>1073</v>
      </c>
      <c r="AC1078" s="693"/>
      <c r="AD1078" s="187">
        <v>0.75</v>
      </c>
      <c r="AE1078" s="187"/>
      <c r="AF1078" s="205">
        <f t="shared" si="42"/>
        <v>0.75</v>
      </c>
      <c r="AG1078" s="138">
        <v>7.6</v>
      </c>
      <c r="AH1078" s="138" t="s">
        <v>2425</v>
      </c>
      <c r="AI1078" s="138"/>
      <c r="AJ1078" s="138" t="s">
        <v>1188</v>
      </c>
      <c r="AK1078" s="138" t="s">
        <v>1185</v>
      </c>
      <c r="AL1078" s="138" t="s">
        <v>1178</v>
      </c>
    </row>
    <row r="1079" spans="1:38" ht="15" customHeight="1" x14ac:dyDescent="0.3">
      <c r="A1079" s="181" t="s">
        <v>22</v>
      </c>
      <c r="B1079" s="145" t="s">
        <v>227</v>
      </c>
      <c r="C1079" s="135">
        <v>3</v>
      </c>
      <c r="D1079" s="11" t="s">
        <v>225</v>
      </c>
      <c r="E1079" s="168">
        <v>41107</v>
      </c>
      <c r="F1079" s="136">
        <v>2012</v>
      </c>
      <c r="G1079" s="178" t="s">
        <v>3150</v>
      </c>
      <c r="H1079" s="204" t="s">
        <v>3151</v>
      </c>
      <c r="I1079" s="136" t="s">
        <v>25</v>
      </c>
      <c r="J1079" s="32" t="s">
        <v>26</v>
      </c>
      <c r="K1079" s="197" t="s">
        <v>1194</v>
      </c>
      <c r="L1079" s="746" t="s">
        <v>40</v>
      </c>
      <c r="M1079" s="137" t="s">
        <v>804</v>
      </c>
      <c r="N1079" s="197"/>
      <c r="O1079" s="138" t="s">
        <v>3152</v>
      </c>
      <c r="P1079" s="138" t="s">
        <v>3153</v>
      </c>
      <c r="Q1079" s="15" t="s">
        <v>282</v>
      </c>
      <c r="R1079" s="132">
        <v>41339</v>
      </c>
      <c r="S1079" s="92"/>
      <c r="T1079" s="92"/>
      <c r="U1079" s="623"/>
      <c r="V1079" s="623"/>
      <c r="W1079" s="734">
        <v>49</v>
      </c>
      <c r="X1079" s="185">
        <v>4.9000000000000004</v>
      </c>
      <c r="Y1079" s="7" t="str">
        <f t="shared" si="40"/>
        <v/>
      </c>
      <c r="Z1079" s="7">
        <f t="shared" si="41"/>
        <v>4.9000000000000004</v>
      </c>
      <c r="AA1079" s="469"/>
      <c r="AB1079" s="500" t="s">
        <v>5953</v>
      </c>
      <c r="AC1079" s="501"/>
      <c r="AD1079" s="187">
        <v>0.1</v>
      </c>
      <c r="AE1079" s="187"/>
      <c r="AF1079" s="205">
        <f t="shared" si="42"/>
        <v>0.1</v>
      </c>
      <c r="AG1079" s="138">
        <v>8</v>
      </c>
      <c r="AH1079" s="138" t="s">
        <v>3144</v>
      </c>
      <c r="AI1079" s="138"/>
      <c r="AJ1079" s="138" t="s">
        <v>1188</v>
      </c>
      <c r="AK1079" s="138" t="s">
        <v>1177</v>
      </c>
      <c r="AL1079" s="93" t="s">
        <v>1178</v>
      </c>
    </row>
    <row r="1080" spans="1:38" ht="15" customHeight="1" x14ac:dyDescent="0.3">
      <c r="A1080" s="181" t="s">
        <v>22</v>
      </c>
      <c r="B1080" s="167" t="s">
        <v>148</v>
      </c>
      <c r="C1080" s="135">
        <v>3</v>
      </c>
      <c r="D1080" s="11" t="s">
        <v>143</v>
      </c>
      <c r="E1080" s="168">
        <v>39380</v>
      </c>
      <c r="F1080" s="12">
        <v>2007</v>
      </c>
      <c r="G1080" s="168" t="s">
        <v>3154</v>
      </c>
      <c r="H1080" s="162" t="s">
        <v>3155</v>
      </c>
      <c r="I1080" s="12" t="s">
        <v>80</v>
      </c>
      <c r="J1080" s="32" t="s">
        <v>26</v>
      </c>
      <c r="K1080" s="197" t="s">
        <v>111</v>
      </c>
      <c r="L1080" s="197" t="s">
        <v>40</v>
      </c>
      <c r="M1080" s="137" t="s">
        <v>804</v>
      </c>
      <c r="N1080" s="137"/>
      <c r="O1080" s="138" t="s">
        <v>3156</v>
      </c>
      <c r="P1080" s="153" t="s">
        <v>3157</v>
      </c>
      <c r="Q1080" s="15" t="s">
        <v>282</v>
      </c>
      <c r="R1080" s="132">
        <v>40207</v>
      </c>
      <c r="S1080" s="16" t="s">
        <v>44</v>
      </c>
      <c r="T1080" s="133">
        <v>41120</v>
      </c>
      <c r="U1080" s="623"/>
      <c r="V1080" s="624"/>
      <c r="W1080" s="735">
        <v>37.4</v>
      </c>
      <c r="X1080" s="7">
        <v>18.7</v>
      </c>
      <c r="Y1080" s="7" t="str">
        <f t="shared" si="40"/>
        <v/>
      </c>
      <c r="Z1080" s="7">
        <f t="shared" si="41"/>
        <v>18.7</v>
      </c>
      <c r="AA1080" s="469"/>
      <c r="AB1080" s="564" t="s">
        <v>147</v>
      </c>
      <c r="AC1080" s="693"/>
      <c r="AD1080" s="187">
        <v>0.5</v>
      </c>
      <c r="AE1080" s="187"/>
      <c r="AF1080" s="205">
        <f t="shared" si="42"/>
        <v>0.5</v>
      </c>
      <c r="AG1080" s="138"/>
      <c r="AH1080" s="138" t="s">
        <v>3149</v>
      </c>
      <c r="AI1080" s="138"/>
      <c r="AJ1080" s="138" t="s">
        <v>1188</v>
      </c>
      <c r="AK1080" s="138" t="s">
        <v>1185</v>
      </c>
      <c r="AL1080" s="93" t="s">
        <v>1178</v>
      </c>
    </row>
    <row r="1081" spans="1:38" ht="15" customHeight="1" x14ac:dyDescent="0.3">
      <c r="A1081" s="181" t="s">
        <v>22</v>
      </c>
      <c r="B1081" s="145" t="s">
        <v>105</v>
      </c>
      <c r="C1081" s="135">
        <v>19</v>
      </c>
      <c r="D1081" s="11" t="s">
        <v>5936</v>
      </c>
      <c r="E1081" s="168">
        <v>40658</v>
      </c>
      <c r="F1081" s="136">
        <v>2011</v>
      </c>
      <c r="G1081" s="178" t="s">
        <v>3159</v>
      </c>
      <c r="H1081" s="204" t="s">
        <v>3160</v>
      </c>
      <c r="I1081" s="30" t="s">
        <v>38</v>
      </c>
      <c r="J1081" s="32" t="s">
        <v>26</v>
      </c>
      <c r="K1081" s="197" t="s">
        <v>111</v>
      </c>
      <c r="L1081" s="138" t="s">
        <v>1319</v>
      </c>
      <c r="M1081" s="137" t="s">
        <v>804</v>
      </c>
      <c r="N1081" s="197"/>
      <c r="O1081" s="138" t="s">
        <v>3161</v>
      </c>
      <c r="P1081" s="138" t="s">
        <v>3162</v>
      </c>
      <c r="Q1081" s="15" t="s">
        <v>282</v>
      </c>
      <c r="R1081" s="132">
        <v>41116</v>
      </c>
      <c r="S1081" s="16" t="s">
        <v>35</v>
      </c>
      <c r="T1081" s="133">
        <v>41353</v>
      </c>
      <c r="U1081" s="623"/>
      <c r="V1081" s="624"/>
      <c r="W1081" s="256">
        <v>9</v>
      </c>
      <c r="X1081" s="7">
        <v>4.5</v>
      </c>
      <c r="Y1081" s="7">
        <f t="shared" si="40"/>
        <v>4.5</v>
      </c>
      <c r="Z1081" s="7">
        <f t="shared" si="41"/>
        <v>9</v>
      </c>
      <c r="AA1081" s="469"/>
      <c r="AB1081" s="564" t="s">
        <v>1073</v>
      </c>
      <c r="AC1081" s="693"/>
      <c r="AD1081" s="196">
        <v>0.5</v>
      </c>
      <c r="AE1081" s="196">
        <v>0.5</v>
      </c>
      <c r="AF1081" s="205">
        <f t="shared" si="42"/>
        <v>1</v>
      </c>
      <c r="AG1081" s="138">
        <v>7</v>
      </c>
      <c r="AH1081" s="138" t="s">
        <v>123</v>
      </c>
      <c r="AI1081" s="718" t="s">
        <v>3164</v>
      </c>
      <c r="AJ1081" s="138" t="s">
        <v>1188</v>
      </c>
      <c r="AK1081" s="181" t="s">
        <v>1185</v>
      </c>
      <c r="AL1081" s="138" t="s">
        <v>1178</v>
      </c>
    </row>
    <row r="1082" spans="1:38" ht="15" customHeight="1" x14ac:dyDescent="0.3">
      <c r="A1082" s="181" t="s">
        <v>22</v>
      </c>
      <c r="B1082" s="167" t="s">
        <v>105</v>
      </c>
      <c r="C1082" s="135">
        <v>10</v>
      </c>
      <c r="D1082" s="11" t="s">
        <v>5936</v>
      </c>
      <c r="E1082" s="168">
        <v>38729</v>
      </c>
      <c r="F1082" s="136">
        <v>2006</v>
      </c>
      <c r="G1082" s="178" t="s">
        <v>3165</v>
      </c>
      <c r="H1082" s="204" t="s">
        <v>3166</v>
      </c>
      <c r="I1082" s="136" t="s">
        <v>80</v>
      </c>
      <c r="J1082" s="32" t="s">
        <v>26</v>
      </c>
      <c r="K1082" s="138" t="s">
        <v>111</v>
      </c>
      <c r="L1082" s="765" t="s">
        <v>1319</v>
      </c>
      <c r="M1082" s="137" t="s">
        <v>804</v>
      </c>
      <c r="N1082" s="138"/>
      <c r="O1082" s="765" t="s">
        <v>3167</v>
      </c>
      <c r="P1082" s="765" t="s">
        <v>3168</v>
      </c>
      <c r="Q1082" s="15" t="s">
        <v>282</v>
      </c>
      <c r="R1082" s="132">
        <v>40840</v>
      </c>
      <c r="S1082" s="16" t="s">
        <v>44</v>
      </c>
      <c r="T1082" s="133">
        <v>41348</v>
      </c>
      <c r="U1082" s="623"/>
      <c r="V1082" s="624"/>
      <c r="W1082" s="256">
        <v>55</v>
      </c>
      <c r="X1082" s="7">
        <v>27.5</v>
      </c>
      <c r="Y1082" s="7" t="str">
        <f t="shared" si="40"/>
        <v/>
      </c>
      <c r="Z1082" s="7">
        <f t="shared" si="41"/>
        <v>27.5</v>
      </c>
      <c r="AA1082" s="469"/>
      <c r="AB1082" s="564" t="s">
        <v>1073</v>
      </c>
      <c r="AC1082" s="693"/>
      <c r="AD1082" s="196">
        <v>0.5</v>
      </c>
      <c r="AE1082" s="196"/>
      <c r="AF1082" s="205">
        <f t="shared" si="42"/>
        <v>0.5</v>
      </c>
      <c r="AG1082" s="138">
        <v>7</v>
      </c>
      <c r="AH1082" s="138" t="s">
        <v>3158</v>
      </c>
      <c r="AI1082" s="138"/>
      <c r="AJ1082" s="138" t="s">
        <v>1188</v>
      </c>
      <c r="AK1082" s="181" t="s">
        <v>1185</v>
      </c>
      <c r="AL1082" s="138" t="s">
        <v>1178</v>
      </c>
    </row>
    <row r="1083" spans="1:38" ht="15" customHeight="1" x14ac:dyDescent="0.3">
      <c r="A1083" s="181" t="s">
        <v>22</v>
      </c>
      <c r="B1083" s="153" t="s">
        <v>2807</v>
      </c>
      <c r="C1083" s="135">
        <v>1</v>
      </c>
      <c r="D1083" s="11" t="s">
        <v>225</v>
      </c>
      <c r="E1083" s="168"/>
      <c r="F1083" s="136">
        <v>2009</v>
      </c>
      <c r="G1083" s="178" t="s">
        <v>3169</v>
      </c>
      <c r="H1083" s="204" t="s">
        <v>3170</v>
      </c>
      <c r="I1083" s="33" t="s">
        <v>33</v>
      </c>
      <c r="J1083" s="32" t="s">
        <v>26</v>
      </c>
      <c r="K1083" s="138" t="s">
        <v>111</v>
      </c>
      <c r="L1083" s="197" t="s">
        <v>1319</v>
      </c>
      <c r="M1083" s="137" t="s">
        <v>804</v>
      </c>
      <c r="N1083" s="197"/>
      <c r="O1083" s="138" t="s">
        <v>3171</v>
      </c>
      <c r="P1083" s="138" t="s">
        <v>3172</v>
      </c>
      <c r="Q1083" s="15" t="s">
        <v>35</v>
      </c>
      <c r="R1083" s="179">
        <v>40830</v>
      </c>
      <c r="S1083" s="16" t="s">
        <v>35</v>
      </c>
      <c r="T1083" s="191">
        <v>41351</v>
      </c>
      <c r="U1083" s="707"/>
      <c r="V1083" s="623"/>
      <c r="W1083" s="755">
        <v>60</v>
      </c>
      <c r="X1083" s="7">
        <v>12</v>
      </c>
      <c r="Y1083" s="7">
        <f t="shared" si="40"/>
        <v>48</v>
      </c>
      <c r="Z1083" s="7">
        <f t="shared" si="41"/>
        <v>60</v>
      </c>
      <c r="AA1083" s="469"/>
      <c r="AB1083" s="500" t="s">
        <v>5953</v>
      </c>
      <c r="AC1083" s="501"/>
      <c r="AD1083" s="187">
        <v>0.2</v>
      </c>
      <c r="AE1083" s="195">
        <v>0.8</v>
      </c>
      <c r="AF1083" s="205">
        <f t="shared" si="42"/>
        <v>1</v>
      </c>
      <c r="AG1083" s="200">
        <v>6</v>
      </c>
      <c r="AH1083" s="200" t="s">
        <v>3163</v>
      </c>
      <c r="AI1083" s="200"/>
      <c r="AJ1083" s="200" t="s">
        <v>1188</v>
      </c>
      <c r="AK1083" s="200" t="s">
        <v>1185</v>
      </c>
      <c r="AL1083" s="200" t="s">
        <v>1178</v>
      </c>
    </row>
    <row r="1084" spans="1:38" ht="15" customHeight="1" x14ac:dyDescent="0.3">
      <c r="A1084" s="181" t="s">
        <v>22</v>
      </c>
      <c r="B1084" s="145" t="s">
        <v>227</v>
      </c>
      <c r="C1084" s="135">
        <v>11</v>
      </c>
      <c r="D1084" s="11" t="s">
        <v>225</v>
      </c>
      <c r="E1084" s="168">
        <v>40545</v>
      </c>
      <c r="F1084" s="136">
        <v>2011</v>
      </c>
      <c r="G1084" s="178" t="s">
        <v>3174</v>
      </c>
      <c r="H1084" s="204" t="s">
        <v>3175</v>
      </c>
      <c r="I1084" s="33" t="s">
        <v>33</v>
      </c>
      <c r="J1084" s="181" t="s">
        <v>81</v>
      </c>
      <c r="K1084" s="197" t="s">
        <v>71</v>
      </c>
      <c r="L1084" s="138" t="s">
        <v>1319</v>
      </c>
      <c r="M1084" s="137" t="s">
        <v>804</v>
      </c>
      <c r="N1084" s="197"/>
      <c r="O1084" s="138" t="s">
        <v>3176</v>
      </c>
      <c r="P1084" s="138" t="s">
        <v>3177</v>
      </c>
      <c r="Q1084" s="15" t="s">
        <v>282</v>
      </c>
      <c r="R1084" s="132">
        <v>41255</v>
      </c>
      <c r="S1084" s="16" t="s">
        <v>44</v>
      </c>
      <c r="T1084" s="133">
        <v>41305</v>
      </c>
      <c r="U1084" s="623"/>
      <c r="V1084" s="623"/>
      <c r="W1084" s="734">
        <v>15</v>
      </c>
      <c r="X1084" s="7">
        <v>7.5</v>
      </c>
      <c r="Y1084" s="7" t="str">
        <f t="shared" si="40"/>
        <v/>
      </c>
      <c r="Z1084" s="7">
        <f t="shared" si="41"/>
        <v>7.5</v>
      </c>
      <c r="AA1084" s="469"/>
      <c r="AB1084" s="504" t="s">
        <v>6115</v>
      </c>
      <c r="AC1084" s="138"/>
      <c r="AD1084" s="187">
        <v>0.5</v>
      </c>
      <c r="AE1084" s="187"/>
      <c r="AF1084" s="205">
        <f t="shared" si="42"/>
        <v>0.5</v>
      </c>
      <c r="AG1084" s="163">
        <v>8</v>
      </c>
      <c r="AH1084" s="138" t="s">
        <v>2109</v>
      </c>
      <c r="AI1084" s="138"/>
      <c r="AJ1084" s="138" t="s">
        <v>1188</v>
      </c>
      <c r="AK1084" s="138" t="s">
        <v>1185</v>
      </c>
      <c r="AL1084" s="93" t="s">
        <v>1178</v>
      </c>
    </row>
    <row r="1085" spans="1:38" ht="15" customHeight="1" x14ac:dyDescent="0.3">
      <c r="A1085" s="30" t="s">
        <v>22</v>
      </c>
      <c r="B1085" s="120" t="s">
        <v>148</v>
      </c>
      <c r="C1085" s="107">
        <v>7</v>
      </c>
      <c r="D1085" s="11" t="s">
        <v>143</v>
      </c>
      <c r="E1085" s="114">
        <v>40109</v>
      </c>
      <c r="F1085" s="12">
        <v>2009</v>
      </c>
      <c r="G1085" s="142" t="s">
        <v>3178</v>
      </c>
      <c r="H1085" s="162" t="s">
        <v>3179</v>
      </c>
      <c r="I1085" s="33" t="s">
        <v>33</v>
      </c>
      <c r="J1085" s="32" t="s">
        <v>26</v>
      </c>
      <c r="K1085" s="197" t="s">
        <v>103</v>
      </c>
      <c r="L1085" s="197" t="s">
        <v>1319</v>
      </c>
      <c r="M1085" s="137" t="s">
        <v>804</v>
      </c>
      <c r="N1085" s="197"/>
      <c r="O1085" s="197" t="s">
        <v>3180</v>
      </c>
      <c r="P1085" s="197" t="s">
        <v>3181</v>
      </c>
      <c r="Q1085" s="15" t="s">
        <v>282</v>
      </c>
      <c r="R1085" s="164">
        <v>40417</v>
      </c>
      <c r="S1085" s="16" t="s">
        <v>44</v>
      </c>
      <c r="T1085" s="165">
        <v>40627</v>
      </c>
      <c r="U1085" s="624"/>
      <c r="V1085" s="624"/>
      <c r="W1085" s="735">
        <v>30</v>
      </c>
      <c r="X1085" s="7">
        <v>6</v>
      </c>
      <c r="Y1085" s="7">
        <f t="shared" si="40"/>
        <v>9</v>
      </c>
      <c r="Z1085" s="7">
        <f t="shared" si="41"/>
        <v>15</v>
      </c>
      <c r="AA1085" s="469"/>
      <c r="AB1085" s="564" t="s">
        <v>2910</v>
      </c>
      <c r="AC1085" s="693"/>
      <c r="AD1085" s="187">
        <v>0.2</v>
      </c>
      <c r="AE1085" s="187">
        <v>0.3</v>
      </c>
      <c r="AF1085" s="205">
        <f t="shared" si="42"/>
        <v>0.5</v>
      </c>
      <c r="AG1085" s="138"/>
      <c r="AH1085" s="197" t="s">
        <v>3173</v>
      </c>
      <c r="AI1085" s="718" t="s">
        <v>3182</v>
      </c>
      <c r="AJ1085" s="138" t="s">
        <v>1188</v>
      </c>
      <c r="AK1085" s="138" t="s">
        <v>1185</v>
      </c>
      <c r="AL1085" s="93" t="s">
        <v>1178</v>
      </c>
    </row>
    <row r="1086" spans="1:38" ht="15" customHeight="1" x14ac:dyDescent="0.3">
      <c r="A1086" s="30" t="s">
        <v>22</v>
      </c>
      <c r="B1086" s="140" t="s">
        <v>189</v>
      </c>
      <c r="C1086" s="107">
        <v>3</v>
      </c>
      <c r="D1086" s="12" t="s">
        <v>190</v>
      </c>
      <c r="E1086" s="114">
        <v>39083</v>
      </c>
      <c r="F1086" s="12">
        <v>2007</v>
      </c>
      <c r="G1086" s="142" t="s">
        <v>3183</v>
      </c>
      <c r="H1086" s="162" t="s">
        <v>3184</v>
      </c>
      <c r="I1086" s="33" t="s">
        <v>33</v>
      </c>
      <c r="J1086" s="32" t="s">
        <v>26</v>
      </c>
      <c r="K1086" s="138" t="s">
        <v>103</v>
      </c>
      <c r="L1086" s="138" t="s">
        <v>2069</v>
      </c>
      <c r="M1086" s="137" t="s">
        <v>804</v>
      </c>
      <c r="N1086" s="137"/>
      <c r="O1086" s="138" t="s">
        <v>3185</v>
      </c>
      <c r="P1086" s="647" t="s">
        <v>3186</v>
      </c>
      <c r="Q1086" s="15" t="s">
        <v>282</v>
      </c>
      <c r="R1086" s="132">
        <v>39511</v>
      </c>
      <c r="S1086" s="16" t="s">
        <v>44</v>
      </c>
      <c r="T1086" s="133">
        <v>39898</v>
      </c>
      <c r="U1086" s="623" t="s">
        <v>1336</v>
      </c>
      <c r="V1086" s="721">
        <v>41444</v>
      </c>
      <c r="W1086" s="734">
        <v>50</v>
      </c>
      <c r="X1086" s="7">
        <v>25</v>
      </c>
      <c r="Y1086" s="7" t="str">
        <f t="shared" si="40"/>
        <v/>
      </c>
      <c r="Z1086" s="7">
        <f t="shared" si="41"/>
        <v>25</v>
      </c>
      <c r="AA1086" s="469"/>
      <c r="AB1086" s="564" t="s">
        <v>1073</v>
      </c>
      <c r="AC1086" s="693"/>
      <c r="AD1086" s="187">
        <v>0.5</v>
      </c>
      <c r="AE1086" s="187"/>
      <c r="AF1086" s="205">
        <f t="shared" si="42"/>
        <v>0.5</v>
      </c>
      <c r="AG1086" s="138">
        <v>7.5</v>
      </c>
      <c r="AH1086" s="138"/>
      <c r="AI1086" s="138"/>
      <c r="AJ1086" s="138" t="s">
        <v>1188</v>
      </c>
      <c r="AK1086" s="30" t="s">
        <v>99</v>
      </c>
      <c r="AL1086" s="93" t="s">
        <v>1178</v>
      </c>
    </row>
    <row r="1087" spans="1:38" ht="15" customHeight="1" x14ac:dyDescent="0.3">
      <c r="A1087" s="30" t="s">
        <v>22</v>
      </c>
      <c r="B1087" s="120" t="s">
        <v>105</v>
      </c>
      <c r="C1087" s="107">
        <v>11</v>
      </c>
      <c r="D1087" s="11" t="s">
        <v>5936</v>
      </c>
      <c r="E1087" s="108">
        <v>37834</v>
      </c>
      <c r="F1087" s="33">
        <v>2003</v>
      </c>
      <c r="G1087" s="142" t="s">
        <v>3187</v>
      </c>
      <c r="H1087" s="162" t="s">
        <v>3188</v>
      </c>
      <c r="I1087" s="33" t="s">
        <v>33</v>
      </c>
      <c r="J1087" s="32" t="s">
        <v>26</v>
      </c>
      <c r="K1087" s="138" t="s">
        <v>103</v>
      </c>
      <c r="L1087" s="137" t="s">
        <v>40</v>
      </c>
      <c r="M1087" s="137" t="s">
        <v>804</v>
      </c>
      <c r="N1087" s="137"/>
      <c r="O1087" s="138" t="s">
        <v>3189</v>
      </c>
      <c r="P1087" s="718" t="s">
        <v>3190</v>
      </c>
      <c r="Q1087" s="15" t="s">
        <v>35</v>
      </c>
      <c r="R1087" s="132">
        <v>39864</v>
      </c>
      <c r="S1087" s="16" t="s">
        <v>35</v>
      </c>
      <c r="T1087" s="133">
        <v>39933</v>
      </c>
      <c r="U1087" s="623" t="s">
        <v>1336</v>
      </c>
      <c r="V1087" s="180">
        <v>41457</v>
      </c>
      <c r="W1087" s="735">
        <v>74</v>
      </c>
      <c r="X1087" s="7">
        <v>74</v>
      </c>
      <c r="Y1087" s="7" t="str">
        <f t="shared" si="40"/>
        <v/>
      </c>
      <c r="Z1087" s="7">
        <f t="shared" si="41"/>
        <v>74</v>
      </c>
      <c r="AA1087" s="469"/>
      <c r="AB1087" s="513" t="s">
        <v>1231</v>
      </c>
      <c r="AC1087" s="147"/>
      <c r="AD1087" s="187">
        <v>1</v>
      </c>
      <c r="AE1087" s="187"/>
      <c r="AF1087" s="205">
        <f t="shared" si="42"/>
        <v>1</v>
      </c>
      <c r="AG1087" s="163">
        <v>6.5</v>
      </c>
      <c r="AH1087" s="93"/>
      <c r="AI1087" s="718" t="s">
        <v>3192</v>
      </c>
      <c r="AJ1087" s="181" t="s">
        <v>1188</v>
      </c>
      <c r="AK1087" s="30" t="s">
        <v>99</v>
      </c>
      <c r="AL1087" s="93" t="s">
        <v>1175</v>
      </c>
    </row>
    <row r="1088" spans="1:38" ht="15" customHeight="1" x14ac:dyDescent="0.3">
      <c r="A1088" s="30" t="s">
        <v>22</v>
      </c>
      <c r="B1088" s="106" t="s">
        <v>144</v>
      </c>
      <c r="C1088" s="107">
        <v>8</v>
      </c>
      <c r="D1088" s="11" t="s">
        <v>143</v>
      </c>
      <c r="E1088" s="114">
        <v>39181</v>
      </c>
      <c r="F1088" s="12">
        <v>2007</v>
      </c>
      <c r="G1088" s="142" t="s">
        <v>3193</v>
      </c>
      <c r="H1088" s="162" t="s">
        <v>3194</v>
      </c>
      <c r="I1088" s="33" t="s">
        <v>33</v>
      </c>
      <c r="J1088" s="30" t="s">
        <v>81</v>
      </c>
      <c r="K1088" s="197" t="s">
        <v>71</v>
      </c>
      <c r="L1088" s="137" t="s">
        <v>3195</v>
      </c>
      <c r="M1088" s="137" t="s">
        <v>804</v>
      </c>
      <c r="N1088" s="137"/>
      <c r="O1088" s="93" t="s">
        <v>3196</v>
      </c>
      <c r="P1088" s="138" t="s">
        <v>3197</v>
      </c>
      <c r="Q1088" s="15" t="s">
        <v>282</v>
      </c>
      <c r="R1088" s="132">
        <v>40368</v>
      </c>
      <c r="S1088" s="16" t="s">
        <v>44</v>
      </c>
      <c r="T1088" s="133">
        <v>41453</v>
      </c>
      <c r="U1088" s="623"/>
      <c r="V1088" s="624"/>
      <c r="W1088" s="735">
        <v>20</v>
      </c>
      <c r="X1088" s="7">
        <v>10</v>
      </c>
      <c r="Y1088" s="7" t="str">
        <f t="shared" si="40"/>
        <v/>
      </c>
      <c r="Z1088" s="7">
        <f t="shared" si="41"/>
        <v>10</v>
      </c>
      <c r="AA1088" s="469"/>
      <c r="AB1088" s="513" t="s">
        <v>147</v>
      </c>
      <c r="AC1088" s="147"/>
      <c r="AD1088" s="187">
        <v>0.5</v>
      </c>
      <c r="AE1088" s="187"/>
      <c r="AF1088" s="205">
        <f t="shared" si="42"/>
        <v>0.5</v>
      </c>
      <c r="AG1088" s="163">
        <v>9</v>
      </c>
      <c r="AH1088" s="93" t="s">
        <v>6049</v>
      </c>
      <c r="AI1088" s="93"/>
      <c r="AJ1088" s="93" t="s">
        <v>1188</v>
      </c>
      <c r="AK1088" s="30" t="s">
        <v>1185</v>
      </c>
      <c r="AL1088" s="93" t="s">
        <v>1178</v>
      </c>
    </row>
    <row r="1089" spans="1:38" ht="15" customHeight="1" x14ac:dyDescent="0.3">
      <c r="A1089" s="181" t="s">
        <v>22</v>
      </c>
      <c r="B1089" s="145" t="s">
        <v>227</v>
      </c>
      <c r="C1089" s="135">
        <v>3</v>
      </c>
      <c r="D1089" s="11" t="s">
        <v>225</v>
      </c>
      <c r="E1089" s="168">
        <v>40995</v>
      </c>
      <c r="F1089" s="136">
        <v>2012</v>
      </c>
      <c r="G1089" s="178" t="s">
        <v>3198</v>
      </c>
      <c r="H1089" s="204" t="s">
        <v>3199</v>
      </c>
      <c r="I1089" s="33" t="s">
        <v>33</v>
      </c>
      <c r="J1089" s="32" t="s">
        <v>26</v>
      </c>
      <c r="K1089" s="197" t="s">
        <v>1173</v>
      </c>
      <c r="L1089" s="771" t="s">
        <v>40</v>
      </c>
      <c r="M1089" s="137" t="s">
        <v>804</v>
      </c>
      <c r="N1089" s="197"/>
      <c r="O1089" s="138" t="s">
        <v>3200</v>
      </c>
      <c r="P1089" s="138" t="s">
        <v>3201</v>
      </c>
      <c r="Q1089" s="15" t="s">
        <v>35</v>
      </c>
      <c r="R1089" s="132">
        <v>41145</v>
      </c>
      <c r="S1089" s="16" t="s">
        <v>35</v>
      </c>
      <c r="T1089" s="133">
        <v>41325</v>
      </c>
      <c r="U1089" s="623"/>
      <c r="V1089" s="623"/>
      <c r="W1089" s="734">
        <v>80</v>
      </c>
      <c r="X1089" s="7">
        <v>60</v>
      </c>
      <c r="Y1089" s="7" t="str">
        <f t="shared" si="40"/>
        <v/>
      </c>
      <c r="Z1089" s="7">
        <f t="shared" si="41"/>
        <v>60</v>
      </c>
      <c r="AA1089" s="469"/>
      <c r="AB1089" s="500" t="s">
        <v>5953</v>
      </c>
      <c r="AC1089" s="501"/>
      <c r="AD1089" s="187">
        <v>0.75</v>
      </c>
      <c r="AE1089" s="187"/>
      <c r="AF1089" s="205">
        <f t="shared" si="42"/>
        <v>0.75</v>
      </c>
      <c r="AG1089" s="163">
        <v>7</v>
      </c>
      <c r="AH1089" s="138" t="s">
        <v>3191</v>
      </c>
      <c r="AI1089" s="718" t="s">
        <v>3202</v>
      </c>
      <c r="AJ1089" s="138" t="s">
        <v>1188</v>
      </c>
      <c r="AK1089" s="138" t="s">
        <v>1185</v>
      </c>
      <c r="AL1089" s="93" t="s">
        <v>1178</v>
      </c>
    </row>
    <row r="1090" spans="1:38" ht="15" customHeight="1" x14ac:dyDescent="0.3">
      <c r="A1090" s="30" t="s">
        <v>22</v>
      </c>
      <c r="B1090" s="153" t="s">
        <v>23</v>
      </c>
      <c r="C1090" s="109">
        <v>6</v>
      </c>
      <c r="D1090" s="11" t="s">
        <v>24</v>
      </c>
      <c r="E1090" s="114">
        <v>39660</v>
      </c>
      <c r="F1090" s="33">
        <v>2008</v>
      </c>
      <c r="G1090" s="142" t="s">
        <v>3203</v>
      </c>
      <c r="H1090" s="162" t="s">
        <v>3204</v>
      </c>
      <c r="I1090" s="12" t="s">
        <v>25</v>
      </c>
      <c r="J1090" s="32" t="s">
        <v>26</v>
      </c>
      <c r="K1090" s="197" t="s">
        <v>3205</v>
      </c>
      <c r="L1090" s="137" t="s">
        <v>1319</v>
      </c>
      <c r="M1090" s="137" t="s">
        <v>804</v>
      </c>
      <c r="N1090" s="238"/>
      <c r="O1090" s="146" t="s">
        <v>3206</v>
      </c>
      <c r="P1090" s="138" t="s">
        <v>6050</v>
      </c>
      <c r="Q1090" s="15" t="s">
        <v>35</v>
      </c>
      <c r="R1090" s="132">
        <v>41106</v>
      </c>
      <c r="S1090" s="16" t="s">
        <v>44</v>
      </c>
      <c r="T1090" s="165">
        <v>41348</v>
      </c>
      <c r="U1090" s="624"/>
      <c r="V1090" s="624"/>
      <c r="W1090" s="735">
        <v>250</v>
      </c>
      <c r="X1090" s="7">
        <v>187.5</v>
      </c>
      <c r="Y1090" s="7" t="str">
        <f t="shared" si="40"/>
        <v/>
      </c>
      <c r="Z1090" s="7">
        <f t="shared" si="41"/>
        <v>187.5</v>
      </c>
      <c r="AA1090" s="469"/>
      <c r="AB1090" s="479" t="s">
        <v>49</v>
      </c>
      <c r="AC1090" s="480"/>
      <c r="AD1090" s="187">
        <v>0.75</v>
      </c>
      <c r="AE1090" s="187"/>
      <c r="AF1090" s="205">
        <f t="shared" si="42"/>
        <v>0.75</v>
      </c>
      <c r="AG1090" s="163">
        <v>6</v>
      </c>
      <c r="AH1090" s="93" t="s">
        <v>2462</v>
      </c>
      <c r="AI1090" s="719" t="s">
        <v>3207</v>
      </c>
      <c r="AJ1090" s="93" t="s">
        <v>1188</v>
      </c>
      <c r="AK1090" s="30" t="s">
        <v>1185</v>
      </c>
      <c r="AL1090" s="93" t="s">
        <v>1178</v>
      </c>
    </row>
    <row r="1091" spans="1:38" ht="15" customHeight="1" x14ac:dyDescent="0.3">
      <c r="A1091" s="30" t="s">
        <v>22</v>
      </c>
      <c r="B1091" s="140" t="s">
        <v>105</v>
      </c>
      <c r="C1091" s="107">
        <v>2</v>
      </c>
      <c r="D1091" s="11" t="s">
        <v>5936</v>
      </c>
      <c r="E1091" s="114">
        <v>39083</v>
      </c>
      <c r="F1091" s="12">
        <v>2007</v>
      </c>
      <c r="G1091" s="142" t="s">
        <v>3208</v>
      </c>
      <c r="H1091" s="162" t="s">
        <v>3209</v>
      </c>
      <c r="I1091" s="30" t="s">
        <v>38</v>
      </c>
      <c r="J1091" s="32" t="s">
        <v>26</v>
      </c>
      <c r="K1091" s="138" t="s">
        <v>1194</v>
      </c>
      <c r="L1091" s="138" t="s">
        <v>2069</v>
      </c>
      <c r="M1091" s="137" t="s">
        <v>804</v>
      </c>
      <c r="N1091" s="137"/>
      <c r="O1091" s="138" t="s">
        <v>3210</v>
      </c>
      <c r="P1091" s="718" t="s">
        <v>3211</v>
      </c>
      <c r="Q1091" s="15" t="s">
        <v>282</v>
      </c>
      <c r="R1091" s="132">
        <v>40116</v>
      </c>
      <c r="S1091" s="16" t="s">
        <v>44</v>
      </c>
      <c r="T1091" s="133">
        <v>41305</v>
      </c>
      <c r="U1091" s="623" t="s">
        <v>1422</v>
      </c>
      <c r="V1091" s="721">
        <v>41466</v>
      </c>
      <c r="W1091" s="734">
        <v>90</v>
      </c>
      <c r="X1091" s="7">
        <v>45</v>
      </c>
      <c r="Y1091" s="7" t="str">
        <f t="shared" si="40"/>
        <v/>
      </c>
      <c r="Z1091" s="7">
        <f t="shared" si="41"/>
        <v>45</v>
      </c>
      <c r="AA1091" s="469"/>
      <c r="AB1091" s="564" t="s">
        <v>1073</v>
      </c>
      <c r="AC1091" s="693"/>
      <c r="AD1091" s="187">
        <v>0.5</v>
      </c>
      <c r="AE1091" s="187"/>
      <c r="AF1091" s="205">
        <f t="shared" si="42"/>
        <v>0.5</v>
      </c>
      <c r="AG1091" s="138">
        <v>7.5</v>
      </c>
      <c r="AH1091" s="138"/>
      <c r="AI1091" s="138" t="s">
        <v>3212</v>
      </c>
      <c r="AJ1091" s="138" t="s">
        <v>1188</v>
      </c>
      <c r="AK1091" s="30" t="s">
        <v>99</v>
      </c>
      <c r="AL1091" s="93" t="s">
        <v>1178</v>
      </c>
    </row>
    <row r="1092" spans="1:38" ht="15" customHeight="1" x14ac:dyDescent="0.3">
      <c r="A1092" s="181" t="s">
        <v>140</v>
      </c>
      <c r="B1092" s="145" t="s">
        <v>189</v>
      </c>
      <c r="C1092" s="135">
        <v>6</v>
      </c>
      <c r="D1092" s="136" t="s">
        <v>190</v>
      </c>
      <c r="E1092" s="168">
        <v>41393</v>
      </c>
      <c r="F1092" s="136">
        <v>2013</v>
      </c>
      <c r="G1092" s="178" t="s">
        <v>3213</v>
      </c>
      <c r="H1092" s="204" t="s">
        <v>3214</v>
      </c>
      <c r="I1092" s="33" t="s">
        <v>33</v>
      </c>
      <c r="J1092" s="181" t="s">
        <v>81</v>
      </c>
      <c r="K1092" s="197" t="s">
        <v>141</v>
      </c>
      <c r="L1092" s="746" t="s">
        <v>40</v>
      </c>
      <c r="M1092" s="137" t="s">
        <v>804</v>
      </c>
      <c r="N1092" s="197"/>
      <c r="O1092" s="138" t="s">
        <v>3215</v>
      </c>
      <c r="P1092" s="138" t="s">
        <v>3216</v>
      </c>
      <c r="Q1092" s="15" t="s">
        <v>282</v>
      </c>
      <c r="R1092" s="132">
        <v>41465</v>
      </c>
      <c r="S1092" s="16" t="s">
        <v>44</v>
      </c>
      <c r="T1092" s="133">
        <v>41478</v>
      </c>
      <c r="U1092" s="623"/>
      <c r="V1092" s="624"/>
      <c r="W1092" s="735">
        <v>5</v>
      </c>
      <c r="X1092" s="7"/>
      <c r="Y1092" s="7">
        <f t="shared" si="40"/>
        <v>0.5</v>
      </c>
      <c r="Z1092" s="7">
        <f t="shared" si="41"/>
        <v>0.5</v>
      </c>
      <c r="AA1092" s="469"/>
      <c r="AB1092" s="768" t="s">
        <v>6038</v>
      </c>
      <c r="AC1092" s="565"/>
      <c r="AD1092" s="187"/>
      <c r="AE1092" s="195">
        <v>0.1</v>
      </c>
      <c r="AF1092" s="205">
        <f t="shared" si="42"/>
        <v>0.1</v>
      </c>
      <c r="AG1092" s="200">
        <v>8</v>
      </c>
      <c r="AH1092" s="138"/>
      <c r="AI1092" s="200"/>
      <c r="AJ1092" s="200" t="s">
        <v>1188</v>
      </c>
      <c r="AK1092" s="200" t="s">
        <v>1185</v>
      </c>
      <c r="AL1092" s="200" t="s">
        <v>1178</v>
      </c>
    </row>
    <row r="1093" spans="1:38" ht="15" customHeight="1" x14ac:dyDescent="0.3">
      <c r="A1093" s="30" t="s">
        <v>22</v>
      </c>
      <c r="B1093" s="120" t="s">
        <v>148</v>
      </c>
      <c r="C1093" s="107">
        <v>2</v>
      </c>
      <c r="D1093" s="11" t="s">
        <v>143</v>
      </c>
      <c r="E1093" s="114">
        <v>40015</v>
      </c>
      <c r="F1093" s="12">
        <v>2009</v>
      </c>
      <c r="G1093" s="142" t="s">
        <v>3218</v>
      </c>
      <c r="H1093" s="162" t="s">
        <v>3219</v>
      </c>
      <c r="I1093" s="12" t="s">
        <v>25</v>
      </c>
      <c r="J1093" s="32" t="s">
        <v>191</v>
      </c>
      <c r="K1093" s="197" t="s">
        <v>3220</v>
      </c>
      <c r="L1093" s="197" t="s">
        <v>1319</v>
      </c>
      <c r="M1093" s="137" t="s">
        <v>804</v>
      </c>
      <c r="N1093" s="197"/>
      <c r="O1093" s="197" t="s">
        <v>3221</v>
      </c>
      <c r="P1093" s="197" t="s">
        <v>3222</v>
      </c>
      <c r="Q1093" s="15" t="s">
        <v>35</v>
      </c>
      <c r="R1093" s="164">
        <v>40095</v>
      </c>
      <c r="S1093" s="16" t="s">
        <v>35</v>
      </c>
      <c r="T1093" s="165">
        <v>41438</v>
      </c>
      <c r="U1093" s="624"/>
      <c r="V1093" s="624"/>
      <c r="W1093" s="735">
        <v>150</v>
      </c>
      <c r="X1093" s="7">
        <v>112.5</v>
      </c>
      <c r="Y1093" s="7" t="str">
        <f t="shared" si="40"/>
        <v/>
      </c>
      <c r="Z1093" s="7">
        <f t="shared" si="41"/>
        <v>112.5</v>
      </c>
      <c r="AA1093" s="469"/>
      <c r="AB1093" s="564" t="s">
        <v>2910</v>
      </c>
      <c r="AC1093" s="693"/>
      <c r="AD1093" s="187">
        <v>0.75</v>
      </c>
      <c r="AE1093" s="187"/>
      <c r="AF1093" s="205">
        <f t="shared" si="42"/>
        <v>0.75</v>
      </c>
      <c r="AG1093" s="138"/>
      <c r="AH1093" s="138"/>
      <c r="AI1093" s="718" t="s">
        <v>3223</v>
      </c>
      <c r="AJ1093" s="138" t="s">
        <v>1188</v>
      </c>
      <c r="AK1093" s="138" t="s">
        <v>1185</v>
      </c>
      <c r="AL1093" s="93" t="s">
        <v>1178</v>
      </c>
    </row>
    <row r="1094" spans="1:38" ht="15" customHeight="1" x14ac:dyDescent="0.3">
      <c r="A1094" s="30" t="s">
        <v>22</v>
      </c>
      <c r="B1094" s="120" t="s">
        <v>148</v>
      </c>
      <c r="C1094" s="107">
        <v>7</v>
      </c>
      <c r="D1094" s="11" t="s">
        <v>143</v>
      </c>
      <c r="E1094" s="114">
        <v>39495</v>
      </c>
      <c r="F1094" s="12">
        <v>2008</v>
      </c>
      <c r="G1094" s="142" t="s">
        <v>3224</v>
      </c>
      <c r="H1094" s="162" t="s">
        <v>3225</v>
      </c>
      <c r="I1094" s="33" t="s">
        <v>33</v>
      </c>
      <c r="J1094" s="32" t="s">
        <v>26</v>
      </c>
      <c r="K1094" s="197" t="s">
        <v>103</v>
      </c>
      <c r="L1094" s="197" t="s">
        <v>1319</v>
      </c>
      <c r="M1094" s="137" t="s">
        <v>804</v>
      </c>
      <c r="N1094" s="197"/>
      <c r="O1094" s="197" t="s">
        <v>3226</v>
      </c>
      <c r="P1094" s="197" t="s">
        <v>3227</v>
      </c>
      <c r="Q1094" s="15" t="s">
        <v>282</v>
      </c>
      <c r="R1094" s="164">
        <v>40767</v>
      </c>
      <c r="S1094" s="16" t="s">
        <v>35</v>
      </c>
      <c r="T1094" s="165">
        <v>41313</v>
      </c>
      <c r="U1094" s="624"/>
      <c r="V1094" s="624"/>
      <c r="W1094" s="735">
        <v>80</v>
      </c>
      <c r="X1094" s="7">
        <v>16</v>
      </c>
      <c r="Y1094" s="7">
        <f t="shared" si="40"/>
        <v>44</v>
      </c>
      <c r="Z1094" s="7">
        <f t="shared" si="41"/>
        <v>60</v>
      </c>
      <c r="AA1094" s="469"/>
      <c r="AB1094" s="564" t="s">
        <v>2910</v>
      </c>
      <c r="AC1094" s="693"/>
      <c r="AD1094" s="187">
        <v>0.2</v>
      </c>
      <c r="AE1094" s="187">
        <v>0.55000000000000004</v>
      </c>
      <c r="AF1094" s="205">
        <f t="shared" si="42"/>
        <v>0.75</v>
      </c>
      <c r="AG1094" s="138"/>
      <c r="AH1094" s="138" t="s">
        <v>3217</v>
      </c>
      <c r="AI1094" s="138" t="s">
        <v>3228</v>
      </c>
      <c r="AJ1094" s="138" t="s">
        <v>1188</v>
      </c>
      <c r="AK1094" s="138" t="s">
        <v>1185</v>
      </c>
      <c r="AL1094" s="93" t="s">
        <v>1178</v>
      </c>
    </row>
    <row r="1095" spans="1:38" ht="15" customHeight="1" x14ac:dyDescent="0.3">
      <c r="A1095" s="181" t="s">
        <v>22</v>
      </c>
      <c r="B1095" s="145" t="s">
        <v>780</v>
      </c>
      <c r="C1095" s="135">
        <v>3</v>
      </c>
      <c r="D1095" s="136" t="s">
        <v>190</v>
      </c>
      <c r="E1095" s="168">
        <v>40302</v>
      </c>
      <c r="F1095" s="136">
        <v>2010</v>
      </c>
      <c r="G1095" s="178" t="s">
        <v>3229</v>
      </c>
      <c r="H1095" s="204"/>
      <c r="I1095" s="33" t="s">
        <v>33</v>
      </c>
      <c r="J1095" s="32" t="s">
        <v>26</v>
      </c>
      <c r="K1095" s="197" t="s">
        <v>111</v>
      </c>
      <c r="L1095" s="197" t="s">
        <v>40</v>
      </c>
      <c r="M1095" s="137" t="s">
        <v>804</v>
      </c>
      <c r="N1095" s="197"/>
      <c r="O1095" s="138" t="s">
        <v>3230</v>
      </c>
      <c r="P1095" s="138" t="s">
        <v>3231</v>
      </c>
      <c r="Q1095" s="15" t="s">
        <v>35</v>
      </c>
      <c r="R1095" s="132">
        <v>40786</v>
      </c>
      <c r="S1095" s="16" t="s">
        <v>44</v>
      </c>
      <c r="T1095" s="133">
        <v>41180</v>
      </c>
      <c r="U1095" s="623"/>
      <c r="V1095" s="624"/>
      <c r="W1095" s="256">
        <v>16.2</v>
      </c>
      <c r="X1095" s="7">
        <v>12.15</v>
      </c>
      <c r="Y1095" s="7" t="str">
        <f t="shared" si="40"/>
        <v/>
      </c>
      <c r="Z1095" s="189">
        <f t="shared" si="41"/>
        <v>12.15</v>
      </c>
      <c r="AA1095" s="469"/>
      <c r="AB1095" s="564" t="s">
        <v>1073</v>
      </c>
      <c r="AC1095" s="693"/>
      <c r="AD1095" s="187">
        <v>0.75</v>
      </c>
      <c r="AE1095" s="196"/>
      <c r="AF1095" s="210">
        <f t="shared" si="42"/>
        <v>0.75</v>
      </c>
      <c r="AG1095" s="138">
        <v>7</v>
      </c>
      <c r="AH1095" s="138"/>
      <c r="AI1095" s="138"/>
      <c r="AJ1095" s="138" t="s">
        <v>1188</v>
      </c>
      <c r="AK1095" s="138" t="s">
        <v>1185</v>
      </c>
      <c r="AL1095" s="138" t="s">
        <v>1178</v>
      </c>
    </row>
    <row r="1096" spans="1:38" ht="15" customHeight="1" x14ac:dyDescent="0.3">
      <c r="A1096" s="181" t="s">
        <v>22</v>
      </c>
      <c r="B1096" s="145" t="s">
        <v>228</v>
      </c>
      <c r="C1096" s="135">
        <v>2</v>
      </c>
      <c r="D1096" s="11" t="s">
        <v>225</v>
      </c>
      <c r="E1096" s="168">
        <v>40592</v>
      </c>
      <c r="F1096" s="136">
        <v>2011</v>
      </c>
      <c r="G1096" s="178" t="s">
        <v>3233</v>
      </c>
      <c r="H1096" s="204" t="s">
        <v>3234</v>
      </c>
      <c r="I1096" s="33" t="s">
        <v>33</v>
      </c>
      <c r="J1096" s="32" t="s">
        <v>26</v>
      </c>
      <c r="K1096" s="197" t="s">
        <v>103</v>
      </c>
      <c r="L1096" s="138" t="s">
        <v>1319</v>
      </c>
      <c r="M1096" s="137" t="s">
        <v>804</v>
      </c>
      <c r="N1096" s="197"/>
      <c r="O1096" s="138" t="s">
        <v>3235</v>
      </c>
      <c r="P1096" s="718" t="s">
        <v>3236</v>
      </c>
      <c r="Q1096" s="15" t="s">
        <v>35</v>
      </c>
      <c r="R1096" s="132">
        <v>41107</v>
      </c>
      <c r="S1096" s="16" t="s">
        <v>35</v>
      </c>
      <c r="T1096" s="133">
        <v>41320</v>
      </c>
      <c r="U1096" s="623"/>
      <c r="V1096" s="623"/>
      <c r="W1096" s="734">
        <v>30</v>
      </c>
      <c r="X1096" s="7">
        <v>22.5</v>
      </c>
      <c r="Y1096" s="7">
        <f t="shared" si="40"/>
        <v>7.5</v>
      </c>
      <c r="Z1096" s="7">
        <f t="shared" si="41"/>
        <v>30</v>
      </c>
      <c r="AA1096" s="469"/>
      <c r="AB1096" s="504" t="s">
        <v>6126</v>
      </c>
      <c r="AC1096" s="138"/>
      <c r="AD1096" s="187">
        <v>0.75</v>
      </c>
      <c r="AE1096" s="187">
        <v>0.25</v>
      </c>
      <c r="AF1096" s="205">
        <f t="shared" si="42"/>
        <v>1</v>
      </c>
      <c r="AG1096" s="138">
        <v>7</v>
      </c>
      <c r="AH1096" s="138"/>
      <c r="AI1096" s="718" t="s">
        <v>3237</v>
      </c>
      <c r="AJ1096" s="138" t="s">
        <v>1188</v>
      </c>
      <c r="AK1096" s="30" t="s">
        <v>99</v>
      </c>
      <c r="AL1096" s="93" t="s">
        <v>1178</v>
      </c>
    </row>
    <row r="1097" spans="1:38" ht="15" customHeight="1" x14ac:dyDescent="0.3">
      <c r="A1097" s="181" t="s">
        <v>22</v>
      </c>
      <c r="B1097" s="145" t="s">
        <v>105</v>
      </c>
      <c r="C1097" s="135">
        <v>2</v>
      </c>
      <c r="D1097" s="11" t="s">
        <v>5936</v>
      </c>
      <c r="E1097" s="168">
        <v>41065</v>
      </c>
      <c r="F1097" s="136">
        <v>2012</v>
      </c>
      <c r="G1097" s="178" t="s">
        <v>3238</v>
      </c>
      <c r="H1097" s="204" t="s">
        <v>3239</v>
      </c>
      <c r="I1097" s="33" t="s">
        <v>33</v>
      </c>
      <c r="J1097" s="32" t="s">
        <v>26</v>
      </c>
      <c r="K1097" s="197" t="s">
        <v>111</v>
      </c>
      <c r="L1097" s="746" t="s">
        <v>40</v>
      </c>
      <c r="M1097" s="137" t="s">
        <v>804</v>
      </c>
      <c r="N1097" s="197"/>
      <c r="O1097" s="138" t="s">
        <v>3240</v>
      </c>
      <c r="P1097" s="138" t="s">
        <v>3241</v>
      </c>
      <c r="Q1097" s="15" t="s">
        <v>282</v>
      </c>
      <c r="R1097" s="132">
        <v>41387</v>
      </c>
      <c r="S1097" s="16" t="s">
        <v>44</v>
      </c>
      <c r="T1097" s="133">
        <v>41415</v>
      </c>
      <c r="U1097" s="623"/>
      <c r="V1097" s="624"/>
      <c r="W1097" s="256">
        <v>153.69999999999999</v>
      </c>
      <c r="X1097" s="7">
        <v>15.37</v>
      </c>
      <c r="Y1097" s="7">
        <f t="shared" si="40"/>
        <v>61.48</v>
      </c>
      <c r="Z1097" s="7">
        <f t="shared" si="41"/>
        <v>76.849999999999994</v>
      </c>
      <c r="AA1097" s="469"/>
      <c r="AB1097" s="513" t="s">
        <v>3232</v>
      </c>
      <c r="AC1097" s="147"/>
      <c r="AD1097" s="196">
        <v>0.1</v>
      </c>
      <c r="AE1097" s="196">
        <v>0.4</v>
      </c>
      <c r="AF1097" s="205">
        <f t="shared" si="42"/>
        <v>0.5</v>
      </c>
      <c r="AG1097" s="138">
        <v>8</v>
      </c>
      <c r="AH1097" s="138"/>
      <c r="AI1097" s="138"/>
      <c r="AJ1097" s="138" t="s">
        <v>1188</v>
      </c>
      <c r="AK1097" s="181" t="s">
        <v>1185</v>
      </c>
      <c r="AL1097" s="138" t="s">
        <v>1178</v>
      </c>
    </row>
    <row r="1098" spans="1:38" ht="15" customHeight="1" x14ac:dyDescent="0.3">
      <c r="A1098" s="181" t="s">
        <v>22</v>
      </c>
      <c r="B1098" s="145" t="s">
        <v>105</v>
      </c>
      <c r="C1098" s="135">
        <v>13</v>
      </c>
      <c r="D1098" s="11" t="s">
        <v>5936</v>
      </c>
      <c r="E1098" s="168">
        <v>41044</v>
      </c>
      <c r="F1098" s="136">
        <v>2012</v>
      </c>
      <c r="G1098" s="178" t="s">
        <v>3243</v>
      </c>
      <c r="H1098" s="204" t="s">
        <v>3244</v>
      </c>
      <c r="I1098" s="33" t="s">
        <v>33</v>
      </c>
      <c r="J1098" s="32" t="s">
        <v>26</v>
      </c>
      <c r="K1098" s="197" t="s">
        <v>103</v>
      </c>
      <c r="L1098" s="746" t="s">
        <v>40</v>
      </c>
      <c r="M1098" s="137" t="s">
        <v>804</v>
      </c>
      <c r="N1098" s="197"/>
      <c r="O1098" s="138" t="s">
        <v>3245</v>
      </c>
      <c r="P1098" s="138" t="s">
        <v>3246</v>
      </c>
      <c r="Q1098" s="15" t="s">
        <v>282</v>
      </c>
      <c r="R1098" s="132">
        <v>41348</v>
      </c>
      <c r="S1098" s="16" t="s">
        <v>44</v>
      </c>
      <c r="T1098" s="133">
        <v>41374</v>
      </c>
      <c r="U1098" s="623"/>
      <c r="V1098" s="624"/>
      <c r="W1098" s="256">
        <v>70</v>
      </c>
      <c r="X1098" s="7">
        <v>7</v>
      </c>
      <c r="Y1098" s="7">
        <f t="shared" si="40"/>
        <v>28</v>
      </c>
      <c r="Z1098" s="7">
        <f t="shared" si="41"/>
        <v>35</v>
      </c>
      <c r="AA1098" s="469"/>
      <c r="AB1098" s="513" t="s">
        <v>3232</v>
      </c>
      <c r="AC1098" s="147"/>
      <c r="AD1098" s="196">
        <v>0.1</v>
      </c>
      <c r="AE1098" s="196">
        <v>0.4</v>
      </c>
      <c r="AF1098" s="205">
        <f t="shared" si="42"/>
        <v>0.5</v>
      </c>
      <c r="AG1098" s="138">
        <v>8</v>
      </c>
      <c r="AH1098" s="138"/>
      <c r="AI1098" s="138"/>
      <c r="AJ1098" s="138" t="s">
        <v>1188</v>
      </c>
      <c r="AK1098" s="181" t="s">
        <v>1185</v>
      </c>
      <c r="AL1098" s="138" t="s">
        <v>1178</v>
      </c>
    </row>
    <row r="1099" spans="1:38" ht="15" customHeight="1" x14ac:dyDescent="0.3">
      <c r="A1099" s="30" t="s">
        <v>22</v>
      </c>
      <c r="B1099" s="153" t="s">
        <v>23</v>
      </c>
      <c r="C1099" s="107">
        <v>2</v>
      </c>
      <c r="D1099" s="11" t="s">
        <v>24</v>
      </c>
      <c r="E1099" s="114">
        <v>39326</v>
      </c>
      <c r="F1099" s="12">
        <v>2007</v>
      </c>
      <c r="G1099" s="142" t="s">
        <v>3247</v>
      </c>
      <c r="H1099" s="162" t="s">
        <v>3248</v>
      </c>
      <c r="I1099" s="12" t="s">
        <v>25</v>
      </c>
      <c r="J1099" s="32" t="s">
        <v>26</v>
      </c>
      <c r="K1099" s="197" t="s">
        <v>3205</v>
      </c>
      <c r="L1099" s="137" t="s">
        <v>2099</v>
      </c>
      <c r="M1099" s="137" t="s">
        <v>804</v>
      </c>
      <c r="N1099" s="137"/>
      <c r="O1099" s="93" t="s">
        <v>3206</v>
      </c>
      <c r="P1099" s="718" t="s">
        <v>3249</v>
      </c>
      <c r="Q1099" s="15" t="s">
        <v>282</v>
      </c>
      <c r="R1099" s="132">
        <v>40396</v>
      </c>
      <c r="S1099" s="16" t="s">
        <v>44</v>
      </c>
      <c r="T1099" s="165">
        <v>40834</v>
      </c>
      <c r="U1099" s="624" t="s">
        <v>1422</v>
      </c>
      <c r="V1099" s="180">
        <v>41528</v>
      </c>
      <c r="W1099" s="735">
        <v>250</v>
      </c>
      <c r="X1099" s="7">
        <v>125</v>
      </c>
      <c r="Y1099" s="7" t="str">
        <f t="shared" si="40"/>
        <v/>
      </c>
      <c r="Z1099" s="7">
        <f t="shared" si="41"/>
        <v>125</v>
      </c>
      <c r="AA1099" s="469"/>
      <c r="AB1099" s="479" t="s">
        <v>49</v>
      </c>
      <c r="AC1099" s="480"/>
      <c r="AD1099" s="187">
        <v>0.5</v>
      </c>
      <c r="AE1099" s="187"/>
      <c r="AF1099" s="205">
        <f t="shared" si="42"/>
        <v>0.5</v>
      </c>
      <c r="AG1099" s="163">
        <v>6</v>
      </c>
      <c r="AH1099" s="93" t="s">
        <v>2462</v>
      </c>
      <c r="AI1099" s="93"/>
      <c r="AJ1099" s="93" t="s">
        <v>1188</v>
      </c>
      <c r="AK1099" s="30" t="s">
        <v>99</v>
      </c>
      <c r="AL1099" s="93" t="s">
        <v>1178</v>
      </c>
    </row>
    <row r="1100" spans="1:38" ht="15" customHeight="1" x14ac:dyDescent="0.3">
      <c r="A1100" s="181" t="s">
        <v>22</v>
      </c>
      <c r="B1100" s="153" t="s">
        <v>3242</v>
      </c>
      <c r="C1100" s="135" t="s">
        <v>3251</v>
      </c>
      <c r="D1100" s="136" t="s">
        <v>190</v>
      </c>
      <c r="E1100" s="168">
        <v>40756</v>
      </c>
      <c r="F1100" s="136">
        <v>2011</v>
      </c>
      <c r="G1100" s="178" t="s">
        <v>3252</v>
      </c>
      <c r="H1100" s="204"/>
      <c r="I1100" s="33" t="s">
        <v>33</v>
      </c>
      <c r="J1100" s="32" t="s">
        <v>26</v>
      </c>
      <c r="K1100" s="138" t="s">
        <v>103</v>
      </c>
      <c r="L1100" s="765" t="s">
        <v>1319</v>
      </c>
      <c r="M1100" s="137" t="s">
        <v>804</v>
      </c>
      <c r="N1100" s="138"/>
      <c r="O1100" s="765" t="s">
        <v>3253</v>
      </c>
      <c r="P1100" s="732" t="s">
        <v>3254</v>
      </c>
      <c r="Q1100" s="15" t="s">
        <v>35</v>
      </c>
      <c r="R1100" s="179">
        <v>40962</v>
      </c>
      <c r="S1100" s="16" t="s">
        <v>35</v>
      </c>
      <c r="T1100" s="133">
        <v>41234</v>
      </c>
      <c r="U1100" s="623"/>
      <c r="V1100" s="624"/>
      <c r="W1100" s="735">
        <v>80</v>
      </c>
      <c r="X1100" s="7">
        <v>60</v>
      </c>
      <c r="Y1100" s="7">
        <f t="shared" si="40"/>
        <v>20</v>
      </c>
      <c r="Z1100" s="7">
        <f t="shared" si="41"/>
        <v>80</v>
      </c>
      <c r="AA1100" s="469"/>
      <c r="AB1100" s="768" t="s">
        <v>6038</v>
      </c>
      <c r="AC1100" s="565"/>
      <c r="AD1100" s="187">
        <v>0.75</v>
      </c>
      <c r="AE1100" s="195">
        <v>0.25</v>
      </c>
      <c r="AF1100" s="205">
        <f t="shared" si="42"/>
        <v>1</v>
      </c>
      <c r="AG1100" s="200">
        <v>7</v>
      </c>
      <c r="AH1100" s="138"/>
      <c r="AI1100" s="719" t="s">
        <v>3256</v>
      </c>
      <c r="AJ1100" s="200" t="s">
        <v>1188</v>
      </c>
      <c r="AK1100" s="30" t="s">
        <v>99</v>
      </c>
      <c r="AL1100" s="200" t="s">
        <v>1178</v>
      </c>
    </row>
    <row r="1101" spans="1:38" ht="15" customHeight="1" x14ac:dyDescent="0.3">
      <c r="A1101" s="30" t="s">
        <v>22</v>
      </c>
      <c r="B1101" s="30" t="s">
        <v>23</v>
      </c>
      <c r="C1101" s="37">
        <v>9</v>
      </c>
      <c r="D1101" s="11" t="s">
        <v>24</v>
      </c>
      <c r="E1101" s="108">
        <v>40878</v>
      </c>
      <c r="F1101" s="37">
        <v>2011</v>
      </c>
      <c r="G1101" s="30" t="s">
        <v>3257</v>
      </c>
      <c r="H1101" s="162" t="s">
        <v>3258</v>
      </c>
      <c r="I1101" s="12" t="s">
        <v>80</v>
      </c>
      <c r="J1101" s="32" t="s">
        <v>26</v>
      </c>
      <c r="K1101" s="660" t="s">
        <v>3259</v>
      </c>
      <c r="L1101" s="137" t="s">
        <v>1319</v>
      </c>
      <c r="M1101" s="137" t="s">
        <v>804</v>
      </c>
      <c r="N1101" s="709"/>
      <c r="O1101" s="146" t="s">
        <v>3260</v>
      </c>
      <c r="P1101" s="138" t="s">
        <v>6051</v>
      </c>
      <c r="Q1101" s="15" t="s">
        <v>282</v>
      </c>
      <c r="R1101" s="132">
        <v>41166</v>
      </c>
      <c r="S1101" s="16" t="s">
        <v>44</v>
      </c>
      <c r="T1101" s="165">
        <v>41516</v>
      </c>
      <c r="U1101" s="624"/>
      <c r="V1101" s="624"/>
      <c r="W1101" s="735">
        <v>90</v>
      </c>
      <c r="X1101" s="208">
        <v>45</v>
      </c>
      <c r="Y1101" s="7" t="str">
        <f t="shared" si="40"/>
        <v/>
      </c>
      <c r="Z1101" s="7">
        <f t="shared" si="41"/>
        <v>45</v>
      </c>
      <c r="AA1101" s="469"/>
      <c r="AB1101" s="479" t="s">
        <v>49</v>
      </c>
      <c r="AC1101" s="480"/>
      <c r="AD1101" s="187">
        <v>0.5</v>
      </c>
      <c r="AE1101" s="187"/>
      <c r="AF1101" s="205">
        <f t="shared" si="42"/>
        <v>0.5</v>
      </c>
      <c r="AG1101" s="30">
        <v>8</v>
      </c>
      <c r="AH1101" s="30" t="s">
        <v>3250</v>
      </c>
      <c r="AI1101" s="146" t="s">
        <v>3261</v>
      </c>
      <c r="AJ1101" s="30" t="s">
        <v>1188</v>
      </c>
      <c r="AK1101" s="30" t="s">
        <v>1185</v>
      </c>
      <c r="AL1101" s="93" t="s">
        <v>1178</v>
      </c>
    </row>
    <row r="1102" spans="1:38" ht="15" customHeight="1" x14ac:dyDescent="0.3">
      <c r="A1102" s="30" t="s">
        <v>22</v>
      </c>
      <c r="B1102" s="153" t="s">
        <v>23</v>
      </c>
      <c r="C1102" s="109">
        <v>19</v>
      </c>
      <c r="D1102" s="11" t="s">
        <v>24</v>
      </c>
      <c r="E1102" s="114">
        <v>40322</v>
      </c>
      <c r="F1102" s="33">
        <v>2010</v>
      </c>
      <c r="G1102" s="142" t="s">
        <v>3262</v>
      </c>
      <c r="H1102" s="162" t="s">
        <v>3263</v>
      </c>
      <c r="I1102" s="12" t="s">
        <v>80</v>
      </c>
      <c r="J1102" s="32" t="s">
        <v>26</v>
      </c>
      <c r="K1102" s="197" t="s">
        <v>111</v>
      </c>
      <c r="L1102" s="137" t="s">
        <v>1319</v>
      </c>
      <c r="M1102" s="137" t="s">
        <v>804</v>
      </c>
      <c r="N1102" s="238"/>
      <c r="O1102" s="146" t="s">
        <v>3264</v>
      </c>
      <c r="P1102" s="718" t="s">
        <v>6052</v>
      </c>
      <c r="Q1102" s="15" t="s">
        <v>35</v>
      </c>
      <c r="R1102" s="132">
        <v>40855</v>
      </c>
      <c r="S1102" s="16" t="s">
        <v>35</v>
      </c>
      <c r="T1102" s="165">
        <v>41095</v>
      </c>
      <c r="U1102" s="624"/>
      <c r="V1102" s="624"/>
      <c r="W1102" s="735">
        <v>346.5</v>
      </c>
      <c r="X1102" s="7">
        <v>346.5</v>
      </c>
      <c r="Y1102" s="7" t="str">
        <f t="shared" si="40"/>
        <v/>
      </c>
      <c r="Z1102" s="7">
        <f t="shared" si="41"/>
        <v>346.5</v>
      </c>
      <c r="AA1102" s="469"/>
      <c r="AB1102" s="479" t="s">
        <v>49</v>
      </c>
      <c r="AC1102" s="480"/>
      <c r="AD1102" s="187">
        <v>1</v>
      </c>
      <c r="AE1102" s="187"/>
      <c r="AF1102" s="205">
        <f t="shared" si="42"/>
        <v>1</v>
      </c>
      <c r="AG1102" s="163">
        <v>6</v>
      </c>
      <c r="AH1102" s="93" t="s">
        <v>3255</v>
      </c>
      <c r="AI1102" s="719" t="s">
        <v>3265</v>
      </c>
      <c r="AJ1102" s="93" t="s">
        <v>1188</v>
      </c>
      <c r="AK1102" s="30" t="s">
        <v>99</v>
      </c>
      <c r="AL1102" s="93" t="s">
        <v>1178</v>
      </c>
    </row>
    <row r="1103" spans="1:38" ht="15" customHeight="1" x14ac:dyDescent="0.3">
      <c r="A1103" s="181" t="s">
        <v>22</v>
      </c>
      <c r="B1103" s="145" t="s">
        <v>105</v>
      </c>
      <c r="C1103" s="135">
        <v>17</v>
      </c>
      <c r="D1103" s="11" t="s">
        <v>5936</v>
      </c>
      <c r="E1103" s="168">
        <v>41159</v>
      </c>
      <c r="F1103" s="136">
        <v>2012</v>
      </c>
      <c r="G1103" s="178" t="s">
        <v>3266</v>
      </c>
      <c r="H1103" s="204" t="s">
        <v>3267</v>
      </c>
      <c r="I1103" s="30" t="s">
        <v>38</v>
      </c>
      <c r="J1103" s="32" t="s">
        <v>26</v>
      </c>
      <c r="K1103" s="197" t="s">
        <v>111</v>
      </c>
      <c r="L1103" s="746" t="s">
        <v>40</v>
      </c>
      <c r="M1103" s="137" t="s">
        <v>804</v>
      </c>
      <c r="N1103" s="197"/>
      <c r="O1103" s="138" t="s">
        <v>3268</v>
      </c>
      <c r="P1103" s="138" t="s">
        <v>3269</v>
      </c>
      <c r="Q1103" s="15" t="s">
        <v>282</v>
      </c>
      <c r="R1103" s="132">
        <v>41431</v>
      </c>
      <c r="S1103" s="16" t="s">
        <v>44</v>
      </c>
      <c r="T1103" s="133">
        <v>41473</v>
      </c>
      <c r="U1103" s="623"/>
      <c r="V1103" s="624"/>
      <c r="W1103" s="256">
        <v>13</v>
      </c>
      <c r="X1103" s="7">
        <v>1.3</v>
      </c>
      <c r="Y1103" s="7">
        <f t="shared" si="40"/>
        <v>5.2</v>
      </c>
      <c r="Z1103" s="7">
        <f t="shared" si="41"/>
        <v>6.5</v>
      </c>
      <c r="AA1103" s="469"/>
      <c r="AB1103" s="513" t="s">
        <v>3232</v>
      </c>
      <c r="AC1103" s="147"/>
      <c r="AD1103" s="196">
        <v>0.1</v>
      </c>
      <c r="AE1103" s="196">
        <v>0.4</v>
      </c>
      <c r="AF1103" s="205">
        <f t="shared" si="42"/>
        <v>0.5</v>
      </c>
      <c r="AG1103" s="138">
        <v>8</v>
      </c>
      <c r="AH1103" s="138"/>
      <c r="AI1103" s="138"/>
      <c r="AJ1103" s="138" t="s">
        <v>1188</v>
      </c>
      <c r="AK1103" s="181" t="s">
        <v>1185</v>
      </c>
      <c r="AL1103" s="138" t="s">
        <v>1178</v>
      </c>
    </row>
    <row r="1104" spans="1:38" ht="15" customHeight="1" x14ac:dyDescent="0.3">
      <c r="A1104" s="181" t="s">
        <v>22</v>
      </c>
      <c r="B1104" s="153" t="s">
        <v>220</v>
      </c>
      <c r="C1104" s="135" t="s">
        <v>3270</v>
      </c>
      <c r="D1104" s="136" t="s">
        <v>190</v>
      </c>
      <c r="E1104" s="168">
        <v>39600</v>
      </c>
      <c r="F1104" s="136">
        <v>2008</v>
      </c>
      <c r="G1104" s="178" t="s">
        <v>3271</v>
      </c>
      <c r="H1104" s="204"/>
      <c r="I1104" s="30" t="s">
        <v>38</v>
      </c>
      <c r="J1104" s="32" t="s">
        <v>26</v>
      </c>
      <c r="K1104" s="138" t="s">
        <v>111</v>
      </c>
      <c r="L1104" s="138" t="s">
        <v>1319</v>
      </c>
      <c r="M1104" s="137" t="s">
        <v>804</v>
      </c>
      <c r="N1104" s="137"/>
      <c r="O1104" s="138" t="s">
        <v>3138</v>
      </c>
      <c r="P1104" s="138" t="s">
        <v>3272</v>
      </c>
      <c r="Q1104" s="15" t="s">
        <v>282</v>
      </c>
      <c r="R1104" s="132">
        <v>40830</v>
      </c>
      <c r="S1104" s="16" t="s">
        <v>44</v>
      </c>
      <c r="T1104" s="133">
        <v>41446</v>
      </c>
      <c r="U1104" s="623"/>
      <c r="V1104" s="623"/>
      <c r="W1104" s="734">
        <v>14.5</v>
      </c>
      <c r="X1104" s="7">
        <v>7.2500000000000009</v>
      </c>
      <c r="Y1104" s="7" t="str">
        <f t="shared" si="40"/>
        <v/>
      </c>
      <c r="Z1104" s="7">
        <f t="shared" si="41"/>
        <v>7.2500000000000009</v>
      </c>
      <c r="AA1104" s="469"/>
      <c r="AB1104" s="564" t="s">
        <v>1073</v>
      </c>
      <c r="AC1104" s="693"/>
      <c r="AD1104" s="187">
        <v>0.5</v>
      </c>
      <c r="AE1104" s="187"/>
      <c r="AF1104" s="205">
        <f t="shared" si="42"/>
        <v>0.5</v>
      </c>
      <c r="AG1104" s="138">
        <v>7.5</v>
      </c>
      <c r="AH1104" s="138"/>
      <c r="AI1104" s="138"/>
      <c r="AJ1104" s="138" t="s">
        <v>1188</v>
      </c>
      <c r="AK1104" s="138" t="s">
        <v>1185</v>
      </c>
      <c r="AL1104" s="138" t="s">
        <v>1178</v>
      </c>
    </row>
    <row r="1105" spans="1:38" ht="15" customHeight="1" x14ac:dyDescent="0.3">
      <c r="A1105" s="181" t="s">
        <v>22</v>
      </c>
      <c r="B1105" s="145" t="s">
        <v>197</v>
      </c>
      <c r="C1105" s="135">
        <v>4</v>
      </c>
      <c r="D1105" s="136" t="s">
        <v>190</v>
      </c>
      <c r="E1105" s="168">
        <v>40556</v>
      </c>
      <c r="F1105" s="136">
        <v>2001</v>
      </c>
      <c r="G1105" s="178" t="s">
        <v>3273</v>
      </c>
      <c r="H1105" s="204" t="s">
        <v>3274</v>
      </c>
      <c r="I1105" s="136" t="s">
        <v>80</v>
      </c>
      <c r="J1105" s="32" t="s">
        <v>26</v>
      </c>
      <c r="K1105" s="197" t="s">
        <v>111</v>
      </c>
      <c r="L1105" s="138" t="s">
        <v>1319</v>
      </c>
      <c r="M1105" s="137" t="s">
        <v>804</v>
      </c>
      <c r="N1105" s="197"/>
      <c r="O1105" s="138" t="s">
        <v>3275</v>
      </c>
      <c r="P1105" s="138" t="s">
        <v>3276</v>
      </c>
      <c r="Q1105" s="15" t="s">
        <v>35</v>
      </c>
      <c r="R1105" s="132">
        <v>41116</v>
      </c>
      <c r="S1105" s="16" t="s">
        <v>44</v>
      </c>
      <c r="T1105" s="133">
        <v>41446</v>
      </c>
      <c r="U1105" s="623"/>
      <c r="V1105" s="623"/>
      <c r="W1105" s="735">
        <v>73.599999999999994</v>
      </c>
      <c r="X1105" s="7">
        <v>55.199999999999996</v>
      </c>
      <c r="Y1105" s="7" t="str">
        <f t="shared" si="40"/>
        <v/>
      </c>
      <c r="Z1105" s="7">
        <f t="shared" si="41"/>
        <v>55.199999999999996</v>
      </c>
      <c r="AA1105" s="469"/>
      <c r="AB1105" s="564" t="s">
        <v>2595</v>
      </c>
      <c r="AC1105" s="693"/>
      <c r="AD1105" s="187">
        <v>0.75</v>
      </c>
      <c r="AE1105" s="195"/>
      <c r="AF1105" s="205">
        <f t="shared" si="42"/>
        <v>0.75</v>
      </c>
      <c r="AG1105" s="200">
        <v>7</v>
      </c>
      <c r="AH1105" s="200"/>
      <c r="AI1105" s="200"/>
      <c r="AJ1105" s="200" t="s">
        <v>1188</v>
      </c>
      <c r="AK1105" s="200" t="s">
        <v>1185</v>
      </c>
      <c r="AL1105" s="200" t="s">
        <v>1178</v>
      </c>
    </row>
    <row r="1106" spans="1:38" ht="15" customHeight="1" x14ac:dyDescent="0.3">
      <c r="A1106" s="30" t="s">
        <v>22</v>
      </c>
      <c r="B1106" s="120" t="s">
        <v>144</v>
      </c>
      <c r="C1106" s="107">
        <v>3</v>
      </c>
      <c r="D1106" s="11" t="s">
        <v>143</v>
      </c>
      <c r="E1106" s="114">
        <v>39926</v>
      </c>
      <c r="F1106" s="12">
        <v>2009</v>
      </c>
      <c r="G1106" s="142" t="s">
        <v>3278</v>
      </c>
      <c r="H1106" s="162" t="s">
        <v>3279</v>
      </c>
      <c r="I1106" s="33" t="s">
        <v>33</v>
      </c>
      <c r="J1106" s="30" t="s">
        <v>81</v>
      </c>
      <c r="K1106" s="197" t="s">
        <v>71</v>
      </c>
      <c r="L1106" s="197" t="s">
        <v>1319</v>
      </c>
      <c r="M1106" s="137" t="s">
        <v>804</v>
      </c>
      <c r="N1106" s="197"/>
      <c r="O1106" s="197" t="s">
        <v>3280</v>
      </c>
      <c r="P1106" s="197" t="s">
        <v>6053</v>
      </c>
      <c r="Q1106" s="15" t="s">
        <v>282</v>
      </c>
      <c r="R1106" s="164">
        <v>41243</v>
      </c>
      <c r="S1106" s="16" t="s">
        <v>44</v>
      </c>
      <c r="T1106" s="165">
        <v>41394</v>
      </c>
      <c r="U1106" s="624"/>
      <c r="V1106" s="624"/>
      <c r="W1106" s="735">
        <v>30</v>
      </c>
      <c r="X1106" s="7">
        <v>15</v>
      </c>
      <c r="Y1106" s="7" t="str">
        <f t="shared" si="40"/>
        <v/>
      </c>
      <c r="Z1106" s="7">
        <f t="shared" si="41"/>
        <v>15</v>
      </c>
      <c r="AA1106" s="469"/>
      <c r="AB1106" s="564" t="s">
        <v>147</v>
      </c>
      <c r="AC1106" s="693"/>
      <c r="AD1106" s="187">
        <v>0.5</v>
      </c>
      <c r="AE1106" s="187"/>
      <c r="AF1106" s="205">
        <f t="shared" si="42"/>
        <v>0.5</v>
      </c>
      <c r="AG1106" s="138"/>
      <c r="AH1106" s="93" t="s">
        <v>6049</v>
      </c>
      <c r="AI1106" s="138"/>
      <c r="AJ1106" s="138" t="s">
        <v>1188</v>
      </c>
      <c r="AK1106" s="138" t="s">
        <v>1185</v>
      </c>
      <c r="AL1106" s="93" t="s">
        <v>1178</v>
      </c>
    </row>
    <row r="1107" spans="1:38" ht="15" customHeight="1" x14ac:dyDescent="0.3">
      <c r="A1107" s="30" t="s">
        <v>22</v>
      </c>
      <c r="B1107" s="120" t="s">
        <v>144</v>
      </c>
      <c r="C1107" s="107">
        <v>6</v>
      </c>
      <c r="D1107" s="11" t="s">
        <v>143</v>
      </c>
      <c r="E1107" s="114">
        <v>40107</v>
      </c>
      <c r="F1107" s="12">
        <v>2009</v>
      </c>
      <c r="G1107" s="142" t="s">
        <v>3281</v>
      </c>
      <c r="H1107" s="162" t="s">
        <v>3282</v>
      </c>
      <c r="I1107" s="33" t="s">
        <v>33</v>
      </c>
      <c r="J1107" s="32" t="s">
        <v>26</v>
      </c>
      <c r="K1107" s="197" t="s">
        <v>1708</v>
      </c>
      <c r="L1107" s="197" t="s">
        <v>1319</v>
      </c>
      <c r="M1107" s="137" t="s">
        <v>804</v>
      </c>
      <c r="N1107" s="197"/>
      <c r="O1107" s="197" t="s">
        <v>3283</v>
      </c>
      <c r="P1107" s="197" t="s">
        <v>6054</v>
      </c>
      <c r="Q1107" s="15" t="s">
        <v>282</v>
      </c>
      <c r="R1107" s="164">
        <v>41213</v>
      </c>
      <c r="S1107" s="16" t="s">
        <v>44</v>
      </c>
      <c r="T1107" s="165">
        <v>41394</v>
      </c>
      <c r="U1107" s="624"/>
      <c r="V1107" s="624"/>
      <c r="W1107" s="735">
        <v>30</v>
      </c>
      <c r="X1107" s="7">
        <v>15</v>
      </c>
      <c r="Y1107" s="7" t="str">
        <f t="shared" si="40"/>
        <v/>
      </c>
      <c r="Z1107" s="7">
        <f t="shared" si="41"/>
        <v>15</v>
      </c>
      <c r="AA1107" s="469"/>
      <c r="AB1107" s="503" t="s">
        <v>6055</v>
      </c>
      <c r="AC1107" s="222"/>
      <c r="AD1107" s="187">
        <v>0.5</v>
      </c>
      <c r="AE1107" s="187"/>
      <c r="AF1107" s="205">
        <f t="shared" si="42"/>
        <v>0.5</v>
      </c>
      <c r="AG1107" s="138"/>
      <c r="AH1107" s="197" t="s">
        <v>3277</v>
      </c>
      <c r="AI1107" s="138"/>
      <c r="AJ1107" s="138" t="s">
        <v>1188</v>
      </c>
      <c r="AK1107" s="138" t="s">
        <v>1185</v>
      </c>
      <c r="AL1107" s="93" t="s">
        <v>1178</v>
      </c>
    </row>
    <row r="1108" spans="1:38" ht="15" customHeight="1" x14ac:dyDescent="0.3">
      <c r="A1108" s="30" t="s">
        <v>22</v>
      </c>
      <c r="B1108" s="107" t="s">
        <v>924</v>
      </c>
      <c r="C1108" s="107" t="s">
        <v>3284</v>
      </c>
      <c r="D1108" s="11" t="s">
        <v>143</v>
      </c>
      <c r="E1108" s="114">
        <v>40213</v>
      </c>
      <c r="F1108" s="12">
        <v>2010</v>
      </c>
      <c r="G1108" s="142" t="s">
        <v>3285</v>
      </c>
      <c r="H1108" s="162"/>
      <c r="I1108" s="33" t="s">
        <v>33</v>
      </c>
      <c r="J1108" s="32" t="s">
        <v>26</v>
      </c>
      <c r="K1108" s="197" t="s">
        <v>1194</v>
      </c>
      <c r="L1108" s="197" t="s">
        <v>1319</v>
      </c>
      <c r="M1108" s="137" t="s">
        <v>804</v>
      </c>
      <c r="N1108" s="553" t="s">
        <v>122</v>
      </c>
      <c r="O1108" s="197" t="s">
        <v>3286</v>
      </c>
      <c r="P1108" s="197" t="s">
        <v>3287</v>
      </c>
      <c r="Q1108" s="15" t="s">
        <v>282</v>
      </c>
      <c r="R1108" s="164">
        <v>40808</v>
      </c>
      <c r="S1108" s="16" t="s">
        <v>44</v>
      </c>
      <c r="T1108" s="165">
        <v>41361</v>
      </c>
      <c r="U1108" s="624"/>
      <c r="V1108" s="624"/>
      <c r="W1108" s="735">
        <v>50</v>
      </c>
      <c r="X1108" s="7">
        <v>10</v>
      </c>
      <c r="Y1108" s="7">
        <f t="shared" si="40"/>
        <v>15</v>
      </c>
      <c r="Z1108" s="7">
        <f t="shared" si="41"/>
        <v>25</v>
      </c>
      <c r="AA1108" s="469"/>
      <c r="AB1108" s="564" t="s">
        <v>147</v>
      </c>
      <c r="AC1108" s="693"/>
      <c r="AD1108" s="187">
        <v>0.2</v>
      </c>
      <c r="AE1108" s="187">
        <v>0.3</v>
      </c>
      <c r="AF1108" s="205">
        <f t="shared" si="42"/>
        <v>0.5</v>
      </c>
      <c r="AG1108" s="138"/>
      <c r="AH1108" s="197"/>
      <c r="AI1108" s="138"/>
      <c r="AJ1108" s="138" t="s">
        <v>1188</v>
      </c>
      <c r="AK1108" s="138" t="s">
        <v>1185</v>
      </c>
      <c r="AL1108" s="93" t="s">
        <v>1178</v>
      </c>
    </row>
    <row r="1109" spans="1:38" ht="15" customHeight="1" x14ac:dyDescent="0.3">
      <c r="A1109" s="181" t="s">
        <v>22</v>
      </c>
      <c r="B1109" s="153" t="s">
        <v>148</v>
      </c>
      <c r="C1109" s="135">
        <v>2</v>
      </c>
      <c r="D1109" s="11" t="s">
        <v>143</v>
      </c>
      <c r="E1109" s="168">
        <v>40758</v>
      </c>
      <c r="F1109" s="135">
        <v>2011</v>
      </c>
      <c r="G1109" s="178" t="s">
        <v>3289</v>
      </c>
      <c r="H1109" s="204" t="s">
        <v>3290</v>
      </c>
      <c r="I1109" s="30" t="s">
        <v>38</v>
      </c>
      <c r="J1109" s="32" t="s">
        <v>26</v>
      </c>
      <c r="K1109" s="197" t="s">
        <v>180</v>
      </c>
      <c r="L1109" s="197" t="s">
        <v>40</v>
      </c>
      <c r="M1109" s="137" t="s">
        <v>804</v>
      </c>
      <c r="N1109" s="197"/>
      <c r="O1109" s="197" t="s">
        <v>3291</v>
      </c>
      <c r="P1109" s="197" t="s">
        <v>6056</v>
      </c>
      <c r="Q1109" s="15" t="s">
        <v>282</v>
      </c>
      <c r="R1109" s="164">
        <v>41303</v>
      </c>
      <c r="S1109" s="16" t="s">
        <v>44</v>
      </c>
      <c r="T1109" s="165">
        <v>41481</v>
      </c>
      <c r="U1109" s="624"/>
      <c r="V1109" s="624"/>
      <c r="W1109" s="735">
        <v>30</v>
      </c>
      <c r="X1109" s="7">
        <v>12</v>
      </c>
      <c r="Y1109" s="7">
        <f t="shared" ref="Y1109:Y1154" si="43">IF(AE1109="","",W1109*AE1109)</f>
        <v>3</v>
      </c>
      <c r="Z1109" s="7">
        <f t="shared" si="41"/>
        <v>15</v>
      </c>
      <c r="AA1109" s="469"/>
      <c r="AB1109" s="564" t="s">
        <v>2910</v>
      </c>
      <c r="AC1109" s="693"/>
      <c r="AD1109" s="187">
        <v>0.4</v>
      </c>
      <c r="AE1109" s="187">
        <v>0.1</v>
      </c>
      <c r="AF1109" s="205">
        <f t="shared" si="42"/>
        <v>0.5</v>
      </c>
      <c r="AG1109" s="138"/>
      <c r="AH1109" s="138"/>
      <c r="AI1109" s="138"/>
      <c r="AJ1109" s="138" t="s">
        <v>1188</v>
      </c>
      <c r="AK1109" s="138" t="s">
        <v>1185</v>
      </c>
      <c r="AL1109" s="146" t="s">
        <v>1178</v>
      </c>
    </row>
    <row r="1110" spans="1:38" ht="15" customHeight="1" x14ac:dyDescent="0.3">
      <c r="A1110" s="30" t="s">
        <v>22</v>
      </c>
      <c r="B1110" s="30" t="s">
        <v>23</v>
      </c>
      <c r="C1110" s="37">
        <v>19</v>
      </c>
      <c r="D1110" s="11" t="s">
        <v>24</v>
      </c>
      <c r="E1110" s="108">
        <v>41411</v>
      </c>
      <c r="F1110" s="37">
        <v>2013</v>
      </c>
      <c r="G1110" s="30" t="s">
        <v>3292</v>
      </c>
      <c r="H1110" s="162" t="s">
        <v>3293</v>
      </c>
      <c r="I1110" s="12" t="s">
        <v>80</v>
      </c>
      <c r="J1110" s="32" t="s">
        <v>26</v>
      </c>
      <c r="K1110" s="137" t="s">
        <v>1194</v>
      </c>
      <c r="L1110" s="137" t="s">
        <v>1319</v>
      </c>
      <c r="M1110" s="137" t="s">
        <v>804</v>
      </c>
      <c r="N1110" s="709"/>
      <c r="O1110" s="146" t="s">
        <v>3294</v>
      </c>
      <c r="P1110" s="138" t="s">
        <v>6057</v>
      </c>
      <c r="Q1110" s="91"/>
      <c r="R1110" s="132"/>
      <c r="S1110" s="92"/>
      <c r="T1110" s="139"/>
      <c r="U1110" s="624"/>
      <c r="V1110" s="624"/>
      <c r="W1110" s="735">
        <v>52.3</v>
      </c>
      <c r="X1110" s="208"/>
      <c r="Y1110" s="7">
        <f t="shared" si="43"/>
        <v>10.46</v>
      </c>
      <c r="Z1110" s="7">
        <f t="shared" si="41"/>
        <v>10.46</v>
      </c>
      <c r="AA1110" s="469"/>
      <c r="AB1110" s="479" t="s">
        <v>49</v>
      </c>
      <c r="AC1110" s="480"/>
      <c r="AD1110" s="187"/>
      <c r="AE1110" s="187">
        <v>0.2</v>
      </c>
      <c r="AF1110" s="205">
        <f t="shared" si="42"/>
        <v>0.2</v>
      </c>
      <c r="AG1110" s="30">
        <v>8</v>
      </c>
      <c r="AH1110" s="30" t="s">
        <v>3288</v>
      </c>
      <c r="AI1110" s="719" t="s">
        <v>3295</v>
      </c>
      <c r="AJ1110" s="30" t="s">
        <v>1188</v>
      </c>
      <c r="AK1110" s="30" t="s">
        <v>1177</v>
      </c>
      <c r="AL1110" s="93" t="s">
        <v>1178</v>
      </c>
    </row>
    <row r="1111" spans="1:38" ht="15" customHeight="1" x14ac:dyDescent="0.3">
      <c r="A1111" s="30" t="s">
        <v>22</v>
      </c>
      <c r="B1111" s="30" t="s">
        <v>23</v>
      </c>
      <c r="C1111" s="37">
        <v>12</v>
      </c>
      <c r="D1111" s="11" t="s">
        <v>24</v>
      </c>
      <c r="E1111" s="108">
        <v>40994</v>
      </c>
      <c r="F1111" s="37">
        <v>2012</v>
      </c>
      <c r="G1111" s="30" t="s">
        <v>3296</v>
      </c>
      <c r="H1111" s="162" t="s">
        <v>3297</v>
      </c>
      <c r="I1111" s="12" t="s">
        <v>25</v>
      </c>
      <c r="J1111" s="32" t="s">
        <v>26</v>
      </c>
      <c r="K1111" s="137" t="s">
        <v>1194</v>
      </c>
      <c r="L1111" s="137" t="s">
        <v>1319</v>
      </c>
      <c r="M1111" s="137" t="s">
        <v>804</v>
      </c>
      <c r="N1111" s="709"/>
      <c r="O1111" s="146" t="s">
        <v>3298</v>
      </c>
      <c r="P1111" s="138" t="s">
        <v>6058</v>
      </c>
      <c r="Q1111" s="15" t="s">
        <v>282</v>
      </c>
      <c r="R1111" s="132">
        <v>41239</v>
      </c>
      <c r="S1111" s="16" t="s">
        <v>44</v>
      </c>
      <c r="T1111" s="165">
        <v>41570</v>
      </c>
      <c r="U1111" s="624"/>
      <c r="V1111" s="624"/>
      <c r="W1111" s="735">
        <v>250</v>
      </c>
      <c r="X1111" s="208">
        <v>125</v>
      </c>
      <c r="Y1111" s="7" t="str">
        <f t="shared" si="43"/>
        <v/>
      </c>
      <c r="Z1111" s="7">
        <f t="shared" si="41"/>
        <v>125</v>
      </c>
      <c r="AA1111" s="7"/>
      <c r="AB1111" s="772" t="s">
        <v>36</v>
      </c>
      <c r="AC1111" s="30"/>
      <c r="AD1111" s="187">
        <v>0.5</v>
      </c>
      <c r="AE1111" s="187"/>
      <c r="AF1111" s="205">
        <f t="shared" si="42"/>
        <v>0.5</v>
      </c>
      <c r="AG1111" s="30">
        <v>8</v>
      </c>
      <c r="AH1111" s="30" t="s">
        <v>58</v>
      </c>
      <c r="AI1111" s="146"/>
      <c r="AJ1111" s="30" t="s">
        <v>1188</v>
      </c>
      <c r="AK1111" s="30" t="s">
        <v>1185</v>
      </c>
      <c r="AL1111" s="93" t="s">
        <v>1178</v>
      </c>
    </row>
    <row r="1112" spans="1:38" ht="15" customHeight="1" x14ac:dyDescent="0.3">
      <c r="A1112" s="181" t="s">
        <v>22</v>
      </c>
      <c r="B1112" s="145" t="s">
        <v>105</v>
      </c>
      <c r="C1112" s="135">
        <v>8</v>
      </c>
      <c r="D1112" s="11" t="s">
        <v>5936</v>
      </c>
      <c r="E1112" s="168">
        <v>40354</v>
      </c>
      <c r="F1112" s="136">
        <v>2010</v>
      </c>
      <c r="G1112" s="178" t="s">
        <v>3299</v>
      </c>
      <c r="H1112" s="204" t="s">
        <v>3300</v>
      </c>
      <c r="I1112" s="30" t="s">
        <v>38</v>
      </c>
      <c r="J1112" s="32" t="s">
        <v>26</v>
      </c>
      <c r="K1112" s="197" t="s">
        <v>111</v>
      </c>
      <c r="L1112" s="138" t="s">
        <v>1319</v>
      </c>
      <c r="M1112" s="137" t="s">
        <v>804</v>
      </c>
      <c r="N1112" s="197"/>
      <c r="O1112" s="138" t="s">
        <v>3301</v>
      </c>
      <c r="P1112" s="138" t="s">
        <v>3302</v>
      </c>
      <c r="Q1112" s="15" t="s">
        <v>282</v>
      </c>
      <c r="R1112" s="132">
        <v>41152</v>
      </c>
      <c r="S1112" s="16" t="s">
        <v>44</v>
      </c>
      <c r="T1112" s="133">
        <v>41474</v>
      </c>
      <c r="U1112" s="623"/>
      <c r="V1112" s="624"/>
      <c r="W1112" s="256">
        <v>20.3</v>
      </c>
      <c r="X1112" s="7">
        <v>10.15</v>
      </c>
      <c r="Y1112" s="7" t="str">
        <f t="shared" si="43"/>
        <v/>
      </c>
      <c r="Z1112" s="7">
        <f t="shared" si="41"/>
        <v>10.15</v>
      </c>
      <c r="AA1112" s="7"/>
      <c r="AB1112" s="564" t="s">
        <v>1073</v>
      </c>
      <c r="AC1112" s="693"/>
      <c r="AD1112" s="196">
        <v>0.5</v>
      </c>
      <c r="AE1112" s="196"/>
      <c r="AF1112" s="205">
        <f t="shared" si="42"/>
        <v>0.5</v>
      </c>
      <c r="AG1112" s="138">
        <v>7</v>
      </c>
      <c r="AH1112" s="138" t="s">
        <v>1151</v>
      </c>
      <c r="AI1112" s="138"/>
      <c r="AJ1112" s="138" t="s">
        <v>1188</v>
      </c>
      <c r="AK1112" s="181" t="s">
        <v>1185</v>
      </c>
      <c r="AL1112" s="138" t="s">
        <v>1178</v>
      </c>
    </row>
    <row r="1113" spans="1:38" ht="15" customHeight="1" x14ac:dyDescent="0.3">
      <c r="A1113" s="181" t="s">
        <v>140</v>
      </c>
      <c r="B1113" s="145" t="s">
        <v>105</v>
      </c>
      <c r="C1113" s="135">
        <v>4</v>
      </c>
      <c r="D1113" s="11" t="s">
        <v>5936</v>
      </c>
      <c r="E1113" s="168">
        <v>41365</v>
      </c>
      <c r="F1113" s="136">
        <v>2013</v>
      </c>
      <c r="G1113" s="178" t="s">
        <v>3304</v>
      </c>
      <c r="H1113" s="204" t="s">
        <v>3305</v>
      </c>
      <c r="I1113" s="30" t="s">
        <v>38</v>
      </c>
      <c r="J1113" s="181" t="s">
        <v>81</v>
      </c>
      <c r="K1113" s="197" t="s">
        <v>141</v>
      </c>
      <c r="L1113" s="746" t="s">
        <v>40</v>
      </c>
      <c r="M1113" s="137" t="s">
        <v>804</v>
      </c>
      <c r="N1113" s="197"/>
      <c r="O1113" s="138" t="s">
        <v>3306</v>
      </c>
      <c r="P1113" s="138" t="s">
        <v>3307</v>
      </c>
      <c r="Q1113" s="15" t="s">
        <v>35</v>
      </c>
      <c r="R1113" s="132">
        <v>41499</v>
      </c>
      <c r="S1113" s="16" t="s">
        <v>44</v>
      </c>
      <c r="T1113" s="133">
        <v>41593</v>
      </c>
      <c r="U1113" s="623"/>
      <c r="V1113" s="624"/>
      <c r="W1113" s="256">
        <v>5</v>
      </c>
      <c r="X1113" s="7"/>
      <c r="Y1113" s="7">
        <f t="shared" si="43"/>
        <v>3.75</v>
      </c>
      <c r="Z1113" s="7">
        <f t="shared" si="41"/>
        <v>3.75</v>
      </c>
      <c r="AA1113" s="7"/>
      <c r="AB1113" s="564" t="s">
        <v>1073</v>
      </c>
      <c r="AC1113" s="693"/>
      <c r="AD1113" s="196"/>
      <c r="AE1113" s="196">
        <v>0.75</v>
      </c>
      <c r="AF1113" s="205">
        <f t="shared" si="42"/>
        <v>0.75</v>
      </c>
      <c r="AG1113" s="138">
        <v>8</v>
      </c>
      <c r="AH1113" s="138"/>
      <c r="AI1113" s="138"/>
      <c r="AJ1113" s="138" t="s">
        <v>1188</v>
      </c>
      <c r="AK1113" s="181" t="s">
        <v>1185</v>
      </c>
      <c r="AL1113" s="138" t="s">
        <v>1178</v>
      </c>
    </row>
    <row r="1114" spans="1:38" ht="15" customHeight="1" x14ac:dyDescent="0.3">
      <c r="A1114" s="181" t="s">
        <v>883</v>
      </c>
      <c r="B1114" s="145" t="s">
        <v>189</v>
      </c>
      <c r="C1114" s="135">
        <v>2</v>
      </c>
      <c r="D1114" s="136" t="s">
        <v>190</v>
      </c>
      <c r="E1114" s="168">
        <v>40444</v>
      </c>
      <c r="F1114" s="136">
        <v>2010</v>
      </c>
      <c r="G1114" s="178" t="s">
        <v>3308</v>
      </c>
      <c r="H1114" s="204" t="s">
        <v>3309</v>
      </c>
      <c r="I1114" s="33" t="s">
        <v>33</v>
      </c>
      <c r="J1114" s="32" t="s">
        <v>26</v>
      </c>
      <c r="K1114" s="197" t="s">
        <v>103</v>
      </c>
      <c r="L1114" s="138" t="s">
        <v>1319</v>
      </c>
      <c r="M1114" s="137" t="s">
        <v>804</v>
      </c>
      <c r="N1114" s="197"/>
      <c r="O1114" s="138" t="s">
        <v>3310</v>
      </c>
      <c r="P1114" s="138" t="s">
        <v>3311</v>
      </c>
      <c r="Q1114" s="15" t="s">
        <v>282</v>
      </c>
      <c r="R1114" s="132">
        <v>41305</v>
      </c>
      <c r="S1114" s="16" t="s">
        <v>44</v>
      </c>
      <c r="T1114" s="133">
        <v>41515</v>
      </c>
      <c r="U1114" s="623"/>
      <c r="V1114" s="624"/>
      <c r="W1114" s="735">
        <v>140</v>
      </c>
      <c r="X1114" s="7">
        <v>70</v>
      </c>
      <c r="Y1114" s="7" t="str">
        <f t="shared" si="43"/>
        <v/>
      </c>
      <c r="Z1114" s="7">
        <f t="shared" si="41"/>
        <v>70</v>
      </c>
      <c r="AA1114" s="216"/>
      <c r="AB1114" s="768" t="s">
        <v>6038</v>
      </c>
      <c r="AC1114" s="565"/>
      <c r="AD1114" s="187">
        <v>0.5</v>
      </c>
      <c r="AE1114" s="195"/>
      <c r="AF1114" s="205">
        <f t="shared" si="42"/>
        <v>0.5</v>
      </c>
      <c r="AG1114" s="200">
        <v>7</v>
      </c>
      <c r="AH1114" s="138" t="s">
        <v>3303</v>
      </c>
      <c r="AI1114" s="200"/>
      <c r="AJ1114" s="200" t="s">
        <v>1188</v>
      </c>
      <c r="AK1114" s="200" t="s">
        <v>1185</v>
      </c>
      <c r="AL1114" s="200" t="s">
        <v>1178</v>
      </c>
    </row>
    <row r="1115" spans="1:38" ht="15" customHeight="1" x14ac:dyDescent="0.3">
      <c r="A1115" s="30" t="s">
        <v>22</v>
      </c>
      <c r="B1115" s="120" t="s">
        <v>146</v>
      </c>
      <c r="C1115" s="107">
        <v>1</v>
      </c>
      <c r="D1115" s="11" t="s">
        <v>143</v>
      </c>
      <c r="E1115" s="114">
        <v>40877</v>
      </c>
      <c r="F1115" s="107">
        <v>2011</v>
      </c>
      <c r="G1115" s="142" t="s">
        <v>3312</v>
      </c>
      <c r="H1115" s="162" t="s">
        <v>3313</v>
      </c>
      <c r="I1115" s="30" t="s">
        <v>38</v>
      </c>
      <c r="J1115" s="32" t="s">
        <v>26</v>
      </c>
      <c r="K1115" s="197" t="s">
        <v>111</v>
      </c>
      <c r="L1115" s="137" t="s">
        <v>40</v>
      </c>
      <c r="M1115" s="137" t="s">
        <v>804</v>
      </c>
      <c r="N1115" s="197"/>
      <c r="O1115" s="197" t="s">
        <v>3314</v>
      </c>
      <c r="P1115" s="197" t="s">
        <v>6059</v>
      </c>
      <c r="Q1115" s="15" t="s">
        <v>282</v>
      </c>
      <c r="R1115" s="164">
        <v>41099</v>
      </c>
      <c r="S1115" s="16" t="s">
        <v>44</v>
      </c>
      <c r="T1115" s="165">
        <v>41442</v>
      </c>
      <c r="U1115" s="624"/>
      <c r="V1115" s="624"/>
      <c r="W1115" s="735">
        <v>40</v>
      </c>
      <c r="X1115" s="7">
        <v>20</v>
      </c>
      <c r="Y1115" s="7" t="str">
        <f t="shared" si="43"/>
        <v/>
      </c>
      <c r="Z1115" s="7">
        <f t="shared" si="41"/>
        <v>20</v>
      </c>
      <c r="AA1115" s="7"/>
      <c r="AB1115" s="504" t="s">
        <v>147</v>
      </c>
      <c r="AC1115" s="138"/>
      <c r="AD1115" s="187">
        <v>0.5</v>
      </c>
      <c r="AE1115" s="187"/>
      <c r="AF1115" s="205">
        <f t="shared" si="42"/>
        <v>0.5</v>
      </c>
      <c r="AG1115" s="138"/>
      <c r="AH1115" s="138"/>
      <c r="AI1115" s="138"/>
      <c r="AJ1115" s="138" t="s">
        <v>1188</v>
      </c>
      <c r="AK1115" s="138" t="s">
        <v>1185</v>
      </c>
      <c r="AL1115" s="146" t="s">
        <v>1178</v>
      </c>
    </row>
    <row r="1116" spans="1:38" ht="15" customHeight="1" x14ac:dyDescent="0.3">
      <c r="A1116" s="181" t="s">
        <v>22</v>
      </c>
      <c r="B1116" s="145" t="s">
        <v>227</v>
      </c>
      <c r="C1116" s="135">
        <v>7</v>
      </c>
      <c r="D1116" s="11" t="s">
        <v>225</v>
      </c>
      <c r="E1116" s="168">
        <v>40261</v>
      </c>
      <c r="F1116" s="136">
        <v>2010</v>
      </c>
      <c r="G1116" s="178" t="s">
        <v>3316</v>
      </c>
      <c r="H1116" s="204" t="s">
        <v>3317</v>
      </c>
      <c r="I1116" s="136" t="s">
        <v>80</v>
      </c>
      <c r="J1116" s="32" t="s">
        <v>26</v>
      </c>
      <c r="K1116" s="197" t="s">
        <v>111</v>
      </c>
      <c r="L1116" s="138" t="s">
        <v>1319</v>
      </c>
      <c r="M1116" s="137" t="s">
        <v>804</v>
      </c>
      <c r="N1116" s="197"/>
      <c r="O1116" s="138" t="s">
        <v>3318</v>
      </c>
      <c r="P1116" s="138" t="s">
        <v>3319</v>
      </c>
      <c r="Q1116" s="15" t="s">
        <v>282</v>
      </c>
      <c r="R1116" s="132">
        <v>41121</v>
      </c>
      <c r="S1116" s="16" t="s">
        <v>44</v>
      </c>
      <c r="T1116" s="133">
        <v>41333</v>
      </c>
      <c r="U1116" s="623"/>
      <c r="V1116" s="623"/>
      <c r="W1116" s="734">
        <v>51.8</v>
      </c>
      <c r="X1116" s="7">
        <v>25.9</v>
      </c>
      <c r="Y1116" s="7" t="str">
        <f t="shared" si="43"/>
        <v/>
      </c>
      <c r="Z1116" s="7">
        <f t="shared" si="41"/>
        <v>25.9</v>
      </c>
      <c r="AA1116" s="7"/>
      <c r="AB1116" s="500" t="s">
        <v>5953</v>
      </c>
      <c r="AC1116" s="501"/>
      <c r="AD1116" s="187">
        <v>0.5</v>
      </c>
      <c r="AE1116" s="187"/>
      <c r="AF1116" s="205">
        <f t="shared" si="42"/>
        <v>0.5</v>
      </c>
      <c r="AG1116" s="138">
        <v>6</v>
      </c>
      <c r="AH1116" s="138" t="s">
        <v>2348</v>
      </c>
      <c r="AI1116" s="138"/>
      <c r="AJ1116" s="138" t="s">
        <v>1188</v>
      </c>
      <c r="AK1116" s="138" t="s">
        <v>1185</v>
      </c>
      <c r="AL1116" s="93" t="s">
        <v>1178</v>
      </c>
    </row>
    <row r="1117" spans="1:38" ht="15" customHeight="1" x14ac:dyDescent="0.3">
      <c r="A1117" s="181" t="s">
        <v>22</v>
      </c>
      <c r="B1117" s="145" t="s">
        <v>189</v>
      </c>
      <c r="C1117" s="135">
        <v>1</v>
      </c>
      <c r="D1117" s="136" t="s">
        <v>190</v>
      </c>
      <c r="E1117" s="168">
        <v>41226</v>
      </c>
      <c r="F1117" s="136">
        <v>2012</v>
      </c>
      <c r="G1117" s="178" t="s">
        <v>3320</v>
      </c>
      <c r="H1117" s="204" t="s">
        <v>3321</v>
      </c>
      <c r="I1117" s="33" t="s">
        <v>33</v>
      </c>
      <c r="J1117" s="181" t="s">
        <v>81</v>
      </c>
      <c r="K1117" s="197" t="s">
        <v>71</v>
      </c>
      <c r="L1117" s="746" t="s">
        <v>40</v>
      </c>
      <c r="M1117" s="137" t="s">
        <v>804</v>
      </c>
      <c r="N1117" s="197"/>
      <c r="O1117" s="138" t="s">
        <v>3322</v>
      </c>
      <c r="P1117" s="138" t="s">
        <v>3323</v>
      </c>
      <c r="Q1117" s="15" t="s">
        <v>35</v>
      </c>
      <c r="R1117" s="132">
        <v>41450</v>
      </c>
      <c r="S1117" s="16" t="s">
        <v>35</v>
      </c>
      <c r="T1117" s="133">
        <v>41528</v>
      </c>
      <c r="U1117" s="623"/>
      <c r="V1117" s="624"/>
      <c r="W1117" s="735">
        <v>20</v>
      </c>
      <c r="X1117" s="7"/>
      <c r="Y1117" s="7">
        <f t="shared" si="43"/>
        <v>20</v>
      </c>
      <c r="Z1117" s="7">
        <f t="shared" si="41"/>
        <v>20</v>
      </c>
      <c r="AA1117" s="216"/>
      <c r="AB1117" s="768" t="s">
        <v>6038</v>
      </c>
      <c r="AC1117" s="565"/>
      <c r="AD1117" s="187"/>
      <c r="AE1117" s="195">
        <v>1</v>
      </c>
      <c r="AF1117" s="205">
        <f t="shared" si="42"/>
        <v>1</v>
      </c>
      <c r="AG1117" s="200">
        <v>8</v>
      </c>
      <c r="AH1117" s="138" t="s">
        <v>3315</v>
      </c>
      <c r="AI1117" s="719" t="s">
        <v>3324</v>
      </c>
      <c r="AJ1117" s="200" t="s">
        <v>1188</v>
      </c>
      <c r="AK1117" s="200" t="s">
        <v>1185</v>
      </c>
      <c r="AL1117" s="200" t="s">
        <v>1178</v>
      </c>
    </row>
    <row r="1118" spans="1:38" ht="15" customHeight="1" x14ac:dyDescent="0.3">
      <c r="A1118" s="181" t="s">
        <v>22</v>
      </c>
      <c r="B1118" s="178" t="s">
        <v>172</v>
      </c>
      <c r="C1118" s="206" t="s">
        <v>2962</v>
      </c>
      <c r="D1118" s="11" t="s">
        <v>143</v>
      </c>
      <c r="E1118" s="168">
        <v>40780</v>
      </c>
      <c r="F1118" s="135">
        <v>2011</v>
      </c>
      <c r="G1118" s="178" t="s">
        <v>3325</v>
      </c>
      <c r="H1118" s="204"/>
      <c r="I1118" s="30" t="s">
        <v>38</v>
      </c>
      <c r="J1118" s="32" t="s">
        <v>26</v>
      </c>
      <c r="K1118" s="197" t="s">
        <v>113</v>
      </c>
      <c r="L1118" s="197" t="s">
        <v>40</v>
      </c>
      <c r="M1118" s="137" t="s">
        <v>804</v>
      </c>
      <c r="N1118" s="197"/>
      <c r="O1118" s="197" t="s">
        <v>3326</v>
      </c>
      <c r="P1118" s="197" t="s">
        <v>3327</v>
      </c>
      <c r="Q1118" s="15" t="s">
        <v>35</v>
      </c>
      <c r="R1118" s="164">
        <v>41320</v>
      </c>
      <c r="S1118" s="16" t="s">
        <v>35</v>
      </c>
      <c r="T1118" s="165">
        <v>41453</v>
      </c>
      <c r="U1118" s="624"/>
      <c r="V1118" s="624"/>
      <c r="W1118" s="735">
        <v>40</v>
      </c>
      <c r="X1118" s="7">
        <v>30</v>
      </c>
      <c r="Y1118" s="7" t="str">
        <f t="shared" si="43"/>
        <v/>
      </c>
      <c r="Z1118" s="7">
        <f t="shared" si="41"/>
        <v>30</v>
      </c>
      <c r="AA1118" s="108">
        <v>43148</v>
      </c>
      <c r="AB1118" s="504" t="s">
        <v>147</v>
      </c>
      <c r="AC1118" s="138"/>
      <c r="AD1118" s="187">
        <v>0.75</v>
      </c>
      <c r="AE1118" s="187"/>
      <c r="AF1118" s="205">
        <f t="shared" si="42"/>
        <v>0.75</v>
      </c>
      <c r="AG1118" s="138"/>
      <c r="AH1118" s="138"/>
      <c r="AI1118" s="718" t="s">
        <v>3328</v>
      </c>
      <c r="AJ1118" s="138" t="s">
        <v>1188</v>
      </c>
      <c r="AK1118" s="138" t="s">
        <v>1185</v>
      </c>
      <c r="AL1118" s="146" t="s">
        <v>1178</v>
      </c>
    </row>
    <row r="1119" spans="1:38" ht="15" customHeight="1" x14ac:dyDescent="0.3">
      <c r="A1119" s="181" t="s">
        <v>22</v>
      </c>
      <c r="B1119" s="145" t="s">
        <v>193</v>
      </c>
      <c r="C1119" s="135">
        <v>3</v>
      </c>
      <c r="D1119" s="136" t="s">
        <v>190</v>
      </c>
      <c r="E1119" s="168">
        <v>40800</v>
      </c>
      <c r="F1119" s="136">
        <v>2011</v>
      </c>
      <c r="G1119" s="178" t="s">
        <v>3329</v>
      </c>
      <c r="H1119" s="217" t="s">
        <v>3330</v>
      </c>
      <c r="I1119" s="136" t="s">
        <v>38</v>
      </c>
      <c r="J1119" s="32" t="s">
        <v>26</v>
      </c>
      <c r="K1119" s="197" t="s">
        <v>111</v>
      </c>
      <c r="L1119" s="765" t="s">
        <v>161</v>
      </c>
      <c r="M1119" s="138" t="s">
        <v>42</v>
      </c>
      <c r="N1119" s="138"/>
      <c r="O1119" s="765" t="s">
        <v>3331</v>
      </c>
      <c r="P1119" s="765" t="s">
        <v>3332</v>
      </c>
      <c r="Q1119" s="15" t="s">
        <v>282</v>
      </c>
      <c r="R1119" s="132">
        <v>41226</v>
      </c>
      <c r="S1119" s="16" t="s">
        <v>44</v>
      </c>
      <c r="T1119" s="133">
        <v>41578</v>
      </c>
      <c r="U1119" s="623"/>
      <c r="V1119" s="624"/>
      <c r="W1119" s="735">
        <v>19.8</v>
      </c>
      <c r="X1119" s="7">
        <v>0</v>
      </c>
      <c r="Y1119" s="7" t="str">
        <f t="shared" si="43"/>
        <v/>
      </c>
      <c r="Z1119" s="7">
        <f t="shared" si="41"/>
        <v>0</v>
      </c>
      <c r="AA1119" s="216"/>
      <c r="AB1119" s="706" t="s">
        <v>1295</v>
      </c>
      <c r="AC1119" s="200"/>
      <c r="AD1119" s="187">
        <v>0</v>
      </c>
      <c r="AE1119" s="195"/>
      <c r="AF1119" s="205">
        <f t="shared" si="42"/>
        <v>0</v>
      </c>
      <c r="AG1119" s="200">
        <v>7</v>
      </c>
      <c r="AH1119" s="138"/>
      <c r="AI1119" s="200"/>
      <c r="AJ1119" s="200" t="s">
        <v>1188</v>
      </c>
      <c r="AK1119" s="200" t="s">
        <v>1185</v>
      </c>
      <c r="AL1119" s="200" t="s">
        <v>1178</v>
      </c>
    </row>
    <row r="1120" spans="1:38" ht="15" customHeight="1" x14ac:dyDescent="0.3">
      <c r="A1120" s="181" t="s">
        <v>22</v>
      </c>
      <c r="B1120" s="153" t="s">
        <v>148</v>
      </c>
      <c r="C1120" s="135">
        <v>1</v>
      </c>
      <c r="D1120" s="11" t="s">
        <v>143</v>
      </c>
      <c r="E1120" s="168">
        <v>40465</v>
      </c>
      <c r="F1120" s="135">
        <v>2010</v>
      </c>
      <c r="G1120" s="135" t="s">
        <v>3333</v>
      </c>
      <c r="H1120" s="204" t="s">
        <v>3334</v>
      </c>
      <c r="I1120" s="33" t="s">
        <v>33</v>
      </c>
      <c r="J1120" s="181" t="s">
        <v>81</v>
      </c>
      <c r="K1120" s="197" t="s">
        <v>71</v>
      </c>
      <c r="L1120" s="197" t="s">
        <v>161</v>
      </c>
      <c r="M1120" s="197" t="s">
        <v>42</v>
      </c>
      <c r="N1120" s="197"/>
      <c r="O1120" s="197" t="s">
        <v>3335</v>
      </c>
      <c r="P1120" s="736" t="s">
        <v>3336</v>
      </c>
      <c r="Q1120" s="15" t="s">
        <v>282</v>
      </c>
      <c r="R1120" s="164">
        <v>41152</v>
      </c>
      <c r="S1120" s="16" t="s">
        <v>44</v>
      </c>
      <c r="T1120" s="165">
        <v>41437</v>
      </c>
      <c r="U1120" s="624"/>
      <c r="V1120" s="624"/>
      <c r="W1120" s="735">
        <v>40</v>
      </c>
      <c r="X1120" s="7">
        <v>0</v>
      </c>
      <c r="Y1120" s="7" t="str">
        <f t="shared" si="43"/>
        <v/>
      </c>
      <c r="Z1120" s="7">
        <f t="shared" si="41"/>
        <v>0</v>
      </c>
      <c r="AA1120" s="7"/>
      <c r="AB1120" s="504" t="s">
        <v>147</v>
      </c>
      <c r="AC1120" s="138"/>
      <c r="AD1120" s="187">
        <v>0</v>
      </c>
      <c r="AE1120" s="187"/>
      <c r="AF1120" s="205">
        <f t="shared" si="42"/>
        <v>0</v>
      </c>
      <c r="AG1120" s="138"/>
      <c r="AH1120" s="138"/>
      <c r="AI1120" s="138"/>
      <c r="AJ1120" s="138" t="s">
        <v>1188</v>
      </c>
      <c r="AK1120" s="30" t="s">
        <v>99</v>
      </c>
      <c r="AL1120" s="146" t="s">
        <v>1178</v>
      </c>
    </row>
    <row r="1121" spans="1:38" ht="15" customHeight="1" x14ac:dyDescent="0.3">
      <c r="A1121" s="181" t="s">
        <v>22</v>
      </c>
      <c r="B1121" s="145" t="s">
        <v>227</v>
      </c>
      <c r="C1121" s="135">
        <v>15</v>
      </c>
      <c r="D1121" s="11" t="s">
        <v>225</v>
      </c>
      <c r="E1121" s="168">
        <v>41032</v>
      </c>
      <c r="F1121" s="136">
        <v>2012</v>
      </c>
      <c r="G1121" s="178" t="s">
        <v>3337</v>
      </c>
      <c r="H1121" s="204" t="s">
        <v>3338</v>
      </c>
      <c r="I1121" s="136" t="s">
        <v>80</v>
      </c>
      <c r="J1121" s="32" t="s">
        <v>26</v>
      </c>
      <c r="K1121" s="197" t="s">
        <v>111</v>
      </c>
      <c r="L1121" s="746" t="s">
        <v>28</v>
      </c>
      <c r="M1121" s="197" t="s">
        <v>42</v>
      </c>
      <c r="N1121" s="197"/>
      <c r="O1121" s="138" t="s">
        <v>3339</v>
      </c>
      <c r="P1121" s="138" t="s">
        <v>3340</v>
      </c>
      <c r="Q1121" s="15" t="s">
        <v>35</v>
      </c>
      <c r="R1121" s="218">
        <v>41486</v>
      </c>
      <c r="S1121" s="16" t="s">
        <v>44</v>
      </c>
      <c r="T1121" s="133">
        <v>41562</v>
      </c>
      <c r="U1121" s="623"/>
      <c r="V1121" s="623"/>
      <c r="W1121" s="734">
        <v>22</v>
      </c>
      <c r="X1121" s="7">
        <v>0</v>
      </c>
      <c r="Y1121" s="7" t="str">
        <f t="shared" si="43"/>
        <v/>
      </c>
      <c r="Z1121" s="7">
        <f t="shared" si="41"/>
        <v>0</v>
      </c>
      <c r="AA1121" s="7"/>
      <c r="AB1121" s="504" t="s">
        <v>6115</v>
      </c>
      <c r="AC1121" s="138"/>
      <c r="AD1121" s="187">
        <v>0</v>
      </c>
      <c r="AE1121" s="187"/>
      <c r="AF1121" s="205">
        <f t="shared" si="42"/>
        <v>0</v>
      </c>
      <c r="AG1121" s="163">
        <v>8</v>
      </c>
      <c r="AH1121" s="138"/>
      <c r="AI1121" s="138"/>
      <c r="AJ1121" s="138" t="s">
        <v>1188</v>
      </c>
      <c r="AK1121" s="181" t="s">
        <v>1185</v>
      </c>
      <c r="AL1121" s="138" t="s">
        <v>1178</v>
      </c>
    </row>
    <row r="1122" spans="1:38" ht="15" customHeight="1" x14ac:dyDescent="0.3">
      <c r="A1122" s="30" t="s">
        <v>22</v>
      </c>
      <c r="B1122" s="30" t="s">
        <v>23</v>
      </c>
      <c r="C1122" s="37">
        <v>5</v>
      </c>
      <c r="D1122" s="11" t="s">
        <v>24</v>
      </c>
      <c r="E1122" s="108">
        <v>41478</v>
      </c>
      <c r="F1122" s="37">
        <v>2013</v>
      </c>
      <c r="G1122" s="30" t="s">
        <v>3342</v>
      </c>
      <c r="H1122" s="162" t="s">
        <v>3343</v>
      </c>
      <c r="I1122" s="30" t="s">
        <v>38</v>
      </c>
      <c r="J1122" s="32" t="s">
        <v>26</v>
      </c>
      <c r="K1122" s="137" t="s">
        <v>111</v>
      </c>
      <c r="L1122" s="137" t="s">
        <v>3344</v>
      </c>
      <c r="M1122" s="137" t="s">
        <v>804</v>
      </c>
      <c r="N1122" s="660"/>
      <c r="O1122" s="93" t="s">
        <v>3345</v>
      </c>
      <c r="P1122" s="138" t="s">
        <v>6060</v>
      </c>
      <c r="Q1122" s="91"/>
      <c r="R1122" s="132"/>
      <c r="S1122" s="92"/>
      <c r="T1122" s="139"/>
      <c r="U1122" s="624"/>
      <c r="V1122" s="624"/>
      <c r="W1122" s="735">
        <v>42.2</v>
      </c>
      <c r="X1122" s="7">
        <v>4.2200000000000006</v>
      </c>
      <c r="Y1122" s="7">
        <f t="shared" si="43"/>
        <v>4.2200000000000006</v>
      </c>
      <c r="Z1122" s="7">
        <f t="shared" si="41"/>
        <v>8.4400000000000013</v>
      </c>
      <c r="AA1122" s="219">
        <v>42449</v>
      </c>
      <c r="AB1122" s="762" t="s">
        <v>3077</v>
      </c>
      <c r="AC1122" s="652"/>
      <c r="AD1122" s="187">
        <v>0.1</v>
      </c>
      <c r="AE1122" s="187">
        <v>0.1</v>
      </c>
      <c r="AF1122" s="205">
        <f t="shared" si="42"/>
        <v>0.2</v>
      </c>
      <c r="AG1122" s="30">
        <v>8</v>
      </c>
      <c r="AH1122" s="30" t="s">
        <v>58</v>
      </c>
      <c r="AI1122" s="719" t="s">
        <v>3346</v>
      </c>
      <c r="AJ1122" s="30" t="s">
        <v>1188</v>
      </c>
      <c r="AK1122" s="30" t="s">
        <v>1177</v>
      </c>
      <c r="AL1122" s="93" t="s">
        <v>1178</v>
      </c>
    </row>
    <row r="1123" spans="1:38" ht="15" customHeight="1" x14ac:dyDescent="0.3">
      <c r="A1123" s="30" t="s">
        <v>22</v>
      </c>
      <c r="B1123" s="30" t="s">
        <v>23</v>
      </c>
      <c r="C1123" s="37">
        <v>5</v>
      </c>
      <c r="D1123" s="11" t="s">
        <v>24</v>
      </c>
      <c r="E1123" s="108">
        <v>41436</v>
      </c>
      <c r="F1123" s="37">
        <v>2013</v>
      </c>
      <c r="G1123" s="30" t="s">
        <v>3347</v>
      </c>
      <c r="H1123" s="162" t="s">
        <v>3348</v>
      </c>
      <c r="I1123" s="12" t="s">
        <v>38</v>
      </c>
      <c r="J1123" s="32" t="s">
        <v>26</v>
      </c>
      <c r="K1123" s="137" t="s">
        <v>1194</v>
      </c>
      <c r="L1123" s="137" t="s">
        <v>3349</v>
      </c>
      <c r="M1123" s="660" t="s">
        <v>42</v>
      </c>
      <c r="N1123" s="709"/>
      <c r="O1123" s="146" t="s">
        <v>3350</v>
      </c>
      <c r="P1123" s="138" t="s">
        <v>3351</v>
      </c>
      <c r="Q1123" s="15" t="s">
        <v>282</v>
      </c>
      <c r="R1123" s="132">
        <v>41701</v>
      </c>
      <c r="S1123" s="92"/>
      <c r="T1123" s="139"/>
      <c r="U1123" s="624"/>
      <c r="V1123" s="624"/>
      <c r="W1123" s="735">
        <v>25</v>
      </c>
      <c r="X1123" s="7">
        <v>0</v>
      </c>
      <c r="Y1123" s="7" t="str">
        <f t="shared" si="43"/>
        <v/>
      </c>
      <c r="Z1123" s="7">
        <f t="shared" si="41"/>
        <v>0</v>
      </c>
      <c r="AA1123" s="7"/>
      <c r="AB1123" s="762" t="s">
        <v>3077</v>
      </c>
      <c r="AC1123" s="652"/>
      <c r="AD1123" s="187">
        <v>0</v>
      </c>
      <c r="AE1123" s="187"/>
      <c r="AF1123" s="205">
        <f t="shared" si="42"/>
        <v>0</v>
      </c>
      <c r="AG1123" s="30">
        <v>8</v>
      </c>
      <c r="AH1123" s="30" t="s">
        <v>3341</v>
      </c>
      <c r="AI1123" s="719" t="s">
        <v>3352</v>
      </c>
      <c r="AJ1123" s="30" t="s">
        <v>1188</v>
      </c>
      <c r="AK1123" s="30" t="s">
        <v>1177</v>
      </c>
      <c r="AL1123" s="93" t="s">
        <v>1178</v>
      </c>
    </row>
    <row r="1124" spans="1:38" ht="15" customHeight="1" x14ac:dyDescent="0.3">
      <c r="A1124" s="30" t="s">
        <v>22</v>
      </c>
      <c r="B1124" s="120" t="s">
        <v>105</v>
      </c>
      <c r="C1124" s="109">
        <v>1</v>
      </c>
      <c r="D1124" s="11" t="s">
        <v>5936</v>
      </c>
      <c r="E1124" s="108">
        <v>38200</v>
      </c>
      <c r="F1124" s="33">
        <v>2004</v>
      </c>
      <c r="G1124" s="142" t="s">
        <v>3353</v>
      </c>
      <c r="H1124" s="162" t="s">
        <v>3354</v>
      </c>
      <c r="I1124" s="12" t="s">
        <v>25</v>
      </c>
      <c r="J1124" s="32" t="s">
        <v>26</v>
      </c>
      <c r="K1124" s="197" t="s">
        <v>111</v>
      </c>
      <c r="L1124" s="137" t="s">
        <v>40</v>
      </c>
      <c r="M1124" s="137" t="s">
        <v>804</v>
      </c>
      <c r="N1124" s="238"/>
      <c r="O1124" s="146" t="s">
        <v>3355</v>
      </c>
      <c r="P1124" s="718" t="s">
        <v>3356</v>
      </c>
      <c r="Q1124" s="15" t="s">
        <v>282</v>
      </c>
      <c r="R1124" s="132">
        <v>39568</v>
      </c>
      <c r="S1124" s="16" t="s">
        <v>35</v>
      </c>
      <c r="T1124" s="133">
        <v>40043</v>
      </c>
      <c r="U1124" s="623" t="s">
        <v>1336</v>
      </c>
      <c r="V1124" s="180">
        <v>41528</v>
      </c>
      <c r="W1124" s="735">
        <v>120</v>
      </c>
      <c r="X1124" s="7">
        <v>120</v>
      </c>
      <c r="Y1124" s="7" t="str">
        <f t="shared" si="43"/>
        <v/>
      </c>
      <c r="Z1124" s="7">
        <f t="shared" si="41"/>
        <v>120</v>
      </c>
      <c r="AA1124" s="219">
        <v>41712</v>
      </c>
      <c r="AB1124" s="564" t="s">
        <v>1073</v>
      </c>
      <c r="AC1124" s="693"/>
      <c r="AD1124" s="187">
        <v>1</v>
      </c>
      <c r="AE1124" s="187"/>
      <c r="AF1124" s="205">
        <f t="shared" si="42"/>
        <v>1</v>
      </c>
      <c r="AG1124" s="163">
        <v>7</v>
      </c>
      <c r="AH1124" s="93"/>
      <c r="AI1124" s="719" t="s">
        <v>3357</v>
      </c>
      <c r="AJ1124" s="93" t="s">
        <v>1188</v>
      </c>
      <c r="AK1124" s="30" t="s">
        <v>99</v>
      </c>
      <c r="AL1124" s="93" t="s">
        <v>1178</v>
      </c>
    </row>
    <row r="1125" spans="1:38" ht="15" customHeight="1" x14ac:dyDescent="0.3">
      <c r="A1125" s="773" t="s">
        <v>140</v>
      </c>
      <c r="B1125" s="145" t="s">
        <v>422</v>
      </c>
      <c r="C1125" s="135">
        <v>2</v>
      </c>
      <c r="D1125" s="136" t="s">
        <v>190</v>
      </c>
      <c r="E1125" s="168">
        <v>41465</v>
      </c>
      <c r="F1125" s="136">
        <v>2013</v>
      </c>
      <c r="G1125" s="774" t="s">
        <v>3358</v>
      </c>
      <c r="H1125" s="204" t="s">
        <v>3359</v>
      </c>
      <c r="I1125" s="33" t="s">
        <v>33</v>
      </c>
      <c r="J1125" s="181" t="s">
        <v>81</v>
      </c>
      <c r="K1125" s="197" t="s">
        <v>141</v>
      </c>
      <c r="L1125" s="746" t="s">
        <v>40</v>
      </c>
      <c r="M1125" s="137" t="s">
        <v>804</v>
      </c>
      <c r="N1125" s="197"/>
      <c r="O1125" s="138" t="s">
        <v>3360</v>
      </c>
      <c r="P1125" s="138" t="s">
        <v>6061</v>
      </c>
      <c r="Q1125" s="15" t="s">
        <v>35</v>
      </c>
      <c r="R1125" s="132">
        <v>41603</v>
      </c>
      <c r="S1125" s="144"/>
      <c r="T1125" s="144"/>
      <c r="U1125" s="707"/>
      <c r="V1125" s="624"/>
      <c r="W1125" s="735">
        <v>5</v>
      </c>
      <c r="X1125" s="216">
        <v>3.75</v>
      </c>
      <c r="Y1125" s="7" t="str">
        <f t="shared" si="43"/>
        <v/>
      </c>
      <c r="Z1125" s="7">
        <f t="shared" si="41"/>
        <v>3.75</v>
      </c>
      <c r="AA1125" s="90">
        <v>42318</v>
      </c>
      <c r="AB1125" s="706" t="s">
        <v>201</v>
      </c>
      <c r="AC1125" s="200"/>
      <c r="AD1125" s="187">
        <v>0.75</v>
      </c>
      <c r="AE1125" s="195"/>
      <c r="AF1125" s="205">
        <f t="shared" si="42"/>
        <v>0.75</v>
      </c>
      <c r="AG1125" s="200">
        <v>8</v>
      </c>
      <c r="AH1125" s="138"/>
      <c r="AI1125" s="200"/>
      <c r="AJ1125" s="200" t="s">
        <v>1188</v>
      </c>
      <c r="AK1125" s="200" t="s">
        <v>1185</v>
      </c>
      <c r="AL1125" s="200" t="s">
        <v>1178</v>
      </c>
    </row>
    <row r="1126" spans="1:38" ht="15" customHeight="1" x14ac:dyDescent="0.3">
      <c r="A1126" s="773" t="s">
        <v>140</v>
      </c>
      <c r="B1126" s="145" t="s">
        <v>422</v>
      </c>
      <c r="C1126" s="135">
        <v>4</v>
      </c>
      <c r="D1126" s="136" t="s">
        <v>190</v>
      </c>
      <c r="E1126" s="168">
        <v>41333</v>
      </c>
      <c r="F1126" s="136">
        <v>2013</v>
      </c>
      <c r="G1126" s="774" t="s">
        <v>3361</v>
      </c>
      <c r="H1126" s="204" t="s">
        <v>3362</v>
      </c>
      <c r="I1126" s="33" t="s">
        <v>33</v>
      </c>
      <c r="J1126" s="181" t="s">
        <v>81</v>
      </c>
      <c r="K1126" s="197" t="s">
        <v>141</v>
      </c>
      <c r="L1126" s="746" t="s">
        <v>161</v>
      </c>
      <c r="M1126" s="197" t="s">
        <v>42</v>
      </c>
      <c r="N1126" s="197"/>
      <c r="O1126" s="138" t="s">
        <v>3363</v>
      </c>
      <c r="P1126" s="138" t="s">
        <v>3364</v>
      </c>
      <c r="Q1126" s="15" t="s">
        <v>282</v>
      </c>
      <c r="R1126" s="132">
        <v>41575</v>
      </c>
      <c r="S1126" s="16" t="s">
        <v>44</v>
      </c>
      <c r="T1126" s="133">
        <v>41674</v>
      </c>
      <c r="U1126" s="623"/>
      <c r="V1126" s="624"/>
      <c r="W1126" s="735">
        <v>5</v>
      </c>
      <c r="X1126" s="216">
        <v>0</v>
      </c>
      <c r="Y1126" s="7" t="str">
        <f t="shared" si="43"/>
        <v/>
      </c>
      <c r="Z1126" s="7">
        <f t="shared" si="41"/>
        <v>0</v>
      </c>
      <c r="AA1126" s="216"/>
      <c r="AB1126" s="706" t="s">
        <v>201</v>
      </c>
      <c r="AC1126" s="200"/>
      <c r="AD1126" s="187">
        <v>0</v>
      </c>
      <c r="AE1126" s="195"/>
      <c r="AF1126" s="205">
        <f t="shared" si="42"/>
        <v>0</v>
      </c>
      <c r="AG1126" s="200">
        <v>8</v>
      </c>
      <c r="AH1126" s="138"/>
      <c r="AI1126" s="200"/>
      <c r="AJ1126" s="200" t="s">
        <v>1188</v>
      </c>
      <c r="AK1126" s="200" t="s">
        <v>1185</v>
      </c>
      <c r="AL1126" s="200" t="s">
        <v>1178</v>
      </c>
    </row>
    <row r="1127" spans="1:38" ht="15" customHeight="1" x14ac:dyDescent="0.3">
      <c r="A1127" s="30" t="s">
        <v>22</v>
      </c>
      <c r="B1127" s="145" t="s">
        <v>144</v>
      </c>
      <c r="C1127" s="107">
        <v>2</v>
      </c>
      <c r="D1127" s="11" t="s">
        <v>143</v>
      </c>
      <c r="E1127" s="108">
        <v>36647</v>
      </c>
      <c r="F1127" s="12">
        <v>2000</v>
      </c>
      <c r="G1127" s="142" t="s">
        <v>3365</v>
      </c>
      <c r="H1127" s="162" t="s">
        <v>3366</v>
      </c>
      <c r="I1127" s="33" t="s">
        <v>33</v>
      </c>
      <c r="J1127" s="32" t="s">
        <v>26</v>
      </c>
      <c r="K1127" s="197" t="s">
        <v>1194</v>
      </c>
      <c r="L1127" s="137" t="s">
        <v>40</v>
      </c>
      <c r="M1127" s="137" t="s">
        <v>804</v>
      </c>
      <c r="N1127" s="137"/>
      <c r="O1127" s="93" t="s">
        <v>2487</v>
      </c>
      <c r="P1127" s="718" t="s">
        <v>3367</v>
      </c>
      <c r="Q1127" s="15" t="s">
        <v>35</v>
      </c>
      <c r="R1127" s="132">
        <v>38685</v>
      </c>
      <c r="S1127" s="16" t="s">
        <v>35</v>
      </c>
      <c r="T1127" s="133">
        <v>39632</v>
      </c>
      <c r="U1127" s="623" t="s">
        <v>3368</v>
      </c>
      <c r="V1127" s="180">
        <v>41703</v>
      </c>
      <c r="W1127" s="735">
        <v>180</v>
      </c>
      <c r="X1127" s="7">
        <v>180</v>
      </c>
      <c r="Y1127" s="7" t="str">
        <f t="shared" si="43"/>
        <v/>
      </c>
      <c r="Z1127" s="7">
        <f t="shared" si="41"/>
        <v>180</v>
      </c>
      <c r="AA1127" s="108">
        <v>42215</v>
      </c>
      <c r="AB1127" s="503" t="s">
        <v>6055</v>
      </c>
      <c r="AC1127" s="222"/>
      <c r="AD1127" s="187">
        <v>1</v>
      </c>
      <c r="AE1127" s="187"/>
      <c r="AF1127" s="205">
        <f t="shared" si="42"/>
        <v>1</v>
      </c>
      <c r="AG1127" s="88">
        <v>10</v>
      </c>
      <c r="AH1127" s="93" t="s">
        <v>6004</v>
      </c>
      <c r="AI1127" s="93"/>
      <c r="AJ1127" s="93" t="s">
        <v>1188</v>
      </c>
      <c r="AK1127" s="30" t="s">
        <v>99</v>
      </c>
      <c r="AL1127" s="93" t="s">
        <v>1178</v>
      </c>
    </row>
    <row r="1128" spans="1:38" ht="15" customHeight="1" x14ac:dyDescent="0.3">
      <c r="A1128" s="181" t="s">
        <v>22</v>
      </c>
      <c r="B1128" s="153" t="s">
        <v>145</v>
      </c>
      <c r="C1128" s="135">
        <v>1</v>
      </c>
      <c r="D1128" s="11" t="s">
        <v>143</v>
      </c>
      <c r="E1128" s="168">
        <v>40828</v>
      </c>
      <c r="F1128" s="204" t="s">
        <v>6062</v>
      </c>
      <c r="G1128" s="181" t="s">
        <v>3369</v>
      </c>
      <c r="H1128" s="204" t="s">
        <v>3370</v>
      </c>
      <c r="I1128" s="30" t="s">
        <v>38</v>
      </c>
      <c r="J1128" s="32" t="s">
        <v>26</v>
      </c>
      <c r="K1128" s="197" t="s">
        <v>180</v>
      </c>
      <c r="L1128" s="197" t="s">
        <v>40</v>
      </c>
      <c r="M1128" s="137" t="s">
        <v>804</v>
      </c>
      <c r="N1128" s="197"/>
      <c r="O1128" s="197" t="s">
        <v>3371</v>
      </c>
      <c r="P1128" s="197" t="s">
        <v>3372</v>
      </c>
      <c r="Q1128" s="15" t="s">
        <v>35</v>
      </c>
      <c r="R1128" s="132">
        <v>41410</v>
      </c>
      <c r="S1128" s="16" t="s">
        <v>35</v>
      </c>
      <c r="T1128" s="133">
        <v>41578</v>
      </c>
      <c r="U1128" s="623"/>
      <c r="V1128" s="623"/>
      <c r="W1128" s="734">
        <v>40</v>
      </c>
      <c r="X1128" s="7">
        <v>30</v>
      </c>
      <c r="Y1128" s="7">
        <f t="shared" si="43"/>
        <v>10</v>
      </c>
      <c r="Z1128" s="7">
        <f t="shared" ref="Z1128:Z1141" si="44">IF(Y1128="",X1128,Y1128+X1128)</f>
        <v>40</v>
      </c>
      <c r="AA1128" s="108">
        <v>42656</v>
      </c>
      <c r="AB1128" s="504" t="s">
        <v>6063</v>
      </c>
      <c r="AC1128" s="138"/>
      <c r="AD1128" s="187">
        <v>0.75</v>
      </c>
      <c r="AE1128" s="196">
        <v>0.25</v>
      </c>
      <c r="AF1128" s="205">
        <f t="shared" ref="AF1128:AF1154" si="45">AE1128+AD1128</f>
        <v>1</v>
      </c>
      <c r="AG1128" s="138"/>
      <c r="AH1128" s="138"/>
      <c r="AI1128" s="138"/>
      <c r="AJ1128" s="138" t="s">
        <v>1188</v>
      </c>
      <c r="AK1128" s="138" t="s">
        <v>1185</v>
      </c>
      <c r="AL1128" s="93" t="s">
        <v>1178</v>
      </c>
    </row>
    <row r="1129" spans="1:38" ht="15" customHeight="1" x14ac:dyDescent="0.3">
      <c r="A1129" s="30" t="s">
        <v>22</v>
      </c>
      <c r="B1129" s="120" t="s">
        <v>159</v>
      </c>
      <c r="C1129" s="107">
        <v>3</v>
      </c>
      <c r="D1129" s="11" t="s">
        <v>143</v>
      </c>
      <c r="E1129" s="114">
        <v>41472</v>
      </c>
      <c r="F1129" s="107">
        <v>2013</v>
      </c>
      <c r="G1129" s="142" t="s">
        <v>3373</v>
      </c>
      <c r="H1129" s="162"/>
      <c r="I1129" s="30" t="s">
        <v>38</v>
      </c>
      <c r="J1129" s="32" t="s">
        <v>26</v>
      </c>
      <c r="K1129" s="197" t="s">
        <v>111</v>
      </c>
      <c r="L1129" s="137" t="s">
        <v>40</v>
      </c>
      <c r="M1129" s="137" t="s">
        <v>804</v>
      </c>
      <c r="N1129" s="197"/>
      <c r="O1129" s="197" t="s">
        <v>3374</v>
      </c>
      <c r="P1129" s="197" t="s">
        <v>6064</v>
      </c>
      <c r="Q1129" s="15" t="s">
        <v>35</v>
      </c>
      <c r="R1129" s="132">
        <v>41612</v>
      </c>
      <c r="S1129" s="92"/>
      <c r="T1129" s="133"/>
      <c r="U1129" s="623"/>
      <c r="V1129" s="623"/>
      <c r="W1129" s="734">
        <v>13</v>
      </c>
      <c r="X1129" s="7">
        <v>2.6</v>
      </c>
      <c r="Y1129" s="7">
        <f t="shared" si="43"/>
        <v>2.6</v>
      </c>
      <c r="Z1129" s="7">
        <f t="shared" si="44"/>
        <v>5.2</v>
      </c>
      <c r="AA1129" s="108">
        <v>41690</v>
      </c>
      <c r="AB1129" s="579" t="s">
        <v>5975</v>
      </c>
      <c r="AC1129" s="580"/>
      <c r="AD1129" s="187">
        <v>0.2</v>
      </c>
      <c r="AE1129" s="195">
        <v>0.2</v>
      </c>
      <c r="AF1129" s="205">
        <f t="shared" si="45"/>
        <v>0.4</v>
      </c>
      <c r="AG1129" s="138">
        <v>8</v>
      </c>
      <c r="AH1129" s="200"/>
      <c r="AI1129" s="718" t="s">
        <v>3375</v>
      </c>
      <c r="AJ1129" s="138" t="s">
        <v>1188</v>
      </c>
      <c r="AK1129" s="138" t="s">
        <v>1177</v>
      </c>
      <c r="AL1129" s="146" t="s">
        <v>1178</v>
      </c>
    </row>
    <row r="1130" spans="1:38" ht="15" customHeight="1" x14ac:dyDescent="0.3">
      <c r="A1130" s="181" t="s">
        <v>22</v>
      </c>
      <c r="B1130" s="167" t="s">
        <v>105</v>
      </c>
      <c r="C1130" s="135">
        <v>1</v>
      </c>
      <c r="D1130" s="11" t="s">
        <v>5936</v>
      </c>
      <c r="E1130" s="168">
        <v>39286</v>
      </c>
      <c r="F1130" s="136">
        <v>2007</v>
      </c>
      <c r="G1130" s="178" t="s">
        <v>3376</v>
      </c>
      <c r="H1130" s="204" t="s">
        <v>3377</v>
      </c>
      <c r="I1130" s="33" t="s">
        <v>33</v>
      </c>
      <c r="J1130" s="32" t="s">
        <v>26</v>
      </c>
      <c r="K1130" s="138" t="s">
        <v>103</v>
      </c>
      <c r="L1130" s="138" t="s">
        <v>132</v>
      </c>
      <c r="M1130" s="137" t="s">
        <v>42</v>
      </c>
      <c r="N1130" s="137"/>
      <c r="O1130" s="138" t="s">
        <v>3378</v>
      </c>
      <c r="P1130" s="718" t="s">
        <v>3379</v>
      </c>
      <c r="Q1130" s="15" t="s">
        <v>35</v>
      </c>
      <c r="R1130" s="132">
        <v>39759</v>
      </c>
      <c r="S1130" s="16" t="s">
        <v>44</v>
      </c>
      <c r="T1130" s="133">
        <v>39994</v>
      </c>
      <c r="U1130" s="623" t="s">
        <v>1336</v>
      </c>
      <c r="V1130" s="721">
        <v>41674</v>
      </c>
      <c r="W1130" s="734">
        <v>30</v>
      </c>
      <c r="X1130" s="7">
        <v>0</v>
      </c>
      <c r="Y1130" s="7" t="str">
        <f t="shared" si="43"/>
        <v/>
      </c>
      <c r="Z1130" s="7">
        <f t="shared" si="44"/>
        <v>0</v>
      </c>
      <c r="AA1130" s="7"/>
      <c r="AB1130" s="564" t="s">
        <v>1073</v>
      </c>
      <c r="AC1130" s="693"/>
      <c r="AD1130" s="187">
        <v>0</v>
      </c>
      <c r="AE1130" s="187"/>
      <c r="AF1130" s="205">
        <f t="shared" si="45"/>
        <v>0</v>
      </c>
      <c r="AG1130" s="138">
        <v>7.5</v>
      </c>
      <c r="AH1130" s="138"/>
      <c r="AI1130" s="138"/>
      <c r="AJ1130" s="138" t="s">
        <v>1188</v>
      </c>
      <c r="AK1130" s="30" t="s">
        <v>99</v>
      </c>
      <c r="AL1130" s="138" t="s">
        <v>1178</v>
      </c>
    </row>
    <row r="1131" spans="1:38" ht="15" customHeight="1" x14ac:dyDescent="0.3">
      <c r="A1131" s="181" t="s">
        <v>22</v>
      </c>
      <c r="B1131" s="145" t="s">
        <v>105</v>
      </c>
      <c r="C1131" s="135">
        <v>15</v>
      </c>
      <c r="D1131" s="11" t="s">
        <v>5936</v>
      </c>
      <c r="E1131" s="168">
        <v>40431</v>
      </c>
      <c r="F1131" s="136">
        <v>2010</v>
      </c>
      <c r="G1131" s="178" t="s">
        <v>3381</v>
      </c>
      <c r="H1131" s="204" t="s">
        <v>3382</v>
      </c>
      <c r="I1131" s="136" t="s">
        <v>38</v>
      </c>
      <c r="J1131" s="32" t="s">
        <v>26</v>
      </c>
      <c r="K1131" s="197" t="s">
        <v>111</v>
      </c>
      <c r="L1131" s="197" t="s">
        <v>132</v>
      </c>
      <c r="M1131" s="197" t="s">
        <v>42</v>
      </c>
      <c r="N1131" s="197"/>
      <c r="O1131" s="138" t="s">
        <v>3383</v>
      </c>
      <c r="P1131" s="138" t="s">
        <v>6065</v>
      </c>
      <c r="Q1131" s="15" t="s">
        <v>282</v>
      </c>
      <c r="R1131" s="132">
        <v>41089</v>
      </c>
      <c r="S1131" s="16" t="s">
        <v>44</v>
      </c>
      <c r="T1131" s="133">
        <v>41607</v>
      </c>
      <c r="U1131" s="623"/>
      <c r="V1131" s="624"/>
      <c r="W1131" s="735">
        <v>18.8</v>
      </c>
      <c r="X1131" s="7">
        <v>0</v>
      </c>
      <c r="Y1131" s="7" t="str">
        <f t="shared" si="43"/>
        <v/>
      </c>
      <c r="Z1131" s="7">
        <f t="shared" si="44"/>
        <v>0</v>
      </c>
      <c r="AA1131" s="7"/>
      <c r="AB1131" s="564" t="s">
        <v>1073</v>
      </c>
      <c r="AC1131" s="693"/>
      <c r="AD1131" s="187">
        <v>0</v>
      </c>
      <c r="AE1131" s="187"/>
      <c r="AF1131" s="205">
        <f t="shared" si="45"/>
        <v>0</v>
      </c>
      <c r="AG1131" s="163">
        <v>7</v>
      </c>
      <c r="AH1131" s="138" t="s">
        <v>1151</v>
      </c>
      <c r="AI1131" s="683"/>
      <c r="AJ1131" s="138" t="s">
        <v>1188</v>
      </c>
      <c r="AK1131" s="138" t="s">
        <v>1185</v>
      </c>
      <c r="AL1131" s="138" t="s">
        <v>1178</v>
      </c>
    </row>
    <row r="1132" spans="1:38" ht="15" customHeight="1" x14ac:dyDescent="0.3">
      <c r="A1132" s="181" t="s">
        <v>22</v>
      </c>
      <c r="B1132" s="145" t="s">
        <v>197</v>
      </c>
      <c r="C1132" s="135">
        <v>2</v>
      </c>
      <c r="D1132" s="136" t="s">
        <v>190</v>
      </c>
      <c r="E1132" s="168">
        <v>40703</v>
      </c>
      <c r="F1132" s="136">
        <v>2011</v>
      </c>
      <c r="G1132" s="178" t="s">
        <v>3385</v>
      </c>
      <c r="H1132" s="204" t="s">
        <v>3386</v>
      </c>
      <c r="I1132" s="33" t="s">
        <v>33</v>
      </c>
      <c r="J1132" s="32" t="s">
        <v>26</v>
      </c>
      <c r="K1132" s="197" t="s">
        <v>103</v>
      </c>
      <c r="L1132" s="138" t="s">
        <v>161</v>
      </c>
      <c r="M1132" s="197" t="s">
        <v>42</v>
      </c>
      <c r="N1132" s="197"/>
      <c r="O1132" s="138" t="s">
        <v>3387</v>
      </c>
      <c r="P1132" s="718" t="s">
        <v>3388</v>
      </c>
      <c r="Q1132" s="15" t="s">
        <v>282</v>
      </c>
      <c r="R1132" s="179">
        <v>41054</v>
      </c>
      <c r="S1132" s="16" t="s">
        <v>44</v>
      </c>
      <c r="T1132" s="191">
        <v>42258</v>
      </c>
      <c r="U1132" s="707"/>
      <c r="V1132" s="624"/>
      <c r="W1132" s="735">
        <v>80</v>
      </c>
      <c r="X1132" s="216">
        <v>0</v>
      </c>
      <c r="Y1132" s="7" t="str">
        <f t="shared" si="43"/>
        <v/>
      </c>
      <c r="Z1132" s="7">
        <f t="shared" si="44"/>
        <v>0</v>
      </c>
      <c r="AA1132" s="216"/>
      <c r="AB1132" s="564" t="s">
        <v>2595</v>
      </c>
      <c r="AC1132" s="693"/>
      <c r="AD1132" s="187">
        <v>0</v>
      </c>
      <c r="AE1132" s="195"/>
      <c r="AF1132" s="205">
        <f t="shared" si="45"/>
        <v>0</v>
      </c>
      <c r="AG1132" s="200">
        <v>7</v>
      </c>
      <c r="AH1132" s="138" t="s">
        <v>3380</v>
      </c>
      <c r="AI1132" s="200"/>
      <c r="AJ1132" s="200" t="s">
        <v>1188</v>
      </c>
      <c r="AK1132" s="30" t="s">
        <v>99</v>
      </c>
      <c r="AL1132" s="200" t="s">
        <v>1178</v>
      </c>
    </row>
    <row r="1133" spans="1:38" ht="15" customHeight="1" x14ac:dyDescent="0.3">
      <c r="A1133" s="181" t="s">
        <v>22</v>
      </c>
      <c r="B1133" s="145" t="s">
        <v>1038</v>
      </c>
      <c r="C1133" s="135">
        <v>2</v>
      </c>
      <c r="D1133" s="136" t="s">
        <v>190</v>
      </c>
      <c r="E1133" s="168">
        <v>40750</v>
      </c>
      <c r="F1133" s="136">
        <v>2011</v>
      </c>
      <c r="G1133" s="178" t="s">
        <v>3389</v>
      </c>
      <c r="H1133" s="204"/>
      <c r="I1133" s="33" t="s">
        <v>33</v>
      </c>
      <c r="J1133" s="32" t="s">
        <v>26</v>
      </c>
      <c r="K1133" s="138" t="s">
        <v>103</v>
      </c>
      <c r="L1133" s="765" t="s">
        <v>161</v>
      </c>
      <c r="M1133" s="138" t="s">
        <v>42</v>
      </c>
      <c r="N1133" s="138"/>
      <c r="O1133" s="138" t="s">
        <v>3390</v>
      </c>
      <c r="P1133" s="138" t="s">
        <v>3391</v>
      </c>
      <c r="Q1133" s="15" t="s">
        <v>282</v>
      </c>
      <c r="R1133" s="179">
        <v>41145</v>
      </c>
      <c r="S1133" s="16" t="s">
        <v>44</v>
      </c>
      <c r="T1133" s="191">
        <v>41410</v>
      </c>
      <c r="U1133" s="707"/>
      <c r="V1133" s="624"/>
      <c r="W1133" s="735">
        <v>80</v>
      </c>
      <c r="X1133" s="216">
        <v>0</v>
      </c>
      <c r="Y1133" s="7" t="str">
        <f t="shared" si="43"/>
        <v/>
      </c>
      <c r="Z1133" s="7">
        <f t="shared" si="44"/>
        <v>0</v>
      </c>
      <c r="AA1133" s="216"/>
      <c r="AB1133" s="706" t="s">
        <v>2922</v>
      </c>
      <c r="AC1133" s="200"/>
      <c r="AD1133" s="187">
        <v>0</v>
      </c>
      <c r="AE1133" s="195"/>
      <c r="AF1133" s="205">
        <f t="shared" si="45"/>
        <v>0</v>
      </c>
      <c r="AG1133" s="200">
        <v>7</v>
      </c>
      <c r="AH1133" s="138" t="s">
        <v>3384</v>
      </c>
      <c r="AI1133" s="200"/>
      <c r="AJ1133" s="200" t="s">
        <v>1188</v>
      </c>
      <c r="AK1133" s="200" t="s">
        <v>1185</v>
      </c>
      <c r="AL1133" s="200" t="s">
        <v>1178</v>
      </c>
    </row>
    <row r="1134" spans="1:38" ht="15" customHeight="1" x14ac:dyDescent="0.3">
      <c r="A1134" s="181" t="s">
        <v>22</v>
      </c>
      <c r="B1134" s="145" t="s">
        <v>105</v>
      </c>
      <c r="C1134" s="135">
        <v>20</v>
      </c>
      <c r="D1134" s="11" t="s">
        <v>5936</v>
      </c>
      <c r="E1134" s="168">
        <v>41024</v>
      </c>
      <c r="F1134" s="136">
        <v>2012</v>
      </c>
      <c r="G1134" s="178" t="s">
        <v>3392</v>
      </c>
      <c r="H1134" s="204" t="s">
        <v>3393</v>
      </c>
      <c r="I1134" s="136" t="s">
        <v>80</v>
      </c>
      <c r="J1134" s="32" t="s">
        <v>26</v>
      </c>
      <c r="K1134" s="197" t="s">
        <v>111</v>
      </c>
      <c r="L1134" s="765" t="s">
        <v>161</v>
      </c>
      <c r="M1134" s="197" t="s">
        <v>42</v>
      </c>
      <c r="N1134" s="197"/>
      <c r="O1134" s="138" t="s">
        <v>3394</v>
      </c>
      <c r="P1134" s="138" t="s">
        <v>3395</v>
      </c>
      <c r="Q1134" s="15" t="s">
        <v>282</v>
      </c>
      <c r="R1134" s="132">
        <v>41466</v>
      </c>
      <c r="S1134" s="16" t="s">
        <v>44</v>
      </c>
      <c r="T1134" s="133">
        <v>41563</v>
      </c>
      <c r="U1134" s="623"/>
      <c r="V1134" s="624"/>
      <c r="W1134" s="256">
        <v>28.2</v>
      </c>
      <c r="X1134" s="7">
        <v>0</v>
      </c>
      <c r="Y1134" s="7" t="str">
        <f t="shared" si="43"/>
        <v/>
      </c>
      <c r="Z1134" s="7">
        <f t="shared" si="44"/>
        <v>0</v>
      </c>
      <c r="AA1134" s="7"/>
      <c r="AB1134" s="513" t="s">
        <v>3232</v>
      </c>
      <c r="AC1134" s="147"/>
      <c r="AD1134" s="196">
        <v>0</v>
      </c>
      <c r="AE1134" s="196"/>
      <c r="AF1134" s="205">
        <f t="shared" si="45"/>
        <v>0</v>
      </c>
      <c r="AG1134" s="138">
        <v>8</v>
      </c>
      <c r="AH1134" s="138"/>
      <c r="AI1134" s="138"/>
      <c r="AJ1134" s="138" t="s">
        <v>1188</v>
      </c>
      <c r="AK1134" s="181" t="s">
        <v>1185</v>
      </c>
      <c r="AL1134" s="138" t="s">
        <v>1178</v>
      </c>
    </row>
    <row r="1135" spans="1:38" ht="15" customHeight="1" x14ac:dyDescent="0.3">
      <c r="A1135" s="181" t="s">
        <v>22</v>
      </c>
      <c r="B1135" s="145" t="s">
        <v>105</v>
      </c>
      <c r="C1135" s="135">
        <v>15</v>
      </c>
      <c r="D1135" s="11" t="s">
        <v>5936</v>
      </c>
      <c r="E1135" s="168">
        <v>41108</v>
      </c>
      <c r="F1135" s="136">
        <v>2012</v>
      </c>
      <c r="G1135" s="178" t="s">
        <v>3396</v>
      </c>
      <c r="H1135" s="204" t="s">
        <v>3397</v>
      </c>
      <c r="I1135" s="136" t="s">
        <v>25</v>
      </c>
      <c r="J1135" s="32" t="s">
        <v>26</v>
      </c>
      <c r="K1135" s="197" t="s">
        <v>111</v>
      </c>
      <c r="L1135" s="746" t="s">
        <v>161</v>
      </c>
      <c r="M1135" s="197" t="s">
        <v>42</v>
      </c>
      <c r="N1135" s="197"/>
      <c r="O1135" s="138" t="s">
        <v>3398</v>
      </c>
      <c r="P1135" s="138" t="s">
        <v>3399</v>
      </c>
      <c r="Q1135" s="15" t="s">
        <v>282</v>
      </c>
      <c r="R1135" s="132">
        <v>41512</v>
      </c>
      <c r="S1135" s="16" t="s">
        <v>44</v>
      </c>
      <c r="T1135" s="133">
        <v>41549</v>
      </c>
      <c r="U1135" s="623"/>
      <c r="V1135" s="624"/>
      <c r="W1135" s="256">
        <v>100</v>
      </c>
      <c r="X1135" s="7">
        <v>0</v>
      </c>
      <c r="Y1135" s="7" t="str">
        <f t="shared" si="43"/>
        <v/>
      </c>
      <c r="Z1135" s="7">
        <f t="shared" si="44"/>
        <v>0</v>
      </c>
      <c r="AA1135" s="7"/>
      <c r="AB1135" s="564" t="s">
        <v>1073</v>
      </c>
      <c r="AC1135" s="693"/>
      <c r="AD1135" s="196">
        <v>0</v>
      </c>
      <c r="AE1135" s="196"/>
      <c r="AF1135" s="205">
        <f t="shared" si="45"/>
        <v>0</v>
      </c>
      <c r="AG1135" s="138">
        <v>8</v>
      </c>
      <c r="AH1135" s="138" t="s">
        <v>2939</v>
      </c>
      <c r="AI1135" s="138"/>
      <c r="AJ1135" s="138" t="s">
        <v>1188</v>
      </c>
      <c r="AK1135" s="181" t="s">
        <v>1185</v>
      </c>
      <c r="AL1135" s="138" t="s">
        <v>1178</v>
      </c>
    </row>
    <row r="1136" spans="1:38" ht="15" customHeight="1" x14ac:dyDescent="0.3">
      <c r="A1136" s="181" t="s">
        <v>22</v>
      </c>
      <c r="B1136" s="167" t="s">
        <v>105</v>
      </c>
      <c r="C1136" s="135">
        <v>5</v>
      </c>
      <c r="D1136" s="11" t="s">
        <v>5936</v>
      </c>
      <c r="E1136" s="168">
        <v>39904</v>
      </c>
      <c r="F1136" s="136">
        <v>2009</v>
      </c>
      <c r="G1136" s="178" t="s">
        <v>3400</v>
      </c>
      <c r="H1136" s="204" t="s">
        <v>3401</v>
      </c>
      <c r="I1136" s="136" t="s">
        <v>80</v>
      </c>
      <c r="J1136" s="32" t="s">
        <v>26</v>
      </c>
      <c r="K1136" s="138" t="s">
        <v>1194</v>
      </c>
      <c r="L1136" s="138" t="s">
        <v>1319</v>
      </c>
      <c r="M1136" s="137" t="s">
        <v>804</v>
      </c>
      <c r="N1136" s="138"/>
      <c r="O1136" s="138" t="s">
        <v>3402</v>
      </c>
      <c r="P1136" s="138" t="s">
        <v>3403</v>
      </c>
      <c r="Q1136" s="15" t="s">
        <v>35</v>
      </c>
      <c r="R1136" s="132">
        <v>40816</v>
      </c>
      <c r="S1136" s="16" t="s">
        <v>35</v>
      </c>
      <c r="T1136" s="133">
        <v>41698</v>
      </c>
      <c r="U1136" s="623"/>
      <c r="V1136" s="623"/>
      <c r="W1136" s="743">
        <v>70</v>
      </c>
      <c r="X1136" s="7">
        <v>52.5</v>
      </c>
      <c r="Y1136" s="7" t="str">
        <f t="shared" si="43"/>
        <v/>
      </c>
      <c r="Z1136" s="7">
        <f t="shared" si="44"/>
        <v>52.5</v>
      </c>
      <c r="AA1136" s="108">
        <v>43363</v>
      </c>
      <c r="AB1136" s="564" t="s">
        <v>1073</v>
      </c>
      <c r="AC1136" s="693"/>
      <c r="AD1136" s="187">
        <v>0.75</v>
      </c>
      <c r="AE1136" s="196"/>
      <c r="AF1136" s="210">
        <f t="shared" si="45"/>
        <v>0.75</v>
      </c>
      <c r="AG1136" s="138">
        <v>7</v>
      </c>
      <c r="AH1136" s="138" t="s">
        <v>2883</v>
      </c>
      <c r="AI1136" s="718" t="s">
        <v>3405</v>
      </c>
      <c r="AJ1136" s="138" t="s">
        <v>1188</v>
      </c>
      <c r="AK1136" s="138" t="s">
        <v>1185</v>
      </c>
      <c r="AL1136" s="138" t="s">
        <v>1178</v>
      </c>
    </row>
    <row r="1137" spans="1:38" ht="15" customHeight="1" x14ac:dyDescent="0.3">
      <c r="A1137" s="181" t="s">
        <v>22</v>
      </c>
      <c r="B1137" s="145" t="s">
        <v>228</v>
      </c>
      <c r="C1137" s="135">
        <v>3</v>
      </c>
      <c r="D1137" s="11" t="s">
        <v>225</v>
      </c>
      <c r="E1137" s="168">
        <v>40438</v>
      </c>
      <c r="F1137" s="136">
        <v>2010</v>
      </c>
      <c r="G1137" s="178" t="s">
        <v>3407</v>
      </c>
      <c r="H1137" s="204" t="s">
        <v>3408</v>
      </c>
      <c r="I1137" s="33" t="s">
        <v>33</v>
      </c>
      <c r="J1137" s="32" t="s">
        <v>26</v>
      </c>
      <c r="K1137" s="197" t="s">
        <v>1708</v>
      </c>
      <c r="L1137" s="138" t="s">
        <v>161</v>
      </c>
      <c r="M1137" s="197" t="s">
        <v>42</v>
      </c>
      <c r="N1137" s="197"/>
      <c r="O1137" s="138" t="s">
        <v>3409</v>
      </c>
      <c r="P1137" s="138" t="s">
        <v>6066</v>
      </c>
      <c r="Q1137" s="15" t="s">
        <v>282</v>
      </c>
      <c r="R1137" s="132">
        <v>41486</v>
      </c>
      <c r="S1137" s="16" t="s">
        <v>44</v>
      </c>
      <c r="T1137" s="133">
        <v>41597</v>
      </c>
      <c r="U1137" s="623"/>
      <c r="V1137" s="623"/>
      <c r="W1137" s="734">
        <v>95</v>
      </c>
      <c r="X1137" s="7">
        <v>0</v>
      </c>
      <c r="Y1137" s="7" t="str">
        <f t="shared" si="43"/>
        <v/>
      </c>
      <c r="Z1137" s="7">
        <f t="shared" si="44"/>
        <v>0</v>
      </c>
      <c r="AA1137" s="7"/>
      <c r="AB1137" s="504" t="s">
        <v>6126</v>
      </c>
      <c r="AC1137" s="138"/>
      <c r="AD1137" s="187">
        <v>0</v>
      </c>
      <c r="AE1137" s="187"/>
      <c r="AF1137" s="205">
        <f t="shared" si="45"/>
        <v>0</v>
      </c>
      <c r="AG1137" s="138">
        <v>7</v>
      </c>
      <c r="AH1137" s="138" t="s">
        <v>3051</v>
      </c>
      <c r="AI1137" s="138"/>
      <c r="AJ1137" s="138" t="s">
        <v>1188</v>
      </c>
      <c r="AK1137" s="138" t="s">
        <v>1185</v>
      </c>
      <c r="AL1137" s="93" t="s">
        <v>1178</v>
      </c>
    </row>
    <row r="1138" spans="1:38" ht="15" customHeight="1" x14ac:dyDescent="0.3">
      <c r="A1138" s="181" t="s">
        <v>22</v>
      </c>
      <c r="B1138" s="145" t="s">
        <v>228</v>
      </c>
      <c r="C1138" s="135">
        <v>2</v>
      </c>
      <c r="D1138" s="11" t="s">
        <v>225</v>
      </c>
      <c r="E1138" s="168">
        <v>40785</v>
      </c>
      <c r="F1138" s="136">
        <v>2011</v>
      </c>
      <c r="G1138" s="178" t="s">
        <v>3411</v>
      </c>
      <c r="H1138" s="204" t="s">
        <v>3412</v>
      </c>
      <c r="I1138" s="33" t="s">
        <v>33</v>
      </c>
      <c r="J1138" s="32" t="s">
        <v>26</v>
      </c>
      <c r="K1138" s="197" t="s">
        <v>1708</v>
      </c>
      <c r="L1138" s="138" t="s">
        <v>1319</v>
      </c>
      <c r="M1138" s="137" t="s">
        <v>804</v>
      </c>
      <c r="N1138" s="746"/>
      <c r="O1138" s="765" t="s">
        <v>3413</v>
      </c>
      <c r="P1138" s="765" t="s">
        <v>3414</v>
      </c>
      <c r="Q1138" s="15" t="s">
        <v>282</v>
      </c>
      <c r="R1138" s="132">
        <v>41240</v>
      </c>
      <c r="S1138" s="16" t="s">
        <v>44</v>
      </c>
      <c r="T1138" s="133">
        <v>41403</v>
      </c>
      <c r="U1138" s="623"/>
      <c r="V1138" s="623"/>
      <c r="W1138" s="734">
        <v>60</v>
      </c>
      <c r="X1138" s="7">
        <v>30</v>
      </c>
      <c r="Y1138" s="7" t="str">
        <f t="shared" si="43"/>
        <v/>
      </c>
      <c r="Z1138" s="7">
        <f t="shared" si="44"/>
        <v>30</v>
      </c>
      <c r="AA1138" s="108">
        <v>42520</v>
      </c>
      <c r="AB1138" s="504" t="s">
        <v>6126</v>
      </c>
      <c r="AC1138" s="138"/>
      <c r="AD1138" s="187">
        <v>0.5</v>
      </c>
      <c r="AE1138" s="187"/>
      <c r="AF1138" s="205">
        <f t="shared" si="45"/>
        <v>0.5</v>
      </c>
      <c r="AG1138" s="163">
        <v>7</v>
      </c>
      <c r="AH1138" s="138" t="s">
        <v>3404</v>
      </c>
      <c r="AI1138" s="138"/>
      <c r="AJ1138" s="138" t="s">
        <v>1188</v>
      </c>
      <c r="AK1138" s="138" t="s">
        <v>1185</v>
      </c>
      <c r="AL1138" s="93" t="s">
        <v>1178</v>
      </c>
    </row>
    <row r="1139" spans="1:38" ht="15" customHeight="1" x14ac:dyDescent="0.3">
      <c r="A1139" s="181" t="s">
        <v>22</v>
      </c>
      <c r="B1139" s="145" t="s">
        <v>3406</v>
      </c>
      <c r="C1139" s="135" t="s">
        <v>196</v>
      </c>
      <c r="D1139" s="136" t="s">
        <v>190</v>
      </c>
      <c r="E1139" s="168">
        <v>41093</v>
      </c>
      <c r="F1139" s="136">
        <v>2012</v>
      </c>
      <c r="G1139" s="178" t="s">
        <v>3416</v>
      </c>
      <c r="H1139" s="204"/>
      <c r="I1139" s="33" t="s">
        <v>33</v>
      </c>
      <c r="J1139" s="32" t="s">
        <v>26</v>
      </c>
      <c r="K1139" s="197" t="s">
        <v>103</v>
      </c>
      <c r="L1139" s="746" t="s">
        <v>40</v>
      </c>
      <c r="M1139" s="137" t="s">
        <v>804</v>
      </c>
      <c r="N1139" s="197"/>
      <c r="O1139" s="138" t="s">
        <v>3417</v>
      </c>
      <c r="P1139" s="138" t="s">
        <v>3418</v>
      </c>
      <c r="Q1139" s="15" t="s">
        <v>35</v>
      </c>
      <c r="R1139" s="179">
        <v>41375</v>
      </c>
      <c r="S1139" s="144"/>
      <c r="T1139" s="92"/>
      <c r="U1139" s="623"/>
      <c r="V1139" s="624"/>
      <c r="W1139" s="735">
        <v>10</v>
      </c>
      <c r="X1139" s="7">
        <v>5</v>
      </c>
      <c r="Y1139" s="7">
        <f t="shared" si="43"/>
        <v>5</v>
      </c>
      <c r="Z1139" s="7">
        <f t="shared" si="44"/>
        <v>10</v>
      </c>
      <c r="AA1139" s="90">
        <v>41845</v>
      </c>
      <c r="AB1139" s="768" t="s">
        <v>6038</v>
      </c>
      <c r="AC1139" s="565"/>
      <c r="AD1139" s="187">
        <v>0.5</v>
      </c>
      <c r="AE1139" s="195">
        <v>0.5</v>
      </c>
      <c r="AF1139" s="205">
        <f t="shared" si="45"/>
        <v>1</v>
      </c>
      <c r="AG1139" s="200">
        <v>8</v>
      </c>
      <c r="AH1139" s="138" t="s">
        <v>3410</v>
      </c>
      <c r="AI1139" s="719" t="s">
        <v>3419</v>
      </c>
      <c r="AJ1139" s="200" t="s">
        <v>1188</v>
      </c>
      <c r="AK1139" s="200" t="s">
        <v>1185</v>
      </c>
      <c r="AL1139" s="200" t="s">
        <v>1178</v>
      </c>
    </row>
    <row r="1140" spans="1:38" ht="15" customHeight="1" x14ac:dyDescent="0.3">
      <c r="A1140" s="30" t="s">
        <v>22</v>
      </c>
      <c r="B1140" s="30" t="s">
        <v>23</v>
      </c>
      <c r="C1140" s="37">
        <v>12</v>
      </c>
      <c r="D1140" s="11" t="s">
        <v>24</v>
      </c>
      <c r="E1140" s="108">
        <v>40527</v>
      </c>
      <c r="F1140" s="37">
        <v>2010</v>
      </c>
      <c r="G1140" s="30" t="s">
        <v>3420</v>
      </c>
      <c r="H1140" s="162" t="s">
        <v>3421</v>
      </c>
      <c r="I1140" s="57" t="s">
        <v>6176</v>
      </c>
      <c r="J1140" s="30" t="s">
        <v>67</v>
      </c>
      <c r="K1140" s="137" t="s">
        <v>3422</v>
      </c>
      <c r="L1140" s="137" t="s">
        <v>3423</v>
      </c>
      <c r="M1140" s="660" t="s">
        <v>42</v>
      </c>
      <c r="N1140" s="709"/>
      <c r="O1140" s="146" t="s">
        <v>3424</v>
      </c>
      <c r="P1140" s="138" t="s">
        <v>6067</v>
      </c>
      <c r="Q1140" s="91"/>
      <c r="R1140" s="132"/>
      <c r="S1140" s="92"/>
      <c r="T1140" s="139"/>
      <c r="U1140" s="624"/>
      <c r="V1140" s="624"/>
      <c r="W1140" s="735">
        <v>400</v>
      </c>
      <c r="X1140" s="7">
        <v>0</v>
      </c>
      <c r="Y1140" s="7" t="str">
        <f t="shared" si="43"/>
        <v/>
      </c>
      <c r="Z1140" s="7">
        <f t="shared" si="44"/>
        <v>0</v>
      </c>
      <c r="AA1140" s="7"/>
      <c r="AB1140" s="772" t="s">
        <v>36</v>
      </c>
      <c r="AC1140" s="30"/>
      <c r="AD1140" s="187">
        <v>0</v>
      </c>
      <c r="AE1140" s="187"/>
      <c r="AF1140" s="205">
        <f t="shared" si="45"/>
        <v>0</v>
      </c>
      <c r="AG1140" s="30">
        <v>8</v>
      </c>
      <c r="AH1140" s="30" t="s">
        <v>3415</v>
      </c>
      <c r="AI1140" s="719" t="s">
        <v>3425</v>
      </c>
      <c r="AJ1140" s="30" t="s">
        <v>1188</v>
      </c>
      <c r="AK1140" s="30" t="s">
        <v>1177</v>
      </c>
      <c r="AL1140" s="93" t="s">
        <v>1178</v>
      </c>
    </row>
    <row r="1141" spans="1:38" ht="15" customHeight="1" x14ac:dyDescent="0.3">
      <c r="A1141" s="30" t="s">
        <v>22</v>
      </c>
      <c r="B1141" s="153" t="s">
        <v>23</v>
      </c>
      <c r="C1141" s="109">
        <v>4</v>
      </c>
      <c r="D1141" s="11" t="s">
        <v>24</v>
      </c>
      <c r="E1141" s="114">
        <v>40471</v>
      </c>
      <c r="F1141" s="33">
        <v>2010</v>
      </c>
      <c r="G1141" s="142" t="s">
        <v>3426</v>
      </c>
      <c r="H1141" s="162" t="s">
        <v>3427</v>
      </c>
      <c r="I1141" s="12" t="s">
        <v>80</v>
      </c>
      <c r="J1141" s="32" t="s">
        <v>26</v>
      </c>
      <c r="K1141" s="197" t="s">
        <v>111</v>
      </c>
      <c r="L1141" s="137" t="s">
        <v>1319</v>
      </c>
      <c r="M1141" s="137" t="s">
        <v>804</v>
      </c>
      <c r="N1141" s="238"/>
      <c r="O1141" s="146" t="s">
        <v>3428</v>
      </c>
      <c r="P1141" s="718" t="s">
        <v>6068</v>
      </c>
      <c r="Q1141" s="15" t="s">
        <v>35</v>
      </c>
      <c r="R1141" s="132">
        <v>41072</v>
      </c>
      <c r="S1141" s="16" t="s">
        <v>35</v>
      </c>
      <c r="T1141" s="165">
        <v>41789</v>
      </c>
      <c r="U1141" s="624"/>
      <c r="V1141" s="624"/>
      <c r="W1141" s="735">
        <v>210</v>
      </c>
      <c r="X1141" s="7">
        <v>157.5</v>
      </c>
      <c r="Y1141" s="7">
        <f t="shared" si="43"/>
        <v>52.5</v>
      </c>
      <c r="Z1141" s="7">
        <f t="shared" si="44"/>
        <v>210</v>
      </c>
      <c r="AA1141" s="219">
        <v>43266</v>
      </c>
      <c r="AB1141" s="479" t="s">
        <v>49</v>
      </c>
      <c r="AC1141" s="480"/>
      <c r="AD1141" s="187">
        <v>0.75</v>
      </c>
      <c r="AE1141" s="187">
        <v>0.25</v>
      </c>
      <c r="AF1141" s="205">
        <f t="shared" si="45"/>
        <v>1</v>
      </c>
      <c r="AG1141" s="163">
        <v>6</v>
      </c>
      <c r="AH1141" s="93" t="s">
        <v>58</v>
      </c>
      <c r="AI1141" s="719" t="s">
        <v>3430</v>
      </c>
      <c r="AJ1141" s="93" t="s">
        <v>1188</v>
      </c>
      <c r="AK1141" s="30" t="s">
        <v>99</v>
      </c>
      <c r="AL1141" s="93" t="s">
        <v>1178</v>
      </c>
    </row>
    <row r="1142" spans="1:38" ht="15" customHeight="1" x14ac:dyDescent="0.3">
      <c r="A1142" s="181" t="s">
        <v>22</v>
      </c>
      <c r="B1142" s="145" t="s">
        <v>105</v>
      </c>
      <c r="C1142" s="135">
        <v>3</v>
      </c>
      <c r="D1142" s="11" t="s">
        <v>5936</v>
      </c>
      <c r="E1142" s="168">
        <v>41136</v>
      </c>
      <c r="F1142" s="136">
        <v>2012</v>
      </c>
      <c r="G1142" s="178" t="s">
        <v>3431</v>
      </c>
      <c r="H1142" s="204" t="s">
        <v>3432</v>
      </c>
      <c r="I1142" s="136" t="s">
        <v>25</v>
      </c>
      <c r="J1142" s="32" t="s">
        <v>26</v>
      </c>
      <c r="K1142" s="197" t="s">
        <v>111</v>
      </c>
      <c r="L1142" s="765" t="s">
        <v>28</v>
      </c>
      <c r="M1142" s="197" t="s">
        <v>42</v>
      </c>
      <c r="N1142" s="197"/>
      <c r="O1142" s="138" t="s">
        <v>3433</v>
      </c>
      <c r="P1142" s="138" t="s">
        <v>3434</v>
      </c>
      <c r="Q1142" s="15" t="s">
        <v>282</v>
      </c>
      <c r="R1142" s="132">
        <v>41674</v>
      </c>
      <c r="S1142" s="16" t="s">
        <v>35</v>
      </c>
      <c r="T1142" s="133">
        <v>41737</v>
      </c>
      <c r="U1142" s="623"/>
      <c r="V1142" s="624"/>
      <c r="W1142" s="256">
        <v>150.5</v>
      </c>
      <c r="X1142" s="7">
        <v>0</v>
      </c>
      <c r="Y1142" s="7" t="str">
        <f t="shared" si="43"/>
        <v/>
      </c>
      <c r="Z1142" s="7">
        <f>IF(Y1142="",X1142,Y1142+X1142)</f>
        <v>0</v>
      </c>
      <c r="AA1142" s="7"/>
      <c r="AB1142" s="513" t="s">
        <v>3232</v>
      </c>
      <c r="AC1142" s="147"/>
      <c r="AD1142" s="196">
        <v>0</v>
      </c>
      <c r="AE1142" s="196"/>
      <c r="AF1142" s="205">
        <f t="shared" si="45"/>
        <v>0</v>
      </c>
      <c r="AG1142" s="138">
        <v>8</v>
      </c>
      <c r="AH1142" s="138"/>
      <c r="AI1142" s="718" t="s">
        <v>3436</v>
      </c>
      <c r="AJ1142" s="138" t="s">
        <v>1188</v>
      </c>
      <c r="AK1142" s="181" t="s">
        <v>1185</v>
      </c>
      <c r="AL1142" s="138" t="s">
        <v>1178</v>
      </c>
    </row>
    <row r="1143" spans="1:38" ht="15" customHeight="1" x14ac:dyDescent="0.3">
      <c r="A1143" s="181" t="s">
        <v>22</v>
      </c>
      <c r="B1143" s="145" t="s">
        <v>227</v>
      </c>
      <c r="C1143" s="135">
        <v>9</v>
      </c>
      <c r="D1143" s="11" t="s">
        <v>225</v>
      </c>
      <c r="E1143" s="168">
        <v>40805</v>
      </c>
      <c r="F1143" s="136">
        <v>2011</v>
      </c>
      <c r="G1143" s="178" t="s">
        <v>3437</v>
      </c>
      <c r="H1143" s="204" t="s">
        <v>3438</v>
      </c>
      <c r="I1143" s="33" t="s">
        <v>33</v>
      </c>
      <c r="J1143" s="32" t="s">
        <v>26</v>
      </c>
      <c r="K1143" s="138" t="s">
        <v>111</v>
      </c>
      <c r="L1143" s="765" t="s">
        <v>3439</v>
      </c>
      <c r="M1143" s="137" t="s">
        <v>804</v>
      </c>
      <c r="N1143" s="138"/>
      <c r="O1143" s="138" t="s">
        <v>3440</v>
      </c>
      <c r="P1143" s="138" t="s">
        <v>3441</v>
      </c>
      <c r="Q1143" s="15" t="s">
        <v>35</v>
      </c>
      <c r="R1143" s="132">
        <v>41670</v>
      </c>
      <c r="S1143" s="16" t="s">
        <v>44</v>
      </c>
      <c r="T1143" s="133">
        <v>41815</v>
      </c>
      <c r="U1143" s="623"/>
      <c r="V1143" s="623"/>
      <c r="W1143" s="734">
        <v>70</v>
      </c>
      <c r="X1143" s="7">
        <v>0</v>
      </c>
      <c r="Y1143" s="7">
        <f t="shared" si="43"/>
        <v>35</v>
      </c>
      <c r="Z1143" s="7">
        <f>IF(Y1143="",X1143,Y1143+X1143)</f>
        <v>35</v>
      </c>
      <c r="AA1143" s="108">
        <v>43511</v>
      </c>
      <c r="AB1143" s="504" t="s">
        <v>6115</v>
      </c>
      <c r="AC1143" s="138"/>
      <c r="AD1143" s="187">
        <v>0</v>
      </c>
      <c r="AE1143" s="187">
        <v>0.5</v>
      </c>
      <c r="AF1143" s="205">
        <f t="shared" si="45"/>
        <v>0.5</v>
      </c>
      <c r="AG1143" s="163">
        <v>8</v>
      </c>
      <c r="AH1143" s="138" t="s">
        <v>3429</v>
      </c>
      <c r="AI1143" s="138"/>
      <c r="AJ1143" s="138" t="s">
        <v>1188</v>
      </c>
      <c r="AK1143" s="138" t="s">
        <v>1185</v>
      </c>
      <c r="AL1143" s="93" t="s">
        <v>1178</v>
      </c>
    </row>
    <row r="1144" spans="1:38" ht="15" customHeight="1" x14ac:dyDescent="0.3">
      <c r="A1144" s="181" t="s">
        <v>22</v>
      </c>
      <c r="B1144" s="145" t="s">
        <v>105</v>
      </c>
      <c r="C1144" s="135">
        <v>14</v>
      </c>
      <c r="D1144" s="11" t="s">
        <v>5936</v>
      </c>
      <c r="E1144" s="168">
        <v>40878</v>
      </c>
      <c r="F1144" s="136">
        <v>2011</v>
      </c>
      <c r="G1144" s="178" t="s">
        <v>3443</v>
      </c>
      <c r="H1144" s="204" t="s">
        <v>3444</v>
      </c>
      <c r="I1144" s="136" t="s">
        <v>38</v>
      </c>
      <c r="J1144" s="32" t="s">
        <v>26</v>
      </c>
      <c r="K1144" s="197" t="s">
        <v>111</v>
      </c>
      <c r="L1144" s="765" t="s">
        <v>28</v>
      </c>
      <c r="M1144" s="138" t="s">
        <v>42</v>
      </c>
      <c r="N1144" s="138"/>
      <c r="O1144" s="765" t="s">
        <v>3445</v>
      </c>
      <c r="P1144" s="765" t="s">
        <v>3446</v>
      </c>
      <c r="Q1144" s="15" t="s">
        <v>282</v>
      </c>
      <c r="R1144" s="132">
        <v>41757</v>
      </c>
      <c r="S1144" s="16" t="s">
        <v>44</v>
      </c>
      <c r="T1144" s="133">
        <v>41817</v>
      </c>
      <c r="U1144" s="623"/>
      <c r="V1144" s="624"/>
      <c r="W1144" s="256">
        <v>60</v>
      </c>
      <c r="X1144" s="7">
        <v>0</v>
      </c>
      <c r="Y1144" s="7" t="str">
        <f t="shared" si="43"/>
        <v/>
      </c>
      <c r="Z1144" s="7">
        <f>IF(Y1144="",X1144,Y1144+X1144)</f>
        <v>0</v>
      </c>
      <c r="AA1144" s="7"/>
      <c r="AB1144" s="564" t="s">
        <v>1073</v>
      </c>
      <c r="AC1144" s="693"/>
      <c r="AD1144" s="196">
        <v>0</v>
      </c>
      <c r="AE1144" s="196"/>
      <c r="AF1144" s="205">
        <f t="shared" si="45"/>
        <v>0</v>
      </c>
      <c r="AG1144" s="138">
        <v>7</v>
      </c>
      <c r="AH1144" s="138" t="s">
        <v>3435</v>
      </c>
      <c r="AI1144" s="138"/>
      <c r="AJ1144" s="138" t="s">
        <v>1188</v>
      </c>
      <c r="AK1144" s="181" t="s">
        <v>1185</v>
      </c>
      <c r="AL1144" s="138" t="s">
        <v>1178</v>
      </c>
    </row>
    <row r="1145" spans="1:38" ht="15" customHeight="1" x14ac:dyDescent="0.3">
      <c r="A1145" s="181" t="s">
        <v>22</v>
      </c>
      <c r="B1145" s="153" t="s">
        <v>159</v>
      </c>
      <c r="C1145" s="135">
        <v>3</v>
      </c>
      <c r="D1145" s="11" t="s">
        <v>143</v>
      </c>
      <c r="E1145" s="168">
        <v>40394</v>
      </c>
      <c r="F1145" s="136">
        <v>2010</v>
      </c>
      <c r="G1145" s="178" t="s">
        <v>3447</v>
      </c>
      <c r="H1145" s="162" t="s">
        <v>3448</v>
      </c>
      <c r="I1145" s="33" t="s">
        <v>33</v>
      </c>
      <c r="J1145" s="32" t="s">
        <v>26</v>
      </c>
      <c r="K1145" s="197" t="s">
        <v>1708</v>
      </c>
      <c r="L1145" s="197" t="s">
        <v>161</v>
      </c>
      <c r="M1145" s="197" t="s">
        <v>42</v>
      </c>
      <c r="N1145" s="197"/>
      <c r="O1145" s="197" t="s">
        <v>3449</v>
      </c>
      <c r="P1145" s="197" t="s">
        <v>3450</v>
      </c>
      <c r="Q1145" s="15" t="s">
        <v>282</v>
      </c>
      <c r="R1145" s="164">
        <v>41320</v>
      </c>
      <c r="S1145" s="16" t="s">
        <v>44</v>
      </c>
      <c r="T1145" s="165">
        <v>41472</v>
      </c>
      <c r="U1145" s="624"/>
      <c r="V1145" s="624"/>
      <c r="W1145" s="735">
        <v>40</v>
      </c>
      <c r="X1145" s="7">
        <v>0</v>
      </c>
      <c r="Y1145" s="7" t="str">
        <f t="shared" si="43"/>
        <v/>
      </c>
      <c r="Z1145" s="7">
        <f>IF(Y1145="",X1145,Y1145+X1145)</f>
        <v>0</v>
      </c>
      <c r="AA1145" s="7"/>
      <c r="AB1145" s="579" t="s">
        <v>5975</v>
      </c>
      <c r="AC1145" s="580"/>
      <c r="AD1145" s="187">
        <v>0</v>
      </c>
      <c r="AE1145" s="187"/>
      <c r="AF1145" s="205">
        <f t="shared" si="45"/>
        <v>0</v>
      </c>
      <c r="AG1145" s="138"/>
      <c r="AH1145" s="138" t="s">
        <v>3442</v>
      </c>
      <c r="AI1145" s="138"/>
      <c r="AJ1145" s="138" t="s">
        <v>1188</v>
      </c>
      <c r="AK1145" s="138" t="s">
        <v>1185</v>
      </c>
      <c r="AL1145" s="146" t="s">
        <v>1178</v>
      </c>
    </row>
    <row r="1146" spans="1:38" ht="15" customHeight="1" x14ac:dyDescent="0.3">
      <c r="A1146" s="30" t="s">
        <v>22</v>
      </c>
      <c r="B1146" s="30" t="s">
        <v>23</v>
      </c>
      <c r="C1146" s="137" t="s">
        <v>3452</v>
      </c>
      <c r="D1146" s="11" t="s">
        <v>24</v>
      </c>
      <c r="E1146" s="108">
        <v>41855</v>
      </c>
      <c r="F1146" s="37">
        <v>2014</v>
      </c>
      <c r="G1146" s="30" t="s">
        <v>3453</v>
      </c>
      <c r="H1146" s="162" t="s">
        <v>3454</v>
      </c>
      <c r="I1146" s="57" t="s">
        <v>6176</v>
      </c>
      <c r="J1146" s="37" t="s">
        <v>67</v>
      </c>
      <c r="K1146" s="137" t="s">
        <v>1194</v>
      </c>
      <c r="L1146" s="137" t="s">
        <v>3349</v>
      </c>
      <c r="M1146" s="660" t="s">
        <v>42</v>
      </c>
      <c r="N1146" s="709"/>
      <c r="O1146" s="146" t="s">
        <v>3455</v>
      </c>
      <c r="P1146" s="138" t="s">
        <v>6069</v>
      </c>
      <c r="Q1146" s="15" t="s">
        <v>282</v>
      </c>
      <c r="R1146" s="132">
        <v>41919</v>
      </c>
      <c r="S1146" s="92"/>
      <c r="T1146" s="139"/>
      <c r="U1146" s="624"/>
      <c r="V1146" s="624"/>
      <c r="W1146" s="735">
        <v>30</v>
      </c>
      <c r="X1146" s="7"/>
      <c r="Y1146" s="7" t="str">
        <f t="shared" si="43"/>
        <v/>
      </c>
      <c r="Z1146" s="7"/>
      <c r="AA1146" s="7"/>
      <c r="AB1146" s="772" t="s">
        <v>36</v>
      </c>
      <c r="AC1146" s="30"/>
      <c r="AD1146" s="187"/>
      <c r="AE1146" s="187"/>
      <c r="AF1146" s="205">
        <f t="shared" si="45"/>
        <v>0</v>
      </c>
      <c r="AG1146" s="30"/>
      <c r="AH1146" s="30"/>
      <c r="AI1146" s="146"/>
      <c r="AJ1146" s="30" t="s">
        <v>1188</v>
      </c>
      <c r="AK1146" s="197" t="s">
        <v>3457</v>
      </c>
      <c r="AL1146" s="93" t="s">
        <v>1178</v>
      </c>
    </row>
    <row r="1147" spans="1:38" ht="15" customHeight="1" x14ac:dyDescent="0.3">
      <c r="A1147" s="181" t="s">
        <v>22</v>
      </c>
      <c r="B1147" s="145" t="s">
        <v>233</v>
      </c>
      <c r="C1147" s="135">
        <v>2</v>
      </c>
      <c r="D1147" s="11" t="s">
        <v>225</v>
      </c>
      <c r="E1147" s="168">
        <v>41165</v>
      </c>
      <c r="F1147" s="136">
        <v>2012</v>
      </c>
      <c r="G1147" s="178" t="s">
        <v>3458</v>
      </c>
      <c r="H1147" s="204" t="s">
        <v>3459</v>
      </c>
      <c r="I1147" s="33" t="s">
        <v>33</v>
      </c>
      <c r="J1147" s="32" t="s">
        <v>26</v>
      </c>
      <c r="K1147" s="197" t="s">
        <v>111</v>
      </c>
      <c r="L1147" s="746" t="s">
        <v>161</v>
      </c>
      <c r="M1147" s="197" t="s">
        <v>42</v>
      </c>
      <c r="N1147" s="197"/>
      <c r="O1147" s="138" t="s">
        <v>3460</v>
      </c>
      <c r="P1147" s="138" t="s">
        <v>3461</v>
      </c>
      <c r="Q1147" s="15" t="s">
        <v>282</v>
      </c>
      <c r="R1147" s="132">
        <v>41600</v>
      </c>
      <c r="S1147" s="16" t="s">
        <v>35</v>
      </c>
      <c r="T1147" s="133">
        <v>41870</v>
      </c>
      <c r="U1147" s="623"/>
      <c r="V1147" s="623"/>
      <c r="W1147" s="734">
        <v>81</v>
      </c>
      <c r="X1147" s="7">
        <v>0</v>
      </c>
      <c r="Y1147" s="7" t="str">
        <f t="shared" si="43"/>
        <v/>
      </c>
      <c r="Z1147" s="7">
        <f t="shared" ref="Z1147:Z1154" si="46">IF(Y1147="",X1147,Y1147+X1147)</f>
        <v>0</v>
      </c>
      <c r="AA1147" s="108">
        <v>41936</v>
      </c>
      <c r="AB1147" s="504" t="s">
        <v>6126</v>
      </c>
      <c r="AC1147" s="138"/>
      <c r="AD1147" s="187">
        <v>0</v>
      </c>
      <c r="AE1147" s="187"/>
      <c r="AF1147" s="205">
        <f t="shared" si="45"/>
        <v>0</v>
      </c>
      <c r="AG1147" s="163">
        <v>8</v>
      </c>
      <c r="AH1147" s="138" t="s">
        <v>3451</v>
      </c>
      <c r="AI1147" s="718" t="s">
        <v>3462</v>
      </c>
      <c r="AJ1147" s="138" t="s">
        <v>1188</v>
      </c>
      <c r="AK1147" s="181" t="s">
        <v>1185</v>
      </c>
      <c r="AL1147" s="138" t="s">
        <v>1178</v>
      </c>
    </row>
    <row r="1148" spans="1:38" ht="15" customHeight="1" x14ac:dyDescent="0.3">
      <c r="A1148" s="30" t="s">
        <v>22</v>
      </c>
      <c r="B1148" s="30" t="s">
        <v>23</v>
      </c>
      <c r="C1148" s="37">
        <v>11</v>
      </c>
      <c r="D1148" s="11" t="s">
        <v>24</v>
      </c>
      <c r="E1148" s="108">
        <v>40849</v>
      </c>
      <c r="F1148" s="37">
        <v>2011</v>
      </c>
      <c r="G1148" s="30" t="s">
        <v>3463</v>
      </c>
      <c r="H1148" s="162" t="s">
        <v>3464</v>
      </c>
      <c r="I1148" s="12" t="s">
        <v>80</v>
      </c>
      <c r="J1148" s="30" t="s">
        <v>81</v>
      </c>
      <c r="K1148" s="660" t="s">
        <v>71</v>
      </c>
      <c r="L1148" s="137" t="s">
        <v>3423</v>
      </c>
      <c r="M1148" s="660" t="s">
        <v>42</v>
      </c>
      <c r="N1148" s="709"/>
      <c r="O1148" s="146" t="s">
        <v>3465</v>
      </c>
      <c r="P1148" s="138" t="s">
        <v>6070</v>
      </c>
      <c r="Q1148" s="91"/>
      <c r="R1148" s="132"/>
      <c r="S1148" s="92"/>
      <c r="T1148" s="139"/>
      <c r="U1148" s="624"/>
      <c r="V1148" s="624"/>
      <c r="W1148" s="735">
        <v>15</v>
      </c>
      <c r="X1148" s="7">
        <v>0</v>
      </c>
      <c r="Y1148" s="7" t="str">
        <f t="shared" si="43"/>
        <v/>
      </c>
      <c r="Z1148" s="7">
        <f t="shared" si="46"/>
        <v>0</v>
      </c>
      <c r="AA1148" s="7"/>
      <c r="AB1148" s="772" t="s">
        <v>36</v>
      </c>
      <c r="AC1148" s="30"/>
      <c r="AD1148" s="187">
        <v>0</v>
      </c>
      <c r="AE1148" s="187"/>
      <c r="AF1148" s="205">
        <f t="shared" si="45"/>
        <v>0</v>
      </c>
      <c r="AG1148" s="30">
        <v>8</v>
      </c>
      <c r="AH1148" s="30" t="s">
        <v>3456</v>
      </c>
      <c r="AI1148" s="184"/>
      <c r="AJ1148" s="30" t="s">
        <v>1188</v>
      </c>
      <c r="AK1148" s="30" t="s">
        <v>1177</v>
      </c>
      <c r="AL1148" s="93" t="s">
        <v>1178</v>
      </c>
    </row>
    <row r="1149" spans="1:38" ht="15" customHeight="1" x14ac:dyDescent="0.3">
      <c r="A1149" s="30" t="s">
        <v>22</v>
      </c>
      <c r="B1149" s="153" t="s">
        <v>23</v>
      </c>
      <c r="C1149" s="109">
        <v>7</v>
      </c>
      <c r="D1149" s="11" t="s">
        <v>24</v>
      </c>
      <c r="E1149" s="114">
        <v>40275</v>
      </c>
      <c r="F1149" s="33">
        <v>2010</v>
      </c>
      <c r="G1149" s="142" t="s">
        <v>3467</v>
      </c>
      <c r="H1149" s="162" t="s">
        <v>3468</v>
      </c>
      <c r="I1149" s="12" t="s">
        <v>38</v>
      </c>
      <c r="J1149" s="32" t="s">
        <v>26</v>
      </c>
      <c r="K1149" s="197" t="s">
        <v>111</v>
      </c>
      <c r="L1149" s="137" t="s">
        <v>3423</v>
      </c>
      <c r="M1149" s="137" t="s">
        <v>42</v>
      </c>
      <c r="N1149" s="238"/>
      <c r="O1149" s="146" t="s">
        <v>3469</v>
      </c>
      <c r="P1149" s="138" t="s">
        <v>3470</v>
      </c>
      <c r="Q1149" s="15" t="s">
        <v>282</v>
      </c>
      <c r="R1149" s="132">
        <v>40658</v>
      </c>
      <c r="S1149" s="16" t="s">
        <v>44</v>
      </c>
      <c r="T1149" s="165">
        <v>41970</v>
      </c>
      <c r="U1149" s="624"/>
      <c r="V1149" s="624"/>
      <c r="W1149" s="735">
        <v>8.1999999999999993</v>
      </c>
      <c r="X1149" s="7">
        <v>0</v>
      </c>
      <c r="Y1149" s="7" t="str">
        <f t="shared" si="43"/>
        <v/>
      </c>
      <c r="Z1149" s="7">
        <f t="shared" si="46"/>
        <v>0</v>
      </c>
      <c r="AA1149" s="7"/>
      <c r="AB1149" s="503" t="s">
        <v>36</v>
      </c>
      <c r="AC1149" s="222"/>
      <c r="AD1149" s="187">
        <v>0</v>
      </c>
      <c r="AE1149" s="187"/>
      <c r="AF1149" s="205">
        <f t="shared" si="45"/>
        <v>0</v>
      </c>
      <c r="AG1149" s="163">
        <v>7</v>
      </c>
      <c r="AH1149" s="93" t="s">
        <v>58</v>
      </c>
      <c r="AI1149" s="146"/>
      <c r="AJ1149" s="93" t="s">
        <v>1188</v>
      </c>
      <c r="AK1149" s="30" t="s">
        <v>1185</v>
      </c>
      <c r="AL1149" s="93" t="s">
        <v>1178</v>
      </c>
    </row>
    <row r="1150" spans="1:38" ht="15" customHeight="1" x14ac:dyDescent="0.3">
      <c r="A1150" s="30" t="s">
        <v>22</v>
      </c>
      <c r="B1150" s="30" t="s">
        <v>23</v>
      </c>
      <c r="C1150" s="37">
        <v>3</v>
      </c>
      <c r="D1150" s="11" t="s">
        <v>24</v>
      </c>
      <c r="E1150" s="108">
        <v>41739</v>
      </c>
      <c r="F1150" s="37">
        <v>2014</v>
      </c>
      <c r="G1150" s="30" t="s">
        <v>3472</v>
      </c>
      <c r="H1150" s="162" t="s">
        <v>3473</v>
      </c>
      <c r="I1150" s="30" t="s">
        <v>38</v>
      </c>
      <c r="J1150" s="32" t="s">
        <v>26</v>
      </c>
      <c r="K1150" s="137" t="s">
        <v>111</v>
      </c>
      <c r="L1150" s="137" t="s">
        <v>40</v>
      </c>
      <c r="M1150" s="137" t="s">
        <v>804</v>
      </c>
      <c r="N1150" s="709"/>
      <c r="O1150" s="146" t="s">
        <v>3474</v>
      </c>
      <c r="P1150" s="138" t="s">
        <v>6071</v>
      </c>
      <c r="Q1150" s="91"/>
      <c r="R1150" s="132"/>
      <c r="S1150" s="92"/>
      <c r="T1150" s="139"/>
      <c r="U1150" s="624"/>
      <c r="V1150" s="624"/>
      <c r="W1150" s="735">
        <v>130</v>
      </c>
      <c r="X1150" s="7"/>
      <c r="Y1150" s="7" t="str">
        <f t="shared" si="43"/>
        <v/>
      </c>
      <c r="Z1150" s="7">
        <f t="shared" si="46"/>
        <v>0</v>
      </c>
      <c r="AA1150" s="108">
        <v>43266</v>
      </c>
      <c r="AB1150" s="772" t="s">
        <v>36</v>
      </c>
      <c r="AC1150" s="30"/>
      <c r="AD1150" s="187"/>
      <c r="AE1150" s="187"/>
      <c r="AF1150" s="205">
        <f t="shared" si="45"/>
        <v>0</v>
      </c>
      <c r="AG1150" s="30">
        <v>8</v>
      </c>
      <c r="AH1150" s="30" t="s">
        <v>3466</v>
      </c>
      <c r="AI1150" s="719" t="s">
        <v>3475</v>
      </c>
      <c r="AJ1150" s="30" t="s">
        <v>1188</v>
      </c>
      <c r="AK1150" s="30" t="s">
        <v>1177</v>
      </c>
      <c r="AL1150" s="93" t="s">
        <v>1178</v>
      </c>
    </row>
    <row r="1151" spans="1:38" ht="15" customHeight="1" x14ac:dyDescent="0.3">
      <c r="A1151" s="181" t="s">
        <v>22</v>
      </c>
      <c r="B1151" s="145" t="s">
        <v>189</v>
      </c>
      <c r="C1151" s="135">
        <v>1</v>
      </c>
      <c r="D1151" s="136" t="s">
        <v>190</v>
      </c>
      <c r="E1151" s="168">
        <v>40884</v>
      </c>
      <c r="F1151" s="136">
        <v>2011</v>
      </c>
      <c r="G1151" s="178" t="s">
        <v>3476</v>
      </c>
      <c r="H1151" s="204" t="s">
        <v>3477</v>
      </c>
      <c r="I1151" s="33" t="s">
        <v>33</v>
      </c>
      <c r="J1151" s="32" t="s">
        <v>26</v>
      </c>
      <c r="K1151" s="197" t="s">
        <v>1708</v>
      </c>
      <c r="L1151" s="746" t="s">
        <v>161</v>
      </c>
      <c r="M1151" s="197" t="s">
        <v>42</v>
      </c>
      <c r="N1151" s="197"/>
      <c r="O1151" s="138" t="s">
        <v>3478</v>
      </c>
      <c r="P1151" s="138" t="s">
        <v>3479</v>
      </c>
      <c r="Q1151" s="15" t="s">
        <v>282</v>
      </c>
      <c r="R1151" s="179">
        <v>41430</v>
      </c>
      <c r="S1151" s="16" t="s">
        <v>44</v>
      </c>
      <c r="T1151" s="191">
        <v>41702</v>
      </c>
      <c r="U1151" s="707"/>
      <c r="V1151" s="624"/>
      <c r="W1151" s="735">
        <v>50</v>
      </c>
      <c r="X1151" s="7">
        <v>0</v>
      </c>
      <c r="Y1151" s="7" t="str">
        <f t="shared" si="43"/>
        <v/>
      </c>
      <c r="Z1151" s="185">
        <f t="shared" si="46"/>
        <v>0</v>
      </c>
      <c r="AA1151" s="7"/>
      <c r="AB1151" s="768" t="s">
        <v>6038</v>
      </c>
      <c r="AC1151" s="565"/>
      <c r="AD1151" s="187">
        <v>0</v>
      </c>
      <c r="AE1151" s="195"/>
      <c r="AF1151" s="205">
        <f t="shared" si="45"/>
        <v>0</v>
      </c>
      <c r="AG1151" s="200">
        <v>8</v>
      </c>
      <c r="AH1151" s="138" t="s">
        <v>3471</v>
      </c>
      <c r="AI1151" s="719" t="s">
        <v>3481</v>
      </c>
      <c r="AJ1151" s="200" t="s">
        <v>1188</v>
      </c>
      <c r="AK1151" s="200" t="s">
        <v>1185</v>
      </c>
      <c r="AL1151" s="200" t="s">
        <v>1178</v>
      </c>
    </row>
    <row r="1152" spans="1:38" ht="15" customHeight="1" x14ac:dyDescent="0.3">
      <c r="A1152" s="181" t="s">
        <v>22</v>
      </c>
      <c r="B1152" s="145" t="s">
        <v>227</v>
      </c>
      <c r="C1152" s="135" t="s">
        <v>3482</v>
      </c>
      <c r="D1152" s="11" t="s">
        <v>225</v>
      </c>
      <c r="E1152" s="168">
        <v>41514</v>
      </c>
      <c r="F1152" s="136">
        <v>2013</v>
      </c>
      <c r="G1152" s="178" t="s">
        <v>3483</v>
      </c>
      <c r="H1152" s="204" t="s">
        <v>3484</v>
      </c>
      <c r="I1152" s="33" t="s">
        <v>33</v>
      </c>
      <c r="J1152" s="32" t="s">
        <v>26</v>
      </c>
      <c r="K1152" s="197" t="s">
        <v>103</v>
      </c>
      <c r="L1152" s="746" t="s">
        <v>28</v>
      </c>
      <c r="M1152" s="197" t="s">
        <v>42</v>
      </c>
      <c r="N1152" s="197"/>
      <c r="O1152" s="138" t="s">
        <v>3485</v>
      </c>
      <c r="P1152" s="138" t="s">
        <v>3486</v>
      </c>
      <c r="Q1152" s="15" t="s">
        <v>282</v>
      </c>
      <c r="R1152" s="218">
        <v>41754</v>
      </c>
      <c r="S1152" s="221"/>
      <c r="T1152" s="221"/>
      <c r="U1152" s="775"/>
      <c r="V1152" s="776"/>
      <c r="W1152" s="256">
        <v>30</v>
      </c>
      <c r="X1152" s="185">
        <v>0</v>
      </c>
      <c r="Y1152" s="7" t="str">
        <f t="shared" si="43"/>
        <v/>
      </c>
      <c r="Z1152" s="7">
        <f t="shared" si="46"/>
        <v>0</v>
      </c>
      <c r="AA1152" s="185"/>
      <c r="AB1152" s="500" t="s">
        <v>5953</v>
      </c>
      <c r="AC1152" s="501"/>
      <c r="AD1152" s="196">
        <v>0</v>
      </c>
      <c r="AE1152" s="196"/>
      <c r="AF1152" s="205">
        <f t="shared" si="45"/>
        <v>0</v>
      </c>
      <c r="AG1152" s="138">
        <v>8</v>
      </c>
      <c r="AH1152" s="138"/>
      <c r="AI1152" s="274"/>
      <c r="AJ1152" s="138" t="s">
        <v>1188</v>
      </c>
      <c r="AK1152" s="197" t="s">
        <v>3457</v>
      </c>
      <c r="AL1152" s="93" t="s">
        <v>1178</v>
      </c>
    </row>
    <row r="1153" spans="1:38" ht="15" customHeight="1" x14ac:dyDescent="0.3">
      <c r="A1153" s="181" t="s">
        <v>22</v>
      </c>
      <c r="B1153" s="167" t="s">
        <v>197</v>
      </c>
      <c r="C1153" s="135">
        <v>4</v>
      </c>
      <c r="D1153" s="136" t="s">
        <v>190</v>
      </c>
      <c r="E1153" s="168">
        <v>39679</v>
      </c>
      <c r="F1153" s="136">
        <v>2008</v>
      </c>
      <c r="G1153" s="178" t="s">
        <v>3487</v>
      </c>
      <c r="H1153" s="204" t="s">
        <v>3488</v>
      </c>
      <c r="I1153" s="136" t="s">
        <v>38</v>
      </c>
      <c r="J1153" s="32" t="s">
        <v>26</v>
      </c>
      <c r="K1153" s="138" t="s">
        <v>1194</v>
      </c>
      <c r="L1153" s="138" t="s">
        <v>161</v>
      </c>
      <c r="M1153" s="137" t="s">
        <v>42</v>
      </c>
      <c r="N1153" s="137"/>
      <c r="O1153" s="138" t="s">
        <v>3489</v>
      </c>
      <c r="P1153" s="138" t="s">
        <v>6072</v>
      </c>
      <c r="Q1153" s="15" t="s">
        <v>282</v>
      </c>
      <c r="R1153" s="132">
        <v>41355</v>
      </c>
      <c r="S1153" s="16" t="s">
        <v>44</v>
      </c>
      <c r="T1153" s="133">
        <v>41709</v>
      </c>
      <c r="U1153" s="623"/>
      <c r="V1153" s="623"/>
      <c r="W1153" s="734">
        <v>55</v>
      </c>
      <c r="X1153" s="7">
        <v>0</v>
      </c>
      <c r="Y1153" s="7" t="str">
        <f t="shared" si="43"/>
        <v/>
      </c>
      <c r="Z1153" s="185">
        <f t="shared" si="46"/>
        <v>0</v>
      </c>
      <c r="AA1153" s="7"/>
      <c r="AB1153" s="564" t="s">
        <v>2595</v>
      </c>
      <c r="AC1153" s="693"/>
      <c r="AD1153" s="187">
        <v>0</v>
      </c>
      <c r="AE1153" s="187"/>
      <c r="AF1153" s="205">
        <f t="shared" si="45"/>
        <v>0</v>
      </c>
      <c r="AG1153" s="138">
        <v>10</v>
      </c>
      <c r="AH1153" s="138" t="s">
        <v>3480</v>
      </c>
      <c r="AI1153" s="138"/>
      <c r="AJ1153" s="138" t="s">
        <v>1188</v>
      </c>
      <c r="AK1153" s="138" t="s">
        <v>1185</v>
      </c>
      <c r="AL1153" s="93" t="s">
        <v>1178</v>
      </c>
    </row>
    <row r="1154" spans="1:38" ht="15" customHeight="1" x14ac:dyDescent="0.3">
      <c r="A1154" s="181" t="s">
        <v>22</v>
      </c>
      <c r="B1154" s="145" t="s">
        <v>229</v>
      </c>
      <c r="C1154" s="135">
        <v>1</v>
      </c>
      <c r="D1154" s="11" t="s">
        <v>225</v>
      </c>
      <c r="E1154" s="168">
        <v>41232</v>
      </c>
      <c r="F1154" s="136">
        <v>2012</v>
      </c>
      <c r="G1154" s="178" t="s">
        <v>3490</v>
      </c>
      <c r="H1154" s="204" t="s">
        <v>3491</v>
      </c>
      <c r="I1154" s="33" t="s">
        <v>33</v>
      </c>
      <c r="J1154" s="32" t="s">
        <v>26</v>
      </c>
      <c r="K1154" s="197" t="s">
        <v>103</v>
      </c>
      <c r="L1154" s="746" t="s">
        <v>28</v>
      </c>
      <c r="M1154" s="197" t="s">
        <v>42</v>
      </c>
      <c r="N1154" s="197"/>
      <c r="O1154" s="138" t="s">
        <v>3492</v>
      </c>
      <c r="P1154" s="138" t="s">
        <v>3493</v>
      </c>
      <c r="Q1154" s="15" t="s">
        <v>35</v>
      </c>
      <c r="R1154" s="777">
        <v>41688</v>
      </c>
      <c r="S1154" s="16" t="s">
        <v>44</v>
      </c>
      <c r="T1154" s="778">
        <v>41905</v>
      </c>
      <c r="U1154" s="779"/>
      <c r="V1154" s="780"/>
      <c r="W1154" s="734">
        <v>50</v>
      </c>
      <c r="X1154" s="7">
        <v>0</v>
      </c>
      <c r="Y1154" s="7" t="str">
        <f t="shared" si="43"/>
        <v/>
      </c>
      <c r="Z1154" s="7">
        <f t="shared" si="46"/>
        <v>0</v>
      </c>
      <c r="AA1154" s="7"/>
      <c r="AB1154" s="504" t="s">
        <v>6126</v>
      </c>
      <c r="AC1154" s="200"/>
      <c r="AD1154" s="781"/>
      <c r="AE1154" s="187"/>
      <c r="AF1154" s="205">
        <f t="shared" si="45"/>
        <v>0</v>
      </c>
      <c r="AG1154" s="184">
        <v>8</v>
      </c>
      <c r="AH1154" s="184"/>
      <c r="AI1154" s="184"/>
      <c r="AJ1154" s="184" t="s">
        <v>1188</v>
      </c>
      <c r="AK1154" s="184" t="s">
        <v>1185</v>
      </c>
      <c r="AL1154" s="184" t="s">
        <v>1178</v>
      </c>
    </row>
    <row r="1155" spans="1:38" ht="15" customHeight="1" x14ac:dyDescent="0.3">
      <c r="A1155" s="181" t="s">
        <v>140</v>
      </c>
      <c r="B1155" s="145" t="s">
        <v>199</v>
      </c>
      <c r="C1155" s="135">
        <v>2</v>
      </c>
      <c r="D1155" s="136" t="s">
        <v>190</v>
      </c>
      <c r="E1155" s="168">
        <v>40711</v>
      </c>
      <c r="F1155" s="136">
        <v>2011</v>
      </c>
      <c r="G1155" s="138" t="s">
        <v>3494</v>
      </c>
      <c r="H1155" s="204" t="s">
        <v>3495</v>
      </c>
      <c r="I1155" s="33" t="s">
        <v>33</v>
      </c>
      <c r="J1155" s="181" t="s">
        <v>81</v>
      </c>
      <c r="K1155" s="197" t="s">
        <v>141</v>
      </c>
      <c r="L1155" s="138" t="s">
        <v>1319</v>
      </c>
      <c r="M1155" s="137" t="s">
        <v>804</v>
      </c>
      <c r="N1155" s="197"/>
      <c r="O1155" s="138" t="s">
        <v>3496</v>
      </c>
      <c r="P1155" s="138" t="s">
        <v>3497</v>
      </c>
      <c r="Q1155" s="15" t="s">
        <v>35</v>
      </c>
      <c r="R1155" s="179">
        <v>41256</v>
      </c>
      <c r="S1155" s="144"/>
      <c r="T1155" s="144"/>
      <c r="U1155" s="707"/>
      <c r="V1155" s="624"/>
      <c r="W1155" s="735">
        <v>5</v>
      </c>
      <c r="X1155" s="7">
        <v>3.75</v>
      </c>
      <c r="Y1155" s="7" t="str">
        <f>IF(AE1155="","",W1155*AE1155)</f>
        <v/>
      </c>
      <c r="Z1155" s="185">
        <f>IF(Y1155="",X1155,Y1155+X1155)</f>
        <v>3.75</v>
      </c>
      <c r="AA1155" s="108">
        <v>41446</v>
      </c>
      <c r="AB1155" s="479" t="s">
        <v>200</v>
      </c>
      <c r="AC1155" s="480"/>
      <c r="AD1155" s="187">
        <v>0.75</v>
      </c>
      <c r="AE1155" s="195"/>
      <c r="AF1155" s="205">
        <f>AE1155+AD1155</f>
        <v>0.75</v>
      </c>
      <c r="AG1155" s="200">
        <v>8</v>
      </c>
      <c r="AH1155" s="200"/>
      <c r="AI1155" s="719" t="s">
        <v>3498</v>
      </c>
      <c r="AJ1155" s="200" t="s">
        <v>1188</v>
      </c>
      <c r="AK1155" s="200" t="s">
        <v>1185</v>
      </c>
      <c r="AL1155" s="200" t="s">
        <v>1178</v>
      </c>
    </row>
    <row r="1156" spans="1:38" ht="15" customHeight="1" x14ac:dyDescent="0.3">
      <c r="A1156" s="181" t="s">
        <v>140</v>
      </c>
      <c r="B1156" s="145" t="s">
        <v>105</v>
      </c>
      <c r="C1156" s="135">
        <v>23</v>
      </c>
      <c r="D1156" s="11" t="s">
        <v>5936</v>
      </c>
      <c r="E1156" s="168">
        <v>41796</v>
      </c>
      <c r="F1156" s="136">
        <v>2014</v>
      </c>
      <c r="G1156" s="178" t="s">
        <v>3499</v>
      </c>
      <c r="H1156" s="204" t="s">
        <v>3500</v>
      </c>
      <c r="I1156" s="33" t="s">
        <v>33</v>
      </c>
      <c r="J1156" s="181" t="s">
        <v>81</v>
      </c>
      <c r="K1156" s="197" t="s">
        <v>141</v>
      </c>
      <c r="L1156" s="746" t="s">
        <v>3501</v>
      </c>
      <c r="M1156" s="197" t="s">
        <v>42</v>
      </c>
      <c r="N1156" s="197"/>
      <c r="O1156" s="138" t="s">
        <v>3502</v>
      </c>
      <c r="P1156" s="138" t="s">
        <v>6073</v>
      </c>
      <c r="Q1156" s="91"/>
      <c r="R1156" s="132"/>
      <c r="S1156" s="92"/>
      <c r="T1156" s="133"/>
      <c r="U1156" s="623"/>
      <c r="V1156" s="624"/>
      <c r="W1156" s="256">
        <v>5</v>
      </c>
      <c r="X1156" s="185"/>
      <c r="Y1156" s="7" t="str">
        <f>IF(AE1156="","",W1156*AE1156)</f>
        <v/>
      </c>
      <c r="Z1156" s="185">
        <f>IF(Y1156="",X1156,Y1156+X1156)</f>
        <v>0</v>
      </c>
      <c r="AA1156" s="185"/>
      <c r="AB1156" s="564" t="s">
        <v>1073</v>
      </c>
      <c r="AC1156" s="693"/>
      <c r="AD1156" s="196"/>
      <c r="AE1156" s="196"/>
      <c r="AF1156" s="205">
        <f>AE1156+AD1156</f>
        <v>0</v>
      </c>
      <c r="AG1156" s="138">
        <v>8</v>
      </c>
      <c r="AH1156" s="138"/>
      <c r="AI1156" s="138"/>
      <c r="AJ1156" s="138" t="s">
        <v>1188</v>
      </c>
      <c r="AK1156" s="181" t="s">
        <v>1177</v>
      </c>
      <c r="AL1156" s="138" t="s">
        <v>1178</v>
      </c>
    </row>
    <row r="1157" spans="1:38" ht="15" customHeight="1" x14ac:dyDescent="0.3">
      <c r="A1157" s="30" t="s">
        <v>22</v>
      </c>
      <c r="B1157" s="222" t="s">
        <v>159</v>
      </c>
      <c r="C1157" s="107">
        <v>1</v>
      </c>
      <c r="D1157" s="11" t="s">
        <v>143</v>
      </c>
      <c r="E1157" s="114">
        <v>38841</v>
      </c>
      <c r="F1157" s="223">
        <v>2006</v>
      </c>
      <c r="G1157" s="782"/>
      <c r="H1157" s="107"/>
      <c r="I1157" s="33" t="s">
        <v>33</v>
      </c>
      <c r="J1157" s="138" t="s">
        <v>67</v>
      </c>
      <c r="K1157" s="197" t="s">
        <v>103</v>
      </c>
      <c r="L1157" s="138" t="s">
        <v>161</v>
      </c>
      <c r="M1157" s="137" t="s">
        <v>42</v>
      </c>
      <c r="N1157" s="137"/>
      <c r="O1157" s="93" t="s">
        <v>3504</v>
      </c>
      <c r="P1157" s="93" t="s">
        <v>3505</v>
      </c>
      <c r="Q1157" s="15" t="s">
        <v>282</v>
      </c>
      <c r="R1157" s="132">
        <v>39721</v>
      </c>
      <c r="S1157" s="224"/>
      <c r="T1157" s="224"/>
      <c r="U1157" s="225"/>
      <c r="V1157" s="226"/>
      <c r="W1157" s="735">
        <v>30</v>
      </c>
      <c r="X1157" s="7">
        <v>0</v>
      </c>
      <c r="Y1157" s="7" t="str">
        <f>IF(AE1157="","",W1157*AE1157)</f>
        <v/>
      </c>
      <c r="Z1157" s="7">
        <f t="shared" ref="Z1157:Z1184" si="47">IF(Y1157="",X1157,Y1157+X1157)</f>
        <v>0</v>
      </c>
      <c r="AA1157" s="7"/>
      <c r="AB1157" s="579" t="s">
        <v>5975</v>
      </c>
      <c r="AC1157" s="580"/>
      <c r="AD1157" s="187">
        <v>0</v>
      </c>
      <c r="AE1157" s="187"/>
      <c r="AF1157" s="205">
        <f>AE1157+AD1157</f>
        <v>0</v>
      </c>
      <c r="AG1157" s="138"/>
      <c r="AH1157" s="93"/>
      <c r="AI1157" s="718" t="s">
        <v>3507</v>
      </c>
      <c r="AJ1157" s="138" t="s">
        <v>1188</v>
      </c>
      <c r="AK1157" s="138" t="s">
        <v>1185</v>
      </c>
      <c r="AL1157" s="93" t="s">
        <v>1175</v>
      </c>
    </row>
    <row r="1158" spans="1:38" ht="15" customHeight="1" x14ac:dyDescent="0.3">
      <c r="A1158" s="30" t="s">
        <v>22</v>
      </c>
      <c r="B1158" s="140" t="s">
        <v>159</v>
      </c>
      <c r="C1158" s="107">
        <v>1</v>
      </c>
      <c r="D1158" s="11" t="s">
        <v>143</v>
      </c>
      <c r="E1158" s="114">
        <v>39396</v>
      </c>
      <c r="F1158" s="12">
        <v>2007</v>
      </c>
      <c r="G1158" s="142" t="s">
        <v>3508</v>
      </c>
      <c r="H1158" s="162" t="s">
        <v>3509</v>
      </c>
      <c r="I1158" s="33" t="s">
        <v>33</v>
      </c>
      <c r="J1158" s="32" t="s">
        <v>26</v>
      </c>
      <c r="K1158" s="197" t="s">
        <v>103</v>
      </c>
      <c r="L1158" s="138" t="s">
        <v>161</v>
      </c>
      <c r="M1158" s="137" t="s">
        <v>42</v>
      </c>
      <c r="N1158" s="137"/>
      <c r="O1158" s="138" t="s">
        <v>3510</v>
      </c>
      <c r="P1158" s="138" t="s">
        <v>3511</v>
      </c>
      <c r="Q1158" s="15" t="s">
        <v>282</v>
      </c>
      <c r="R1158" s="132">
        <v>39878</v>
      </c>
      <c r="S1158" s="92"/>
      <c r="T1158" s="92"/>
      <c r="U1158" s="623"/>
      <c r="V1158" s="624"/>
      <c r="W1158" s="735">
        <v>20</v>
      </c>
      <c r="X1158" s="7">
        <v>0</v>
      </c>
      <c r="Y1158" s="7" t="str">
        <f>IF(AE1158="","",W1158*AE1158)</f>
        <v/>
      </c>
      <c r="Z1158" s="7">
        <f t="shared" si="47"/>
        <v>0</v>
      </c>
      <c r="AA1158" s="7"/>
      <c r="AB1158" s="579" t="s">
        <v>5975</v>
      </c>
      <c r="AC1158" s="580"/>
      <c r="AD1158" s="187">
        <v>0</v>
      </c>
      <c r="AE1158" s="187"/>
      <c r="AF1158" s="205">
        <f>AE1158+AD1158</f>
        <v>0</v>
      </c>
      <c r="AG1158" s="138"/>
      <c r="AH1158" s="138" t="s">
        <v>3503</v>
      </c>
      <c r="AI1158" s="718" t="s">
        <v>3513</v>
      </c>
      <c r="AJ1158" s="138" t="s">
        <v>1188</v>
      </c>
      <c r="AK1158" s="138" t="s">
        <v>1185</v>
      </c>
      <c r="AL1158" s="93" t="s">
        <v>1178</v>
      </c>
    </row>
    <row r="1159" spans="1:38" ht="15" customHeight="1" x14ac:dyDescent="0.3">
      <c r="A1159" s="181" t="s">
        <v>22</v>
      </c>
      <c r="B1159" s="145" t="s">
        <v>105</v>
      </c>
      <c r="C1159" s="135">
        <v>26</v>
      </c>
      <c r="D1159" s="11" t="s">
        <v>5936</v>
      </c>
      <c r="E1159" s="168">
        <v>40821</v>
      </c>
      <c r="F1159" s="136">
        <v>2011</v>
      </c>
      <c r="G1159" s="178" t="s">
        <v>3514</v>
      </c>
      <c r="H1159" s="204" t="s">
        <v>3515</v>
      </c>
      <c r="I1159" s="33" t="s">
        <v>33</v>
      </c>
      <c r="J1159" s="32" t="s">
        <v>26</v>
      </c>
      <c r="K1159" s="197" t="s">
        <v>103</v>
      </c>
      <c r="L1159" s="765" t="s">
        <v>161</v>
      </c>
      <c r="M1159" s="138" t="s">
        <v>42</v>
      </c>
      <c r="N1159" s="138"/>
      <c r="O1159" s="138" t="s">
        <v>3516</v>
      </c>
      <c r="P1159" s="718" t="s">
        <v>6074</v>
      </c>
      <c r="Q1159" s="15" t="s">
        <v>282</v>
      </c>
      <c r="R1159" s="132">
        <v>41106</v>
      </c>
      <c r="S1159" s="16" t="s">
        <v>44</v>
      </c>
      <c r="T1159" s="133">
        <v>41171</v>
      </c>
      <c r="U1159" s="623" t="s">
        <v>2218</v>
      </c>
      <c r="V1159" s="180">
        <v>41451</v>
      </c>
      <c r="W1159" s="256">
        <v>60</v>
      </c>
      <c r="X1159" s="7">
        <v>0</v>
      </c>
      <c r="Y1159" s="7" t="str">
        <f>IF(AE1159="","",W1159*AE1159)</f>
        <v/>
      </c>
      <c r="Z1159" s="7">
        <f t="shared" si="47"/>
        <v>0</v>
      </c>
      <c r="AA1159" s="7"/>
      <c r="AB1159" s="564" t="s">
        <v>1073</v>
      </c>
      <c r="AC1159" s="693"/>
      <c r="AD1159" s="196">
        <v>0</v>
      </c>
      <c r="AE1159" s="196"/>
      <c r="AF1159" s="205">
        <f>AE1159+AD1159</f>
        <v>0</v>
      </c>
      <c r="AG1159" s="138">
        <v>7</v>
      </c>
      <c r="AH1159" s="138" t="s">
        <v>3506</v>
      </c>
      <c r="AI1159" s="718" t="s">
        <v>3518</v>
      </c>
      <c r="AJ1159" s="138" t="s">
        <v>1188</v>
      </c>
      <c r="AK1159" s="30" t="s">
        <v>99</v>
      </c>
      <c r="AL1159" s="138" t="s">
        <v>1178</v>
      </c>
    </row>
    <row r="1160" spans="1:38" ht="15" customHeight="1" x14ac:dyDescent="0.3">
      <c r="A1160" s="181" t="s">
        <v>22</v>
      </c>
      <c r="B1160" s="145" t="s">
        <v>105</v>
      </c>
      <c r="C1160" s="135">
        <v>13</v>
      </c>
      <c r="D1160" s="11" t="s">
        <v>5936</v>
      </c>
      <c r="E1160" s="168">
        <v>41540</v>
      </c>
      <c r="F1160" s="136">
        <v>2013</v>
      </c>
      <c r="G1160" s="178" t="s">
        <v>3519</v>
      </c>
      <c r="H1160" s="204" t="s">
        <v>3520</v>
      </c>
      <c r="I1160" s="136" t="s">
        <v>80</v>
      </c>
      <c r="J1160" s="32" t="s">
        <v>26</v>
      </c>
      <c r="K1160" s="197" t="s">
        <v>111</v>
      </c>
      <c r="L1160" s="746" t="s">
        <v>3501</v>
      </c>
      <c r="M1160" s="197" t="s">
        <v>42</v>
      </c>
      <c r="N1160" s="197"/>
      <c r="O1160" s="138" t="s">
        <v>3521</v>
      </c>
      <c r="P1160" s="138" t="s">
        <v>3522</v>
      </c>
      <c r="Q1160" s="15" t="s">
        <v>282</v>
      </c>
      <c r="R1160" s="132">
        <v>41740</v>
      </c>
      <c r="S1160" s="16" t="s">
        <v>44</v>
      </c>
      <c r="T1160" s="133">
        <v>41844</v>
      </c>
      <c r="U1160" s="775"/>
      <c r="V1160" s="624"/>
      <c r="W1160" s="256">
        <v>33.799999999999997</v>
      </c>
      <c r="X1160" s="185">
        <v>0</v>
      </c>
      <c r="Y1160" s="7" t="str">
        <f t="shared" ref="Y1160:Y1223" si="48">IF(AE1160="","",W1160*AE1160)</f>
        <v/>
      </c>
      <c r="Z1160" s="185">
        <f t="shared" si="47"/>
        <v>0</v>
      </c>
      <c r="AA1160" s="185"/>
      <c r="AB1160" s="513" t="s">
        <v>3232</v>
      </c>
      <c r="AC1160" s="147"/>
      <c r="AD1160" s="196">
        <v>0</v>
      </c>
      <c r="AE1160" s="196"/>
      <c r="AF1160" s="205">
        <f t="shared" ref="AF1160:AF1223" si="49">AE1160+AD1160</f>
        <v>0</v>
      </c>
      <c r="AG1160" s="138">
        <v>8</v>
      </c>
      <c r="AH1160" s="138" t="s">
        <v>3512</v>
      </c>
      <c r="AI1160" s="138"/>
      <c r="AJ1160" s="138" t="s">
        <v>1188</v>
      </c>
      <c r="AK1160" s="181" t="s">
        <v>1185</v>
      </c>
      <c r="AL1160" s="138" t="s">
        <v>1178</v>
      </c>
    </row>
    <row r="1161" spans="1:38" ht="15" customHeight="1" x14ac:dyDescent="0.3">
      <c r="A1161" s="181" t="s">
        <v>22</v>
      </c>
      <c r="B1161" s="145" t="s">
        <v>105</v>
      </c>
      <c r="C1161" s="135">
        <v>4</v>
      </c>
      <c r="D1161" s="11" t="s">
        <v>5936</v>
      </c>
      <c r="E1161" s="168">
        <v>40501</v>
      </c>
      <c r="F1161" s="136">
        <v>2010</v>
      </c>
      <c r="G1161" s="178" t="s">
        <v>3523</v>
      </c>
      <c r="H1161" s="204" t="s">
        <v>3524</v>
      </c>
      <c r="I1161" s="136" t="s">
        <v>80</v>
      </c>
      <c r="J1161" s="32" t="s">
        <v>26</v>
      </c>
      <c r="K1161" s="197" t="s">
        <v>111</v>
      </c>
      <c r="L1161" s="138" t="s">
        <v>28</v>
      </c>
      <c r="M1161" s="197" t="s">
        <v>42</v>
      </c>
      <c r="N1161" s="197"/>
      <c r="O1161" s="138" t="s">
        <v>3525</v>
      </c>
      <c r="P1161" s="138" t="s">
        <v>6075</v>
      </c>
      <c r="Q1161" s="15" t="s">
        <v>282</v>
      </c>
      <c r="R1161" s="132">
        <v>41222</v>
      </c>
      <c r="S1161" s="16" t="s">
        <v>44</v>
      </c>
      <c r="T1161" s="133">
        <v>41453</v>
      </c>
      <c r="U1161" s="623"/>
      <c r="V1161" s="624"/>
      <c r="W1161" s="256">
        <v>30.5</v>
      </c>
      <c r="X1161" s="7">
        <v>0</v>
      </c>
      <c r="Y1161" s="7" t="str">
        <f t="shared" si="48"/>
        <v/>
      </c>
      <c r="Z1161" s="7">
        <f t="shared" si="47"/>
        <v>0</v>
      </c>
      <c r="AA1161" s="7"/>
      <c r="AB1161" s="564" t="s">
        <v>1073</v>
      </c>
      <c r="AC1161" s="693"/>
      <c r="AD1161" s="196">
        <v>0</v>
      </c>
      <c r="AE1161" s="196"/>
      <c r="AF1161" s="205">
        <f t="shared" si="49"/>
        <v>0</v>
      </c>
      <c r="AG1161" s="163">
        <v>7</v>
      </c>
      <c r="AH1161" s="138" t="s">
        <v>3517</v>
      </c>
      <c r="AI1161" s="138"/>
      <c r="AJ1161" s="93" t="s">
        <v>1188</v>
      </c>
      <c r="AK1161" s="30" t="s">
        <v>1185</v>
      </c>
      <c r="AL1161" s="93" t="s">
        <v>1178</v>
      </c>
    </row>
    <row r="1162" spans="1:38" ht="15" customHeight="1" x14ac:dyDescent="0.3">
      <c r="A1162" s="181" t="s">
        <v>22</v>
      </c>
      <c r="B1162" s="145" t="s">
        <v>105</v>
      </c>
      <c r="C1162" s="135">
        <v>31</v>
      </c>
      <c r="D1162" s="11" t="s">
        <v>5936</v>
      </c>
      <c r="E1162" s="168">
        <v>41173</v>
      </c>
      <c r="F1162" s="136">
        <v>2012</v>
      </c>
      <c r="G1162" s="178" t="s">
        <v>3526</v>
      </c>
      <c r="H1162" s="204" t="s">
        <v>3527</v>
      </c>
      <c r="I1162" s="136" t="s">
        <v>38</v>
      </c>
      <c r="J1162" s="32" t="s">
        <v>26</v>
      </c>
      <c r="K1162" s="197" t="s">
        <v>111</v>
      </c>
      <c r="L1162" s="746" t="s">
        <v>161</v>
      </c>
      <c r="M1162" s="197" t="s">
        <v>42</v>
      </c>
      <c r="N1162" s="197"/>
      <c r="O1162" s="138" t="s">
        <v>3528</v>
      </c>
      <c r="P1162" s="138" t="s">
        <v>3529</v>
      </c>
      <c r="Q1162" s="15" t="s">
        <v>282</v>
      </c>
      <c r="R1162" s="132">
        <v>41513</v>
      </c>
      <c r="S1162" s="16" t="s">
        <v>44</v>
      </c>
      <c r="T1162" s="133">
        <v>41619</v>
      </c>
      <c r="U1162" s="623"/>
      <c r="V1162" s="624"/>
      <c r="W1162" s="256">
        <v>6.4</v>
      </c>
      <c r="X1162" s="7">
        <v>0</v>
      </c>
      <c r="Y1162" s="7" t="str">
        <f t="shared" si="48"/>
        <v/>
      </c>
      <c r="Z1162" s="7">
        <f t="shared" si="47"/>
        <v>0</v>
      </c>
      <c r="AA1162" s="108"/>
      <c r="AB1162" s="564" t="s">
        <v>1073</v>
      </c>
      <c r="AC1162" s="693"/>
      <c r="AD1162" s="196">
        <v>0</v>
      </c>
      <c r="AE1162" s="196"/>
      <c r="AF1162" s="205">
        <f t="shared" si="49"/>
        <v>0</v>
      </c>
      <c r="AG1162" s="138">
        <v>8</v>
      </c>
      <c r="AH1162" s="138"/>
      <c r="AI1162" s="138"/>
      <c r="AJ1162" s="138" t="s">
        <v>1188</v>
      </c>
      <c r="AK1162" s="181" t="s">
        <v>1185</v>
      </c>
      <c r="AL1162" s="138" t="s">
        <v>1178</v>
      </c>
    </row>
    <row r="1163" spans="1:38" ht="15" customHeight="1" x14ac:dyDescent="0.3">
      <c r="A1163" s="181" t="s">
        <v>22</v>
      </c>
      <c r="B1163" s="145" t="s">
        <v>105</v>
      </c>
      <c r="C1163" s="135">
        <v>6</v>
      </c>
      <c r="D1163" s="11" t="s">
        <v>5936</v>
      </c>
      <c r="E1163" s="168">
        <v>40372</v>
      </c>
      <c r="F1163" s="136">
        <v>2010</v>
      </c>
      <c r="G1163" s="178" t="s">
        <v>3530</v>
      </c>
      <c r="H1163" s="204" t="s">
        <v>3531</v>
      </c>
      <c r="I1163" s="33" t="s">
        <v>33</v>
      </c>
      <c r="J1163" s="32" t="s">
        <v>191</v>
      </c>
      <c r="K1163" s="197" t="s">
        <v>3532</v>
      </c>
      <c r="L1163" s="197" t="s">
        <v>132</v>
      </c>
      <c r="M1163" s="197" t="s">
        <v>42</v>
      </c>
      <c r="N1163" s="197"/>
      <c r="O1163" s="138" t="s">
        <v>3533</v>
      </c>
      <c r="P1163" s="718" t="s">
        <v>3534</v>
      </c>
      <c r="Q1163" s="15" t="s">
        <v>282</v>
      </c>
      <c r="R1163" s="227">
        <v>40746</v>
      </c>
      <c r="S1163" s="16" t="s">
        <v>44</v>
      </c>
      <c r="T1163" s="756">
        <v>41257</v>
      </c>
      <c r="U1163" s="737"/>
      <c r="V1163" s="733"/>
      <c r="W1163" s="256">
        <v>30</v>
      </c>
      <c r="X1163" s="7">
        <v>0</v>
      </c>
      <c r="Y1163" s="7" t="str">
        <f t="shared" si="48"/>
        <v/>
      </c>
      <c r="Z1163" s="7">
        <f t="shared" si="47"/>
        <v>0</v>
      </c>
      <c r="AA1163" s="7"/>
      <c r="AB1163" s="564" t="s">
        <v>1073</v>
      </c>
      <c r="AC1163" s="693"/>
      <c r="AD1163" s="187">
        <v>0</v>
      </c>
      <c r="AE1163" s="195"/>
      <c r="AF1163" s="205">
        <f t="shared" si="49"/>
        <v>0</v>
      </c>
      <c r="AG1163" s="30">
        <v>7</v>
      </c>
      <c r="AH1163" s="476" t="s">
        <v>851</v>
      </c>
      <c r="AI1163" s="30"/>
      <c r="AJ1163" s="30" t="s">
        <v>1188</v>
      </c>
      <c r="AK1163" s="30" t="s">
        <v>99</v>
      </c>
      <c r="AL1163" s="30" t="s">
        <v>1178</v>
      </c>
    </row>
    <row r="1164" spans="1:38" ht="15" customHeight="1" x14ac:dyDescent="0.3">
      <c r="A1164" s="181" t="s">
        <v>22</v>
      </c>
      <c r="B1164" s="145" t="s">
        <v>105</v>
      </c>
      <c r="C1164" s="135">
        <v>23</v>
      </c>
      <c r="D1164" s="11" t="s">
        <v>5936</v>
      </c>
      <c r="E1164" s="168">
        <v>41354</v>
      </c>
      <c r="F1164" s="136">
        <v>2013</v>
      </c>
      <c r="G1164" s="178" t="s">
        <v>3535</v>
      </c>
      <c r="H1164" s="204" t="s">
        <v>3536</v>
      </c>
      <c r="I1164" s="136" t="s">
        <v>80</v>
      </c>
      <c r="J1164" s="32" t="s">
        <v>26</v>
      </c>
      <c r="K1164" s="197" t="s">
        <v>111</v>
      </c>
      <c r="L1164" s="746" t="s">
        <v>3501</v>
      </c>
      <c r="M1164" s="197" t="s">
        <v>42</v>
      </c>
      <c r="N1164" s="197"/>
      <c r="O1164" s="138" t="s">
        <v>3537</v>
      </c>
      <c r="P1164" s="138" t="s">
        <v>3538</v>
      </c>
      <c r="Q1164" s="15" t="s">
        <v>282</v>
      </c>
      <c r="R1164" s="132">
        <v>41682</v>
      </c>
      <c r="S1164" s="16" t="s">
        <v>44</v>
      </c>
      <c r="T1164" s="133">
        <v>41737</v>
      </c>
      <c r="U1164" s="623"/>
      <c r="V1164" s="624"/>
      <c r="W1164" s="256">
        <v>320</v>
      </c>
      <c r="X1164" s="185">
        <v>0</v>
      </c>
      <c r="Y1164" s="7" t="str">
        <f t="shared" si="48"/>
        <v/>
      </c>
      <c r="Z1164" s="185">
        <f t="shared" si="47"/>
        <v>0</v>
      </c>
      <c r="AA1164" s="108"/>
      <c r="AB1164" s="564" t="s">
        <v>1073</v>
      </c>
      <c r="AC1164" s="693"/>
      <c r="AD1164" s="196">
        <v>0</v>
      </c>
      <c r="AE1164" s="196"/>
      <c r="AF1164" s="205">
        <f t="shared" si="49"/>
        <v>0</v>
      </c>
      <c r="AG1164" s="138">
        <v>8</v>
      </c>
      <c r="AH1164" s="138" t="s">
        <v>1585</v>
      </c>
      <c r="AI1164" s="138"/>
      <c r="AJ1164" s="138" t="s">
        <v>1188</v>
      </c>
      <c r="AK1164" s="181" t="s">
        <v>1185</v>
      </c>
      <c r="AL1164" s="138" t="s">
        <v>1178</v>
      </c>
    </row>
    <row r="1165" spans="1:38" ht="15" customHeight="1" x14ac:dyDescent="0.3">
      <c r="A1165" s="181" t="s">
        <v>22</v>
      </c>
      <c r="B1165" s="145" t="s">
        <v>105</v>
      </c>
      <c r="C1165" s="135">
        <v>6</v>
      </c>
      <c r="D1165" s="11" t="s">
        <v>5936</v>
      </c>
      <c r="E1165" s="168">
        <v>41626</v>
      </c>
      <c r="F1165" s="136">
        <v>2013</v>
      </c>
      <c r="G1165" s="178" t="s">
        <v>3540</v>
      </c>
      <c r="H1165" s="204" t="s">
        <v>3541</v>
      </c>
      <c r="I1165" s="136" t="s">
        <v>38</v>
      </c>
      <c r="J1165" s="32" t="s">
        <v>26</v>
      </c>
      <c r="K1165" s="197" t="s">
        <v>111</v>
      </c>
      <c r="L1165" s="746" t="s">
        <v>3501</v>
      </c>
      <c r="M1165" s="197" t="s">
        <v>42</v>
      </c>
      <c r="N1165" s="197"/>
      <c r="O1165" s="138" t="s">
        <v>3542</v>
      </c>
      <c r="P1165" s="138" t="s">
        <v>3543</v>
      </c>
      <c r="Q1165" s="15" t="s">
        <v>282</v>
      </c>
      <c r="R1165" s="132">
        <v>41835</v>
      </c>
      <c r="S1165" s="16" t="s">
        <v>44</v>
      </c>
      <c r="T1165" s="133">
        <v>41915</v>
      </c>
      <c r="U1165" s="623"/>
      <c r="V1165" s="624"/>
      <c r="W1165" s="256">
        <v>33</v>
      </c>
      <c r="X1165" s="185">
        <v>0</v>
      </c>
      <c r="Y1165" s="7" t="str">
        <f t="shared" si="48"/>
        <v/>
      </c>
      <c r="Z1165" s="185">
        <f t="shared" si="47"/>
        <v>0</v>
      </c>
      <c r="AA1165" s="185"/>
      <c r="AB1165" s="564" t="s">
        <v>1073</v>
      </c>
      <c r="AC1165" s="693"/>
      <c r="AD1165" s="196">
        <v>0</v>
      </c>
      <c r="AE1165" s="196"/>
      <c r="AF1165" s="205">
        <f t="shared" si="49"/>
        <v>0</v>
      </c>
      <c r="AG1165" s="138">
        <v>8</v>
      </c>
      <c r="AH1165" s="138" t="s">
        <v>125</v>
      </c>
      <c r="AI1165" s="138"/>
      <c r="AJ1165" s="138" t="s">
        <v>1188</v>
      </c>
      <c r="AK1165" s="181" t="s">
        <v>1185</v>
      </c>
      <c r="AL1165" s="138" t="s">
        <v>1178</v>
      </c>
    </row>
    <row r="1166" spans="1:38" ht="15" customHeight="1" x14ac:dyDescent="0.3">
      <c r="A1166" s="181" t="s">
        <v>22</v>
      </c>
      <c r="B1166" s="145" t="s">
        <v>105</v>
      </c>
      <c r="C1166" s="135">
        <v>31</v>
      </c>
      <c r="D1166" s="11" t="s">
        <v>5936</v>
      </c>
      <c r="E1166" s="168">
        <v>41556</v>
      </c>
      <c r="F1166" s="136">
        <v>2013</v>
      </c>
      <c r="G1166" s="178" t="s">
        <v>3546</v>
      </c>
      <c r="H1166" s="204" t="s">
        <v>3547</v>
      </c>
      <c r="I1166" s="136" t="s">
        <v>38</v>
      </c>
      <c r="J1166" s="32" t="s">
        <v>26</v>
      </c>
      <c r="K1166" s="197" t="s">
        <v>111</v>
      </c>
      <c r="L1166" s="746" t="s">
        <v>3501</v>
      </c>
      <c r="M1166" s="197" t="s">
        <v>42</v>
      </c>
      <c r="N1166" s="197"/>
      <c r="O1166" s="138" t="s">
        <v>3548</v>
      </c>
      <c r="P1166" s="138" t="s">
        <v>3549</v>
      </c>
      <c r="Q1166" s="15" t="s">
        <v>282</v>
      </c>
      <c r="R1166" s="132">
        <v>41884</v>
      </c>
      <c r="S1166" s="16" t="s">
        <v>44</v>
      </c>
      <c r="T1166" s="133">
        <v>42032</v>
      </c>
      <c r="U1166" s="623"/>
      <c r="V1166" s="624"/>
      <c r="W1166" s="256">
        <v>30</v>
      </c>
      <c r="X1166" s="185">
        <v>0</v>
      </c>
      <c r="Y1166" s="7" t="str">
        <f t="shared" si="48"/>
        <v/>
      </c>
      <c r="Z1166" s="185">
        <f t="shared" si="47"/>
        <v>0</v>
      </c>
      <c r="AA1166" s="108"/>
      <c r="AB1166" s="513" t="s">
        <v>3232</v>
      </c>
      <c r="AC1166" s="147"/>
      <c r="AD1166" s="196">
        <v>0</v>
      </c>
      <c r="AE1166" s="196"/>
      <c r="AF1166" s="205">
        <f t="shared" si="49"/>
        <v>0</v>
      </c>
      <c r="AG1166" s="138">
        <v>8</v>
      </c>
      <c r="AH1166" s="138" t="s">
        <v>3539</v>
      </c>
      <c r="AI1166" s="138"/>
      <c r="AJ1166" s="138" t="s">
        <v>1188</v>
      </c>
      <c r="AK1166" s="181" t="s">
        <v>1185</v>
      </c>
      <c r="AL1166" s="138" t="s">
        <v>1178</v>
      </c>
    </row>
    <row r="1167" spans="1:38" ht="15" customHeight="1" x14ac:dyDescent="0.3">
      <c r="A1167" s="181" t="s">
        <v>22</v>
      </c>
      <c r="B1167" s="145" t="s">
        <v>105</v>
      </c>
      <c r="C1167" s="135">
        <v>14</v>
      </c>
      <c r="D1167" s="11" t="s">
        <v>5936</v>
      </c>
      <c r="E1167" s="168">
        <v>41494</v>
      </c>
      <c r="F1167" s="136">
        <v>2013</v>
      </c>
      <c r="G1167" s="178" t="s">
        <v>3550</v>
      </c>
      <c r="H1167" s="204" t="s">
        <v>3551</v>
      </c>
      <c r="I1167" s="136" t="s">
        <v>38</v>
      </c>
      <c r="J1167" s="32" t="s">
        <v>26</v>
      </c>
      <c r="K1167" s="197" t="s">
        <v>3552</v>
      </c>
      <c r="L1167" s="746" t="s">
        <v>3501</v>
      </c>
      <c r="M1167" s="197" t="s">
        <v>42</v>
      </c>
      <c r="N1167" s="197"/>
      <c r="O1167" s="138" t="s">
        <v>3553</v>
      </c>
      <c r="P1167" s="138" t="s">
        <v>3554</v>
      </c>
      <c r="Q1167" s="15" t="s">
        <v>282</v>
      </c>
      <c r="R1167" s="132">
        <v>41880</v>
      </c>
      <c r="S1167" s="16" t="s">
        <v>44</v>
      </c>
      <c r="T1167" s="133">
        <v>42033</v>
      </c>
      <c r="U1167" s="623"/>
      <c r="V1167" s="624"/>
      <c r="W1167" s="256">
        <v>56.5</v>
      </c>
      <c r="X1167" s="185">
        <v>0</v>
      </c>
      <c r="Y1167" s="7" t="str">
        <f t="shared" si="48"/>
        <v/>
      </c>
      <c r="Z1167" s="185">
        <f t="shared" si="47"/>
        <v>0</v>
      </c>
      <c r="AA1167" s="108"/>
      <c r="AB1167" s="513" t="s">
        <v>3232</v>
      </c>
      <c r="AC1167" s="147"/>
      <c r="AD1167" s="196">
        <v>0</v>
      </c>
      <c r="AE1167" s="196"/>
      <c r="AF1167" s="205">
        <f t="shared" si="49"/>
        <v>0</v>
      </c>
      <c r="AG1167" s="138">
        <v>8</v>
      </c>
      <c r="AH1167" s="138" t="s">
        <v>3544</v>
      </c>
      <c r="AI1167" s="138"/>
      <c r="AJ1167" s="138" t="s">
        <v>1188</v>
      </c>
      <c r="AK1167" s="181" t="s">
        <v>1185</v>
      </c>
      <c r="AL1167" s="138" t="s">
        <v>1178</v>
      </c>
    </row>
    <row r="1168" spans="1:38" ht="15" customHeight="1" x14ac:dyDescent="0.3">
      <c r="A1168" s="181" t="s">
        <v>140</v>
      </c>
      <c r="B1168" s="145" t="s">
        <v>3545</v>
      </c>
      <c r="C1168" s="135"/>
      <c r="D1168" s="136" t="s">
        <v>190</v>
      </c>
      <c r="E1168" s="168">
        <v>41940</v>
      </c>
      <c r="F1168" s="136">
        <v>2014</v>
      </c>
      <c r="G1168" s="178" t="s">
        <v>3555</v>
      </c>
      <c r="H1168" s="204" t="s">
        <v>3556</v>
      </c>
      <c r="I1168" s="33" t="s">
        <v>33</v>
      </c>
      <c r="J1168" s="181" t="s">
        <v>81</v>
      </c>
      <c r="K1168" s="197" t="s">
        <v>141</v>
      </c>
      <c r="L1168" s="746" t="s">
        <v>3501</v>
      </c>
      <c r="M1168" s="138" t="s">
        <v>42</v>
      </c>
      <c r="N1168" s="553" t="s">
        <v>122</v>
      </c>
      <c r="O1168" s="138" t="s">
        <v>3557</v>
      </c>
      <c r="P1168" s="138" t="s">
        <v>3558</v>
      </c>
      <c r="Q1168" s="15" t="s">
        <v>282</v>
      </c>
      <c r="R1168" s="132">
        <v>42079</v>
      </c>
      <c r="S1168" s="16" t="s">
        <v>44</v>
      </c>
      <c r="T1168" s="133">
        <v>42089</v>
      </c>
      <c r="U1168" s="623"/>
      <c r="V1168" s="624"/>
      <c r="W1168" s="256">
        <v>5</v>
      </c>
      <c r="X1168" s="185"/>
      <c r="Y1168" s="7" t="str">
        <f t="shared" si="48"/>
        <v/>
      </c>
      <c r="Z1168" s="185">
        <f t="shared" si="47"/>
        <v>0</v>
      </c>
      <c r="AA1168" s="185"/>
      <c r="AB1168" s="564" t="s">
        <v>2595</v>
      </c>
      <c r="AC1168" s="693"/>
      <c r="AD1168" s="196"/>
      <c r="AE1168" s="196"/>
      <c r="AF1168" s="205">
        <f t="shared" si="49"/>
        <v>0</v>
      </c>
      <c r="AG1168" s="138">
        <v>8</v>
      </c>
      <c r="AH1168" s="138"/>
      <c r="AI1168" s="138"/>
      <c r="AJ1168" s="138" t="s">
        <v>1188</v>
      </c>
      <c r="AK1168" s="181" t="s">
        <v>1185</v>
      </c>
      <c r="AL1168" s="138" t="s">
        <v>1178</v>
      </c>
    </row>
    <row r="1169" spans="1:38" ht="15" customHeight="1" x14ac:dyDescent="0.3">
      <c r="A1169" s="181" t="s">
        <v>22</v>
      </c>
      <c r="B1169" s="145" t="s">
        <v>116</v>
      </c>
      <c r="C1169" s="135" t="s">
        <v>196</v>
      </c>
      <c r="D1169" s="11" t="s">
        <v>5936</v>
      </c>
      <c r="E1169" s="168">
        <v>41459</v>
      </c>
      <c r="F1169" s="136">
        <v>2013</v>
      </c>
      <c r="G1169" s="178" t="s">
        <v>3559</v>
      </c>
      <c r="H1169" s="204" t="s">
        <v>3560</v>
      </c>
      <c r="I1169" s="33" t="s">
        <v>33</v>
      </c>
      <c r="J1169" s="32" t="s">
        <v>26</v>
      </c>
      <c r="K1169" s="197" t="s">
        <v>111</v>
      </c>
      <c r="L1169" s="746" t="s">
        <v>3501</v>
      </c>
      <c r="M1169" s="197" t="s">
        <v>42</v>
      </c>
      <c r="N1169" s="197"/>
      <c r="O1169" s="138" t="s">
        <v>3561</v>
      </c>
      <c r="P1169" s="138" t="s">
        <v>3562</v>
      </c>
      <c r="Q1169" s="15" t="s">
        <v>282</v>
      </c>
      <c r="R1169" s="132">
        <v>41767</v>
      </c>
      <c r="S1169" s="16" t="s">
        <v>44</v>
      </c>
      <c r="T1169" s="133">
        <v>42075</v>
      </c>
      <c r="U1169" s="623"/>
      <c r="V1169" s="624"/>
      <c r="W1169" s="256">
        <v>350</v>
      </c>
      <c r="X1169" s="185">
        <v>0</v>
      </c>
      <c r="Y1169" s="7" t="str">
        <f t="shared" si="48"/>
        <v/>
      </c>
      <c r="Z1169" s="185">
        <f t="shared" si="47"/>
        <v>0</v>
      </c>
      <c r="AA1169" s="108"/>
      <c r="AB1169" s="564" t="s">
        <v>1073</v>
      </c>
      <c r="AC1169" s="693"/>
      <c r="AD1169" s="196">
        <v>0</v>
      </c>
      <c r="AE1169" s="196"/>
      <c r="AF1169" s="205">
        <f t="shared" si="49"/>
        <v>0</v>
      </c>
      <c r="AG1169" s="138">
        <v>8</v>
      </c>
      <c r="AH1169" s="138"/>
      <c r="AI1169" s="138"/>
      <c r="AJ1169" s="138" t="s">
        <v>1188</v>
      </c>
      <c r="AK1169" s="181" t="s">
        <v>1185</v>
      </c>
      <c r="AL1169" s="138" t="s">
        <v>1178</v>
      </c>
    </row>
    <row r="1170" spans="1:38" ht="15" customHeight="1" x14ac:dyDescent="0.3">
      <c r="A1170" s="181" t="s">
        <v>22</v>
      </c>
      <c r="B1170" s="145" t="s">
        <v>105</v>
      </c>
      <c r="C1170" s="135">
        <v>2</v>
      </c>
      <c r="D1170" s="11" t="s">
        <v>5936</v>
      </c>
      <c r="E1170" s="168">
        <v>41331</v>
      </c>
      <c r="F1170" s="136">
        <v>2013</v>
      </c>
      <c r="G1170" s="178" t="s">
        <v>3564</v>
      </c>
      <c r="H1170" s="204" t="s">
        <v>3565</v>
      </c>
      <c r="I1170" s="136" t="s">
        <v>38</v>
      </c>
      <c r="J1170" s="32" t="s">
        <v>26</v>
      </c>
      <c r="K1170" s="197" t="s">
        <v>111</v>
      </c>
      <c r="L1170" s="746" t="s">
        <v>161</v>
      </c>
      <c r="M1170" s="197" t="s">
        <v>42</v>
      </c>
      <c r="N1170" s="197"/>
      <c r="O1170" s="138" t="s">
        <v>3566</v>
      </c>
      <c r="P1170" s="138" t="s">
        <v>3567</v>
      </c>
      <c r="Q1170" s="15" t="s">
        <v>282</v>
      </c>
      <c r="R1170" s="132">
        <v>41583</v>
      </c>
      <c r="S1170" s="16" t="s">
        <v>44</v>
      </c>
      <c r="T1170" s="133">
        <v>42055</v>
      </c>
      <c r="U1170" s="623"/>
      <c r="V1170" s="624"/>
      <c r="W1170" s="256">
        <v>35.5</v>
      </c>
      <c r="X1170" s="185">
        <v>0</v>
      </c>
      <c r="Y1170" s="7" t="str">
        <f t="shared" si="48"/>
        <v/>
      </c>
      <c r="Z1170" s="185">
        <f t="shared" si="47"/>
        <v>0</v>
      </c>
      <c r="AA1170" s="108"/>
      <c r="AB1170" s="513" t="s">
        <v>3232</v>
      </c>
      <c r="AC1170" s="147"/>
      <c r="AD1170" s="196">
        <v>0</v>
      </c>
      <c r="AE1170" s="196"/>
      <c r="AF1170" s="205">
        <f t="shared" si="49"/>
        <v>0</v>
      </c>
      <c r="AG1170" s="138">
        <v>8</v>
      </c>
      <c r="AH1170" s="138"/>
      <c r="AI1170" s="138"/>
      <c r="AJ1170" s="138" t="s">
        <v>1188</v>
      </c>
      <c r="AK1170" s="181" t="s">
        <v>1185</v>
      </c>
      <c r="AL1170" s="138" t="s">
        <v>1178</v>
      </c>
    </row>
    <row r="1171" spans="1:38" ht="15" customHeight="1" x14ac:dyDescent="0.3">
      <c r="A1171" s="181" t="s">
        <v>22</v>
      </c>
      <c r="B1171" s="145" t="s">
        <v>105</v>
      </c>
      <c r="C1171" s="135">
        <v>25</v>
      </c>
      <c r="D1171" s="11" t="s">
        <v>5936</v>
      </c>
      <c r="E1171" s="168">
        <v>41185</v>
      </c>
      <c r="F1171" s="136">
        <v>2012</v>
      </c>
      <c r="G1171" s="178" t="s">
        <v>3569</v>
      </c>
      <c r="H1171" s="204" t="s">
        <v>3570</v>
      </c>
      <c r="I1171" s="136" t="s">
        <v>80</v>
      </c>
      <c r="J1171" s="32" t="s">
        <v>26</v>
      </c>
      <c r="K1171" s="197" t="s">
        <v>111</v>
      </c>
      <c r="L1171" s="746" t="s">
        <v>28</v>
      </c>
      <c r="M1171" s="197" t="s">
        <v>42</v>
      </c>
      <c r="N1171" s="197"/>
      <c r="O1171" s="138" t="s">
        <v>3571</v>
      </c>
      <c r="P1171" s="138" t="s">
        <v>3572</v>
      </c>
      <c r="Q1171" s="15" t="s">
        <v>35</v>
      </c>
      <c r="R1171" s="132">
        <v>41690</v>
      </c>
      <c r="S1171" s="16" t="s">
        <v>44</v>
      </c>
      <c r="T1171" s="133">
        <v>41702</v>
      </c>
      <c r="U1171" s="623"/>
      <c r="V1171" s="624"/>
      <c r="W1171" s="256">
        <v>71</v>
      </c>
      <c r="X1171" s="7">
        <v>0</v>
      </c>
      <c r="Y1171" s="7" t="str">
        <f t="shared" si="48"/>
        <v/>
      </c>
      <c r="Z1171" s="7">
        <f t="shared" si="47"/>
        <v>0</v>
      </c>
      <c r="AA1171" s="108"/>
      <c r="AB1171" s="513" t="s">
        <v>3232</v>
      </c>
      <c r="AC1171" s="147"/>
      <c r="AD1171" s="196">
        <v>0</v>
      </c>
      <c r="AE1171" s="196"/>
      <c r="AF1171" s="205">
        <f t="shared" si="49"/>
        <v>0</v>
      </c>
      <c r="AG1171" s="138">
        <v>8</v>
      </c>
      <c r="AH1171" s="138"/>
      <c r="AI1171" s="138"/>
      <c r="AJ1171" s="138" t="s">
        <v>1188</v>
      </c>
      <c r="AK1171" s="181" t="s">
        <v>1185</v>
      </c>
      <c r="AL1171" s="138" t="s">
        <v>1178</v>
      </c>
    </row>
    <row r="1172" spans="1:38" ht="15" customHeight="1" x14ac:dyDescent="0.3">
      <c r="A1172" s="30" t="s">
        <v>22</v>
      </c>
      <c r="B1172" s="140" t="s">
        <v>3563</v>
      </c>
      <c r="C1172" s="107" t="s">
        <v>213</v>
      </c>
      <c r="D1172" s="12" t="s">
        <v>190</v>
      </c>
      <c r="E1172" s="114">
        <v>39083</v>
      </c>
      <c r="F1172" s="12">
        <v>2007</v>
      </c>
      <c r="G1172" s="142" t="s">
        <v>3573</v>
      </c>
      <c r="H1172" s="162"/>
      <c r="I1172" s="33" t="s">
        <v>33</v>
      </c>
      <c r="J1172" s="32" t="s">
        <v>26</v>
      </c>
      <c r="K1172" s="138" t="s">
        <v>111</v>
      </c>
      <c r="L1172" s="197" t="s">
        <v>161</v>
      </c>
      <c r="M1172" s="137" t="s">
        <v>42</v>
      </c>
      <c r="N1172" s="137"/>
      <c r="O1172" s="138" t="s">
        <v>3574</v>
      </c>
      <c r="P1172" s="647" t="s">
        <v>3575</v>
      </c>
      <c r="Q1172" s="15" t="s">
        <v>282</v>
      </c>
      <c r="R1172" s="132">
        <v>39499</v>
      </c>
      <c r="S1172" s="16" t="s">
        <v>44</v>
      </c>
      <c r="T1172" s="133">
        <v>39780</v>
      </c>
      <c r="U1172" s="623" t="s">
        <v>35</v>
      </c>
      <c r="V1172" s="721">
        <v>41934</v>
      </c>
      <c r="W1172" s="734">
        <v>40</v>
      </c>
      <c r="X1172" s="7">
        <v>0</v>
      </c>
      <c r="Y1172" s="7" t="str">
        <f t="shared" si="48"/>
        <v/>
      </c>
      <c r="Z1172" s="185">
        <f t="shared" si="47"/>
        <v>0</v>
      </c>
      <c r="AA1172" s="7"/>
      <c r="AB1172" s="504" t="s">
        <v>3568</v>
      </c>
      <c r="AC1172" s="138"/>
      <c r="AD1172" s="187">
        <v>0</v>
      </c>
      <c r="AE1172" s="187"/>
      <c r="AF1172" s="205">
        <f t="shared" si="49"/>
        <v>0</v>
      </c>
      <c r="AG1172" s="138">
        <v>7.5</v>
      </c>
      <c r="AH1172" s="138"/>
      <c r="AI1172" s="718" t="s">
        <v>3577</v>
      </c>
      <c r="AJ1172" s="138" t="s">
        <v>1188</v>
      </c>
      <c r="AK1172" s="30" t="s">
        <v>99</v>
      </c>
      <c r="AL1172" s="93" t="s">
        <v>1178</v>
      </c>
    </row>
    <row r="1173" spans="1:38" ht="15" customHeight="1" x14ac:dyDescent="0.3">
      <c r="A1173" s="30" t="s">
        <v>22</v>
      </c>
      <c r="B1173" s="30" t="s">
        <v>23</v>
      </c>
      <c r="C1173" s="37">
        <v>8</v>
      </c>
      <c r="D1173" s="11" t="s">
        <v>24</v>
      </c>
      <c r="E1173" s="108">
        <v>41617</v>
      </c>
      <c r="F1173" s="37">
        <v>2013</v>
      </c>
      <c r="G1173" s="30" t="s">
        <v>3578</v>
      </c>
      <c r="H1173" s="162" t="s">
        <v>3579</v>
      </c>
      <c r="I1173" s="12" t="s">
        <v>38</v>
      </c>
      <c r="J1173" s="32" t="s">
        <v>26</v>
      </c>
      <c r="K1173" s="137" t="s">
        <v>111</v>
      </c>
      <c r="L1173" s="137" t="s">
        <v>3349</v>
      </c>
      <c r="M1173" s="660" t="s">
        <v>42</v>
      </c>
      <c r="N1173" s="709"/>
      <c r="O1173" s="146" t="s">
        <v>3580</v>
      </c>
      <c r="P1173" s="138" t="s">
        <v>6076</v>
      </c>
      <c r="Q1173" s="91"/>
      <c r="R1173" s="132"/>
      <c r="S1173" s="92"/>
      <c r="T1173" s="139"/>
      <c r="U1173" s="624"/>
      <c r="V1173" s="624"/>
      <c r="W1173" s="735">
        <v>11.7</v>
      </c>
      <c r="X1173" s="7">
        <v>0</v>
      </c>
      <c r="Y1173" s="7" t="str">
        <f t="shared" si="48"/>
        <v/>
      </c>
      <c r="Z1173" s="7">
        <f t="shared" si="47"/>
        <v>0</v>
      </c>
      <c r="AA1173" s="7"/>
      <c r="AB1173" s="762" t="s">
        <v>3077</v>
      </c>
      <c r="AC1173" s="652"/>
      <c r="AD1173" s="187">
        <v>0</v>
      </c>
      <c r="AE1173" s="187"/>
      <c r="AF1173" s="205">
        <f t="shared" si="49"/>
        <v>0</v>
      </c>
      <c r="AG1173" s="30">
        <v>8</v>
      </c>
      <c r="AH1173" s="30" t="s">
        <v>58</v>
      </c>
      <c r="AI1173" s="146"/>
      <c r="AJ1173" s="30" t="s">
        <v>1188</v>
      </c>
      <c r="AK1173" s="30" t="s">
        <v>1177</v>
      </c>
      <c r="AL1173" s="93" t="s">
        <v>1178</v>
      </c>
    </row>
    <row r="1174" spans="1:38" ht="15" customHeight="1" x14ac:dyDescent="0.3">
      <c r="A1174" s="30" t="s">
        <v>22</v>
      </c>
      <c r="B1174" s="153" t="s">
        <v>23</v>
      </c>
      <c r="C1174" s="109">
        <v>8</v>
      </c>
      <c r="D1174" s="11" t="s">
        <v>24</v>
      </c>
      <c r="E1174" s="114">
        <v>40200</v>
      </c>
      <c r="F1174" s="33">
        <v>2010</v>
      </c>
      <c r="G1174" s="142" t="s">
        <v>3581</v>
      </c>
      <c r="H1174" s="162" t="s">
        <v>3582</v>
      </c>
      <c r="I1174" s="12" t="s">
        <v>80</v>
      </c>
      <c r="J1174" s="32" t="s">
        <v>26</v>
      </c>
      <c r="K1174" s="197" t="s">
        <v>111</v>
      </c>
      <c r="L1174" s="137" t="s">
        <v>3583</v>
      </c>
      <c r="M1174" s="137" t="s">
        <v>42</v>
      </c>
      <c r="N1174" s="238"/>
      <c r="O1174" s="146" t="s">
        <v>3584</v>
      </c>
      <c r="P1174" s="138" t="s">
        <v>6077</v>
      </c>
      <c r="Q1174" s="15" t="s">
        <v>282</v>
      </c>
      <c r="R1174" s="132">
        <v>40795</v>
      </c>
      <c r="S1174" s="16" t="s">
        <v>35</v>
      </c>
      <c r="T1174" s="165">
        <v>42089</v>
      </c>
      <c r="U1174" s="624"/>
      <c r="V1174" s="624"/>
      <c r="W1174" s="735">
        <v>53</v>
      </c>
      <c r="X1174" s="7">
        <v>0</v>
      </c>
      <c r="Y1174" s="7" t="str">
        <f t="shared" si="48"/>
        <v/>
      </c>
      <c r="Z1174" s="7">
        <f t="shared" si="47"/>
        <v>0</v>
      </c>
      <c r="AA1174" s="219">
        <v>42228</v>
      </c>
      <c r="AB1174" s="503" t="s">
        <v>36</v>
      </c>
      <c r="AC1174" s="222"/>
      <c r="AD1174" s="187">
        <v>0</v>
      </c>
      <c r="AE1174" s="187"/>
      <c r="AF1174" s="205">
        <f t="shared" si="49"/>
        <v>0</v>
      </c>
      <c r="AG1174" s="163">
        <v>7</v>
      </c>
      <c r="AH1174" s="93" t="s">
        <v>3576</v>
      </c>
      <c r="AI1174" s="719" t="s">
        <v>3586</v>
      </c>
      <c r="AJ1174" s="93" t="s">
        <v>1188</v>
      </c>
      <c r="AK1174" s="30" t="s">
        <v>1185</v>
      </c>
      <c r="AL1174" s="93" t="s">
        <v>1178</v>
      </c>
    </row>
    <row r="1175" spans="1:38" ht="15" customHeight="1" x14ac:dyDescent="0.3">
      <c r="A1175" s="30" t="s">
        <v>140</v>
      </c>
      <c r="B1175" s="30" t="s">
        <v>23</v>
      </c>
      <c r="C1175" s="37">
        <v>7</v>
      </c>
      <c r="D1175" s="11" t="s">
        <v>24</v>
      </c>
      <c r="E1175" s="108">
        <v>41919</v>
      </c>
      <c r="F1175" s="37">
        <v>2014</v>
      </c>
      <c r="G1175" s="30" t="s">
        <v>3587</v>
      </c>
      <c r="H1175" s="162" t="s">
        <v>3588</v>
      </c>
      <c r="I1175" s="12" t="s">
        <v>80</v>
      </c>
      <c r="J1175" s="37" t="s">
        <v>81</v>
      </c>
      <c r="K1175" s="137" t="s">
        <v>3589</v>
      </c>
      <c r="L1175" s="137" t="s">
        <v>3349</v>
      </c>
      <c r="M1175" s="660" t="s">
        <v>42</v>
      </c>
      <c r="N1175" s="709"/>
      <c r="O1175" s="146" t="s">
        <v>3590</v>
      </c>
      <c r="P1175" s="138" t="s">
        <v>3591</v>
      </c>
      <c r="Q1175" s="15" t="s">
        <v>282</v>
      </c>
      <c r="R1175" s="132">
        <v>42160</v>
      </c>
      <c r="S1175" s="16" t="s">
        <v>44</v>
      </c>
      <c r="T1175" s="165">
        <v>42202</v>
      </c>
      <c r="U1175" s="624"/>
      <c r="V1175" s="624"/>
      <c r="W1175" s="735">
        <v>5</v>
      </c>
      <c r="X1175" s="7">
        <v>0</v>
      </c>
      <c r="Y1175" s="7" t="str">
        <f t="shared" si="48"/>
        <v/>
      </c>
      <c r="Z1175" s="7">
        <f t="shared" si="47"/>
        <v>0</v>
      </c>
      <c r="AA1175" s="7"/>
      <c r="AB1175" s="479" t="s">
        <v>49</v>
      </c>
      <c r="AC1175" s="480"/>
      <c r="AD1175" s="187">
        <v>0</v>
      </c>
      <c r="AE1175" s="187"/>
      <c r="AF1175" s="205">
        <f t="shared" si="49"/>
        <v>0</v>
      </c>
      <c r="AG1175" s="30">
        <v>8</v>
      </c>
      <c r="AH1175" s="30"/>
      <c r="AI1175" s="719" t="s">
        <v>3593</v>
      </c>
      <c r="AJ1175" s="30" t="s">
        <v>1188</v>
      </c>
      <c r="AK1175" s="30" t="s">
        <v>1185</v>
      </c>
      <c r="AL1175" s="93" t="s">
        <v>1178</v>
      </c>
    </row>
    <row r="1176" spans="1:38" ht="15" customHeight="1" x14ac:dyDescent="0.3">
      <c r="A1176" s="181" t="s">
        <v>883</v>
      </c>
      <c r="B1176" s="145" t="s">
        <v>105</v>
      </c>
      <c r="C1176" s="135">
        <v>31</v>
      </c>
      <c r="D1176" s="11" t="s">
        <v>5936</v>
      </c>
      <c r="E1176" s="168">
        <v>41562</v>
      </c>
      <c r="F1176" s="136">
        <v>2013</v>
      </c>
      <c r="G1176" s="178" t="s">
        <v>3594</v>
      </c>
      <c r="H1176" s="204" t="s">
        <v>3595</v>
      </c>
      <c r="I1176" s="136" t="s">
        <v>38</v>
      </c>
      <c r="J1176" s="32" t="s">
        <v>26</v>
      </c>
      <c r="K1176" s="197" t="s">
        <v>111</v>
      </c>
      <c r="L1176" s="746" t="s">
        <v>3501</v>
      </c>
      <c r="M1176" s="197" t="s">
        <v>42</v>
      </c>
      <c r="N1176" s="197"/>
      <c r="O1176" s="138" t="s">
        <v>3596</v>
      </c>
      <c r="P1176" s="765" t="s">
        <v>3597</v>
      </c>
      <c r="Q1176" s="15" t="s">
        <v>282</v>
      </c>
      <c r="R1176" s="132">
        <v>41801</v>
      </c>
      <c r="S1176" s="16" t="s">
        <v>44</v>
      </c>
      <c r="T1176" s="133">
        <v>42145</v>
      </c>
      <c r="U1176" s="623"/>
      <c r="V1176" s="624"/>
      <c r="W1176" s="256">
        <v>306</v>
      </c>
      <c r="X1176" s="185">
        <v>0</v>
      </c>
      <c r="Y1176" s="7" t="str">
        <f t="shared" si="48"/>
        <v/>
      </c>
      <c r="Z1176" s="185">
        <f t="shared" si="47"/>
        <v>0</v>
      </c>
      <c r="AA1176" s="185"/>
      <c r="AB1176" s="513" t="s">
        <v>3232</v>
      </c>
      <c r="AC1176" s="147"/>
      <c r="AD1176" s="196">
        <v>0</v>
      </c>
      <c r="AE1176" s="196"/>
      <c r="AF1176" s="205">
        <f t="shared" si="49"/>
        <v>0</v>
      </c>
      <c r="AG1176" s="138">
        <v>8</v>
      </c>
      <c r="AH1176" s="138" t="s">
        <v>3585</v>
      </c>
      <c r="AI1176" s="138"/>
      <c r="AJ1176" s="138" t="s">
        <v>1188</v>
      </c>
      <c r="AK1176" s="181" t="s">
        <v>1185</v>
      </c>
      <c r="AL1176" s="138" t="s">
        <v>1178</v>
      </c>
    </row>
    <row r="1177" spans="1:38" ht="15" customHeight="1" x14ac:dyDescent="0.3">
      <c r="A1177" s="181" t="s">
        <v>3598</v>
      </c>
      <c r="B1177" s="153" t="s">
        <v>220</v>
      </c>
      <c r="C1177" s="135" t="s">
        <v>3599</v>
      </c>
      <c r="D1177" s="136" t="s">
        <v>190</v>
      </c>
      <c r="E1177" s="168">
        <v>42110</v>
      </c>
      <c r="F1177" s="136">
        <v>2015</v>
      </c>
      <c r="G1177" s="178" t="s">
        <v>3600</v>
      </c>
      <c r="H1177" s="178" t="s">
        <v>3600</v>
      </c>
      <c r="I1177" s="136" t="s">
        <v>38</v>
      </c>
      <c r="J1177" s="181" t="s">
        <v>81</v>
      </c>
      <c r="K1177" s="197" t="s">
        <v>3601</v>
      </c>
      <c r="L1177" s="197" t="s">
        <v>28</v>
      </c>
      <c r="M1177" s="197" t="s">
        <v>42</v>
      </c>
      <c r="N1177" s="197"/>
      <c r="O1177" s="783" t="s">
        <v>3602</v>
      </c>
      <c r="P1177" s="783" t="s">
        <v>3603</v>
      </c>
      <c r="Q1177" s="15" t="s">
        <v>35</v>
      </c>
      <c r="R1177" s="132">
        <v>42172</v>
      </c>
      <c r="S1177" s="92"/>
      <c r="T1177" s="133"/>
      <c r="U1177" s="623"/>
      <c r="V1177" s="624"/>
      <c r="W1177" s="256">
        <v>5</v>
      </c>
      <c r="X1177" s="185"/>
      <c r="Y1177" s="7" t="str">
        <f t="shared" si="48"/>
        <v/>
      </c>
      <c r="Z1177" s="185">
        <f t="shared" si="47"/>
        <v>0</v>
      </c>
      <c r="AA1177" s="185"/>
      <c r="AB1177" s="503" t="s">
        <v>3592</v>
      </c>
      <c r="AC1177" s="222"/>
      <c r="AD1177" s="196"/>
      <c r="AE1177" s="196"/>
      <c r="AF1177" s="205">
        <f t="shared" si="49"/>
        <v>0</v>
      </c>
      <c r="AG1177" s="138" t="s">
        <v>3604</v>
      </c>
      <c r="AH1177" s="138"/>
      <c r="AI1177" s="718" t="s">
        <v>3606</v>
      </c>
      <c r="AJ1177" s="138" t="s">
        <v>1188</v>
      </c>
      <c r="AK1177" s="181" t="s">
        <v>1175</v>
      </c>
      <c r="AL1177" s="138" t="s">
        <v>1178</v>
      </c>
    </row>
    <row r="1178" spans="1:38" ht="15" customHeight="1" x14ac:dyDescent="0.3">
      <c r="A1178" s="30" t="s">
        <v>22</v>
      </c>
      <c r="B1178" s="153" t="s">
        <v>23</v>
      </c>
      <c r="C1178" s="109">
        <v>6</v>
      </c>
      <c r="D1178" s="11" t="s">
        <v>24</v>
      </c>
      <c r="E1178" s="114">
        <v>40253</v>
      </c>
      <c r="F1178" s="33">
        <v>2010</v>
      </c>
      <c r="G1178" s="142" t="s">
        <v>3607</v>
      </c>
      <c r="H1178" s="162" t="s">
        <v>3608</v>
      </c>
      <c r="I1178" s="12" t="s">
        <v>80</v>
      </c>
      <c r="J1178" s="32" t="s">
        <v>26</v>
      </c>
      <c r="K1178" s="197" t="s">
        <v>111</v>
      </c>
      <c r="L1178" s="137" t="s">
        <v>3583</v>
      </c>
      <c r="M1178" s="137" t="s">
        <v>42</v>
      </c>
      <c r="N1178" s="238"/>
      <c r="O1178" s="146" t="s">
        <v>3609</v>
      </c>
      <c r="P1178" s="138" t="s">
        <v>3610</v>
      </c>
      <c r="Q1178" s="15" t="s">
        <v>282</v>
      </c>
      <c r="R1178" s="132">
        <v>40633</v>
      </c>
      <c r="S1178" s="16" t="s">
        <v>35</v>
      </c>
      <c r="T1178" s="165">
        <v>42090</v>
      </c>
      <c r="U1178" s="624"/>
      <c r="V1178" s="624"/>
      <c r="W1178" s="735">
        <v>27.7</v>
      </c>
      <c r="X1178" s="7">
        <v>0</v>
      </c>
      <c r="Y1178" s="7" t="str">
        <f t="shared" si="48"/>
        <v/>
      </c>
      <c r="Z1178" s="7">
        <f t="shared" si="47"/>
        <v>0</v>
      </c>
      <c r="AA1178" s="219"/>
      <c r="AB1178" s="503" t="s">
        <v>36</v>
      </c>
      <c r="AC1178" s="222"/>
      <c r="AD1178" s="187">
        <v>0</v>
      </c>
      <c r="AE1178" s="187"/>
      <c r="AF1178" s="205">
        <f t="shared" si="49"/>
        <v>0</v>
      </c>
      <c r="AG1178" s="163">
        <v>7</v>
      </c>
      <c r="AH1178" s="93" t="s">
        <v>58</v>
      </c>
      <c r="AI1178" s="719" t="s">
        <v>3611</v>
      </c>
      <c r="AJ1178" s="93" t="s">
        <v>1188</v>
      </c>
      <c r="AK1178" s="30" t="s">
        <v>1185</v>
      </c>
      <c r="AL1178" s="93" t="s">
        <v>1178</v>
      </c>
    </row>
    <row r="1179" spans="1:38" ht="15" customHeight="1" x14ac:dyDescent="0.3">
      <c r="A1179" s="30" t="s">
        <v>22</v>
      </c>
      <c r="B1179" s="30" t="s">
        <v>39</v>
      </c>
      <c r="C1179" s="37" t="s">
        <v>196</v>
      </c>
      <c r="D1179" s="11" t="s">
        <v>24</v>
      </c>
      <c r="E1179" s="108">
        <v>40702</v>
      </c>
      <c r="F1179" s="37">
        <v>2011</v>
      </c>
      <c r="G1179" s="30" t="s">
        <v>3612</v>
      </c>
      <c r="H1179" s="162" t="s">
        <v>3613</v>
      </c>
      <c r="I1179" s="33" t="s">
        <v>33</v>
      </c>
      <c r="J1179" s="32" t="s">
        <v>26</v>
      </c>
      <c r="K1179" s="30" t="s">
        <v>103</v>
      </c>
      <c r="L1179" s="137" t="s">
        <v>28</v>
      </c>
      <c r="M1179" s="660" t="s">
        <v>42</v>
      </c>
      <c r="N1179" s="709"/>
      <c r="O1179" s="146" t="s">
        <v>3614</v>
      </c>
      <c r="P1179" s="138" t="s">
        <v>3615</v>
      </c>
      <c r="Q1179" s="15" t="s">
        <v>282</v>
      </c>
      <c r="R1179" s="132">
        <v>41915</v>
      </c>
      <c r="S1179" s="16" t="s">
        <v>35</v>
      </c>
      <c r="T1179" s="165">
        <v>42220</v>
      </c>
      <c r="U1179" s="624"/>
      <c r="V1179" s="624"/>
      <c r="W1179" s="735">
        <v>200</v>
      </c>
      <c r="X1179" s="7">
        <v>0</v>
      </c>
      <c r="Y1179" s="7" t="str">
        <f t="shared" si="48"/>
        <v/>
      </c>
      <c r="Z1179" s="7">
        <f t="shared" si="47"/>
        <v>0</v>
      </c>
      <c r="AA1179" s="108"/>
      <c r="AB1179" s="479" t="s">
        <v>49</v>
      </c>
      <c r="AC1179" s="480"/>
      <c r="AD1179" s="187">
        <v>0</v>
      </c>
      <c r="AE1179" s="187"/>
      <c r="AF1179" s="205">
        <f t="shared" si="49"/>
        <v>0</v>
      </c>
      <c r="AG1179" s="30">
        <v>6</v>
      </c>
      <c r="AH1179" s="30" t="s">
        <v>3605</v>
      </c>
      <c r="AI1179" s="719" t="s">
        <v>3616</v>
      </c>
      <c r="AJ1179" s="30" t="s">
        <v>1188</v>
      </c>
      <c r="AK1179" s="30" t="s">
        <v>1185</v>
      </c>
      <c r="AL1179" s="93" t="s">
        <v>1178</v>
      </c>
    </row>
    <row r="1180" spans="1:38" ht="15" customHeight="1" x14ac:dyDescent="0.3">
      <c r="A1180" s="30" t="s">
        <v>22</v>
      </c>
      <c r="B1180" s="30" t="s">
        <v>23</v>
      </c>
      <c r="C1180" s="37">
        <v>16</v>
      </c>
      <c r="D1180" s="11" t="s">
        <v>24</v>
      </c>
      <c r="E1180" s="108">
        <v>42019</v>
      </c>
      <c r="F1180" s="37">
        <v>2015</v>
      </c>
      <c r="G1180" s="30" t="s">
        <v>3617</v>
      </c>
      <c r="H1180" s="162" t="s">
        <v>3618</v>
      </c>
      <c r="I1180" s="12" t="s">
        <v>38</v>
      </c>
      <c r="J1180" s="32" t="s">
        <v>26</v>
      </c>
      <c r="K1180" s="137" t="s">
        <v>1194</v>
      </c>
      <c r="L1180" s="137" t="s">
        <v>3349</v>
      </c>
      <c r="M1180" s="660" t="s">
        <v>42</v>
      </c>
      <c r="N1180" s="709"/>
      <c r="O1180" s="146" t="s">
        <v>3619</v>
      </c>
      <c r="P1180" s="138" t="s">
        <v>6078</v>
      </c>
      <c r="Q1180" s="91"/>
      <c r="R1180" s="132"/>
      <c r="S1180" s="92"/>
      <c r="T1180" s="139"/>
      <c r="U1180" s="624"/>
      <c r="V1180" s="624"/>
      <c r="W1180" s="735">
        <v>35.799999999999997</v>
      </c>
      <c r="X1180" s="7"/>
      <c r="Y1180" s="7" t="str">
        <f t="shared" si="48"/>
        <v/>
      </c>
      <c r="Z1180" s="7">
        <f t="shared" si="47"/>
        <v>0</v>
      </c>
      <c r="AA1180" s="108"/>
      <c r="AB1180" s="479" t="s">
        <v>49</v>
      </c>
      <c r="AC1180" s="480"/>
      <c r="AD1180" s="187"/>
      <c r="AE1180" s="187"/>
      <c r="AF1180" s="205">
        <f t="shared" si="49"/>
        <v>0</v>
      </c>
      <c r="AG1180" s="30">
        <v>8</v>
      </c>
      <c r="AH1180" s="30" t="s">
        <v>2144</v>
      </c>
      <c r="AI1180" s="719" t="s">
        <v>3621</v>
      </c>
      <c r="AJ1180" s="30" t="s">
        <v>1188</v>
      </c>
      <c r="AK1180" s="30" t="s">
        <v>1177</v>
      </c>
      <c r="AL1180" s="93" t="s">
        <v>1178</v>
      </c>
    </row>
    <row r="1181" spans="1:38" ht="15" customHeight="1" x14ac:dyDescent="0.3">
      <c r="A1181" s="181" t="s">
        <v>22</v>
      </c>
      <c r="B1181" s="145" t="s">
        <v>105</v>
      </c>
      <c r="C1181" s="135">
        <v>11</v>
      </c>
      <c r="D1181" s="11" t="s">
        <v>5936</v>
      </c>
      <c r="E1181" s="168">
        <v>41305</v>
      </c>
      <c r="F1181" s="136">
        <v>2013</v>
      </c>
      <c r="G1181" s="178" t="s">
        <v>3622</v>
      </c>
      <c r="H1181" s="204" t="s">
        <v>3623</v>
      </c>
      <c r="I1181" s="136" t="s">
        <v>38</v>
      </c>
      <c r="J1181" s="32" t="s">
        <v>26</v>
      </c>
      <c r="K1181" s="197" t="s">
        <v>111</v>
      </c>
      <c r="L1181" s="746" t="s">
        <v>28</v>
      </c>
      <c r="M1181" s="197" t="s">
        <v>42</v>
      </c>
      <c r="N1181" s="197"/>
      <c r="O1181" s="138" t="s">
        <v>3624</v>
      </c>
      <c r="P1181" s="138" t="s">
        <v>3625</v>
      </c>
      <c r="Q1181" s="15" t="s">
        <v>282</v>
      </c>
      <c r="R1181" s="132">
        <v>41751</v>
      </c>
      <c r="S1181" s="16" t="s">
        <v>44</v>
      </c>
      <c r="T1181" s="133">
        <v>42209</v>
      </c>
      <c r="U1181" s="623"/>
      <c r="V1181" s="624"/>
      <c r="W1181" s="256">
        <v>30</v>
      </c>
      <c r="X1181" s="185">
        <v>0</v>
      </c>
      <c r="Y1181" s="7" t="str">
        <f t="shared" si="48"/>
        <v/>
      </c>
      <c r="Z1181" s="185">
        <f t="shared" si="47"/>
        <v>0</v>
      </c>
      <c r="AA1181" s="108"/>
      <c r="AB1181" s="564" t="s">
        <v>1073</v>
      </c>
      <c r="AC1181" s="693"/>
      <c r="AD1181" s="196">
        <v>0</v>
      </c>
      <c r="AE1181" s="196"/>
      <c r="AF1181" s="205">
        <f t="shared" si="49"/>
        <v>0</v>
      </c>
      <c r="AG1181" s="138">
        <v>8</v>
      </c>
      <c r="AH1181" s="93" t="s">
        <v>1608</v>
      </c>
      <c r="AI1181" s="138"/>
      <c r="AJ1181" s="138" t="s">
        <v>1188</v>
      </c>
      <c r="AK1181" s="181" t="s">
        <v>1185</v>
      </c>
      <c r="AL1181" s="138" t="s">
        <v>1178</v>
      </c>
    </row>
    <row r="1182" spans="1:38" ht="15" customHeight="1" x14ac:dyDescent="0.3">
      <c r="A1182" s="181" t="s">
        <v>22</v>
      </c>
      <c r="B1182" s="145" t="s">
        <v>105</v>
      </c>
      <c r="C1182" s="135">
        <v>5</v>
      </c>
      <c r="D1182" s="11" t="s">
        <v>5936</v>
      </c>
      <c r="E1182" s="168">
        <v>41535</v>
      </c>
      <c r="F1182" s="136">
        <v>2013</v>
      </c>
      <c r="G1182" s="178" t="s">
        <v>3627</v>
      </c>
      <c r="H1182" s="204" t="s">
        <v>3628</v>
      </c>
      <c r="I1182" s="136" t="s">
        <v>38</v>
      </c>
      <c r="J1182" s="32" t="s">
        <v>26</v>
      </c>
      <c r="K1182" s="197" t="s">
        <v>111</v>
      </c>
      <c r="L1182" s="746" t="s">
        <v>3501</v>
      </c>
      <c r="M1182" s="197" t="s">
        <v>42</v>
      </c>
      <c r="N1182" s="197"/>
      <c r="O1182" s="138" t="s">
        <v>3629</v>
      </c>
      <c r="P1182" s="138" t="s">
        <v>3630</v>
      </c>
      <c r="Q1182" s="15" t="s">
        <v>282</v>
      </c>
      <c r="R1182" s="218">
        <v>41878</v>
      </c>
      <c r="S1182" s="16" t="s">
        <v>44</v>
      </c>
      <c r="T1182" s="228">
        <v>42172</v>
      </c>
      <c r="U1182" s="775"/>
      <c r="V1182" s="776"/>
      <c r="W1182" s="256">
        <v>48.6</v>
      </c>
      <c r="X1182" s="189">
        <v>0</v>
      </c>
      <c r="Y1182" s="201" t="str">
        <f t="shared" si="48"/>
        <v/>
      </c>
      <c r="Z1182" s="189">
        <f t="shared" si="47"/>
        <v>0</v>
      </c>
      <c r="AA1182" s="229"/>
      <c r="AB1182" s="564" t="s">
        <v>1073</v>
      </c>
      <c r="AC1182" s="693"/>
      <c r="AD1182" s="196">
        <v>0</v>
      </c>
      <c r="AE1182" s="196"/>
      <c r="AF1182" s="210">
        <f t="shared" si="49"/>
        <v>0</v>
      </c>
      <c r="AG1182" s="138">
        <v>8</v>
      </c>
      <c r="AH1182" s="138" t="s">
        <v>3620</v>
      </c>
      <c r="AI1182" s="138"/>
      <c r="AJ1182" s="138" t="s">
        <v>1188</v>
      </c>
      <c r="AK1182" s="181" t="s">
        <v>1185</v>
      </c>
      <c r="AL1182" s="138" t="s">
        <v>1178</v>
      </c>
    </row>
    <row r="1183" spans="1:38" ht="15" customHeight="1" x14ac:dyDescent="0.3">
      <c r="A1183" s="30" t="s">
        <v>22</v>
      </c>
      <c r="B1183" s="145" t="s">
        <v>159</v>
      </c>
      <c r="C1183" s="107">
        <v>2</v>
      </c>
      <c r="D1183" s="11" t="s">
        <v>143</v>
      </c>
      <c r="E1183" s="114">
        <v>40010</v>
      </c>
      <c r="F1183" s="12">
        <v>2009</v>
      </c>
      <c r="G1183" s="142" t="s">
        <v>3631</v>
      </c>
      <c r="H1183" s="162" t="s">
        <v>3632</v>
      </c>
      <c r="I1183" s="33" t="s">
        <v>33</v>
      </c>
      <c r="J1183" s="32" t="s">
        <v>26</v>
      </c>
      <c r="K1183" s="197" t="s">
        <v>103</v>
      </c>
      <c r="L1183" s="197" t="s">
        <v>161</v>
      </c>
      <c r="M1183" s="197" t="s">
        <v>42</v>
      </c>
      <c r="N1183" s="197"/>
      <c r="O1183" s="197" t="s">
        <v>3633</v>
      </c>
      <c r="P1183" s="736" t="s">
        <v>3634</v>
      </c>
      <c r="Q1183" s="15" t="s">
        <v>35</v>
      </c>
      <c r="R1183" s="164">
        <v>40207</v>
      </c>
      <c r="S1183" s="16" t="s">
        <v>44</v>
      </c>
      <c r="T1183" s="165">
        <v>40326</v>
      </c>
      <c r="U1183" s="624" t="s">
        <v>282</v>
      </c>
      <c r="V1183" s="180">
        <v>42186</v>
      </c>
      <c r="W1183" s="735">
        <v>50</v>
      </c>
      <c r="X1183" s="7">
        <v>0</v>
      </c>
      <c r="Y1183" s="7" t="str">
        <f t="shared" si="48"/>
        <v/>
      </c>
      <c r="Z1183" s="7">
        <f t="shared" si="47"/>
        <v>0</v>
      </c>
      <c r="AA1183" s="108"/>
      <c r="AB1183" s="504" t="s">
        <v>6079</v>
      </c>
      <c r="AC1183" s="138"/>
      <c r="AD1183" s="187">
        <v>0</v>
      </c>
      <c r="AE1183" s="187"/>
      <c r="AF1183" s="205">
        <f t="shared" si="49"/>
        <v>0</v>
      </c>
      <c r="AG1183" s="138"/>
      <c r="AH1183" s="138" t="s">
        <v>3626</v>
      </c>
      <c r="AI1183" s="138"/>
      <c r="AJ1183" s="138" t="s">
        <v>1188</v>
      </c>
      <c r="AK1183" s="30" t="s">
        <v>99</v>
      </c>
      <c r="AL1183" s="93" t="s">
        <v>1178</v>
      </c>
    </row>
    <row r="1184" spans="1:38" ht="15" customHeight="1" x14ac:dyDescent="0.3">
      <c r="A1184" s="181" t="s">
        <v>22</v>
      </c>
      <c r="B1184" s="145" t="s">
        <v>144</v>
      </c>
      <c r="C1184" s="135">
        <v>3</v>
      </c>
      <c r="D1184" s="11" t="s">
        <v>143</v>
      </c>
      <c r="E1184" s="192">
        <v>37001</v>
      </c>
      <c r="F1184" s="136">
        <v>2001</v>
      </c>
      <c r="G1184" s="178" t="s">
        <v>3635</v>
      </c>
      <c r="H1184" s="204" t="s">
        <v>2079</v>
      </c>
      <c r="I1184" s="33" t="s">
        <v>33</v>
      </c>
      <c r="J1184" s="32" t="s">
        <v>26</v>
      </c>
      <c r="K1184" s="138" t="s">
        <v>1194</v>
      </c>
      <c r="L1184" s="197" t="s">
        <v>161</v>
      </c>
      <c r="M1184" s="197" t="s">
        <v>42</v>
      </c>
      <c r="N1184" s="197"/>
      <c r="O1184" s="138" t="s">
        <v>2080</v>
      </c>
      <c r="P1184" s="718" t="s">
        <v>3636</v>
      </c>
      <c r="Q1184" s="15" t="s">
        <v>35</v>
      </c>
      <c r="R1184" s="164">
        <v>38202</v>
      </c>
      <c r="S1184" s="16" t="s">
        <v>44</v>
      </c>
      <c r="T1184" s="165">
        <v>39980</v>
      </c>
      <c r="U1184" s="624" t="s">
        <v>282</v>
      </c>
      <c r="V1184" s="180">
        <v>42186</v>
      </c>
      <c r="W1184" s="735">
        <v>120</v>
      </c>
      <c r="X1184" s="7">
        <v>0</v>
      </c>
      <c r="Y1184" s="7" t="str">
        <f t="shared" si="48"/>
        <v/>
      </c>
      <c r="Z1184" s="7">
        <f t="shared" si="47"/>
        <v>0</v>
      </c>
      <c r="AA1184" s="108"/>
      <c r="AB1184" s="503" t="s">
        <v>6055</v>
      </c>
      <c r="AC1184" s="222"/>
      <c r="AD1184" s="187">
        <v>0</v>
      </c>
      <c r="AE1184" s="187"/>
      <c r="AF1184" s="205">
        <f t="shared" si="49"/>
        <v>0</v>
      </c>
      <c r="AG1184" s="138"/>
      <c r="AH1184" s="93" t="s">
        <v>6004</v>
      </c>
      <c r="AI1184" s="138"/>
      <c r="AJ1184" s="138" t="s">
        <v>1188</v>
      </c>
      <c r="AK1184" s="30" t="s">
        <v>99</v>
      </c>
      <c r="AL1184" s="93" t="s">
        <v>1178</v>
      </c>
    </row>
    <row r="1185" spans="1:38" ht="15" customHeight="1" x14ac:dyDescent="0.3">
      <c r="A1185" s="181" t="s">
        <v>22</v>
      </c>
      <c r="B1185" s="145" t="s">
        <v>227</v>
      </c>
      <c r="C1185" s="135">
        <v>12</v>
      </c>
      <c r="D1185" s="11" t="s">
        <v>225</v>
      </c>
      <c r="E1185" s="168">
        <v>41072</v>
      </c>
      <c r="F1185" s="136">
        <v>2012</v>
      </c>
      <c r="G1185" s="178" t="s">
        <v>3637</v>
      </c>
      <c r="H1185" s="204" t="s">
        <v>3638</v>
      </c>
      <c r="I1185" s="136" t="s">
        <v>38</v>
      </c>
      <c r="J1185" s="32" t="s">
        <v>26</v>
      </c>
      <c r="K1185" s="197" t="s">
        <v>111</v>
      </c>
      <c r="L1185" s="746" t="s">
        <v>28</v>
      </c>
      <c r="M1185" s="197" t="s">
        <v>42</v>
      </c>
      <c r="N1185" s="197"/>
      <c r="O1185" s="138" t="s">
        <v>3639</v>
      </c>
      <c r="P1185" s="138" t="s">
        <v>3640</v>
      </c>
      <c r="Q1185" s="15" t="s">
        <v>282</v>
      </c>
      <c r="R1185" s="218">
        <v>42030</v>
      </c>
      <c r="S1185" s="16" t="s">
        <v>44</v>
      </c>
      <c r="T1185" s="228">
        <v>42151</v>
      </c>
      <c r="U1185" s="775"/>
      <c r="V1185" s="623"/>
      <c r="W1185" s="734">
        <v>29.8</v>
      </c>
      <c r="X1185" s="7">
        <v>0</v>
      </c>
      <c r="Y1185" s="7" t="str">
        <f t="shared" si="48"/>
        <v/>
      </c>
      <c r="Z1185" s="7">
        <f>IF(Y1185="",X1185,Y1185+X1185)</f>
        <v>0</v>
      </c>
      <c r="AA1185" s="108"/>
      <c r="AB1185" s="500" t="s">
        <v>5953</v>
      </c>
      <c r="AC1185" s="501"/>
      <c r="AD1185" s="187">
        <v>0</v>
      </c>
      <c r="AE1185" s="187"/>
      <c r="AF1185" s="205">
        <f t="shared" si="49"/>
        <v>0</v>
      </c>
      <c r="AG1185" s="138">
        <v>8</v>
      </c>
      <c r="AH1185" s="138"/>
      <c r="AI1185" s="138"/>
      <c r="AJ1185" s="138" t="s">
        <v>1188</v>
      </c>
      <c r="AK1185" s="138" t="s">
        <v>1185</v>
      </c>
      <c r="AL1185" s="93" t="s">
        <v>1178</v>
      </c>
    </row>
    <row r="1186" spans="1:38" ht="15" customHeight="1" x14ac:dyDescent="0.3">
      <c r="A1186" s="30" t="s">
        <v>22</v>
      </c>
      <c r="B1186" s="153" t="s">
        <v>23</v>
      </c>
      <c r="C1186" s="109">
        <v>6</v>
      </c>
      <c r="D1186" s="11" t="s">
        <v>24</v>
      </c>
      <c r="E1186" s="114">
        <v>40319</v>
      </c>
      <c r="F1186" s="33">
        <v>2010</v>
      </c>
      <c r="G1186" s="142" t="s">
        <v>3643</v>
      </c>
      <c r="H1186" s="162" t="s">
        <v>3644</v>
      </c>
      <c r="I1186" s="12" t="s">
        <v>25</v>
      </c>
      <c r="J1186" s="32" t="s">
        <v>26</v>
      </c>
      <c r="K1186" s="197" t="s">
        <v>111</v>
      </c>
      <c r="L1186" s="137" t="s">
        <v>3583</v>
      </c>
      <c r="M1186" s="137" t="s">
        <v>42</v>
      </c>
      <c r="N1186" s="238"/>
      <c r="O1186" s="146" t="s">
        <v>3645</v>
      </c>
      <c r="P1186" s="718" t="s">
        <v>6080</v>
      </c>
      <c r="Q1186" s="15" t="s">
        <v>282</v>
      </c>
      <c r="R1186" s="132">
        <v>40949</v>
      </c>
      <c r="S1186" s="16" t="s">
        <v>44</v>
      </c>
      <c r="T1186" s="165">
        <v>42185</v>
      </c>
      <c r="U1186" s="624" t="s">
        <v>1422</v>
      </c>
      <c r="V1186" s="624"/>
      <c r="W1186" s="735">
        <v>182.5</v>
      </c>
      <c r="X1186" s="7">
        <v>0</v>
      </c>
      <c r="Y1186" s="7" t="str">
        <f t="shared" si="48"/>
        <v/>
      </c>
      <c r="Z1186" s="7">
        <f>IF(Y1186="",X1186,Y1186+X1186)</f>
        <v>0</v>
      </c>
      <c r="AA1186" s="108"/>
      <c r="AB1186" s="479" t="s">
        <v>49</v>
      </c>
      <c r="AC1186" s="480"/>
      <c r="AD1186" s="187">
        <v>0</v>
      </c>
      <c r="AE1186" s="187"/>
      <c r="AF1186" s="205">
        <f t="shared" si="49"/>
        <v>0</v>
      </c>
      <c r="AG1186" s="163">
        <v>6</v>
      </c>
      <c r="AH1186" s="93" t="s">
        <v>58</v>
      </c>
      <c r="AI1186" s="93"/>
      <c r="AJ1186" s="93" t="s">
        <v>1188</v>
      </c>
      <c r="AK1186" s="30" t="s">
        <v>99</v>
      </c>
      <c r="AL1186" s="93" t="s">
        <v>1178</v>
      </c>
    </row>
    <row r="1187" spans="1:38" ht="15" customHeight="1" x14ac:dyDescent="0.3">
      <c r="A1187" s="181" t="s">
        <v>140</v>
      </c>
      <c r="B1187" s="145" t="s">
        <v>345</v>
      </c>
      <c r="C1187" s="135"/>
      <c r="D1187" s="11" t="s">
        <v>225</v>
      </c>
      <c r="E1187" s="168">
        <v>42020</v>
      </c>
      <c r="F1187" s="136">
        <v>2015</v>
      </c>
      <c r="G1187" s="178" t="s">
        <v>3646</v>
      </c>
      <c r="H1187" s="204"/>
      <c r="I1187" s="33" t="s">
        <v>33</v>
      </c>
      <c r="J1187" s="181" t="s">
        <v>81</v>
      </c>
      <c r="K1187" s="197" t="s">
        <v>3589</v>
      </c>
      <c r="L1187" s="746" t="s">
        <v>28</v>
      </c>
      <c r="M1187" s="138" t="s">
        <v>42</v>
      </c>
      <c r="N1187" s="138"/>
      <c r="O1187" s="138" t="s">
        <v>3647</v>
      </c>
      <c r="P1187" s="138" t="s">
        <v>3648</v>
      </c>
      <c r="Q1187" s="15" t="s">
        <v>282</v>
      </c>
      <c r="R1187" s="231">
        <v>42109</v>
      </c>
      <c r="S1187" s="16" t="s">
        <v>44</v>
      </c>
      <c r="T1187" s="232">
        <v>42277</v>
      </c>
      <c r="U1187" s="776"/>
      <c r="V1187" s="776"/>
      <c r="W1187" s="256">
        <v>5</v>
      </c>
      <c r="X1187" s="185">
        <v>0</v>
      </c>
      <c r="Y1187" s="7" t="str">
        <f t="shared" si="48"/>
        <v/>
      </c>
      <c r="Z1187" s="7">
        <f>IF(Y1187="",X1187,Y1187+X1187)</f>
        <v>0</v>
      </c>
      <c r="AA1187" s="233"/>
      <c r="AB1187" s="467" t="s">
        <v>3641</v>
      </c>
      <c r="AC1187" s="197"/>
      <c r="AD1187" s="196">
        <v>0</v>
      </c>
      <c r="AE1187" s="196"/>
      <c r="AF1187" s="205">
        <f t="shared" si="49"/>
        <v>0</v>
      </c>
      <c r="AG1187" s="197">
        <v>8</v>
      </c>
      <c r="AH1187" s="197"/>
      <c r="AI1187" s="197"/>
      <c r="AJ1187" s="197" t="s">
        <v>1188</v>
      </c>
      <c r="AK1187" s="197" t="s">
        <v>1185</v>
      </c>
      <c r="AL1187" s="93" t="s">
        <v>1178</v>
      </c>
    </row>
    <row r="1188" spans="1:38" ht="15" customHeight="1" x14ac:dyDescent="0.3">
      <c r="A1188" s="181" t="s">
        <v>2603</v>
      </c>
      <c r="B1188" s="145" t="s">
        <v>3642</v>
      </c>
      <c r="C1188" s="135" t="s">
        <v>2962</v>
      </c>
      <c r="D1188" s="136" t="s">
        <v>190</v>
      </c>
      <c r="E1188" s="234"/>
      <c r="F1188" s="136">
        <v>2014</v>
      </c>
      <c r="G1188" s="178" t="s">
        <v>3649</v>
      </c>
      <c r="H1188" s="204" t="s">
        <v>3650</v>
      </c>
      <c r="I1188" s="33" t="s">
        <v>33</v>
      </c>
      <c r="J1188" s="32" t="s">
        <v>26</v>
      </c>
      <c r="K1188" s="197" t="s">
        <v>103</v>
      </c>
      <c r="L1188" s="746" t="s">
        <v>109</v>
      </c>
      <c r="M1188" s="137" t="s">
        <v>804</v>
      </c>
      <c r="N1188" s="138"/>
      <c r="O1188" s="138" t="s">
        <v>3651</v>
      </c>
      <c r="P1188" s="138" t="s">
        <v>3652</v>
      </c>
      <c r="Q1188" s="15" t="s">
        <v>282</v>
      </c>
      <c r="R1188" s="132">
        <v>42118</v>
      </c>
      <c r="S1188" s="16" t="s">
        <v>44</v>
      </c>
      <c r="T1188" s="133">
        <v>42258</v>
      </c>
      <c r="U1188" s="623"/>
      <c r="V1188" s="624"/>
      <c r="W1188" s="256">
        <v>80</v>
      </c>
      <c r="X1188" s="185"/>
      <c r="Y1188" s="7">
        <f t="shared" si="48"/>
        <v>32</v>
      </c>
      <c r="Z1188" s="185">
        <f>IF(Y1188="",X1188,Y1188+X1188)</f>
        <v>32</v>
      </c>
      <c r="AA1188" s="233">
        <v>43951</v>
      </c>
      <c r="AB1188" s="564" t="s">
        <v>2595</v>
      </c>
      <c r="AC1188" s="693"/>
      <c r="AD1188" s="196"/>
      <c r="AE1188" s="196">
        <v>0.4</v>
      </c>
      <c r="AF1188" s="205">
        <f t="shared" si="49"/>
        <v>0.4</v>
      </c>
      <c r="AG1188" s="138">
        <v>8</v>
      </c>
      <c r="AH1188" s="138"/>
      <c r="AI1188" s="138"/>
      <c r="AJ1188" s="138" t="s">
        <v>1188</v>
      </c>
      <c r="AK1188" s="181" t="s">
        <v>1185</v>
      </c>
      <c r="AL1188" s="138" t="s">
        <v>1178</v>
      </c>
    </row>
    <row r="1189" spans="1:38" ht="15" customHeight="1" x14ac:dyDescent="0.3">
      <c r="A1189" s="30" t="s">
        <v>22</v>
      </c>
      <c r="B1189" s="153" t="s">
        <v>2119</v>
      </c>
      <c r="C1189" s="109" t="s">
        <v>196</v>
      </c>
      <c r="D1189" s="11" t="s">
        <v>24</v>
      </c>
      <c r="E1189" s="114">
        <v>40484</v>
      </c>
      <c r="F1189" s="33">
        <v>2010</v>
      </c>
      <c r="G1189" s="142" t="s">
        <v>3654</v>
      </c>
      <c r="H1189" s="162" t="s">
        <v>3655</v>
      </c>
      <c r="I1189" s="12" t="s">
        <v>80</v>
      </c>
      <c r="J1189" s="32" t="s">
        <v>26</v>
      </c>
      <c r="K1189" s="197" t="s">
        <v>111</v>
      </c>
      <c r="L1189" s="137" t="s">
        <v>1319</v>
      </c>
      <c r="M1189" s="137" t="s">
        <v>804</v>
      </c>
      <c r="N1189" s="238"/>
      <c r="O1189" s="146" t="s">
        <v>3656</v>
      </c>
      <c r="P1189" s="138" t="s">
        <v>3657</v>
      </c>
      <c r="Q1189" s="15" t="s">
        <v>35</v>
      </c>
      <c r="R1189" s="132">
        <v>40771</v>
      </c>
      <c r="S1189" s="16" t="s">
        <v>35</v>
      </c>
      <c r="T1189" s="165">
        <v>42124</v>
      </c>
      <c r="U1189" s="624"/>
      <c r="V1189" s="624"/>
      <c r="W1189" s="735">
        <v>21.5</v>
      </c>
      <c r="X1189" s="7">
        <v>16.125</v>
      </c>
      <c r="Y1189" s="7">
        <f t="shared" si="48"/>
        <v>5.375</v>
      </c>
      <c r="Z1189" s="7">
        <v>21.2</v>
      </c>
      <c r="AA1189" s="235">
        <v>42297</v>
      </c>
      <c r="AB1189" s="503" t="s">
        <v>36</v>
      </c>
      <c r="AC1189" s="222"/>
      <c r="AD1189" s="187">
        <v>0.75</v>
      </c>
      <c r="AE1189" s="187">
        <v>0.25</v>
      </c>
      <c r="AF1189" s="205">
        <f t="shared" si="49"/>
        <v>1</v>
      </c>
      <c r="AG1189" s="163">
        <v>7</v>
      </c>
      <c r="AH1189" s="93" t="s">
        <v>58</v>
      </c>
      <c r="AI1189" s="719" t="s">
        <v>3659</v>
      </c>
      <c r="AJ1189" s="93" t="s">
        <v>1188</v>
      </c>
      <c r="AK1189" s="30" t="s">
        <v>1185</v>
      </c>
      <c r="AL1189" s="93" t="s">
        <v>1178</v>
      </c>
    </row>
    <row r="1190" spans="1:38" ht="15" customHeight="1" x14ac:dyDescent="0.3">
      <c r="A1190" s="181" t="s">
        <v>22</v>
      </c>
      <c r="B1190" s="145" t="s">
        <v>506</v>
      </c>
      <c r="C1190" s="135">
        <v>3</v>
      </c>
      <c r="D1190" s="11" t="s">
        <v>225</v>
      </c>
      <c r="E1190" s="168">
        <v>41374</v>
      </c>
      <c r="F1190" s="136">
        <v>2013</v>
      </c>
      <c r="G1190" s="178" t="s">
        <v>3660</v>
      </c>
      <c r="H1190" s="204" t="s">
        <v>3661</v>
      </c>
      <c r="I1190" s="30" t="s">
        <v>38</v>
      </c>
      <c r="J1190" s="32" t="s">
        <v>26</v>
      </c>
      <c r="K1190" s="197" t="s">
        <v>111</v>
      </c>
      <c r="L1190" s="746" t="s">
        <v>3439</v>
      </c>
      <c r="M1190" s="137" t="s">
        <v>804</v>
      </c>
      <c r="N1190" s="197"/>
      <c r="O1190" s="138" t="s">
        <v>3662</v>
      </c>
      <c r="P1190" s="765" t="s">
        <v>3663</v>
      </c>
      <c r="Q1190" s="15" t="s">
        <v>35</v>
      </c>
      <c r="R1190" s="218">
        <v>41764</v>
      </c>
      <c r="S1190" s="16" t="s">
        <v>35</v>
      </c>
      <c r="T1190" s="228">
        <v>42151</v>
      </c>
      <c r="U1190" s="775"/>
      <c r="V1190" s="775"/>
      <c r="W1190" s="743">
        <v>15.4</v>
      </c>
      <c r="X1190" s="7">
        <v>11.55</v>
      </c>
      <c r="Y1190" s="7">
        <f t="shared" si="48"/>
        <v>3.85</v>
      </c>
      <c r="Z1190" s="7">
        <v>8.5</v>
      </c>
      <c r="AA1190" s="108">
        <v>42319</v>
      </c>
      <c r="AB1190" s="604" t="s">
        <v>3641</v>
      </c>
      <c r="AC1190" s="163"/>
      <c r="AD1190" s="196">
        <v>0.75</v>
      </c>
      <c r="AE1190" s="187">
        <v>0.25</v>
      </c>
      <c r="AF1190" s="205">
        <f t="shared" si="49"/>
        <v>1</v>
      </c>
      <c r="AG1190" s="138">
        <v>8</v>
      </c>
      <c r="AH1190" s="138"/>
      <c r="AI1190" s="784" t="s">
        <v>3664</v>
      </c>
      <c r="AJ1190" s="138" t="s">
        <v>1188</v>
      </c>
      <c r="AK1190" s="138" t="s">
        <v>1185</v>
      </c>
      <c r="AL1190" s="93" t="s">
        <v>1178</v>
      </c>
    </row>
    <row r="1191" spans="1:38" ht="15" customHeight="1" x14ac:dyDescent="0.3">
      <c r="A1191" s="30" t="s">
        <v>22</v>
      </c>
      <c r="B1191" s="30" t="s">
        <v>3653</v>
      </c>
      <c r="C1191" s="37">
        <v>1</v>
      </c>
      <c r="D1191" s="11" t="s">
        <v>24</v>
      </c>
      <c r="E1191" s="108">
        <v>41873</v>
      </c>
      <c r="F1191" s="37">
        <v>2014</v>
      </c>
      <c r="G1191" s="30" t="s">
        <v>3665</v>
      </c>
      <c r="H1191" s="162" t="s">
        <v>3666</v>
      </c>
      <c r="I1191" s="12" t="s">
        <v>38</v>
      </c>
      <c r="J1191" s="32" t="s">
        <v>26</v>
      </c>
      <c r="K1191" s="137" t="s">
        <v>1194</v>
      </c>
      <c r="L1191" s="137" t="s">
        <v>3349</v>
      </c>
      <c r="M1191" s="660" t="s">
        <v>42</v>
      </c>
      <c r="N1191" s="709"/>
      <c r="O1191" s="146" t="s">
        <v>3667</v>
      </c>
      <c r="P1191" s="138" t="s">
        <v>3668</v>
      </c>
      <c r="Q1191" s="15" t="s">
        <v>282</v>
      </c>
      <c r="R1191" s="132">
        <v>42166</v>
      </c>
      <c r="S1191" s="16" t="s">
        <v>44</v>
      </c>
      <c r="T1191" s="165">
        <v>42207</v>
      </c>
      <c r="U1191" s="624"/>
      <c r="V1191" s="624"/>
      <c r="W1191" s="735">
        <v>70</v>
      </c>
      <c r="X1191" s="7">
        <v>0</v>
      </c>
      <c r="Y1191" s="7" t="str">
        <f t="shared" si="48"/>
        <v/>
      </c>
      <c r="Z1191" s="7">
        <f>IF(Y1191="",X1191,Y1191+X1191)</f>
        <v>0</v>
      </c>
      <c r="AA1191" s="108"/>
      <c r="AB1191" s="772" t="s">
        <v>36</v>
      </c>
      <c r="AC1191" s="30"/>
      <c r="AD1191" s="187">
        <v>0</v>
      </c>
      <c r="AE1191" s="187"/>
      <c r="AF1191" s="205">
        <f t="shared" si="49"/>
        <v>0</v>
      </c>
      <c r="AG1191" s="30">
        <v>8</v>
      </c>
      <c r="AH1191" s="30" t="s">
        <v>3658</v>
      </c>
      <c r="AI1191" s="200" t="s">
        <v>3670</v>
      </c>
      <c r="AJ1191" s="30" t="s">
        <v>1188</v>
      </c>
      <c r="AK1191" s="30" t="s">
        <v>1185</v>
      </c>
      <c r="AL1191" s="93" t="s">
        <v>1178</v>
      </c>
    </row>
    <row r="1192" spans="1:38" ht="15" customHeight="1" x14ac:dyDescent="0.3">
      <c r="A1192" s="181" t="s">
        <v>22</v>
      </c>
      <c r="B1192" s="145" t="s">
        <v>105</v>
      </c>
      <c r="C1192" s="135">
        <v>36</v>
      </c>
      <c r="D1192" s="11" t="s">
        <v>5936</v>
      </c>
      <c r="E1192" s="168">
        <v>41540</v>
      </c>
      <c r="F1192" s="136">
        <v>2013</v>
      </c>
      <c r="G1192" s="178" t="s">
        <v>3671</v>
      </c>
      <c r="H1192" s="204" t="s">
        <v>3672</v>
      </c>
      <c r="I1192" s="136" t="s">
        <v>38</v>
      </c>
      <c r="J1192" s="32" t="s">
        <v>26</v>
      </c>
      <c r="K1192" s="197" t="s">
        <v>111</v>
      </c>
      <c r="L1192" s="746" t="s">
        <v>3501</v>
      </c>
      <c r="M1192" s="197" t="s">
        <v>42</v>
      </c>
      <c r="N1192" s="197"/>
      <c r="O1192" s="138" t="s">
        <v>3673</v>
      </c>
      <c r="P1192" s="138" t="s">
        <v>3674</v>
      </c>
      <c r="Q1192" s="15" t="s">
        <v>282</v>
      </c>
      <c r="R1192" s="132">
        <v>41873</v>
      </c>
      <c r="S1192" s="16" t="s">
        <v>44</v>
      </c>
      <c r="T1192" s="133">
        <v>42231</v>
      </c>
      <c r="U1192" s="623"/>
      <c r="V1192" s="624"/>
      <c r="W1192" s="256">
        <v>13.5</v>
      </c>
      <c r="X1192" s="185">
        <v>0</v>
      </c>
      <c r="Y1192" s="7" t="str">
        <f t="shared" si="48"/>
        <v/>
      </c>
      <c r="Z1192" s="185">
        <f>IF(Y1192="",X1192,Y1192+X1192)</f>
        <v>0</v>
      </c>
      <c r="AA1192" s="233"/>
      <c r="AB1192" s="564" t="s">
        <v>1073</v>
      </c>
      <c r="AC1192" s="693"/>
      <c r="AD1192" s="196">
        <v>0</v>
      </c>
      <c r="AE1192" s="196"/>
      <c r="AF1192" s="205">
        <f t="shared" si="49"/>
        <v>0</v>
      </c>
      <c r="AG1192" s="138">
        <v>8</v>
      </c>
      <c r="AH1192" s="138"/>
      <c r="AI1192" s="138"/>
      <c r="AJ1192" s="138" t="s">
        <v>1188</v>
      </c>
      <c r="AK1192" s="181" t="s">
        <v>1185</v>
      </c>
      <c r="AL1192" s="138" t="s">
        <v>1178</v>
      </c>
    </row>
    <row r="1193" spans="1:38" ht="15" customHeight="1" x14ac:dyDescent="0.3">
      <c r="A1193" s="181" t="s">
        <v>22</v>
      </c>
      <c r="B1193" s="145" t="s">
        <v>211</v>
      </c>
      <c r="C1193" s="135">
        <v>1</v>
      </c>
      <c r="D1193" s="136" t="s">
        <v>190</v>
      </c>
      <c r="E1193" s="168">
        <v>41156</v>
      </c>
      <c r="F1193" s="136">
        <v>2012</v>
      </c>
      <c r="G1193" s="178" t="s">
        <v>3676</v>
      </c>
      <c r="H1193" s="204" t="s">
        <v>3677</v>
      </c>
      <c r="I1193" s="136" t="s">
        <v>38</v>
      </c>
      <c r="J1193" s="32" t="s">
        <v>26</v>
      </c>
      <c r="K1193" s="197" t="s">
        <v>111</v>
      </c>
      <c r="L1193" s="746" t="s">
        <v>161</v>
      </c>
      <c r="M1193" s="197" t="s">
        <v>42</v>
      </c>
      <c r="N1193" s="197"/>
      <c r="O1193" s="138" t="s">
        <v>3678</v>
      </c>
      <c r="P1193" s="765" t="s">
        <v>3679</v>
      </c>
      <c r="Q1193" s="15" t="s">
        <v>282</v>
      </c>
      <c r="R1193" s="179">
        <v>41373</v>
      </c>
      <c r="S1193" s="16" t="s">
        <v>44</v>
      </c>
      <c r="T1193" s="191">
        <v>42039</v>
      </c>
      <c r="U1193" s="707"/>
      <c r="V1193" s="624"/>
      <c r="W1193" s="735">
        <v>11.6</v>
      </c>
      <c r="X1193" s="216">
        <v>0</v>
      </c>
      <c r="Y1193" s="7" t="str">
        <f t="shared" si="48"/>
        <v/>
      </c>
      <c r="Z1193" s="185">
        <f>IF(Y1193="",X1193,Y1193+X1193)</f>
        <v>0</v>
      </c>
      <c r="AA1193" s="90"/>
      <c r="AB1193" s="604" t="s">
        <v>6081</v>
      </c>
      <c r="AC1193" s="163"/>
      <c r="AD1193" s="187">
        <v>0</v>
      </c>
      <c r="AE1193" s="195"/>
      <c r="AF1193" s="205">
        <f t="shared" si="49"/>
        <v>0</v>
      </c>
      <c r="AG1193" s="200">
        <v>8</v>
      </c>
      <c r="AH1193" s="138" t="s">
        <v>3669</v>
      </c>
      <c r="AI1193" s="200"/>
      <c r="AJ1193" s="200" t="s">
        <v>1188</v>
      </c>
      <c r="AK1193" s="200" t="s">
        <v>1185</v>
      </c>
      <c r="AL1193" s="200" t="s">
        <v>1178</v>
      </c>
    </row>
    <row r="1194" spans="1:38" ht="15" customHeight="1" x14ac:dyDescent="0.3">
      <c r="A1194" s="181" t="s">
        <v>22</v>
      </c>
      <c r="B1194" s="145" t="s">
        <v>211</v>
      </c>
      <c r="C1194" s="135">
        <v>2</v>
      </c>
      <c r="D1194" s="136" t="s">
        <v>190</v>
      </c>
      <c r="E1194" s="168">
        <v>41302</v>
      </c>
      <c r="F1194" s="202">
        <v>2013</v>
      </c>
      <c r="G1194" s="178" t="s">
        <v>3680</v>
      </c>
      <c r="H1194" s="204" t="s">
        <v>3681</v>
      </c>
      <c r="I1194" s="136" t="s">
        <v>25</v>
      </c>
      <c r="J1194" s="32" t="s">
        <v>26</v>
      </c>
      <c r="K1194" s="197" t="s">
        <v>113</v>
      </c>
      <c r="L1194" s="746" t="s">
        <v>28</v>
      </c>
      <c r="M1194" s="197" t="s">
        <v>42</v>
      </c>
      <c r="N1194" s="197"/>
      <c r="O1194" s="138" t="s">
        <v>3682</v>
      </c>
      <c r="P1194" s="765" t="s">
        <v>3683</v>
      </c>
      <c r="Q1194" s="15" t="s">
        <v>282</v>
      </c>
      <c r="R1194" s="179">
        <v>41690</v>
      </c>
      <c r="S1194" s="16" t="s">
        <v>44</v>
      </c>
      <c r="T1194" s="191">
        <v>42045</v>
      </c>
      <c r="U1194" s="707"/>
      <c r="V1194" s="624"/>
      <c r="W1194" s="735">
        <v>70</v>
      </c>
      <c r="X1194" s="7">
        <v>0</v>
      </c>
      <c r="Y1194" s="7" t="str">
        <f t="shared" si="48"/>
        <v/>
      </c>
      <c r="Z1194" s="7">
        <f>IF(Y1194="",X1194,Y1194+X1194)</f>
        <v>0</v>
      </c>
      <c r="AA1194" s="108"/>
      <c r="AB1194" s="604" t="s">
        <v>6081</v>
      </c>
      <c r="AC1194" s="163"/>
      <c r="AD1194" s="187">
        <v>0</v>
      </c>
      <c r="AE1194" s="195"/>
      <c r="AF1194" s="205">
        <f t="shared" si="49"/>
        <v>0</v>
      </c>
      <c r="AG1194" s="200">
        <v>8</v>
      </c>
      <c r="AH1194" s="138" t="s">
        <v>3675</v>
      </c>
      <c r="AI1194" s="200"/>
      <c r="AJ1194" s="200" t="s">
        <v>1188</v>
      </c>
      <c r="AK1194" s="200" t="s">
        <v>1185</v>
      </c>
      <c r="AL1194" s="200" t="s">
        <v>1178</v>
      </c>
    </row>
    <row r="1195" spans="1:38" ht="15" customHeight="1" x14ac:dyDescent="0.3">
      <c r="A1195" s="30" t="s">
        <v>22</v>
      </c>
      <c r="B1195" s="120" t="s">
        <v>144</v>
      </c>
      <c r="C1195" s="107">
        <v>10</v>
      </c>
      <c r="D1195" s="11" t="s">
        <v>143</v>
      </c>
      <c r="E1195" s="114">
        <v>40847</v>
      </c>
      <c r="F1195" s="107">
        <v>2011</v>
      </c>
      <c r="G1195" s="142" t="s">
        <v>3684</v>
      </c>
      <c r="H1195" s="204" t="s">
        <v>3685</v>
      </c>
      <c r="I1195" s="12" t="s">
        <v>38</v>
      </c>
      <c r="J1195" s="32" t="s">
        <v>26</v>
      </c>
      <c r="K1195" s="197" t="s">
        <v>111</v>
      </c>
      <c r="L1195" s="137" t="s">
        <v>161</v>
      </c>
      <c r="M1195" s="197" t="s">
        <v>42</v>
      </c>
      <c r="N1195" s="197"/>
      <c r="O1195" s="197" t="s">
        <v>3686</v>
      </c>
      <c r="P1195" s="197" t="s">
        <v>3687</v>
      </c>
      <c r="Q1195" s="15" t="s">
        <v>282</v>
      </c>
      <c r="R1195" s="164">
        <v>41291</v>
      </c>
      <c r="S1195" s="16" t="s">
        <v>44</v>
      </c>
      <c r="T1195" s="165">
        <v>41694</v>
      </c>
      <c r="U1195" s="624"/>
      <c r="V1195" s="624"/>
      <c r="W1195" s="735">
        <v>20</v>
      </c>
      <c r="X1195" s="7">
        <v>0</v>
      </c>
      <c r="Y1195" s="7" t="str">
        <f t="shared" si="48"/>
        <v/>
      </c>
      <c r="Z1195" s="7">
        <f>IF(Y1195="",X1195,Y1195+X1195)</f>
        <v>0</v>
      </c>
      <c r="AA1195" s="108"/>
      <c r="AB1195" s="504" t="s">
        <v>147</v>
      </c>
      <c r="AC1195" s="138"/>
      <c r="AD1195" s="187">
        <v>0</v>
      </c>
      <c r="AE1195" s="187"/>
      <c r="AF1195" s="205">
        <f t="shared" si="49"/>
        <v>0</v>
      </c>
      <c r="AG1195" s="138"/>
      <c r="AH1195" s="138"/>
      <c r="AI1195" s="138"/>
      <c r="AJ1195" s="138" t="s">
        <v>1188</v>
      </c>
      <c r="AK1195" s="138" t="s">
        <v>1185</v>
      </c>
      <c r="AL1195" s="146" t="s">
        <v>1178</v>
      </c>
    </row>
    <row r="1196" spans="1:38" ht="15" customHeight="1" x14ac:dyDescent="0.3">
      <c r="A1196" s="30" t="s">
        <v>22</v>
      </c>
      <c r="B1196" s="30" t="s">
        <v>23</v>
      </c>
      <c r="C1196" s="37">
        <v>2</v>
      </c>
      <c r="D1196" s="11" t="s">
        <v>24</v>
      </c>
      <c r="E1196" s="108">
        <v>41556</v>
      </c>
      <c r="F1196" s="37">
        <v>2013</v>
      </c>
      <c r="G1196" s="30" t="s">
        <v>3688</v>
      </c>
      <c r="H1196" s="162" t="s">
        <v>3689</v>
      </c>
      <c r="I1196" s="30" t="s">
        <v>38</v>
      </c>
      <c r="J1196" s="32" t="s">
        <v>26</v>
      </c>
      <c r="K1196" s="137" t="s">
        <v>113</v>
      </c>
      <c r="L1196" s="137" t="s">
        <v>3690</v>
      </c>
      <c r="M1196" s="137" t="s">
        <v>804</v>
      </c>
      <c r="N1196" s="709"/>
      <c r="O1196" s="146" t="s">
        <v>3691</v>
      </c>
      <c r="P1196" s="138" t="s">
        <v>3692</v>
      </c>
      <c r="Q1196" s="15" t="s">
        <v>35</v>
      </c>
      <c r="R1196" s="132">
        <v>42031</v>
      </c>
      <c r="S1196" s="16" t="s">
        <v>35</v>
      </c>
      <c r="T1196" s="165">
        <v>42285</v>
      </c>
      <c r="U1196" s="624"/>
      <c r="V1196" s="624"/>
      <c r="W1196" s="735">
        <v>24</v>
      </c>
      <c r="X1196" s="7">
        <v>0</v>
      </c>
      <c r="Y1196" s="7">
        <f t="shared" si="48"/>
        <v>24</v>
      </c>
      <c r="Z1196" s="7">
        <v>4664618</v>
      </c>
      <c r="AA1196" s="108">
        <v>42353</v>
      </c>
      <c r="AB1196" s="762" t="s">
        <v>3077</v>
      </c>
      <c r="AC1196" s="652"/>
      <c r="AD1196" s="187">
        <v>0</v>
      </c>
      <c r="AE1196" s="187">
        <v>1</v>
      </c>
      <c r="AF1196" s="205">
        <f t="shared" si="49"/>
        <v>1</v>
      </c>
      <c r="AG1196" s="30">
        <v>8</v>
      </c>
      <c r="AH1196" s="30" t="s">
        <v>58</v>
      </c>
      <c r="AI1196" s="719" t="s">
        <v>3693</v>
      </c>
      <c r="AJ1196" s="30" t="s">
        <v>1188</v>
      </c>
      <c r="AK1196" s="30" t="s">
        <v>1185</v>
      </c>
      <c r="AL1196" s="93" t="s">
        <v>1178</v>
      </c>
    </row>
    <row r="1197" spans="1:38" ht="15" customHeight="1" x14ac:dyDescent="0.3">
      <c r="A1197" s="181" t="s">
        <v>140</v>
      </c>
      <c r="B1197" s="145" t="s">
        <v>105</v>
      </c>
      <c r="C1197" s="135">
        <v>16</v>
      </c>
      <c r="D1197" s="11" t="s">
        <v>5936</v>
      </c>
      <c r="E1197" s="168">
        <v>41738</v>
      </c>
      <c r="F1197" s="136">
        <v>2014</v>
      </c>
      <c r="G1197" s="178" t="s">
        <v>3694</v>
      </c>
      <c r="H1197" s="204" t="s">
        <v>3695</v>
      </c>
      <c r="I1197" s="136" t="s">
        <v>38</v>
      </c>
      <c r="J1197" s="181" t="s">
        <v>81</v>
      </c>
      <c r="K1197" s="197" t="s">
        <v>163</v>
      </c>
      <c r="L1197" s="746" t="s">
        <v>3501</v>
      </c>
      <c r="M1197" s="197" t="s">
        <v>42</v>
      </c>
      <c r="N1197" s="197"/>
      <c r="O1197" s="138" t="s">
        <v>3696</v>
      </c>
      <c r="P1197" s="138" t="s">
        <v>3697</v>
      </c>
      <c r="Q1197" s="15" t="s">
        <v>35</v>
      </c>
      <c r="R1197" s="218">
        <v>42265</v>
      </c>
      <c r="S1197" s="16" t="s">
        <v>35</v>
      </c>
      <c r="T1197" s="133">
        <v>42284</v>
      </c>
      <c r="U1197" s="623"/>
      <c r="V1197" s="624"/>
      <c r="W1197" s="256">
        <v>5</v>
      </c>
      <c r="X1197" s="185">
        <v>0</v>
      </c>
      <c r="Y1197" s="7" t="str">
        <f t="shared" si="48"/>
        <v/>
      </c>
      <c r="Z1197" s="185">
        <f t="shared" ref="Z1197:Z1206" si="50">IF(Y1197="",X1197,Y1197+X1197)</f>
        <v>0</v>
      </c>
      <c r="AA1197" s="233"/>
      <c r="AB1197" s="564" t="s">
        <v>1073</v>
      </c>
      <c r="AC1197" s="693"/>
      <c r="AD1197" s="196">
        <v>0</v>
      </c>
      <c r="AE1197" s="196"/>
      <c r="AF1197" s="205">
        <f t="shared" si="49"/>
        <v>0</v>
      </c>
      <c r="AG1197" s="138">
        <v>8</v>
      </c>
      <c r="AH1197" s="138"/>
      <c r="AI1197" s="718" t="s">
        <v>3698</v>
      </c>
      <c r="AJ1197" s="138" t="s">
        <v>1188</v>
      </c>
      <c r="AK1197" s="181" t="s">
        <v>1185</v>
      </c>
      <c r="AL1197" s="138" t="s">
        <v>1178</v>
      </c>
    </row>
    <row r="1198" spans="1:38" ht="15" customHeight="1" x14ac:dyDescent="0.3">
      <c r="A1198" s="30" t="s">
        <v>22</v>
      </c>
      <c r="B1198" s="120" t="s">
        <v>144</v>
      </c>
      <c r="C1198" s="107">
        <v>8</v>
      </c>
      <c r="D1198" s="11" t="s">
        <v>143</v>
      </c>
      <c r="E1198" s="114">
        <v>41402</v>
      </c>
      <c r="F1198" s="107">
        <v>2013</v>
      </c>
      <c r="G1198" s="142" t="s">
        <v>3699</v>
      </c>
      <c r="H1198" s="204" t="s">
        <v>3700</v>
      </c>
      <c r="I1198" s="12" t="s">
        <v>38</v>
      </c>
      <c r="J1198" s="32" t="s">
        <v>26</v>
      </c>
      <c r="K1198" s="197" t="s">
        <v>1194</v>
      </c>
      <c r="L1198" s="197" t="s">
        <v>28</v>
      </c>
      <c r="M1198" s="197" t="s">
        <v>42</v>
      </c>
      <c r="N1198" s="197"/>
      <c r="O1198" s="197" t="s">
        <v>3701</v>
      </c>
      <c r="P1198" s="197" t="s">
        <v>3702</v>
      </c>
      <c r="Q1198" s="15" t="s">
        <v>282</v>
      </c>
      <c r="R1198" s="132">
        <v>41682</v>
      </c>
      <c r="S1198" s="16" t="s">
        <v>44</v>
      </c>
      <c r="T1198" s="133">
        <v>42179</v>
      </c>
      <c r="U1198" s="623"/>
      <c r="V1198" s="623"/>
      <c r="W1198" s="734">
        <v>65</v>
      </c>
      <c r="X1198" s="7">
        <v>0</v>
      </c>
      <c r="Y1198" s="7" t="str">
        <f t="shared" si="48"/>
        <v/>
      </c>
      <c r="Z1198" s="7">
        <f t="shared" si="50"/>
        <v>0</v>
      </c>
      <c r="AA1198" s="108"/>
      <c r="AB1198" s="504" t="s">
        <v>147</v>
      </c>
      <c r="AC1198" s="138"/>
      <c r="AD1198" s="187">
        <v>0</v>
      </c>
      <c r="AE1198" s="196"/>
      <c r="AF1198" s="205">
        <f t="shared" si="49"/>
        <v>0</v>
      </c>
      <c r="AG1198" s="138">
        <v>8</v>
      </c>
      <c r="AH1198" s="138"/>
      <c r="AI1198" s="138"/>
      <c r="AJ1198" s="138" t="s">
        <v>1188</v>
      </c>
      <c r="AK1198" s="138" t="s">
        <v>1185</v>
      </c>
      <c r="AL1198" s="93" t="s">
        <v>1178</v>
      </c>
    </row>
    <row r="1199" spans="1:38" ht="15" customHeight="1" x14ac:dyDescent="0.3">
      <c r="A1199" s="181" t="s">
        <v>22</v>
      </c>
      <c r="B1199" s="145" t="s">
        <v>105</v>
      </c>
      <c r="C1199" s="135">
        <v>16</v>
      </c>
      <c r="D1199" s="11" t="s">
        <v>5936</v>
      </c>
      <c r="E1199" s="168">
        <v>41331</v>
      </c>
      <c r="F1199" s="136">
        <v>2013</v>
      </c>
      <c r="G1199" s="178" t="s">
        <v>3704</v>
      </c>
      <c r="H1199" s="204" t="s">
        <v>3705</v>
      </c>
      <c r="I1199" s="136" t="s">
        <v>38</v>
      </c>
      <c r="J1199" s="32" t="s">
        <v>26</v>
      </c>
      <c r="K1199" s="197" t="s">
        <v>111</v>
      </c>
      <c r="L1199" s="746" t="s">
        <v>161</v>
      </c>
      <c r="M1199" s="197" t="s">
        <v>42</v>
      </c>
      <c r="N1199" s="197"/>
      <c r="O1199" s="138" t="s">
        <v>3706</v>
      </c>
      <c r="P1199" s="138" t="s">
        <v>3707</v>
      </c>
      <c r="Q1199" s="15" t="s">
        <v>282</v>
      </c>
      <c r="R1199" s="132">
        <v>41600</v>
      </c>
      <c r="S1199" s="16" t="s">
        <v>44</v>
      </c>
      <c r="T1199" s="133">
        <v>41871</v>
      </c>
      <c r="U1199" s="623"/>
      <c r="V1199" s="624"/>
      <c r="W1199" s="256">
        <v>23.5</v>
      </c>
      <c r="X1199" s="185">
        <v>0</v>
      </c>
      <c r="Y1199" s="7" t="str">
        <f t="shared" si="48"/>
        <v/>
      </c>
      <c r="Z1199" s="185">
        <f t="shared" si="50"/>
        <v>0</v>
      </c>
      <c r="AA1199" s="108"/>
      <c r="AB1199" s="513" t="s">
        <v>3232</v>
      </c>
      <c r="AC1199" s="147"/>
      <c r="AD1199" s="196">
        <v>0</v>
      </c>
      <c r="AE1199" s="196"/>
      <c r="AF1199" s="205">
        <f t="shared" si="49"/>
        <v>0</v>
      </c>
      <c r="AG1199" s="138">
        <v>8</v>
      </c>
      <c r="AH1199" s="138"/>
      <c r="AI1199" s="138"/>
      <c r="AJ1199" s="138" t="s">
        <v>1188</v>
      </c>
      <c r="AK1199" s="181" t="s">
        <v>1185</v>
      </c>
      <c r="AL1199" s="138" t="s">
        <v>1178</v>
      </c>
    </row>
    <row r="1200" spans="1:38" ht="15" customHeight="1" x14ac:dyDescent="0.3">
      <c r="A1200" s="181" t="s">
        <v>22</v>
      </c>
      <c r="B1200" s="145" t="s">
        <v>105</v>
      </c>
      <c r="C1200" s="135">
        <v>8</v>
      </c>
      <c r="D1200" s="11" t="s">
        <v>5936</v>
      </c>
      <c r="E1200" s="168">
        <v>41256</v>
      </c>
      <c r="F1200" s="136">
        <v>2012</v>
      </c>
      <c r="G1200" s="178" t="s">
        <v>3709</v>
      </c>
      <c r="H1200" s="204" t="s">
        <v>3710</v>
      </c>
      <c r="I1200" s="136" t="s">
        <v>38</v>
      </c>
      <c r="J1200" s="32" t="s">
        <v>26</v>
      </c>
      <c r="K1200" s="197" t="s">
        <v>111</v>
      </c>
      <c r="L1200" s="746" t="s">
        <v>161</v>
      </c>
      <c r="M1200" s="197" t="s">
        <v>42</v>
      </c>
      <c r="N1200" s="197"/>
      <c r="O1200" s="138" t="s">
        <v>3711</v>
      </c>
      <c r="P1200" s="138" t="s">
        <v>3712</v>
      </c>
      <c r="Q1200" s="15" t="s">
        <v>282</v>
      </c>
      <c r="R1200" s="132">
        <v>41404</v>
      </c>
      <c r="S1200" s="16" t="s">
        <v>44</v>
      </c>
      <c r="T1200" s="133">
        <v>41866</v>
      </c>
      <c r="U1200" s="623"/>
      <c r="V1200" s="624"/>
      <c r="W1200" s="256">
        <v>12</v>
      </c>
      <c r="X1200" s="7">
        <v>0</v>
      </c>
      <c r="Y1200" s="7">
        <f t="shared" si="48"/>
        <v>0</v>
      </c>
      <c r="Z1200" s="7">
        <f t="shared" si="50"/>
        <v>0</v>
      </c>
      <c r="AA1200" s="108"/>
      <c r="AB1200" s="513" t="s">
        <v>3232</v>
      </c>
      <c r="AC1200" s="147"/>
      <c r="AD1200" s="196">
        <v>0</v>
      </c>
      <c r="AE1200" s="187">
        <v>0</v>
      </c>
      <c r="AF1200" s="205">
        <f t="shared" si="49"/>
        <v>0</v>
      </c>
      <c r="AG1200" s="138">
        <v>8</v>
      </c>
      <c r="AH1200" s="138" t="s">
        <v>3703</v>
      </c>
      <c r="AI1200" s="138"/>
      <c r="AJ1200" s="138" t="s">
        <v>1188</v>
      </c>
      <c r="AK1200" s="181" t="s">
        <v>1185</v>
      </c>
      <c r="AL1200" s="138" t="s">
        <v>1178</v>
      </c>
    </row>
    <row r="1201" spans="1:38" ht="15" customHeight="1" x14ac:dyDescent="0.3">
      <c r="A1201" s="181" t="s">
        <v>140</v>
      </c>
      <c r="B1201" s="145" t="s">
        <v>219</v>
      </c>
      <c r="C1201" s="135" t="s">
        <v>196</v>
      </c>
      <c r="D1201" s="136" t="s">
        <v>190</v>
      </c>
      <c r="E1201" s="168">
        <v>41688</v>
      </c>
      <c r="F1201" s="136">
        <v>2014</v>
      </c>
      <c r="G1201" s="178"/>
      <c r="H1201" s="204"/>
      <c r="I1201" s="33" t="s">
        <v>33</v>
      </c>
      <c r="J1201" s="181" t="s">
        <v>81</v>
      </c>
      <c r="K1201" s="197" t="s">
        <v>141</v>
      </c>
      <c r="L1201" s="746" t="s">
        <v>28</v>
      </c>
      <c r="M1201" s="197" t="s">
        <v>42</v>
      </c>
      <c r="N1201" s="553" t="s">
        <v>122</v>
      </c>
      <c r="O1201" s="138" t="s">
        <v>3715</v>
      </c>
      <c r="P1201" s="138" t="s">
        <v>3716</v>
      </c>
      <c r="Q1201" s="15" t="s">
        <v>282</v>
      </c>
      <c r="R1201" s="218">
        <v>41732</v>
      </c>
      <c r="S1201" s="16" t="s">
        <v>44</v>
      </c>
      <c r="T1201" s="191">
        <v>41940</v>
      </c>
      <c r="U1201" s="236"/>
      <c r="V1201" s="237"/>
      <c r="W1201" s="256">
        <v>5</v>
      </c>
      <c r="X1201" s="7">
        <v>0</v>
      </c>
      <c r="Y1201" s="7">
        <f t="shared" si="48"/>
        <v>0</v>
      </c>
      <c r="Z1201" s="7">
        <f t="shared" si="50"/>
        <v>0</v>
      </c>
      <c r="AA1201" s="235"/>
      <c r="AB1201" s="604" t="s">
        <v>619</v>
      </c>
      <c r="AC1201" s="163"/>
      <c r="AD1201" s="187">
        <v>0</v>
      </c>
      <c r="AE1201" s="187">
        <v>0</v>
      </c>
      <c r="AF1201" s="205">
        <f t="shared" si="49"/>
        <v>0</v>
      </c>
      <c r="AG1201" s="200">
        <v>8</v>
      </c>
      <c r="AH1201" s="138"/>
      <c r="AI1201" s="138"/>
      <c r="AJ1201" s="200" t="s">
        <v>1188</v>
      </c>
      <c r="AK1201" s="181" t="s">
        <v>1185</v>
      </c>
      <c r="AL1201" s="181" t="s">
        <v>1178</v>
      </c>
    </row>
    <row r="1202" spans="1:38" ht="15" customHeight="1" x14ac:dyDescent="0.3">
      <c r="A1202" s="30" t="s">
        <v>22</v>
      </c>
      <c r="B1202" s="140" t="s">
        <v>3708</v>
      </c>
      <c r="C1202" s="107" t="s">
        <v>3717</v>
      </c>
      <c r="D1202" s="12" t="s">
        <v>190</v>
      </c>
      <c r="E1202" s="114">
        <v>39083</v>
      </c>
      <c r="F1202" s="12">
        <v>2007</v>
      </c>
      <c r="G1202" s="142" t="s">
        <v>3718</v>
      </c>
      <c r="H1202" s="162"/>
      <c r="I1202" s="33" t="s">
        <v>33</v>
      </c>
      <c r="J1202" s="32" t="s">
        <v>26</v>
      </c>
      <c r="K1202" s="138" t="s">
        <v>1194</v>
      </c>
      <c r="L1202" s="138" t="s">
        <v>28</v>
      </c>
      <c r="M1202" s="137" t="s">
        <v>42</v>
      </c>
      <c r="N1202" s="137"/>
      <c r="O1202" s="138" t="s">
        <v>3719</v>
      </c>
      <c r="P1202" s="138" t="s">
        <v>3720</v>
      </c>
      <c r="Q1202" s="15" t="s">
        <v>282</v>
      </c>
      <c r="R1202" s="132">
        <v>41677</v>
      </c>
      <c r="S1202" s="16" t="s">
        <v>44</v>
      </c>
      <c r="T1202" s="133">
        <v>41842</v>
      </c>
      <c r="U1202" s="623"/>
      <c r="V1202" s="623"/>
      <c r="W1202" s="734">
        <v>120</v>
      </c>
      <c r="X1202" s="7">
        <v>0</v>
      </c>
      <c r="Y1202" s="7">
        <f t="shared" si="48"/>
        <v>0</v>
      </c>
      <c r="Z1202" s="185">
        <f t="shared" si="50"/>
        <v>0</v>
      </c>
      <c r="AA1202" s="108"/>
      <c r="AB1202" s="504" t="s">
        <v>3713</v>
      </c>
      <c r="AC1202" s="138"/>
      <c r="AD1202" s="187">
        <v>0</v>
      </c>
      <c r="AE1202" s="187">
        <v>0</v>
      </c>
      <c r="AF1202" s="205">
        <f t="shared" si="49"/>
        <v>0</v>
      </c>
      <c r="AG1202" s="138">
        <v>7.5</v>
      </c>
      <c r="AH1202" s="138" t="s">
        <v>3714</v>
      </c>
      <c r="AI1202" s="138"/>
      <c r="AJ1202" s="138" t="s">
        <v>1188</v>
      </c>
      <c r="AK1202" s="138" t="s">
        <v>1185</v>
      </c>
      <c r="AL1202" s="93" t="s">
        <v>1178</v>
      </c>
    </row>
    <row r="1203" spans="1:38" ht="15" customHeight="1" x14ac:dyDescent="0.3">
      <c r="A1203" s="30" t="s">
        <v>22</v>
      </c>
      <c r="B1203" s="140" t="s">
        <v>3708</v>
      </c>
      <c r="C1203" s="107" t="s">
        <v>3717</v>
      </c>
      <c r="D1203" s="12" t="s">
        <v>190</v>
      </c>
      <c r="E1203" s="114">
        <v>39083</v>
      </c>
      <c r="F1203" s="12">
        <v>2007</v>
      </c>
      <c r="G1203" s="142" t="s">
        <v>3721</v>
      </c>
      <c r="H1203" s="162"/>
      <c r="I1203" s="12" t="s">
        <v>38</v>
      </c>
      <c r="J1203" s="32" t="s">
        <v>26</v>
      </c>
      <c r="K1203" s="138" t="s">
        <v>1194</v>
      </c>
      <c r="L1203" s="197" t="s">
        <v>161</v>
      </c>
      <c r="M1203" s="137" t="s">
        <v>42</v>
      </c>
      <c r="N1203" s="137"/>
      <c r="O1203" s="138" t="s">
        <v>3722</v>
      </c>
      <c r="P1203" s="138" t="s">
        <v>3723</v>
      </c>
      <c r="Q1203" s="15" t="s">
        <v>282</v>
      </c>
      <c r="R1203" s="132">
        <v>41115</v>
      </c>
      <c r="S1203" s="16" t="s">
        <v>44</v>
      </c>
      <c r="T1203" s="133">
        <v>41480</v>
      </c>
      <c r="U1203" s="623"/>
      <c r="V1203" s="623"/>
      <c r="W1203" s="734">
        <v>40</v>
      </c>
      <c r="X1203" s="7">
        <v>0</v>
      </c>
      <c r="Y1203" s="7">
        <f t="shared" si="48"/>
        <v>0</v>
      </c>
      <c r="Z1203" s="185">
        <f t="shared" si="50"/>
        <v>0</v>
      </c>
      <c r="AA1203" s="108"/>
      <c r="AB1203" s="504" t="s">
        <v>3713</v>
      </c>
      <c r="AC1203" s="138"/>
      <c r="AD1203" s="187">
        <v>0</v>
      </c>
      <c r="AE1203" s="187">
        <v>0</v>
      </c>
      <c r="AF1203" s="205">
        <f t="shared" si="49"/>
        <v>0</v>
      </c>
      <c r="AG1203" s="138">
        <v>7.5</v>
      </c>
      <c r="AH1203" s="138"/>
      <c r="AI1203" s="138"/>
      <c r="AJ1203" s="138" t="s">
        <v>1188</v>
      </c>
      <c r="AK1203" s="138" t="s">
        <v>1185</v>
      </c>
      <c r="AL1203" s="93" t="s">
        <v>1178</v>
      </c>
    </row>
    <row r="1204" spans="1:38" ht="15" customHeight="1" x14ac:dyDescent="0.3">
      <c r="A1204" s="181" t="s">
        <v>22</v>
      </c>
      <c r="B1204" s="145" t="s">
        <v>105</v>
      </c>
      <c r="C1204" s="135">
        <v>22</v>
      </c>
      <c r="D1204" s="11" t="s">
        <v>5936</v>
      </c>
      <c r="E1204" s="168">
        <v>41521</v>
      </c>
      <c r="F1204" s="136">
        <v>2013</v>
      </c>
      <c r="G1204" s="178" t="s">
        <v>3724</v>
      </c>
      <c r="H1204" s="204" t="s">
        <v>3725</v>
      </c>
      <c r="I1204" s="30" t="s">
        <v>38</v>
      </c>
      <c r="J1204" s="32" t="s">
        <v>26</v>
      </c>
      <c r="K1204" s="197" t="s">
        <v>111</v>
      </c>
      <c r="L1204" s="746" t="s">
        <v>3439</v>
      </c>
      <c r="M1204" s="137" t="s">
        <v>804</v>
      </c>
      <c r="N1204" s="197"/>
      <c r="O1204" s="138" t="s">
        <v>3726</v>
      </c>
      <c r="P1204" s="138" t="s">
        <v>3727</v>
      </c>
      <c r="Q1204" s="15" t="s">
        <v>35</v>
      </c>
      <c r="R1204" s="132">
        <v>42121</v>
      </c>
      <c r="S1204" s="16" t="s">
        <v>35</v>
      </c>
      <c r="T1204" s="133">
        <v>42160</v>
      </c>
      <c r="U1204" s="623"/>
      <c r="V1204" s="624"/>
      <c r="W1204" s="256">
        <v>144</v>
      </c>
      <c r="X1204" s="185">
        <v>75.3</v>
      </c>
      <c r="Y1204" s="7">
        <f t="shared" si="48"/>
        <v>0</v>
      </c>
      <c r="Z1204" s="185">
        <f t="shared" si="50"/>
        <v>75.3</v>
      </c>
      <c r="AA1204" s="108">
        <v>42212</v>
      </c>
      <c r="AB1204" s="513" t="s">
        <v>3232</v>
      </c>
      <c r="AC1204" s="147"/>
      <c r="AD1204" s="196">
        <v>1</v>
      </c>
      <c r="AE1204" s="187">
        <v>0</v>
      </c>
      <c r="AF1204" s="205">
        <f t="shared" si="49"/>
        <v>1</v>
      </c>
      <c r="AG1204" s="138">
        <v>8</v>
      </c>
      <c r="AH1204" s="138" t="s">
        <v>3512</v>
      </c>
      <c r="AI1204" s="718" t="s">
        <v>3728</v>
      </c>
      <c r="AJ1204" s="138" t="s">
        <v>1188</v>
      </c>
      <c r="AK1204" s="181" t="s">
        <v>1185</v>
      </c>
      <c r="AL1204" s="138" t="s">
        <v>1178</v>
      </c>
    </row>
    <row r="1205" spans="1:38" ht="15" customHeight="1" x14ac:dyDescent="0.3">
      <c r="A1205" s="181" t="s">
        <v>22</v>
      </c>
      <c r="B1205" s="145" t="s">
        <v>105</v>
      </c>
      <c r="C1205" s="135">
        <v>35</v>
      </c>
      <c r="D1205" s="11" t="s">
        <v>5936</v>
      </c>
      <c r="E1205" s="168">
        <v>41523</v>
      </c>
      <c r="F1205" s="136">
        <v>2013</v>
      </c>
      <c r="G1205" s="178" t="s">
        <v>3729</v>
      </c>
      <c r="H1205" s="204" t="s">
        <v>3730</v>
      </c>
      <c r="I1205" s="33" t="s">
        <v>33</v>
      </c>
      <c r="J1205" s="32" t="s">
        <v>26</v>
      </c>
      <c r="K1205" s="197" t="s">
        <v>111</v>
      </c>
      <c r="L1205" s="746" t="s">
        <v>3439</v>
      </c>
      <c r="M1205" s="137" t="s">
        <v>804</v>
      </c>
      <c r="N1205" s="197"/>
      <c r="O1205" s="138" t="s">
        <v>3731</v>
      </c>
      <c r="P1205" s="138" t="s">
        <v>3732</v>
      </c>
      <c r="Q1205" s="15" t="s">
        <v>35</v>
      </c>
      <c r="R1205" s="132">
        <v>41803</v>
      </c>
      <c r="S1205" s="16" t="s">
        <v>44</v>
      </c>
      <c r="T1205" s="133">
        <v>41908</v>
      </c>
      <c r="U1205" s="623"/>
      <c r="V1205" s="624"/>
      <c r="W1205" s="256">
        <v>102</v>
      </c>
      <c r="X1205" s="185">
        <v>76.5</v>
      </c>
      <c r="Y1205" s="7">
        <f t="shared" si="48"/>
        <v>10.200000000000001</v>
      </c>
      <c r="Z1205" s="185">
        <f t="shared" si="50"/>
        <v>86.7</v>
      </c>
      <c r="AA1205" s="108">
        <v>43054</v>
      </c>
      <c r="AB1205" s="564" t="s">
        <v>1073</v>
      </c>
      <c r="AC1205" s="693"/>
      <c r="AD1205" s="196">
        <v>0.75</v>
      </c>
      <c r="AE1205" s="187">
        <v>0.1</v>
      </c>
      <c r="AF1205" s="205">
        <f t="shared" si="49"/>
        <v>0.85</v>
      </c>
      <c r="AG1205" s="138">
        <v>8</v>
      </c>
      <c r="AH1205" s="138"/>
      <c r="AI1205" s="785" t="s">
        <v>3733</v>
      </c>
      <c r="AJ1205" s="138" t="s">
        <v>1188</v>
      </c>
      <c r="AK1205" s="181" t="s">
        <v>1185</v>
      </c>
      <c r="AL1205" s="138" t="s">
        <v>1178</v>
      </c>
    </row>
    <row r="1206" spans="1:38" ht="15" customHeight="1" x14ac:dyDescent="0.3">
      <c r="A1206" s="181" t="s">
        <v>22</v>
      </c>
      <c r="B1206" s="145" t="s">
        <v>105</v>
      </c>
      <c r="C1206" s="135">
        <v>12</v>
      </c>
      <c r="D1206" s="11" t="s">
        <v>5936</v>
      </c>
      <c r="E1206" s="168">
        <v>40528</v>
      </c>
      <c r="F1206" s="136">
        <v>2010</v>
      </c>
      <c r="G1206" s="178" t="s">
        <v>3734</v>
      </c>
      <c r="H1206" s="204" t="s">
        <v>3735</v>
      </c>
      <c r="I1206" s="136" t="s">
        <v>38</v>
      </c>
      <c r="J1206" s="32" t="s">
        <v>26</v>
      </c>
      <c r="K1206" s="197" t="s">
        <v>111</v>
      </c>
      <c r="L1206" s="138" t="s">
        <v>161</v>
      </c>
      <c r="M1206" s="197" t="s">
        <v>42</v>
      </c>
      <c r="N1206" s="197"/>
      <c r="O1206" s="138" t="s">
        <v>3736</v>
      </c>
      <c r="P1206" s="718" t="s">
        <v>6082</v>
      </c>
      <c r="Q1206" s="15" t="s">
        <v>282</v>
      </c>
      <c r="R1206" s="132">
        <v>41054</v>
      </c>
      <c r="S1206" s="16" t="s">
        <v>44</v>
      </c>
      <c r="T1206" s="133">
        <v>41411</v>
      </c>
      <c r="U1206" s="623"/>
      <c r="V1206" s="624"/>
      <c r="W1206" s="256">
        <v>13.8</v>
      </c>
      <c r="X1206" s="7">
        <v>0</v>
      </c>
      <c r="Y1206" s="7">
        <f t="shared" si="48"/>
        <v>0</v>
      </c>
      <c r="Z1206" s="7">
        <f t="shared" si="50"/>
        <v>0</v>
      </c>
      <c r="AA1206" s="108"/>
      <c r="AB1206" s="564" t="s">
        <v>1073</v>
      </c>
      <c r="AC1206" s="693"/>
      <c r="AD1206" s="196">
        <v>0</v>
      </c>
      <c r="AE1206" s="187">
        <v>0</v>
      </c>
      <c r="AF1206" s="205">
        <f t="shared" si="49"/>
        <v>0</v>
      </c>
      <c r="AG1206" s="138">
        <v>7</v>
      </c>
      <c r="AH1206" s="181"/>
      <c r="AI1206" s="138"/>
      <c r="AJ1206" s="138" t="s">
        <v>1188</v>
      </c>
      <c r="AK1206" s="30" t="s">
        <v>99</v>
      </c>
      <c r="AL1206" s="138" t="s">
        <v>1178</v>
      </c>
    </row>
    <row r="1207" spans="1:38" ht="15" customHeight="1" x14ac:dyDescent="0.3">
      <c r="A1207" s="30" t="s">
        <v>22</v>
      </c>
      <c r="B1207" s="120" t="s">
        <v>144</v>
      </c>
      <c r="C1207" s="107">
        <v>12</v>
      </c>
      <c r="D1207" s="11" t="s">
        <v>143</v>
      </c>
      <c r="E1207" s="114">
        <v>41698</v>
      </c>
      <c r="F1207" s="107">
        <v>2014</v>
      </c>
      <c r="G1207" s="142" t="s">
        <v>3737</v>
      </c>
      <c r="H1207" s="204" t="s">
        <v>3738</v>
      </c>
      <c r="I1207" s="30" t="s">
        <v>38</v>
      </c>
      <c r="J1207" s="32" t="s">
        <v>26</v>
      </c>
      <c r="K1207" s="197" t="s">
        <v>111</v>
      </c>
      <c r="L1207" s="197" t="s">
        <v>3439</v>
      </c>
      <c r="M1207" s="137" t="s">
        <v>804</v>
      </c>
      <c r="N1207" s="197"/>
      <c r="O1207" s="197" t="s">
        <v>3739</v>
      </c>
      <c r="P1207" s="197" t="s">
        <v>6083</v>
      </c>
      <c r="Q1207" s="15" t="s">
        <v>35</v>
      </c>
      <c r="R1207" s="132">
        <v>42268</v>
      </c>
      <c r="S1207" s="92"/>
      <c r="T1207" s="133"/>
      <c r="U1207" s="623"/>
      <c r="V1207" s="623"/>
      <c r="W1207" s="734">
        <v>116.5</v>
      </c>
      <c r="X1207" s="7">
        <v>58.25</v>
      </c>
      <c r="Y1207" s="7">
        <f t="shared" si="48"/>
        <v>0</v>
      </c>
      <c r="Z1207" s="7">
        <f>IF(Y1207="",X1207,Y1207+X1207)-58.3</f>
        <v>-4.9999999999997158E-2</v>
      </c>
      <c r="AA1207" s="90">
        <v>42397</v>
      </c>
      <c r="AB1207" s="706" t="s">
        <v>147</v>
      </c>
      <c r="AC1207" s="200"/>
      <c r="AD1207" s="187">
        <v>0.5</v>
      </c>
      <c r="AE1207" s="187">
        <v>0</v>
      </c>
      <c r="AF1207" s="205">
        <f t="shared" si="49"/>
        <v>0.5</v>
      </c>
      <c r="AG1207" s="200">
        <v>8</v>
      </c>
      <c r="AH1207" s="200" t="s">
        <v>45</v>
      </c>
      <c r="AI1207" s="719" t="s">
        <v>3740</v>
      </c>
      <c r="AJ1207" s="200" t="s">
        <v>1188</v>
      </c>
      <c r="AK1207" s="200" t="s">
        <v>1185</v>
      </c>
      <c r="AL1207" s="146" t="s">
        <v>1178</v>
      </c>
    </row>
    <row r="1208" spans="1:38" ht="15" customHeight="1" x14ac:dyDescent="0.3">
      <c r="A1208" s="30" t="s">
        <v>22</v>
      </c>
      <c r="B1208" s="30" t="s">
        <v>23</v>
      </c>
      <c r="C1208" s="37">
        <v>21</v>
      </c>
      <c r="D1208" s="11" t="s">
        <v>24</v>
      </c>
      <c r="E1208" s="108">
        <v>42089</v>
      </c>
      <c r="F1208" s="37">
        <v>2015</v>
      </c>
      <c r="G1208" s="30" t="s">
        <v>3741</v>
      </c>
      <c r="H1208" s="162" t="s">
        <v>3742</v>
      </c>
      <c r="I1208" s="12" t="s">
        <v>38</v>
      </c>
      <c r="J1208" s="32" t="s">
        <v>26</v>
      </c>
      <c r="K1208" s="137" t="s">
        <v>111</v>
      </c>
      <c r="L1208" s="137" t="s">
        <v>28</v>
      </c>
      <c r="M1208" s="660" t="s">
        <v>42</v>
      </c>
      <c r="N1208" s="660"/>
      <c r="O1208" s="93" t="s">
        <v>3743</v>
      </c>
      <c r="P1208" s="138" t="s">
        <v>6084</v>
      </c>
      <c r="Q1208" s="91"/>
      <c r="R1208" s="132"/>
      <c r="S1208" s="92"/>
      <c r="T1208" s="139"/>
      <c r="U1208" s="624"/>
      <c r="V1208" s="624"/>
      <c r="W1208" s="735">
        <v>32.5</v>
      </c>
      <c r="X1208" s="7">
        <v>0</v>
      </c>
      <c r="Y1208" s="7">
        <f t="shared" si="48"/>
        <v>0</v>
      </c>
      <c r="Z1208" s="7">
        <f>IF(Y1208="",X1208,Y1208+X1208)</f>
        <v>0</v>
      </c>
      <c r="AA1208" s="108"/>
      <c r="AB1208" s="762" t="s">
        <v>3077</v>
      </c>
      <c r="AC1208" s="652"/>
      <c r="AD1208" s="187">
        <v>0</v>
      </c>
      <c r="AE1208" s="187">
        <v>0</v>
      </c>
      <c r="AF1208" s="205">
        <f t="shared" si="49"/>
        <v>0</v>
      </c>
      <c r="AG1208" s="30">
        <v>8</v>
      </c>
      <c r="AH1208" s="30" t="s">
        <v>58</v>
      </c>
      <c r="AI1208" s="719" t="s">
        <v>3746</v>
      </c>
      <c r="AJ1208" s="30" t="s">
        <v>1188</v>
      </c>
      <c r="AK1208" s="30" t="s">
        <v>1177</v>
      </c>
      <c r="AL1208" s="93" t="s">
        <v>1178</v>
      </c>
    </row>
    <row r="1209" spans="1:38" ht="15" customHeight="1" x14ac:dyDescent="0.3">
      <c r="A1209" s="30" t="s">
        <v>22</v>
      </c>
      <c r="B1209" s="30" t="s">
        <v>23</v>
      </c>
      <c r="C1209" s="37">
        <v>21</v>
      </c>
      <c r="D1209" s="11" t="s">
        <v>24</v>
      </c>
      <c r="E1209" s="108">
        <v>41247</v>
      </c>
      <c r="F1209" s="37">
        <v>2012</v>
      </c>
      <c r="G1209" s="30" t="s">
        <v>3747</v>
      </c>
      <c r="H1209" s="162" t="s">
        <v>3748</v>
      </c>
      <c r="I1209" s="12" t="s">
        <v>38</v>
      </c>
      <c r="J1209" s="32" t="s">
        <v>26</v>
      </c>
      <c r="K1209" s="137" t="s">
        <v>111</v>
      </c>
      <c r="L1209" s="137" t="s">
        <v>3349</v>
      </c>
      <c r="M1209" s="660" t="s">
        <v>42</v>
      </c>
      <c r="N1209" s="709"/>
      <c r="O1209" s="146" t="s">
        <v>3749</v>
      </c>
      <c r="P1209" s="138" t="s">
        <v>3750</v>
      </c>
      <c r="Q1209" s="15" t="s">
        <v>282</v>
      </c>
      <c r="R1209" s="132">
        <v>41851</v>
      </c>
      <c r="S1209" s="16" t="s">
        <v>44</v>
      </c>
      <c r="T1209" s="139" t="s">
        <v>3751</v>
      </c>
      <c r="U1209" s="624"/>
      <c r="V1209" s="624"/>
      <c r="W1209" s="735">
        <v>10.3</v>
      </c>
      <c r="X1209" s="7">
        <v>0</v>
      </c>
      <c r="Y1209" s="7">
        <f t="shared" si="48"/>
        <v>0</v>
      </c>
      <c r="Z1209" s="7">
        <f>IF(Y1209="",X1209,Y1209+X1209)</f>
        <v>0</v>
      </c>
      <c r="AA1209" s="108"/>
      <c r="AB1209" s="762" t="s">
        <v>3077</v>
      </c>
      <c r="AC1209" s="652"/>
      <c r="AD1209" s="187">
        <v>0</v>
      </c>
      <c r="AE1209" s="187">
        <v>0</v>
      </c>
      <c r="AF1209" s="205">
        <f t="shared" si="49"/>
        <v>0</v>
      </c>
      <c r="AG1209" s="30">
        <v>8</v>
      </c>
      <c r="AH1209" s="30" t="s">
        <v>58</v>
      </c>
      <c r="AI1209" s="146"/>
      <c r="AJ1209" s="30" t="s">
        <v>1188</v>
      </c>
      <c r="AK1209" s="30" t="s">
        <v>1185</v>
      </c>
      <c r="AL1209" s="93" t="s">
        <v>1178</v>
      </c>
    </row>
    <row r="1210" spans="1:38" ht="15" customHeight="1" x14ac:dyDescent="0.3">
      <c r="A1210" s="181" t="s">
        <v>22</v>
      </c>
      <c r="B1210" s="145" t="s">
        <v>3242</v>
      </c>
      <c r="C1210" s="135"/>
      <c r="D1210" s="136" t="s">
        <v>190</v>
      </c>
      <c r="E1210" s="168">
        <v>41383</v>
      </c>
      <c r="F1210" s="136">
        <v>2013</v>
      </c>
      <c r="G1210" s="178" t="s">
        <v>3753</v>
      </c>
      <c r="H1210" s="204"/>
      <c r="I1210" s="33" t="s">
        <v>33</v>
      </c>
      <c r="J1210" s="181" t="s">
        <v>81</v>
      </c>
      <c r="K1210" s="197" t="s">
        <v>103</v>
      </c>
      <c r="L1210" s="746" t="s">
        <v>3754</v>
      </c>
      <c r="M1210" s="137" t="s">
        <v>804</v>
      </c>
      <c r="N1210" s="197"/>
      <c r="O1210" s="138" t="s">
        <v>3755</v>
      </c>
      <c r="P1210" s="138" t="s">
        <v>3756</v>
      </c>
      <c r="Q1210" s="15" t="s">
        <v>35</v>
      </c>
      <c r="R1210" s="179">
        <v>41975</v>
      </c>
      <c r="S1210" s="16" t="s">
        <v>35</v>
      </c>
      <c r="T1210" s="133">
        <v>42234</v>
      </c>
      <c r="U1210" s="623"/>
      <c r="V1210" s="624"/>
      <c r="W1210" s="735">
        <v>80</v>
      </c>
      <c r="X1210" s="7">
        <v>77.7</v>
      </c>
      <c r="Y1210" s="7">
        <f t="shared" si="48"/>
        <v>0</v>
      </c>
      <c r="Z1210" s="185">
        <f>IF(Y1210="",X1210,Y1210+X1210)-59.275</f>
        <v>18.425000000000004</v>
      </c>
      <c r="AA1210" s="108">
        <v>42412</v>
      </c>
      <c r="AB1210" s="604" t="s">
        <v>3744</v>
      </c>
      <c r="AC1210" s="163"/>
      <c r="AD1210" s="187">
        <v>1</v>
      </c>
      <c r="AE1210" s="187">
        <v>0</v>
      </c>
      <c r="AF1210" s="205">
        <f t="shared" si="49"/>
        <v>1</v>
      </c>
      <c r="AG1210" s="200">
        <v>8</v>
      </c>
      <c r="AH1210" s="138" t="s">
        <v>3745</v>
      </c>
      <c r="AI1210" s="719" t="s">
        <v>3757</v>
      </c>
      <c r="AJ1210" s="200" t="s">
        <v>1188</v>
      </c>
      <c r="AK1210" s="200" t="s">
        <v>1185</v>
      </c>
      <c r="AL1210" s="200" t="s">
        <v>1178</v>
      </c>
    </row>
    <row r="1211" spans="1:38" ht="15" customHeight="1" x14ac:dyDescent="0.3">
      <c r="A1211" s="30" t="s">
        <v>22</v>
      </c>
      <c r="B1211" s="30" t="s">
        <v>23</v>
      </c>
      <c r="C1211" s="37">
        <v>8</v>
      </c>
      <c r="D1211" s="11" t="s">
        <v>24</v>
      </c>
      <c r="E1211" s="108">
        <v>41474</v>
      </c>
      <c r="F1211" s="37">
        <v>2013</v>
      </c>
      <c r="G1211" s="30" t="s">
        <v>3758</v>
      </c>
      <c r="H1211" s="162" t="s">
        <v>3759</v>
      </c>
      <c r="I1211" s="33" t="s">
        <v>33</v>
      </c>
      <c r="J1211" s="32" t="s">
        <v>26</v>
      </c>
      <c r="K1211" s="137" t="s">
        <v>3760</v>
      </c>
      <c r="L1211" s="137" t="s">
        <v>3349</v>
      </c>
      <c r="M1211" s="660" t="s">
        <v>42</v>
      </c>
      <c r="N1211" s="660"/>
      <c r="O1211" s="93" t="s">
        <v>3761</v>
      </c>
      <c r="P1211" s="138" t="s">
        <v>3762</v>
      </c>
      <c r="Q1211" s="15" t="s">
        <v>282</v>
      </c>
      <c r="R1211" s="132">
        <v>41967</v>
      </c>
      <c r="S1211" s="16" t="s">
        <v>44</v>
      </c>
      <c r="T1211" s="165">
        <v>42318</v>
      </c>
      <c r="U1211" s="624"/>
      <c r="V1211" s="624"/>
      <c r="W1211" s="735">
        <v>50</v>
      </c>
      <c r="X1211" s="7">
        <v>0</v>
      </c>
      <c r="Y1211" s="7">
        <f t="shared" si="48"/>
        <v>0</v>
      </c>
      <c r="Z1211" s="7">
        <f>IF(Y1211="",X1211,Y1211+X1211)</f>
        <v>0</v>
      </c>
      <c r="AA1211" s="108"/>
      <c r="AB1211" s="772" t="s">
        <v>36</v>
      </c>
      <c r="AC1211" s="30"/>
      <c r="AD1211" s="187">
        <v>0</v>
      </c>
      <c r="AE1211" s="187">
        <v>0</v>
      </c>
      <c r="AF1211" s="205">
        <f t="shared" si="49"/>
        <v>0</v>
      </c>
      <c r="AG1211" s="30">
        <v>8</v>
      </c>
      <c r="AH1211" s="30" t="s">
        <v>3752</v>
      </c>
      <c r="AI1211" s="200"/>
      <c r="AJ1211" s="30" t="s">
        <v>1188</v>
      </c>
      <c r="AK1211" s="30" t="s">
        <v>1185</v>
      </c>
      <c r="AL1211" s="93" t="s">
        <v>1178</v>
      </c>
    </row>
    <row r="1212" spans="1:38" ht="15" customHeight="1" x14ac:dyDescent="0.3">
      <c r="A1212" s="30" t="s">
        <v>22</v>
      </c>
      <c r="B1212" s="120" t="s">
        <v>144</v>
      </c>
      <c r="C1212" s="107">
        <v>5</v>
      </c>
      <c r="D1212" s="11" t="s">
        <v>143</v>
      </c>
      <c r="E1212" s="114">
        <v>41491</v>
      </c>
      <c r="F1212" s="107">
        <v>2013</v>
      </c>
      <c r="G1212" s="142" t="s">
        <v>3763</v>
      </c>
      <c r="H1212" s="204" t="s">
        <v>3764</v>
      </c>
      <c r="I1212" s="12" t="s">
        <v>38</v>
      </c>
      <c r="J1212" s="32" t="s">
        <v>26</v>
      </c>
      <c r="K1212" s="197" t="s">
        <v>111</v>
      </c>
      <c r="L1212" s="197" t="s">
        <v>28</v>
      </c>
      <c r="M1212" s="197" t="s">
        <v>42</v>
      </c>
      <c r="N1212" s="197"/>
      <c r="O1212" s="197" t="s">
        <v>3765</v>
      </c>
      <c r="P1212" s="197" t="s">
        <v>3766</v>
      </c>
      <c r="Q1212" s="15" t="s">
        <v>282</v>
      </c>
      <c r="R1212" s="179">
        <v>41737</v>
      </c>
      <c r="S1212" s="16" t="s">
        <v>35</v>
      </c>
      <c r="T1212" s="191">
        <v>42214</v>
      </c>
      <c r="U1212" s="707"/>
      <c r="V1212" s="623"/>
      <c r="W1212" s="734">
        <v>13</v>
      </c>
      <c r="X1212" s="7">
        <v>0</v>
      </c>
      <c r="Y1212" s="7">
        <f t="shared" si="48"/>
        <v>0</v>
      </c>
      <c r="Z1212" s="7">
        <f>IF(Y1212="",X1212,Y1212+X1212)</f>
        <v>0</v>
      </c>
      <c r="AA1212" s="90"/>
      <c r="AB1212" s="706" t="s">
        <v>147</v>
      </c>
      <c r="AC1212" s="200"/>
      <c r="AD1212" s="187">
        <v>0</v>
      </c>
      <c r="AE1212" s="187">
        <v>0</v>
      </c>
      <c r="AF1212" s="205">
        <f t="shared" si="49"/>
        <v>0</v>
      </c>
      <c r="AG1212" s="200">
        <v>8</v>
      </c>
      <c r="AH1212" s="200" t="s">
        <v>45</v>
      </c>
      <c r="AI1212" s="719" t="s">
        <v>3767</v>
      </c>
      <c r="AJ1212" s="200" t="s">
        <v>1188</v>
      </c>
      <c r="AK1212" s="200" t="s">
        <v>1185</v>
      </c>
      <c r="AL1212" s="146" t="s">
        <v>1178</v>
      </c>
    </row>
    <row r="1213" spans="1:38" ht="15" customHeight="1" x14ac:dyDescent="0.3">
      <c r="A1213" s="181" t="s">
        <v>22</v>
      </c>
      <c r="B1213" s="153" t="s">
        <v>197</v>
      </c>
      <c r="C1213" s="135">
        <v>1</v>
      </c>
      <c r="D1213" s="136" t="s">
        <v>190</v>
      </c>
      <c r="E1213" s="168">
        <v>40095</v>
      </c>
      <c r="F1213" s="136">
        <v>2009</v>
      </c>
      <c r="G1213" s="178" t="s">
        <v>3768</v>
      </c>
      <c r="H1213" s="204" t="s">
        <v>3769</v>
      </c>
      <c r="I1213" s="33" t="s">
        <v>33</v>
      </c>
      <c r="J1213" s="32" t="s">
        <v>26</v>
      </c>
      <c r="K1213" s="197" t="s">
        <v>111</v>
      </c>
      <c r="L1213" s="197" t="s">
        <v>40</v>
      </c>
      <c r="M1213" s="137" t="s">
        <v>804</v>
      </c>
      <c r="N1213" s="197"/>
      <c r="O1213" s="197" t="s">
        <v>3770</v>
      </c>
      <c r="P1213" s="736" t="s">
        <v>6085</v>
      </c>
      <c r="Q1213" s="15" t="s">
        <v>35</v>
      </c>
      <c r="R1213" s="132">
        <v>41303</v>
      </c>
      <c r="S1213" s="16" t="s">
        <v>35</v>
      </c>
      <c r="T1213" s="133">
        <v>41927</v>
      </c>
      <c r="U1213" s="623" t="s">
        <v>3771</v>
      </c>
      <c r="V1213" s="180">
        <v>42242</v>
      </c>
      <c r="W1213" s="256">
        <v>230</v>
      </c>
      <c r="X1213" s="189">
        <v>230</v>
      </c>
      <c r="Y1213" s="7">
        <f t="shared" si="48"/>
        <v>0</v>
      </c>
      <c r="Z1213" s="185">
        <f>IF(Y1213="",X1213,Y1213+X1213)-127.9</f>
        <v>102.1</v>
      </c>
      <c r="AA1213" s="229">
        <v>42433</v>
      </c>
      <c r="AB1213" s="564" t="s">
        <v>2595</v>
      </c>
      <c r="AC1213" s="693"/>
      <c r="AD1213" s="187">
        <v>1</v>
      </c>
      <c r="AE1213" s="187">
        <v>0</v>
      </c>
      <c r="AF1213" s="210">
        <f t="shared" si="49"/>
        <v>1</v>
      </c>
      <c r="AG1213" s="138">
        <v>7</v>
      </c>
      <c r="AH1213" s="138"/>
      <c r="AI1213" s="718" t="s">
        <v>3773</v>
      </c>
      <c r="AJ1213" s="138" t="s">
        <v>1188</v>
      </c>
      <c r="AK1213" s="30" t="s">
        <v>99</v>
      </c>
      <c r="AL1213" s="138" t="s">
        <v>1178</v>
      </c>
    </row>
    <row r="1214" spans="1:38" ht="15" customHeight="1" x14ac:dyDescent="0.3">
      <c r="A1214" s="181" t="s">
        <v>22</v>
      </c>
      <c r="B1214" s="145" t="s">
        <v>105</v>
      </c>
      <c r="C1214" s="135">
        <v>26</v>
      </c>
      <c r="D1214" s="11" t="s">
        <v>5936</v>
      </c>
      <c r="E1214" s="168">
        <v>41555</v>
      </c>
      <c r="F1214" s="136">
        <v>2013</v>
      </c>
      <c r="G1214" s="178" t="s">
        <v>3774</v>
      </c>
      <c r="H1214" s="204" t="s">
        <v>3775</v>
      </c>
      <c r="I1214" s="33" t="s">
        <v>33</v>
      </c>
      <c r="J1214" s="32" t="s">
        <v>26</v>
      </c>
      <c r="K1214" s="197" t="s">
        <v>1173</v>
      </c>
      <c r="L1214" s="746" t="s">
        <v>3439</v>
      </c>
      <c r="M1214" s="137" t="s">
        <v>804</v>
      </c>
      <c r="N1214" s="197"/>
      <c r="O1214" s="138" t="s">
        <v>3776</v>
      </c>
      <c r="P1214" s="138" t="s">
        <v>3777</v>
      </c>
      <c r="Q1214" s="15" t="s">
        <v>35</v>
      </c>
      <c r="R1214" s="132">
        <v>41815</v>
      </c>
      <c r="S1214" s="16" t="s">
        <v>35</v>
      </c>
      <c r="T1214" s="133">
        <v>42320</v>
      </c>
      <c r="U1214" s="623"/>
      <c r="V1214" s="624"/>
      <c r="W1214" s="256">
        <v>40</v>
      </c>
      <c r="X1214" s="185">
        <v>30</v>
      </c>
      <c r="Y1214" s="7">
        <f t="shared" si="48"/>
        <v>10</v>
      </c>
      <c r="Z1214" s="185">
        <f>IF(Y1214="",X1214,Y1214+X1214)-16.9</f>
        <v>23.1</v>
      </c>
      <c r="AA1214" s="108">
        <v>42495</v>
      </c>
      <c r="AB1214" s="564" t="s">
        <v>1073</v>
      </c>
      <c r="AC1214" s="693"/>
      <c r="AD1214" s="196">
        <v>0.75</v>
      </c>
      <c r="AE1214" s="187">
        <v>0.25</v>
      </c>
      <c r="AF1214" s="205">
        <f t="shared" si="49"/>
        <v>1</v>
      </c>
      <c r="AG1214" s="138">
        <v>8</v>
      </c>
      <c r="AH1214" s="138"/>
      <c r="AI1214" s="718" t="s">
        <v>3778</v>
      </c>
      <c r="AJ1214" s="138" t="s">
        <v>1188</v>
      </c>
      <c r="AK1214" s="181" t="s">
        <v>1185</v>
      </c>
      <c r="AL1214" s="138" t="s">
        <v>1178</v>
      </c>
    </row>
    <row r="1215" spans="1:38" ht="15" customHeight="1" x14ac:dyDescent="0.3">
      <c r="A1215" s="181" t="s">
        <v>22</v>
      </c>
      <c r="B1215" s="153" t="s">
        <v>148</v>
      </c>
      <c r="C1215" s="135">
        <v>8</v>
      </c>
      <c r="D1215" s="11" t="s">
        <v>143</v>
      </c>
      <c r="E1215" s="168">
        <v>40127</v>
      </c>
      <c r="F1215" s="136">
        <v>2009</v>
      </c>
      <c r="G1215" s="178" t="s">
        <v>3779</v>
      </c>
      <c r="H1215" s="204" t="s">
        <v>3780</v>
      </c>
      <c r="I1215" s="33" t="s">
        <v>33</v>
      </c>
      <c r="J1215" s="32" t="s">
        <v>26</v>
      </c>
      <c r="K1215" s="197" t="s">
        <v>1708</v>
      </c>
      <c r="L1215" s="197" t="s">
        <v>3781</v>
      </c>
      <c r="M1215" s="197" t="s">
        <v>42</v>
      </c>
      <c r="N1215" s="197"/>
      <c r="O1215" s="197" t="s">
        <v>3782</v>
      </c>
      <c r="P1215" s="197" t="s">
        <v>3783</v>
      </c>
      <c r="Q1215" s="15" t="s">
        <v>282</v>
      </c>
      <c r="R1215" s="164">
        <v>40767</v>
      </c>
      <c r="S1215" s="16" t="s">
        <v>44</v>
      </c>
      <c r="T1215" s="165">
        <v>41068</v>
      </c>
      <c r="U1215" s="624"/>
      <c r="V1215" s="624"/>
      <c r="W1215" s="735">
        <v>70</v>
      </c>
      <c r="X1215" s="7">
        <v>28</v>
      </c>
      <c r="Y1215" s="7">
        <f t="shared" si="48"/>
        <v>14</v>
      </c>
      <c r="Z1215" s="7">
        <f>IF(Y1215="",X1215,Y1215+X1215)</f>
        <v>42</v>
      </c>
      <c r="AA1215" s="108"/>
      <c r="AB1215" s="504" t="s">
        <v>2910</v>
      </c>
      <c r="AC1215" s="138"/>
      <c r="AD1215" s="187">
        <v>0.4</v>
      </c>
      <c r="AE1215" s="187">
        <v>0.2</v>
      </c>
      <c r="AF1215" s="205">
        <f t="shared" si="49"/>
        <v>0.60000000000000009</v>
      </c>
      <c r="AG1215" s="138"/>
      <c r="AH1215" s="138" t="s">
        <v>3772</v>
      </c>
      <c r="AI1215" s="138"/>
      <c r="AJ1215" s="138" t="s">
        <v>1188</v>
      </c>
      <c r="AK1215" s="138" t="s">
        <v>1185</v>
      </c>
      <c r="AL1215" s="146" t="s">
        <v>1178</v>
      </c>
    </row>
    <row r="1216" spans="1:38" ht="15" customHeight="1" x14ac:dyDescent="0.3">
      <c r="A1216" s="30" t="s">
        <v>22</v>
      </c>
      <c r="B1216" s="120" t="s">
        <v>148</v>
      </c>
      <c r="C1216" s="107">
        <v>6</v>
      </c>
      <c r="D1216" s="11" t="s">
        <v>143</v>
      </c>
      <c r="E1216" s="114">
        <v>41103</v>
      </c>
      <c r="F1216" s="107">
        <v>2012</v>
      </c>
      <c r="G1216" s="142" t="s">
        <v>3784</v>
      </c>
      <c r="H1216" s="204" t="s">
        <v>3785</v>
      </c>
      <c r="I1216" s="33" t="s">
        <v>33</v>
      </c>
      <c r="J1216" s="32" t="s">
        <v>26</v>
      </c>
      <c r="K1216" s="197" t="s">
        <v>103</v>
      </c>
      <c r="L1216" s="137" t="s">
        <v>3786</v>
      </c>
      <c r="M1216" s="197" t="s">
        <v>42</v>
      </c>
      <c r="N1216" s="197"/>
      <c r="O1216" s="197" t="s">
        <v>3787</v>
      </c>
      <c r="P1216" s="138" t="s">
        <v>3788</v>
      </c>
      <c r="Q1216" s="15" t="s">
        <v>282</v>
      </c>
      <c r="R1216" s="132">
        <v>41513</v>
      </c>
      <c r="S1216" s="16" t="s">
        <v>44</v>
      </c>
      <c r="T1216" s="133">
        <v>42080</v>
      </c>
      <c r="U1216" s="623"/>
      <c r="V1216" s="623"/>
      <c r="W1216" s="734">
        <v>50</v>
      </c>
      <c r="X1216" s="216">
        <v>20</v>
      </c>
      <c r="Y1216" s="7">
        <f t="shared" si="48"/>
        <v>10</v>
      </c>
      <c r="Z1216" s="7">
        <f>IF(Y1216="",X1216,Y1216+X1216)</f>
        <v>30</v>
      </c>
      <c r="AA1216" s="90"/>
      <c r="AB1216" s="706" t="s">
        <v>2910</v>
      </c>
      <c r="AC1216" s="200"/>
      <c r="AD1216" s="187">
        <v>0.4</v>
      </c>
      <c r="AE1216" s="187">
        <v>0.2</v>
      </c>
      <c r="AF1216" s="205">
        <f t="shared" si="49"/>
        <v>0.60000000000000009</v>
      </c>
      <c r="AG1216" s="200"/>
      <c r="AH1216" s="200"/>
      <c r="AI1216" s="200"/>
      <c r="AJ1216" s="200" t="s">
        <v>1188</v>
      </c>
      <c r="AK1216" s="200" t="s">
        <v>1185</v>
      </c>
      <c r="AL1216" s="146" t="s">
        <v>1178</v>
      </c>
    </row>
    <row r="1217" spans="1:38" ht="15" customHeight="1" x14ac:dyDescent="0.3">
      <c r="A1217" s="181" t="s">
        <v>22</v>
      </c>
      <c r="B1217" s="145" t="s">
        <v>780</v>
      </c>
      <c r="C1217" s="135">
        <v>4</v>
      </c>
      <c r="D1217" s="136" t="s">
        <v>190</v>
      </c>
      <c r="E1217" s="168">
        <v>41771</v>
      </c>
      <c r="F1217" s="136">
        <v>2014</v>
      </c>
      <c r="G1217" s="178" t="s">
        <v>3789</v>
      </c>
      <c r="H1217" s="204" t="s">
        <v>3790</v>
      </c>
      <c r="I1217" s="33" t="s">
        <v>33</v>
      </c>
      <c r="J1217" s="32" t="s">
        <v>26</v>
      </c>
      <c r="K1217" s="197" t="s">
        <v>103</v>
      </c>
      <c r="L1217" s="746" t="s">
        <v>109</v>
      </c>
      <c r="M1217" s="137" t="s">
        <v>804</v>
      </c>
      <c r="N1217" s="197"/>
      <c r="O1217" s="138" t="s">
        <v>3791</v>
      </c>
      <c r="P1217" s="138" t="s">
        <v>3792</v>
      </c>
      <c r="Q1217" s="15" t="s">
        <v>35</v>
      </c>
      <c r="R1217" s="218">
        <v>42051</v>
      </c>
      <c r="S1217" s="16" t="s">
        <v>35</v>
      </c>
      <c r="T1217" s="191">
        <v>42235</v>
      </c>
      <c r="U1217" s="236"/>
      <c r="V1217" s="237"/>
      <c r="W1217" s="256">
        <v>150</v>
      </c>
      <c r="X1217" s="7">
        <v>147.85114999999999</v>
      </c>
      <c r="Y1217" s="7">
        <f t="shared" si="48"/>
        <v>0</v>
      </c>
      <c r="Z1217" s="7">
        <f>IF(Y1217="",X1217,Y1217+X1217)-51.9</f>
        <v>95.951149999999984</v>
      </c>
      <c r="AA1217" s="235">
        <v>42507</v>
      </c>
      <c r="AB1217" s="609" t="s">
        <v>2922</v>
      </c>
      <c r="AC1217" s="181"/>
      <c r="AD1217" s="187">
        <v>1</v>
      </c>
      <c r="AE1217" s="187">
        <v>0</v>
      </c>
      <c r="AF1217" s="205">
        <f t="shared" si="49"/>
        <v>1</v>
      </c>
      <c r="AG1217" s="200">
        <v>8</v>
      </c>
      <c r="AH1217" s="138"/>
      <c r="AI1217" s="718" t="s">
        <v>3794</v>
      </c>
      <c r="AJ1217" s="200" t="s">
        <v>1188</v>
      </c>
      <c r="AK1217" s="181" t="s">
        <v>1185</v>
      </c>
      <c r="AL1217" s="181" t="s">
        <v>1178</v>
      </c>
    </row>
    <row r="1218" spans="1:38" ht="15" customHeight="1" x14ac:dyDescent="0.3">
      <c r="A1218" s="181" t="s">
        <v>140</v>
      </c>
      <c r="B1218" s="145" t="s">
        <v>202</v>
      </c>
      <c r="C1218" s="135">
        <v>2</v>
      </c>
      <c r="D1218" s="136" t="s">
        <v>190</v>
      </c>
      <c r="E1218" s="168">
        <v>42216</v>
      </c>
      <c r="F1218" s="136">
        <v>2015</v>
      </c>
      <c r="G1218" s="178" t="s">
        <v>3795</v>
      </c>
      <c r="H1218" s="178" t="s">
        <v>3796</v>
      </c>
      <c r="I1218" s="136" t="s">
        <v>38</v>
      </c>
      <c r="J1218" s="181" t="s">
        <v>81</v>
      </c>
      <c r="K1218" s="197" t="s">
        <v>163</v>
      </c>
      <c r="L1218" s="197" t="s">
        <v>3797</v>
      </c>
      <c r="M1218" s="197" t="s">
        <v>42</v>
      </c>
      <c r="N1218" s="197"/>
      <c r="O1218" s="197" t="s">
        <v>3798</v>
      </c>
      <c r="P1218" s="197" t="s">
        <v>3799</v>
      </c>
      <c r="Q1218" s="15" t="s">
        <v>282</v>
      </c>
      <c r="R1218" s="132">
        <v>42285</v>
      </c>
      <c r="S1218" s="16" t="s">
        <v>44</v>
      </c>
      <c r="T1218" s="133">
        <v>42494</v>
      </c>
      <c r="U1218" s="623"/>
      <c r="V1218" s="624"/>
      <c r="W1218" s="256">
        <v>5</v>
      </c>
      <c r="X1218" s="185">
        <v>0</v>
      </c>
      <c r="Y1218" s="7">
        <f t="shared" si="48"/>
        <v>0</v>
      </c>
      <c r="Z1218" s="185">
        <f>IF(Y1218="",X1218,Y1218+X1218)</f>
        <v>0</v>
      </c>
      <c r="AA1218" s="233"/>
      <c r="AB1218" s="513" t="s">
        <v>3232</v>
      </c>
      <c r="AC1218" s="147"/>
      <c r="AD1218" s="196">
        <v>0</v>
      </c>
      <c r="AE1218" s="187">
        <v>0</v>
      </c>
      <c r="AF1218" s="205">
        <f t="shared" si="49"/>
        <v>0</v>
      </c>
      <c r="AG1218" s="138">
        <v>8</v>
      </c>
      <c r="AH1218" s="197"/>
      <c r="AI1218" s="138"/>
      <c r="AJ1218" s="138" t="s">
        <v>1188</v>
      </c>
      <c r="AK1218" s="181" t="s">
        <v>1185</v>
      </c>
      <c r="AL1218" s="138" t="s">
        <v>1178</v>
      </c>
    </row>
    <row r="1219" spans="1:38" ht="15" customHeight="1" x14ac:dyDescent="0.3">
      <c r="A1219" s="181" t="s">
        <v>22</v>
      </c>
      <c r="B1219" s="145" t="s">
        <v>105</v>
      </c>
      <c r="C1219" s="135">
        <v>8</v>
      </c>
      <c r="D1219" s="11" t="s">
        <v>5936</v>
      </c>
      <c r="E1219" s="168">
        <v>41705</v>
      </c>
      <c r="F1219" s="136">
        <v>2014</v>
      </c>
      <c r="G1219" s="178" t="s">
        <v>3800</v>
      </c>
      <c r="H1219" s="204" t="s">
        <v>3801</v>
      </c>
      <c r="I1219" s="136" t="s">
        <v>38</v>
      </c>
      <c r="J1219" s="32" t="s">
        <v>26</v>
      </c>
      <c r="K1219" s="197" t="s">
        <v>111</v>
      </c>
      <c r="L1219" s="746" t="s">
        <v>3501</v>
      </c>
      <c r="M1219" s="197" t="s">
        <v>42</v>
      </c>
      <c r="N1219" s="197"/>
      <c r="O1219" s="138" t="s">
        <v>3802</v>
      </c>
      <c r="P1219" s="138" t="s">
        <v>3803</v>
      </c>
      <c r="Q1219" s="15" t="s">
        <v>282</v>
      </c>
      <c r="R1219" s="132">
        <v>42241</v>
      </c>
      <c r="S1219" s="16" t="s">
        <v>44</v>
      </c>
      <c r="T1219" s="133">
        <v>42398</v>
      </c>
      <c r="U1219" s="623"/>
      <c r="V1219" s="624"/>
      <c r="W1219" s="256">
        <v>10</v>
      </c>
      <c r="X1219" s="185">
        <v>0</v>
      </c>
      <c r="Y1219" s="7">
        <f t="shared" si="48"/>
        <v>0</v>
      </c>
      <c r="Z1219" s="185">
        <f>IF(Y1219="",X1219,Y1219+X1219)</f>
        <v>0</v>
      </c>
      <c r="AA1219" s="233"/>
      <c r="AB1219" s="564" t="s">
        <v>1073</v>
      </c>
      <c r="AC1219" s="693"/>
      <c r="AD1219" s="196">
        <v>0</v>
      </c>
      <c r="AE1219" s="187">
        <v>0</v>
      </c>
      <c r="AF1219" s="205">
        <f t="shared" si="49"/>
        <v>0</v>
      </c>
      <c r="AG1219" s="138">
        <v>8</v>
      </c>
      <c r="AH1219" s="138" t="s">
        <v>3793</v>
      </c>
      <c r="AI1219" s="138"/>
      <c r="AJ1219" s="138" t="s">
        <v>1188</v>
      </c>
      <c r="AK1219" s="181" t="s">
        <v>1185</v>
      </c>
      <c r="AL1219" s="138" t="s">
        <v>1178</v>
      </c>
    </row>
    <row r="1220" spans="1:38" ht="15" customHeight="1" x14ac:dyDescent="0.3">
      <c r="A1220" s="181" t="s">
        <v>22</v>
      </c>
      <c r="B1220" s="145" t="s">
        <v>105</v>
      </c>
      <c r="C1220" s="135">
        <v>6</v>
      </c>
      <c r="D1220" s="11" t="s">
        <v>5936</v>
      </c>
      <c r="E1220" s="168">
        <v>41823</v>
      </c>
      <c r="F1220" s="136">
        <v>2014</v>
      </c>
      <c r="G1220" s="178" t="s">
        <v>3804</v>
      </c>
      <c r="H1220" s="204" t="s">
        <v>3805</v>
      </c>
      <c r="I1220" s="33" t="s">
        <v>33</v>
      </c>
      <c r="J1220" s="32" t="s">
        <v>26</v>
      </c>
      <c r="K1220" s="197" t="s">
        <v>103</v>
      </c>
      <c r="L1220" s="746" t="s">
        <v>109</v>
      </c>
      <c r="M1220" s="137" t="s">
        <v>804</v>
      </c>
      <c r="N1220" s="138"/>
      <c r="O1220" s="138" t="s">
        <v>3806</v>
      </c>
      <c r="P1220" s="138" t="s">
        <v>3807</v>
      </c>
      <c r="Q1220" s="15" t="s">
        <v>282</v>
      </c>
      <c r="R1220" s="218">
        <v>42258</v>
      </c>
      <c r="S1220" s="16" t="s">
        <v>44</v>
      </c>
      <c r="T1220" s="133">
        <v>42466</v>
      </c>
      <c r="U1220" s="623"/>
      <c r="V1220" s="624"/>
      <c r="W1220" s="256">
        <v>40</v>
      </c>
      <c r="X1220" s="185">
        <v>20</v>
      </c>
      <c r="Y1220" s="7">
        <f t="shared" si="48"/>
        <v>8</v>
      </c>
      <c r="Z1220" s="185">
        <f>IF(Y1220="",X1220,Y1220+X1220)</f>
        <v>28</v>
      </c>
      <c r="AA1220" s="233"/>
      <c r="AB1220" s="513" t="s">
        <v>3232</v>
      </c>
      <c r="AC1220" s="147"/>
      <c r="AD1220" s="196">
        <v>0.5</v>
      </c>
      <c r="AE1220" s="187">
        <v>0.2</v>
      </c>
      <c r="AF1220" s="205">
        <f t="shared" si="49"/>
        <v>0.7</v>
      </c>
      <c r="AG1220" s="138">
        <v>8</v>
      </c>
      <c r="AH1220" s="138"/>
      <c r="AI1220" s="138"/>
      <c r="AJ1220" s="138" t="s">
        <v>1188</v>
      </c>
      <c r="AK1220" s="181" t="s">
        <v>1185</v>
      </c>
      <c r="AL1220" s="138" t="s">
        <v>1178</v>
      </c>
    </row>
    <row r="1221" spans="1:38" ht="15" customHeight="1" x14ac:dyDescent="0.3">
      <c r="A1221" s="30" t="s">
        <v>22</v>
      </c>
      <c r="B1221" s="30" t="s">
        <v>23</v>
      </c>
      <c r="C1221" s="37">
        <v>3</v>
      </c>
      <c r="D1221" s="11" t="s">
        <v>24</v>
      </c>
      <c r="E1221" s="108">
        <v>42073</v>
      </c>
      <c r="F1221" s="37">
        <v>2015</v>
      </c>
      <c r="G1221" s="30" t="s">
        <v>3808</v>
      </c>
      <c r="H1221" s="162" t="s">
        <v>3809</v>
      </c>
      <c r="I1221" s="12" t="s">
        <v>25</v>
      </c>
      <c r="J1221" s="32" t="s">
        <v>26</v>
      </c>
      <c r="K1221" s="137" t="s">
        <v>3810</v>
      </c>
      <c r="L1221" s="137" t="s">
        <v>28</v>
      </c>
      <c r="M1221" s="660" t="s">
        <v>42</v>
      </c>
      <c r="N1221" s="709"/>
      <c r="O1221" s="146" t="s">
        <v>3811</v>
      </c>
      <c r="P1221" s="138" t="s">
        <v>6086</v>
      </c>
      <c r="Q1221" s="15" t="s">
        <v>282</v>
      </c>
      <c r="R1221" s="132">
        <v>42202</v>
      </c>
      <c r="S1221" s="92"/>
      <c r="T1221" s="139"/>
      <c r="U1221" s="624"/>
      <c r="V1221" s="624"/>
      <c r="W1221" s="735">
        <v>90</v>
      </c>
      <c r="X1221" s="7">
        <v>0</v>
      </c>
      <c r="Y1221" s="7">
        <f t="shared" si="48"/>
        <v>0</v>
      </c>
      <c r="Z1221" s="7">
        <f>IF(Y1221="",X1221,Y1221+X1221)</f>
        <v>0</v>
      </c>
      <c r="AA1221" s="108"/>
      <c r="AB1221" s="479" t="s">
        <v>49</v>
      </c>
      <c r="AC1221" s="480"/>
      <c r="AD1221" s="187">
        <v>0</v>
      </c>
      <c r="AE1221" s="187">
        <v>0</v>
      </c>
      <c r="AF1221" s="205">
        <f t="shared" si="49"/>
        <v>0</v>
      </c>
      <c r="AG1221" s="30">
        <v>8</v>
      </c>
      <c r="AH1221" s="93" t="s">
        <v>2755</v>
      </c>
      <c r="AI1221" s="719" t="s">
        <v>3812</v>
      </c>
      <c r="AJ1221" s="30" t="s">
        <v>1188</v>
      </c>
      <c r="AK1221" s="30" t="s">
        <v>1185</v>
      </c>
      <c r="AL1221" s="93" t="s">
        <v>1178</v>
      </c>
    </row>
    <row r="1222" spans="1:38" ht="15" customHeight="1" x14ac:dyDescent="0.3">
      <c r="A1222" s="30" t="s">
        <v>22</v>
      </c>
      <c r="B1222" s="120" t="s">
        <v>148</v>
      </c>
      <c r="C1222" s="107">
        <v>8</v>
      </c>
      <c r="D1222" s="11" t="s">
        <v>143</v>
      </c>
      <c r="E1222" s="114">
        <v>41516</v>
      </c>
      <c r="F1222" s="107">
        <v>2013</v>
      </c>
      <c r="G1222" s="162" t="s">
        <v>3813</v>
      </c>
      <c r="H1222" s="204" t="s">
        <v>3814</v>
      </c>
      <c r="I1222" s="30" t="s">
        <v>38</v>
      </c>
      <c r="J1222" s="32" t="s">
        <v>26</v>
      </c>
      <c r="K1222" s="197" t="s">
        <v>111</v>
      </c>
      <c r="L1222" s="765" t="s">
        <v>3439</v>
      </c>
      <c r="M1222" s="137" t="s">
        <v>804</v>
      </c>
      <c r="N1222" s="197"/>
      <c r="O1222" s="197" t="s">
        <v>3815</v>
      </c>
      <c r="P1222" s="197" t="s">
        <v>3816</v>
      </c>
      <c r="Q1222" s="15" t="s">
        <v>35</v>
      </c>
      <c r="R1222" s="179">
        <v>41795</v>
      </c>
      <c r="S1222" s="16" t="s">
        <v>35</v>
      </c>
      <c r="T1222" s="191">
        <v>42395</v>
      </c>
      <c r="U1222" s="707"/>
      <c r="V1222" s="707"/>
      <c r="W1222" s="755">
        <v>22.5</v>
      </c>
      <c r="X1222" s="216">
        <v>16.875</v>
      </c>
      <c r="Y1222" s="7">
        <f t="shared" si="48"/>
        <v>2.25</v>
      </c>
      <c r="Z1222" s="7">
        <f>IF(Y1222="",X1222,Y1222+X1222)-5.2</f>
        <v>13.925000000000001</v>
      </c>
      <c r="AA1222" s="108">
        <v>42549</v>
      </c>
      <c r="AB1222" s="706" t="s">
        <v>2910</v>
      </c>
      <c r="AC1222" s="200"/>
      <c r="AD1222" s="187">
        <v>0.75</v>
      </c>
      <c r="AE1222" s="187">
        <v>0.1</v>
      </c>
      <c r="AF1222" s="205">
        <f t="shared" si="49"/>
        <v>0.85</v>
      </c>
      <c r="AG1222" s="200"/>
      <c r="AH1222" s="200"/>
      <c r="AI1222" s="719" t="s">
        <v>3818</v>
      </c>
      <c r="AJ1222" s="200" t="s">
        <v>1188</v>
      </c>
      <c r="AK1222" s="200" t="s">
        <v>1185</v>
      </c>
      <c r="AL1222" s="146" t="s">
        <v>1178</v>
      </c>
    </row>
    <row r="1223" spans="1:38" ht="15" customHeight="1" x14ac:dyDescent="0.3">
      <c r="A1223" s="181" t="s">
        <v>22</v>
      </c>
      <c r="B1223" s="145" t="s">
        <v>780</v>
      </c>
      <c r="C1223" s="135">
        <v>4</v>
      </c>
      <c r="D1223" s="136" t="s">
        <v>190</v>
      </c>
      <c r="E1223" s="168">
        <v>41778</v>
      </c>
      <c r="F1223" s="202">
        <v>2014</v>
      </c>
      <c r="G1223" s="178" t="s">
        <v>3819</v>
      </c>
      <c r="H1223" s="204" t="s">
        <v>3820</v>
      </c>
      <c r="I1223" s="30" t="s">
        <v>38</v>
      </c>
      <c r="J1223" s="32" t="s">
        <v>26</v>
      </c>
      <c r="K1223" s="197" t="s">
        <v>111</v>
      </c>
      <c r="L1223" s="746" t="s">
        <v>3821</v>
      </c>
      <c r="M1223" s="137" t="s">
        <v>804</v>
      </c>
      <c r="N1223" s="138"/>
      <c r="O1223" s="138" t="s">
        <v>3822</v>
      </c>
      <c r="P1223" s="138" t="s">
        <v>3823</v>
      </c>
      <c r="Q1223" s="15" t="s">
        <v>35</v>
      </c>
      <c r="R1223" s="218">
        <v>42207</v>
      </c>
      <c r="S1223" s="16" t="s">
        <v>35</v>
      </c>
      <c r="T1223" s="191">
        <v>42466</v>
      </c>
      <c r="U1223" s="236"/>
      <c r="V1223" s="237"/>
      <c r="W1223" s="256">
        <v>16.5</v>
      </c>
      <c r="X1223" s="7">
        <v>8.25</v>
      </c>
      <c r="Y1223" s="7">
        <f t="shared" si="48"/>
        <v>1.6500000000000001</v>
      </c>
      <c r="Z1223" s="7">
        <f>IF(Y1223="",X1223,Y1223+X1223)-4.9</f>
        <v>5</v>
      </c>
      <c r="AA1223" s="235">
        <v>42548</v>
      </c>
      <c r="AB1223" s="609" t="s">
        <v>2922</v>
      </c>
      <c r="AC1223" s="181"/>
      <c r="AD1223" s="187">
        <v>0.5</v>
      </c>
      <c r="AE1223" s="187">
        <v>0.1</v>
      </c>
      <c r="AF1223" s="205">
        <f t="shared" si="49"/>
        <v>0.6</v>
      </c>
      <c r="AG1223" s="200">
        <v>8</v>
      </c>
      <c r="AH1223" s="138"/>
      <c r="AI1223" s="718" t="s">
        <v>3825</v>
      </c>
      <c r="AJ1223" s="200" t="s">
        <v>1188</v>
      </c>
      <c r="AK1223" s="181" t="s">
        <v>1185</v>
      </c>
      <c r="AL1223" s="181" t="s">
        <v>1178</v>
      </c>
    </row>
    <row r="1224" spans="1:38" ht="15" customHeight="1" x14ac:dyDescent="0.3">
      <c r="A1224" s="181" t="s">
        <v>22</v>
      </c>
      <c r="B1224" s="145" t="s">
        <v>105</v>
      </c>
      <c r="C1224" s="135">
        <v>12</v>
      </c>
      <c r="D1224" s="11" t="s">
        <v>5936</v>
      </c>
      <c r="E1224" s="168">
        <v>41501</v>
      </c>
      <c r="F1224" s="136">
        <v>2013</v>
      </c>
      <c r="G1224" s="178" t="s">
        <v>3826</v>
      </c>
      <c r="H1224" s="204" t="s">
        <v>3827</v>
      </c>
      <c r="I1224" s="136" t="s">
        <v>38</v>
      </c>
      <c r="J1224" s="32" t="s">
        <v>26</v>
      </c>
      <c r="K1224" s="197" t="s">
        <v>3828</v>
      </c>
      <c r="L1224" s="746" t="s">
        <v>3501</v>
      </c>
      <c r="M1224" s="197" t="s">
        <v>42</v>
      </c>
      <c r="N1224" s="197"/>
      <c r="O1224" s="138" t="s">
        <v>3829</v>
      </c>
      <c r="P1224" s="138" t="s">
        <v>3830</v>
      </c>
      <c r="Q1224" s="15" t="s">
        <v>282</v>
      </c>
      <c r="R1224" s="132">
        <v>42038</v>
      </c>
      <c r="S1224" s="16" t="s">
        <v>44</v>
      </c>
      <c r="T1224" s="133">
        <v>42508</v>
      </c>
      <c r="U1224" s="623"/>
      <c r="V1224" s="624"/>
      <c r="W1224" s="256">
        <v>20</v>
      </c>
      <c r="X1224" s="185">
        <v>0</v>
      </c>
      <c r="Y1224" s="7">
        <f t="shared" ref="Y1224:Y1237" si="51">IF(AE1224="","",W1224*AE1224)</f>
        <v>0</v>
      </c>
      <c r="Z1224" s="185">
        <f>IF(Y1224="",X1224,Y1224+X1224)</f>
        <v>0</v>
      </c>
      <c r="AA1224" s="233"/>
      <c r="AB1224" s="564" t="s">
        <v>1073</v>
      </c>
      <c r="AC1224" s="693"/>
      <c r="AD1224" s="196">
        <v>0</v>
      </c>
      <c r="AE1224" s="187">
        <v>0</v>
      </c>
      <c r="AF1224" s="205">
        <f t="shared" ref="AF1224:AF1245" si="52">AE1224+AD1224</f>
        <v>0</v>
      </c>
      <c r="AG1224" s="138">
        <v>8</v>
      </c>
      <c r="AH1224" s="138" t="s">
        <v>3817</v>
      </c>
      <c r="AI1224" s="138"/>
      <c r="AJ1224" s="138" t="s">
        <v>1188</v>
      </c>
      <c r="AK1224" s="181" t="s">
        <v>1185</v>
      </c>
      <c r="AL1224" s="138" t="s">
        <v>1178</v>
      </c>
    </row>
    <row r="1225" spans="1:38" ht="15" customHeight="1" x14ac:dyDescent="0.3">
      <c r="A1225" s="30" t="s">
        <v>22</v>
      </c>
      <c r="B1225" s="153" t="s">
        <v>227</v>
      </c>
      <c r="C1225" s="107">
        <v>2</v>
      </c>
      <c r="D1225" s="11" t="s">
        <v>225</v>
      </c>
      <c r="E1225" s="108">
        <v>37581</v>
      </c>
      <c r="F1225" s="12">
        <v>2002</v>
      </c>
      <c r="G1225" s="142" t="s">
        <v>3832</v>
      </c>
      <c r="H1225" s="162" t="s">
        <v>3833</v>
      </c>
      <c r="I1225" s="33" t="s">
        <v>33</v>
      </c>
      <c r="J1225" s="30" t="s">
        <v>67</v>
      </c>
      <c r="K1225" s="197" t="s">
        <v>1612</v>
      </c>
      <c r="L1225" s="137" t="s">
        <v>40</v>
      </c>
      <c r="M1225" s="137" t="s">
        <v>804</v>
      </c>
      <c r="N1225" s="137"/>
      <c r="O1225" s="93" t="s">
        <v>3834</v>
      </c>
      <c r="P1225" s="718" t="s">
        <v>3835</v>
      </c>
      <c r="Q1225" s="15" t="s">
        <v>282</v>
      </c>
      <c r="R1225" s="132">
        <v>39966</v>
      </c>
      <c r="S1225" s="16" t="s">
        <v>35</v>
      </c>
      <c r="T1225" s="133">
        <v>40387</v>
      </c>
      <c r="U1225" s="623" t="s">
        <v>44</v>
      </c>
      <c r="V1225" s="180">
        <v>42522</v>
      </c>
      <c r="W1225" s="735">
        <v>70</v>
      </c>
      <c r="X1225" s="7">
        <v>70</v>
      </c>
      <c r="Y1225" s="7">
        <f t="shared" si="51"/>
        <v>0</v>
      </c>
      <c r="Z1225" s="7">
        <f>IF(Y1225="",X1225,Y1225+X1225)</f>
        <v>70</v>
      </c>
      <c r="AA1225" s="108"/>
      <c r="AB1225" s="504" t="s">
        <v>6115</v>
      </c>
      <c r="AC1225" s="138"/>
      <c r="AD1225" s="187">
        <v>1</v>
      </c>
      <c r="AE1225" s="187">
        <v>0</v>
      </c>
      <c r="AF1225" s="205">
        <f t="shared" si="52"/>
        <v>1</v>
      </c>
      <c r="AG1225" s="163">
        <v>8</v>
      </c>
      <c r="AH1225" s="93" t="s">
        <v>3824</v>
      </c>
      <c r="AI1225" s="718" t="s">
        <v>3837</v>
      </c>
      <c r="AJ1225" s="93" t="s">
        <v>1188</v>
      </c>
      <c r="AK1225" s="30" t="s">
        <v>99</v>
      </c>
      <c r="AL1225" s="93" t="s">
        <v>1175</v>
      </c>
    </row>
    <row r="1226" spans="1:38" ht="15" customHeight="1" x14ac:dyDescent="0.3">
      <c r="A1226" s="181" t="s">
        <v>22</v>
      </c>
      <c r="B1226" s="145" t="s">
        <v>189</v>
      </c>
      <c r="C1226" s="135">
        <v>4</v>
      </c>
      <c r="D1226" s="136" t="s">
        <v>190</v>
      </c>
      <c r="E1226" s="168">
        <v>41519</v>
      </c>
      <c r="F1226" s="136">
        <v>2013</v>
      </c>
      <c r="G1226" s="178" t="s">
        <v>3838</v>
      </c>
      <c r="H1226" s="204" t="s">
        <v>3839</v>
      </c>
      <c r="I1226" s="33" t="s">
        <v>33</v>
      </c>
      <c r="J1226" s="32" t="s">
        <v>26</v>
      </c>
      <c r="K1226" s="197" t="s">
        <v>103</v>
      </c>
      <c r="L1226" s="746" t="s">
        <v>85</v>
      </c>
      <c r="M1226" s="137" t="s">
        <v>804</v>
      </c>
      <c r="N1226" s="197"/>
      <c r="O1226" s="138" t="s">
        <v>3840</v>
      </c>
      <c r="P1226" s="138" t="s">
        <v>3841</v>
      </c>
      <c r="Q1226" s="15" t="s">
        <v>282</v>
      </c>
      <c r="R1226" s="218">
        <v>42146</v>
      </c>
      <c r="S1226" s="16" t="s">
        <v>35</v>
      </c>
      <c r="T1226" s="228">
        <v>42061</v>
      </c>
      <c r="U1226" s="236"/>
      <c r="V1226" s="237"/>
      <c r="W1226" s="256">
        <v>40</v>
      </c>
      <c r="X1226" s="7">
        <v>20</v>
      </c>
      <c r="Y1226" s="7">
        <f t="shared" si="51"/>
        <v>20</v>
      </c>
      <c r="Z1226" s="7">
        <f>IF(Y1226="",X1226,Y1226+X1226)-40</f>
        <v>0</v>
      </c>
      <c r="AA1226" s="235">
        <v>42592</v>
      </c>
      <c r="AB1226" s="604" t="s">
        <v>3744</v>
      </c>
      <c r="AC1226" s="163"/>
      <c r="AD1226" s="187">
        <v>0.5</v>
      </c>
      <c r="AE1226" s="187">
        <v>0.5</v>
      </c>
      <c r="AF1226" s="205">
        <f t="shared" si="52"/>
        <v>1</v>
      </c>
      <c r="AG1226" s="200">
        <v>8</v>
      </c>
      <c r="AH1226" s="138" t="s">
        <v>3831</v>
      </c>
      <c r="AI1226" s="718" t="s">
        <v>3843</v>
      </c>
      <c r="AJ1226" s="200" t="s">
        <v>1188</v>
      </c>
      <c r="AK1226" s="181" t="s">
        <v>1185</v>
      </c>
      <c r="AL1226" s="181" t="s">
        <v>1178</v>
      </c>
    </row>
    <row r="1227" spans="1:38" ht="15" customHeight="1" x14ac:dyDescent="0.3">
      <c r="A1227" s="181" t="s">
        <v>22</v>
      </c>
      <c r="B1227" s="153" t="s">
        <v>105</v>
      </c>
      <c r="C1227" s="135">
        <v>16</v>
      </c>
      <c r="D1227" s="11" t="s">
        <v>5936</v>
      </c>
      <c r="E1227" s="168">
        <v>40624</v>
      </c>
      <c r="F1227" s="136">
        <v>2011</v>
      </c>
      <c r="G1227" s="178" t="s">
        <v>3844</v>
      </c>
      <c r="H1227" s="204" t="s">
        <v>3845</v>
      </c>
      <c r="I1227" s="136" t="s">
        <v>25</v>
      </c>
      <c r="J1227" s="32" t="s">
        <v>26</v>
      </c>
      <c r="K1227" s="138" t="s">
        <v>1173</v>
      </c>
      <c r="L1227" s="765" t="s">
        <v>3846</v>
      </c>
      <c r="M1227" s="137" t="s">
        <v>804</v>
      </c>
      <c r="N1227" s="138"/>
      <c r="O1227" s="765" t="s">
        <v>3847</v>
      </c>
      <c r="P1227" s="732" t="s">
        <v>3848</v>
      </c>
      <c r="Q1227" s="15" t="s">
        <v>282</v>
      </c>
      <c r="R1227" s="132">
        <v>41754</v>
      </c>
      <c r="S1227" s="16" t="s">
        <v>35</v>
      </c>
      <c r="T1227" s="133">
        <v>41816</v>
      </c>
      <c r="U1227" s="623"/>
      <c r="V1227" s="624"/>
      <c r="W1227" s="256">
        <v>80</v>
      </c>
      <c r="X1227" s="7">
        <v>80</v>
      </c>
      <c r="Y1227" s="7">
        <f t="shared" si="51"/>
        <v>0</v>
      </c>
      <c r="Z1227" s="7">
        <f>IF(Y1227="",X1227,Y1227+X1227)-25.6</f>
        <v>54.4</v>
      </c>
      <c r="AA1227" s="108">
        <v>42594</v>
      </c>
      <c r="AB1227" s="564" t="s">
        <v>1073</v>
      </c>
      <c r="AC1227" s="693"/>
      <c r="AD1227" s="196">
        <v>1</v>
      </c>
      <c r="AE1227" s="187">
        <v>0</v>
      </c>
      <c r="AF1227" s="205">
        <f t="shared" si="52"/>
        <v>1</v>
      </c>
      <c r="AG1227" s="138">
        <v>7</v>
      </c>
      <c r="AH1227" s="138" t="s">
        <v>3836</v>
      </c>
      <c r="AI1227" s="718" t="s">
        <v>3849</v>
      </c>
      <c r="AJ1227" s="138" t="s">
        <v>1188</v>
      </c>
      <c r="AK1227" s="30" t="s">
        <v>99</v>
      </c>
      <c r="AL1227" s="138" t="s">
        <v>1178</v>
      </c>
    </row>
    <row r="1228" spans="1:38" ht="15" customHeight="1" x14ac:dyDescent="0.3">
      <c r="A1228" s="30" t="s">
        <v>22</v>
      </c>
      <c r="B1228" s="112" t="s">
        <v>105</v>
      </c>
      <c r="C1228" s="109">
        <v>6</v>
      </c>
      <c r="D1228" s="11" t="s">
        <v>5936</v>
      </c>
      <c r="E1228" s="108">
        <v>33149</v>
      </c>
      <c r="F1228" s="146">
        <v>1990</v>
      </c>
      <c r="G1228" s="142" t="s">
        <v>3850</v>
      </c>
      <c r="H1228" s="162" t="s">
        <v>3851</v>
      </c>
      <c r="I1228" s="107" t="s">
        <v>25</v>
      </c>
      <c r="J1228" s="32" t="s">
        <v>26</v>
      </c>
      <c r="K1228" s="197" t="s">
        <v>1194</v>
      </c>
      <c r="L1228" s="137" t="s">
        <v>132</v>
      </c>
      <c r="M1228" s="137" t="s">
        <v>42</v>
      </c>
      <c r="N1228" s="137"/>
      <c r="O1228" s="93" t="s">
        <v>3852</v>
      </c>
      <c r="P1228" s="647" t="s">
        <v>3853</v>
      </c>
      <c r="Q1228" s="15" t="s">
        <v>282</v>
      </c>
      <c r="R1228" s="132">
        <v>38415</v>
      </c>
      <c r="S1228" s="92" t="s">
        <v>3842</v>
      </c>
      <c r="T1228" s="133">
        <v>39393</v>
      </c>
      <c r="U1228" s="623" t="s">
        <v>1336</v>
      </c>
      <c r="V1228" s="180">
        <v>42543</v>
      </c>
      <c r="W1228" s="735">
        <v>50</v>
      </c>
      <c r="X1228" s="7">
        <v>0</v>
      </c>
      <c r="Y1228" s="7">
        <f t="shared" si="51"/>
        <v>0</v>
      </c>
      <c r="Z1228" s="7">
        <f t="shared" ref="Z1228:Z1234" si="53">IF(Y1228="",X1228,Y1228+X1228)</f>
        <v>0</v>
      </c>
      <c r="AA1228" s="108"/>
      <c r="AB1228" s="564" t="s">
        <v>1073</v>
      </c>
      <c r="AC1228" s="693"/>
      <c r="AD1228" s="187">
        <v>0</v>
      </c>
      <c r="AE1228" s="187">
        <v>0</v>
      </c>
      <c r="AF1228" s="205">
        <f t="shared" si="52"/>
        <v>0</v>
      </c>
      <c r="AG1228" s="163">
        <v>6.5</v>
      </c>
      <c r="AH1228" s="93"/>
      <c r="AI1228" s="719" t="s">
        <v>3855</v>
      </c>
      <c r="AJ1228" s="93" t="s">
        <v>1188</v>
      </c>
      <c r="AK1228" s="30" t="s">
        <v>99</v>
      </c>
      <c r="AL1228" s="93" t="s">
        <v>1178</v>
      </c>
    </row>
    <row r="1229" spans="1:38" ht="15" customHeight="1" x14ac:dyDescent="0.3">
      <c r="A1229" s="181" t="s">
        <v>22</v>
      </c>
      <c r="B1229" s="153" t="s">
        <v>105</v>
      </c>
      <c r="C1229" s="135">
        <v>11</v>
      </c>
      <c r="D1229" s="11" t="s">
        <v>5936</v>
      </c>
      <c r="E1229" s="168">
        <v>39951</v>
      </c>
      <c r="F1229" s="136">
        <v>2009</v>
      </c>
      <c r="G1229" s="178" t="s">
        <v>3856</v>
      </c>
      <c r="H1229" s="204" t="s">
        <v>3857</v>
      </c>
      <c r="I1229" s="33" t="s">
        <v>33</v>
      </c>
      <c r="J1229" s="32" t="s">
        <v>26</v>
      </c>
      <c r="K1229" s="197" t="s">
        <v>1708</v>
      </c>
      <c r="L1229" s="138" t="s">
        <v>1319</v>
      </c>
      <c r="M1229" s="137" t="s">
        <v>804</v>
      </c>
      <c r="N1229" s="197"/>
      <c r="O1229" s="197" t="s">
        <v>3858</v>
      </c>
      <c r="P1229" s="736" t="s">
        <v>3859</v>
      </c>
      <c r="Q1229" s="15" t="s">
        <v>282</v>
      </c>
      <c r="R1229" s="227">
        <v>40298</v>
      </c>
      <c r="S1229" s="16" t="s">
        <v>35</v>
      </c>
      <c r="T1229" s="756">
        <v>40786</v>
      </c>
      <c r="U1229" s="775" t="s">
        <v>3860</v>
      </c>
      <c r="V1229" s="786">
        <v>41934</v>
      </c>
      <c r="W1229" s="256">
        <v>150</v>
      </c>
      <c r="X1229" s="7">
        <v>143.55600000000001</v>
      </c>
      <c r="Y1229" s="7">
        <f t="shared" si="51"/>
        <v>0</v>
      </c>
      <c r="Z1229" s="7">
        <f t="shared" si="53"/>
        <v>143.55600000000001</v>
      </c>
      <c r="AA1229" s="108">
        <v>42977</v>
      </c>
      <c r="AB1229" s="564" t="s">
        <v>1073</v>
      </c>
      <c r="AC1229" s="693"/>
      <c r="AD1229" s="187">
        <v>1</v>
      </c>
      <c r="AE1229" s="187">
        <v>0</v>
      </c>
      <c r="AF1229" s="205">
        <f t="shared" si="52"/>
        <v>1</v>
      </c>
      <c r="AG1229" s="30">
        <v>7</v>
      </c>
      <c r="AH1229" s="30" t="s">
        <v>2987</v>
      </c>
      <c r="AI1229" s="787" t="s">
        <v>3861</v>
      </c>
      <c r="AJ1229" s="30" t="s">
        <v>1188</v>
      </c>
      <c r="AK1229" s="30" t="s">
        <v>99</v>
      </c>
      <c r="AL1229" s="30" t="s">
        <v>1178</v>
      </c>
    </row>
    <row r="1230" spans="1:38" ht="15" customHeight="1" x14ac:dyDescent="0.3">
      <c r="A1230" s="30" t="s">
        <v>22</v>
      </c>
      <c r="B1230" s="30" t="s">
        <v>23</v>
      </c>
      <c r="C1230" s="146">
        <v>13</v>
      </c>
      <c r="D1230" s="11" t="s">
        <v>24</v>
      </c>
      <c r="E1230" s="108">
        <v>42311</v>
      </c>
      <c r="F1230" s="37">
        <v>2015</v>
      </c>
      <c r="G1230" s="30" t="s">
        <v>3862</v>
      </c>
      <c r="H1230" s="162" t="s">
        <v>3863</v>
      </c>
      <c r="I1230" s="12" t="s">
        <v>38</v>
      </c>
      <c r="J1230" s="32" t="s">
        <v>26</v>
      </c>
      <c r="K1230" s="137" t="s">
        <v>50</v>
      </c>
      <c r="L1230" s="137" t="s">
        <v>28</v>
      </c>
      <c r="M1230" s="660" t="s">
        <v>42</v>
      </c>
      <c r="N1230" s="709"/>
      <c r="O1230" s="146" t="s">
        <v>3864</v>
      </c>
      <c r="P1230" s="138" t="s">
        <v>6087</v>
      </c>
      <c r="Q1230" s="91"/>
      <c r="R1230" s="132"/>
      <c r="S1230" s="92"/>
      <c r="T1230" s="139"/>
      <c r="U1230" s="624"/>
      <c r="V1230" s="624"/>
      <c r="W1230" s="735">
        <v>39</v>
      </c>
      <c r="X1230" s="7"/>
      <c r="Y1230" s="7" t="str">
        <f t="shared" si="51"/>
        <v/>
      </c>
      <c r="Z1230" s="7">
        <f t="shared" si="53"/>
        <v>0</v>
      </c>
      <c r="AA1230" s="108"/>
      <c r="AB1230" s="762" t="s">
        <v>3077</v>
      </c>
      <c r="AC1230" s="652"/>
      <c r="AD1230" s="187"/>
      <c r="AE1230" s="187"/>
      <c r="AF1230" s="205">
        <f t="shared" si="52"/>
        <v>0</v>
      </c>
      <c r="AG1230" s="30">
        <v>8</v>
      </c>
      <c r="AH1230" s="30" t="s">
        <v>3854</v>
      </c>
      <c r="AI1230" s="719" t="s">
        <v>3865</v>
      </c>
      <c r="AJ1230" s="30" t="s">
        <v>1188</v>
      </c>
      <c r="AK1230" s="30" t="s">
        <v>1177</v>
      </c>
      <c r="AL1230" s="93" t="s">
        <v>1178</v>
      </c>
    </row>
    <row r="1231" spans="1:38" ht="15" customHeight="1" x14ac:dyDescent="0.3">
      <c r="A1231" s="30" t="s">
        <v>22</v>
      </c>
      <c r="B1231" s="153" t="s">
        <v>23</v>
      </c>
      <c r="C1231" s="109">
        <v>7</v>
      </c>
      <c r="D1231" s="11" t="s">
        <v>24</v>
      </c>
      <c r="E1231" s="114">
        <v>40511</v>
      </c>
      <c r="F1231" s="33">
        <v>2010</v>
      </c>
      <c r="G1231" s="142" t="s">
        <v>3866</v>
      </c>
      <c r="H1231" s="162" t="s">
        <v>3867</v>
      </c>
      <c r="I1231" s="33" t="s">
        <v>33</v>
      </c>
      <c r="J1231" s="32" t="s">
        <v>26</v>
      </c>
      <c r="K1231" s="197" t="s">
        <v>2121</v>
      </c>
      <c r="L1231" s="137" t="s">
        <v>3423</v>
      </c>
      <c r="M1231" s="137" t="s">
        <v>42</v>
      </c>
      <c r="N1231" s="137"/>
      <c r="O1231" s="93" t="s">
        <v>3868</v>
      </c>
      <c r="P1231" s="138" t="s">
        <v>6088</v>
      </c>
      <c r="Q1231" s="15" t="s">
        <v>282</v>
      </c>
      <c r="R1231" s="132">
        <v>41390</v>
      </c>
      <c r="S1231" s="16" t="s">
        <v>44</v>
      </c>
      <c r="T1231" s="165">
        <v>42514</v>
      </c>
      <c r="U1231" s="624"/>
      <c r="V1231" s="624"/>
      <c r="W1231" s="735">
        <v>24</v>
      </c>
      <c r="X1231" s="7">
        <v>0</v>
      </c>
      <c r="Y1231" s="7">
        <f t="shared" si="51"/>
        <v>0</v>
      </c>
      <c r="Z1231" s="7">
        <f t="shared" si="53"/>
        <v>0</v>
      </c>
      <c r="AA1231" s="108"/>
      <c r="AB1231" s="503" t="s">
        <v>36</v>
      </c>
      <c r="AC1231" s="222"/>
      <c r="AD1231" s="187">
        <v>0</v>
      </c>
      <c r="AE1231" s="187">
        <v>0</v>
      </c>
      <c r="AF1231" s="205">
        <f t="shared" si="52"/>
        <v>0</v>
      </c>
      <c r="AG1231" s="163">
        <v>7</v>
      </c>
      <c r="AH1231" s="93" t="s">
        <v>2284</v>
      </c>
      <c r="AI1231" s="200"/>
      <c r="AJ1231" s="93" t="s">
        <v>1188</v>
      </c>
      <c r="AK1231" s="30" t="s">
        <v>1185</v>
      </c>
      <c r="AL1231" s="93" t="s">
        <v>1178</v>
      </c>
    </row>
    <row r="1232" spans="1:38" ht="15" customHeight="1" x14ac:dyDescent="0.3">
      <c r="A1232" s="30" t="s">
        <v>22</v>
      </c>
      <c r="B1232" s="153" t="s">
        <v>23</v>
      </c>
      <c r="C1232" s="109">
        <v>5</v>
      </c>
      <c r="D1232" s="11" t="s">
        <v>24</v>
      </c>
      <c r="E1232" s="114">
        <v>39840</v>
      </c>
      <c r="F1232" s="33">
        <v>2009</v>
      </c>
      <c r="G1232" s="142" t="s">
        <v>3870</v>
      </c>
      <c r="H1232" s="162" t="s">
        <v>3871</v>
      </c>
      <c r="I1232" s="57" t="s">
        <v>6176</v>
      </c>
      <c r="J1232" s="37" t="s">
        <v>67</v>
      </c>
      <c r="K1232" s="197" t="s">
        <v>180</v>
      </c>
      <c r="L1232" s="137" t="s">
        <v>132</v>
      </c>
      <c r="M1232" s="137" t="s">
        <v>42</v>
      </c>
      <c r="N1232" s="238"/>
      <c r="O1232" s="146" t="s">
        <v>3872</v>
      </c>
      <c r="P1232" s="138" t="s">
        <v>6089</v>
      </c>
      <c r="Q1232" s="15" t="s">
        <v>282</v>
      </c>
      <c r="R1232" s="132">
        <v>41943</v>
      </c>
      <c r="S1232" s="16" t="s">
        <v>44</v>
      </c>
      <c r="T1232" s="165">
        <v>42496</v>
      </c>
      <c r="U1232" s="624"/>
      <c r="V1232" s="624"/>
      <c r="W1232" s="735">
        <v>50</v>
      </c>
      <c r="X1232" s="7">
        <v>0</v>
      </c>
      <c r="Y1232" s="7">
        <f t="shared" si="51"/>
        <v>0</v>
      </c>
      <c r="Z1232" s="7">
        <f t="shared" si="53"/>
        <v>0</v>
      </c>
      <c r="AA1232" s="108"/>
      <c r="AB1232" s="503" t="s">
        <v>36</v>
      </c>
      <c r="AC1232" s="222"/>
      <c r="AD1232" s="187">
        <v>0</v>
      </c>
      <c r="AE1232" s="187">
        <v>0</v>
      </c>
      <c r="AF1232" s="205">
        <f t="shared" si="52"/>
        <v>0</v>
      </c>
      <c r="AG1232" s="163">
        <v>7</v>
      </c>
      <c r="AH1232" s="93" t="s">
        <v>3456</v>
      </c>
      <c r="AI1232" s="719" t="s">
        <v>3873</v>
      </c>
      <c r="AJ1232" s="93" t="s">
        <v>1188</v>
      </c>
      <c r="AK1232" s="30" t="s">
        <v>1185</v>
      </c>
      <c r="AL1232" s="93" t="s">
        <v>1175</v>
      </c>
    </row>
    <row r="1233" spans="1:38" ht="15" customHeight="1" x14ac:dyDescent="0.3">
      <c r="A1233" s="30" t="s">
        <v>3874</v>
      </c>
      <c r="B1233" s="30" t="s">
        <v>23</v>
      </c>
      <c r="C1233" s="238" t="s">
        <v>3875</v>
      </c>
      <c r="D1233" s="11" t="s">
        <v>24</v>
      </c>
      <c r="E1233" s="108">
        <v>41919</v>
      </c>
      <c r="F1233" s="37">
        <v>2014</v>
      </c>
      <c r="G1233" s="30" t="s">
        <v>3876</v>
      </c>
      <c r="H1233" s="162" t="s">
        <v>3877</v>
      </c>
      <c r="I1233" s="12" t="s">
        <v>38</v>
      </c>
      <c r="J1233" s="32" t="s">
        <v>26</v>
      </c>
      <c r="K1233" s="137" t="s">
        <v>111</v>
      </c>
      <c r="L1233" s="137" t="s">
        <v>28</v>
      </c>
      <c r="M1233" s="660" t="s">
        <v>42</v>
      </c>
      <c r="N1233" s="709"/>
      <c r="O1233" s="146" t="s">
        <v>3878</v>
      </c>
      <c r="P1233" s="138" t="s">
        <v>3879</v>
      </c>
      <c r="Q1233" s="15" t="s">
        <v>35</v>
      </c>
      <c r="R1233" s="132">
        <v>42614</v>
      </c>
      <c r="S1233" s="92"/>
      <c r="T1233" s="139"/>
      <c r="U1233" s="624"/>
      <c r="V1233" s="624"/>
      <c r="W1233" s="735">
        <v>15</v>
      </c>
      <c r="X1233" s="7">
        <v>0</v>
      </c>
      <c r="Y1233" s="7">
        <f t="shared" si="51"/>
        <v>0</v>
      </c>
      <c r="Z1233" s="7">
        <f t="shared" si="53"/>
        <v>0</v>
      </c>
      <c r="AA1233" s="108"/>
      <c r="AB1233" s="762" t="s">
        <v>3077</v>
      </c>
      <c r="AC1233" s="652"/>
      <c r="AD1233" s="187">
        <v>0</v>
      </c>
      <c r="AE1233" s="187">
        <v>0</v>
      </c>
      <c r="AF1233" s="205">
        <f t="shared" si="52"/>
        <v>0</v>
      </c>
      <c r="AG1233" s="30">
        <v>8</v>
      </c>
      <c r="AH1233" s="30" t="s">
        <v>3869</v>
      </c>
      <c r="AI1233" s="719" t="s">
        <v>6090</v>
      </c>
      <c r="AJ1233" s="30" t="s">
        <v>1188</v>
      </c>
      <c r="AK1233" s="197" t="s">
        <v>3457</v>
      </c>
      <c r="AL1233" s="93" t="s">
        <v>1178</v>
      </c>
    </row>
    <row r="1234" spans="1:38" ht="15" customHeight="1" x14ac:dyDescent="0.3">
      <c r="A1234" s="30" t="s">
        <v>22</v>
      </c>
      <c r="B1234" s="30" t="s">
        <v>23</v>
      </c>
      <c r="C1234" s="37">
        <v>18</v>
      </c>
      <c r="D1234" s="11" t="s">
        <v>24</v>
      </c>
      <c r="E1234" s="108">
        <v>41464</v>
      </c>
      <c r="F1234" s="37">
        <v>2013</v>
      </c>
      <c r="G1234" s="30" t="s">
        <v>3880</v>
      </c>
      <c r="H1234" s="162" t="s">
        <v>3881</v>
      </c>
      <c r="I1234" s="12" t="s">
        <v>80</v>
      </c>
      <c r="J1234" s="37" t="s">
        <v>81</v>
      </c>
      <c r="K1234" s="137" t="s">
        <v>71</v>
      </c>
      <c r="L1234" s="137" t="s">
        <v>3349</v>
      </c>
      <c r="M1234" s="660" t="s">
        <v>42</v>
      </c>
      <c r="N1234" s="660"/>
      <c r="O1234" s="93" t="s">
        <v>3882</v>
      </c>
      <c r="P1234" s="718" t="s">
        <v>3883</v>
      </c>
      <c r="Q1234" s="15" t="s">
        <v>282</v>
      </c>
      <c r="R1234" s="132">
        <v>42157</v>
      </c>
      <c r="S1234" s="16" t="s">
        <v>44</v>
      </c>
      <c r="T1234" s="165">
        <v>42338</v>
      </c>
      <c r="U1234" s="624" t="s">
        <v>1422</v>
      </c>
      <c r="V1234" s="180">
        <v>42471</v>
      </c>
      <c r="W1234" s="735">
        <v>50</v>
      </c>
      <c r="X1234" s="7">
        <v>0</v>
      </c>
      <c r="Y1234" s="7" t="str">
        <f t="shared" si="51"/>
        <v/>
      </c>
      <c r="Z1234" s="7">
        <f t="shared" si="53"/>
        <v>0</v>
      </c>
      <c r="AA1234" s="108"/>
      <c r="AB1234" s="479" t="s">
        <v>49</v>
      </c>
      <c r="AC1234" s="480"/>
      <c r="AD1234" s="187">
        <v>0</v>
      </c>
      <c r="AE1234" s="187"/>
      <c r="AF1234" s="205">
        <f t="shared" si="52"/>
        <v>0</v>
      </c>
      <c r="AG1234" s="30">
        <v>8</v>
      </c>
      <c r="AH1234" s="30" t="s">
        <v>3288</v>
      </c>
      <c r="AI1234" s="146"/>
      <c r="AJ1234" s="30" t="s">
        <v>1188</v>
      </c>
      <c r="AK1234" s="30" t="s">
        <v>99</v>
      </c>
      <c r="AL1234" s="93" t="s">
        <v>1178</v>
      </c>
    </row>
    <row r="1235" spans="1:38" ht="15" customHeight="1" x14ac:dyDescent="0.3">
      <c r="A1235" s="30" t="s">
        <v>22</v>
      </c>
      <c r="B1235" s="153" t="s">
        <v>142</v>
      </c>
      <c r="C1235" s="107">
        <v>3</v>
      </c>
      <c r="D1235" s="11" t="s">
        <v>143</v>
      </c>
      <c r="E1235" s="114">
        <v>40793</v>
      </c>
      <c r="F1235" s="107">
        <v>2011</v>
      </c>
      <c r="G1235" s="142" t="s">
        <v>3885</v>
      </c>
      <c r="H1235" s="204" t="s">
        <v>3886</v>
      </c>
      <c r="I1235" s="33" t="s">
        <v>33</v>
      </c>
      <c r="J1235" s="32" t="s">
        <v>26</v>
      </c>
      <c r="K1235" s="197" t="s">
        <v>103</v>
      </c>
      <c r="L1235" s="137" t="s">
        <v>85</v>
      </c>
      <c r="M1235" s="137" t="s">
        <v>804</v>
      </c>
      <c r="N1235" s="197"/>
      <c r="O1235" s="197" t="s">
        <v>3887</v>
      </c>
      <c r="P1235" s="197" t="s">
        <v>3888</v>
      </c>
      <c r="Q1235" s="15" t="s">
        <v>282</v>
      </c>
      <c r="R1235" s="164">
        <v>42088</v>
      </c>
      <c r="S1235" s="16" t="s">
        <v>44</v>
      </c>
      <c r="T1235" s="165">
        <v>42445</v>
      </c>
      <c r="U1235" s="624"/>
      <c r="V1235" s="624"/>
      <c r="W1235" s="735">
        <v>60</v>
      </c>
      <c r="X1235" s="7">
        <v>30</v>
      </c>
      <c r="Y1235" s="7">
        <f t="shared" si="51"/>
        <v>6</v>
      </c>
      <c r="Z1235" s="7">
        <f>IF(Y1235="",X1235,Y1235+X1235)</f>
        <v>36</v>
      </c>
      <c r="AA1235" s="108">
        <v>44329</v>
      </c>
      <c r="AB1235" s="504" t="s">
        <v>147</v>
      </c>
      <c r="AC1235" s="138"/>
      <c r="AD1235" s="187">
        <v>0.5</v>
      </c>
      <c r="AE1235" s="187">
        <v>0.1</v>
      </c>
      <c r="AF1235" s="205">
        <f t="shared" si="52"/>
        <v>0.6</v>
      </c>
      <c r="AG1235" s="138"/>
      <c r="AH1235" s="138"/>
      <c r="AI1235" s="138"/>
      <c r="AJ1235" s="138" t="s">
        <v>1188</v>
      </c>
      <c r="AK1235" s="138" t="s">
        <v>1185</v>
      </c>
      <c r="AL1235" s="146" t="s">
        <v>1178</v>
      </c>
    </row>
    <row r="1236" spans="1:38" ht="15" customHeight="1" x14ac:dyDescent="0.3">
      <c r="A1236" s="181" t="s">
        <v>22</v>
      </c>
      <c r="B1236" s="145" t="s">
        <v>229</v>
      </c>
      <c r="C1236" s="135">
        <v>2</v>
      </c>
      <c r="D1236" s="11" t="s">
        <v>225</v>
      </c>
      <c r="E1236" s="168">
        <v>41148</v>
      </c>
      <c r="F1236" s="136">
        <v>2012</v>
      </c>
      <c r="G1236" s="178" t="s">
        <v>3890</v>
      </c>
      <c r="H1236" s="204" t="s">
        <v>3891</v>
      </c>
      <c r="I1236" s="33" t="s">
        <v>33</v>
      </c>
      <c r="J1236" s="32" t="s">
        <v>26</v>
      </c>
      <c r="K1236" s="197" t="s">
        <v>103</v>
      </c>
      <c r="L1236" s="746" t="s">
        <v>85</v>
      </c>
      <c r="M1236" s="137" t="s">
        <v>804</v>
      </c>
      <c r="N1236" s="197"/>
      <c r="O1236" s="138" t="s">
        <v>3892</v>
      </c>
      <c r="P1236" s="138" t="s">
        <v>3893</v>
      </c>
      <c r="Q1236" s="15" t="s">
        <v>282</v>
      </c>
      <c r="R1236" s="218">
        <v>41725</v>
      </c>
      <c r="S1236" s="16" t="s">
        <v>35</v>
      </c>
      <c r="T1236" s="228">
        <v>42341</v>
      </c>
      <c r="U1236" s="623"/>
      <c r="V1236" s="623"/>
      <c r="W1236" s="734">
        <v>150</v>
      </c>
      <c r="X1236" s="7">
        <v>60</v>
      </c>
      <c r="Y1236" s="7">
        <f t="shared" si="51"/>
        <v>90</v>
      </c>
      <c r="Z1236" s="7">
        <f>IF(Y1236="",X1236,Y1236+X1236)-1.9</f>
        <v>148.1</v>
      </c>
      <c r="AA1236" s="108">
        <v>42626</v>
      </c>
      <c r="AB1236" s="504" t="s">
        <v>6126</v>
      </c>
      <c r="AC1236" s="138"/>
      <c r="AD1236" s="187">
        <v>0.4</v>
      </c>
      <c r="AE1236" s="187">
        <v>0.6</v>
      </c>
      <c r="AF1236" s="205">
        <f t="shared" si="52"/>
        <v>1</v>
      </c>
      <c r="AG1236" s="138">
        <v>8</v>
      </c>
      <c r="AH1236" s="138" t="s">
        <v>3884</v>
      </c>
      <c r="AI1236" s="718" t="s">
        <v>3894</v>
      </c>
      <c r="AJ1236" s="138" t="s">
        <v>1188</v>
      </c>
      <c r="AK1236" s="138" t="s">
        <v>1185</v>
      </c>
      <c r="AL1236" s="93" t="s">
        <v>1178</v>
      </c>
    </row>
    <row r="1237" spans="1:38" ht="15" customHeight="1" x14ac:dyDescent="0.3">
      <c r="A1237" s="181" t="s">
        <v>22</v>
      </c>
      <c r="B1237" s="145" t="s">
        <v>105</v>
      </c>
      <c r="C1237" s="135">
        <v>15</v>
      </c>
      <c r="D1237" s="11" t="s">
        <v>5936</v>
      </c>
      <c r="E1237" s="168">
        <v>41593</v>
      </c>
      <c r="F1237" s="136">
        <v>2013</v>
      </c>
      <c r="G1237" s="178" t="s">
        <v>3896</v>
      </c>
      <c r="H1237" s="204" t="s">
        <v>3897</v>
      </c>
      <c r="I1237" s="33" t="s">
        <v>33</v>
      </c>
      <c r="J1237" s="32" t="s">
        <v>26</v>
      </c>
      <c r="K1237" s="197" t="s">
        <v>103</v>
      </c>
      <c r="L1237" s="197" t="s">
        <v>231</v>
      </c>
      <c r="M1237" s="137" t="s">
        <v>804</v>
      </c>
      <c r="N1237" s="197"/>
      <c r="O1237" s="197" t="s">
        <v>3898</v>
      </c>
      <c r="P1237" s="736" t="s">
        <v>3899</v>
      </c>
      <c r="Q1237" s="15" t="s">
        <v>35</v>
      </c>
      <c r="R1237" s="218">
        <v>42300</v>
      </c>
      <c r="S1237" s="16" t="s">
        <v>35</v>
      </c>
      <c r="T1237" s="133">
        <v>42467</v>
      </c>
      <c r="U1237" s="623"/>
      <c r="V1237" s="624"/>
      <c r="W1237" s="256">
        <v>50</v>
      </c>
      <c r="X1237" s="185">
        <v>20</v>
      </c>
      <c r="Y1237" s="7">
        <f t="shared" si="51"/>
        <v>30</v>
      </c>
      <c r="Z1237" s="185">
        <f>IF(Y1237="",X1237,Y1237+X1237)-39.3</f>
        <v>10.700000000000003</v>
      </c>
      <c r="AA1237" s="233">
        <v>42641</v>
      </c>
      <c r="AB1237" s="513" t="s">
        <v>3232</v>
      </c>
      <c r="AC1237" s="147"/>
      <c r="AD1237" s="196">
        <v>0.4</v>
      </c>
      <c r="AE1237" s="187">
        <v>0.6</v>
      </c>
      <c r="AF1237" s="205">
        <f t="shared" si="52"/>
        <v>1</v>
      </c>
      <c r="AG1237" s="138">
        <v>8</v>
      </c>
      <c r="AH1237" s="138" t="s">
        <v>3889</v>
      </c>
      <c r="AI1237" s="718" t="s">
        <v>3901</v>
      </c>
      <c r="AJ1237" s="138" t="s">
        <v>1188</v>
      </c>
      <c r="AK1237" s="30" t="s">
        <v>99</v>
      </c>
      <c r="AL1237" s="138" t="s">
        <v>1178</v>
      </c>
    </row>
    <row r="1238" spans="1:38" ht="15" customHeight="1" x14ac:dyDescent="0.3">
      <c r="A1238" s="30" t="s">
        <v>22</v>
      </c>
      <c r="B1238" s="153" t="s">
        <v>105</v>
      </c>
      <c r="C1238" s="109">
        <v>19</v>
      </c>
      <c r="D1238" s="11" t="s">
        <v>5936</v>
      </c>
      <c r="E1238" s="108">
        <v>37196</v>
      </c>
      <c r="F1238" s="33">
        <v>2001</v>
      </c>
      <c r="G1238" s="142" t="s">
        <v>3902</v>
      </c>
      <c r="H1238" s="162" t="s">
        <v>3903</v>
      </c>
      <c r="I1238" s="12" t="s">
        <v>25</v>
      </c>
      <c r="J1238" s="32" t="s">
        <v>26</v>
      </c>
      <c r="K1238" s="197" t="s">
        <v>111</v>
      </c>
      <c r="L1238" s="137" t="s">
        <v>132</v>
      </c>
      <c r="M1238" s="137" t="s">
        <v>42</v>
      </c>
      <c r="N1238" s="137"/>
      <c r="O1238" s="93" t="s">
        <v>3904</v>
      </c>
      <c r="P1238" s="719" t="s">
        <v>3905</v>
      </c>
      <c r="Q1238" s="15" t="s">
        <v>282</v>
      </c>
      <c r="R1238" s="179">
        <v>39024</v>
      </c>
      <c r="S1238" s="16" t="s">
        <v>44</v>
      </c>
      <c r="T1238" s="191">
        <v>39779</v>
      </c>
      <c r="U1238" s="623" t="s">
        <v>44</v>
      </c>
      <c r="V1238" s="180">
        <v>42536</v>
      </c>
      <c r="W1238" s="735">
        <v>25</v>
      </c>
      <c r="X1238" s="7">
        <v>0</v>
      </c>
      <c r="Y1238" s="7">
        <f>IF(AE1238="","",W1238*AE1238)</f>
        <v>0</v>
      </c>
      <c r="Z1238" s="7">
        <f t="shared" ref="Z1238:Z1245" si="54">IF(Y1238="",X1238,Y1238+X1238)</f>
        <v>0</v>
      </c>
      <c r="AA1238" s="108"/>
      <c r="AB1238" s="564" t="s">
        <v>1073</v>
      </c>
      <c r="AC1238" s="693"/>
      <c r="AD1238" s="187">
        <v>0</v>
      </c>
      <c r="AE1238" s="187">
        <v>0</v>
      </c>
      <c r="AF1238" s="205">
        <f t="shared" si="52"/>
        <v>0</v>
      </c>
      <c r="AG1238" s="163">
        <v>6.5</v>
      </c>
      <c r="AH1238" s="93"/>
      <c r="AI1238" s="146"/>
      <c r="AJ1238" s="93" t="s">
        <v>1188</v>
      </c>
      <c r="AK1238" s="30" t="s">
        <v>99</v>
      </c>
      <c r="AL1238" s="93" t="s">
        <v>1178</v>
      </c>
    </row>
    <row r="1239" spans="1:38" ht="15" customHeight="1" x14ac:dyDescent="0.3">
      <c r="A1239" s="181" t="s">
        <v>22</v>
      </c>
      <c r="B1239" s="145" t="s">
        <v>3895</v>
      </c>
      <c r="C1239" s="135" t="s">
        <v>196</v>
      </c>
      <c r="D1239" s="136" t="s">
        <v>190</v>
      </c>
      <c r="E1239" s="168">
        <v>40714</v>
      </c>
      <c r="F1239" s="136">
        <v>2011</v>
      </c>
      <c r="G1239" s="178" t="s">
        <v>3907</v>
      </c>
      <c r="H1239" s="204"/>
      <c r="I1239" s="30" t="s">
        <v>38</v>
      </c>
      <c r="J1239" s="32" t="s">
        <v>26</v>
      </c>
      <c r="K1239" s="197" t="s">
        <v>111</v>
      </c>
      <c r="L1239" s="138" t="s">
        <v>3908</v>
      </c>
      <c r="M1239" s="137" t="s">
        <v>804</v>
      </c>
      <c r="N1239" s="197"/>
      <c r="O1239" s="138" t="s">
        <v>3909</v>
      </c>
      <c r="P1239" s="138" t="s">
        <v>3910</v>
      </c>
      <c r="Q1239" s="15" t="s">
        <v>35</v>
      </c>
      <c r="R1239" s="179">
        <v>41849</v>
      </c>
      <c r="S1239" s="16" t="s">
        <v>35</v>
      </c>
      <c r="T1239" s="191">
        <v>42608</v>
      </c>
      <c r="U1239" s="707"/>
      <c r="V1239" s="624"/>
      <c r="W1239" s="735">
        <v>12</v>
      </c>
      <c r="X1239" s="7">
        <v>2.7</v>
      </c>
      <c r="Y1239" s="7">
        <f>IF(AE1239="","",W1239*AE1239)</f>
        <v>3</v>
      </c>
      <c r="Z1239" s="185">
        <f t="shared" si="54"/>
        <v>5.7</v>
      </c>
      <c r="AA1239" s="108">
        <v>42657</v>
      </c>
      <c r="AB1239" s="706" t="s">
        <v>1295</v>
      </c>
      <c r="AC1239" s="200"/>
      <c r="AD1239" s="187">
        <v>0.75</v>
      </c>
      <c r="AE1239" s="187">
        <v>0.25</v>
      </c>
      <c r="AF1239" s="205">
        <f t="shared" si="52"/>
        <v>1</v>
      </c>
      <c r="AG1239" s="200">
        <v>7</v>
      </c>
      <c r="AH1239" s="138" t="s">
        <v>3900</v>
      </c>
      <c r="AI1239" s="719" t="s">
        <v>3911</v>
      </c>
      <c r="AJ1239" s="200" t="s">
        <v>1188</v>
      </c>
      <c r="AK1239" s="200" t="s">
        <v>1185</v>
      </c>
      <c r="AL1239" s="200" t="s">
        <v>1178</v>
      </c>
    </row>
    <row r="1240" spans="1:38" ht="15" customHeight="1" x14ac:dyDescent="0.3">
      <c r="A1240" s="181" t="s">
        <v>22</v>
      </c>
      <c r="B1240" s="145" t="s">
        <v>105</v>
      </c>
      <c r="C1240" s="135">
        <v>15</v>
      </c>
      <c r="D1240" s="11" t="s">
        <v>5936</v>
      </c>
      <c r="E1240" s="168">
        <v>41163</v>
      </c>
      <c r="F1240" s="136">
        <v>2013</v>
      </c>
      <c r="G1240" s="178" t="s">
        <v>3912</v>
      </c>
      <c r="H1240" s="204" t="s">
        <v>3913</v>
      </c>
      <c r="I1240" s="33" t="s">
        <v>33</v>
      </c>
      <c r="J1240" s="32" t="s">
        <v>26</v>
      </c>
      <c r="K1240" s="197" t="s">
        <v>162</v>
      </c>
      <c r="L1240" s="746" t="s">
        <v>3914</v>
      </c>
      <c r="M1240" s="137" t="s">
        <v>804</v>
      </c>
      <c r="N1240" s="197"/>
      <c r="O1240" s="138" t="s">
        <v>3915</v>
      </c>
      <c r="P1240" s="138" t="s">
        <v>3916</v>
      </c>
      <c r="Q1240" s="15" t="s">
        <v>35</v>
      </c>
      <c r="R1240" s="132">
        <v>42242</v>
      </c>
      <c r="S1240" s="16" t="s">
        <v>35</v>
      </c>
      <c r="T1240" s="133">
        <v>42481</v>
      </c>
      <c r="U1240" s="623"/>
      <c r="V1240" s="624"/>
      <c r="W1240" s="256">
        <v>80</v>
      </c>
      <c r="X1240" s="185">
        <v>0</v>
      </c>
      <c r="Y1240" s="7">
        <v>0</v>
      </c>
      <c r="Z1240" s="185">
        <f t="shared" si="54"/>
        <v>0</v>
      </c>
      <c r="AA1240" s="108">
        <v>42669</v>
      </c>
      <c r="AB1240" s="513" t="s">
        <v>3232</v>
      </c>
      <c r="AC1240" s="147"/>
      <c r="AD1240" s="196">
        <v>0.5</v>
      </c>
      <c r="AE1240" s="187">
        <v>0.5</v>
      </c>
      <c r="AF1240" s="205">
        <f t="shared" si="52"/>
        <v>1</v>
      </c>
      <c r="AG1240" s="138">
        <v>8</v>
      </c>
      <c r="AH1240" s="138" t="s">
        <v>3906</v>
      </c>
      <c r="AI1240" s="718" t="s">
        <v>3918</v>
      </c>
      <c r="AJ1240" s="138" t="s">
        <v>1188</v>
      </c>
      <c r="AK1240" s="181" t="s">
        <v>1185</v>
      </c>
      <c r="AL1240" s="138" t="s">
        <v>1178</v>
      </c>
    </row>
    <row r="1241" spans="1:38" ht="15" customHeight="1" x14ac:dyDescent="0.3">
      <c r="A1241" s="181" t="s">
        <v>140</v>
      </c>
      <c r="B1241" s="145" t="s">
        <v>212</v>
      </c>
      <c r="C1241" s="135" t="s">
        <v>213</v>
      </c>
      <c r="D1241" s="136" t="s">
        <v>190</v>
      </c>
      <c r="E1241" s="168">
        <v>42108</v>
      </c>
      <c r="F1241" s="136">
        <v>2015</v>
      </c>
      <c r="G1241" s="178" t="s">
        <v>3919</v>
      </c>
      <c r="H1241" s="204" t="s">
        <v>3920</v>
      </c>
      <c r="I1241" s="30" t="s">
        <v>38</v>
      </c>
      <c r="J1241" s="181" t="s">
        <v>81</v>
      </c>
      <c r="K1241" s="197" t="s">
        <v>163</v>
      </c>
      <c r="L1241" s="197" t="s">
        <v>3921</v>
      </c>
      <c r="M1241" s="137" t="s">
        <v>804</v>
      </c>
      <c r="N1241" s="197"/>
      <c r="O1241" s="197" t="s">
        <v>3922</v>
      </c>
      <c r="P1241" s="197" t="s">
        <v>3923</v>
      </c>
      <c r="Q1241" s="15" t="s">
        <v>35</v>
      </c>
      <c r="R1241" s="132">
        <v>42311</v>
      </c>
      <c r="S1241" s="16" t="s">
        <v>35</v>
      </c>
      <c r="T1241" s="133">
        <v>42551</v>
      </c>
      <c r="U1241" s="623"/>
      <c r="V1241" s="624"/>
      <c r="W1241" s="256">
        <v>5</v>
      </c>
      <c r="X1241" s="185">
        <v>0</v>
      </c>
      <c r="Y1241" s="7">
        <f>IF(AE1241="","",W1241*AE1241)-0.94</f>
        <v>0.31000000000000005</v>
      </c>
      <c r="Z1241" s="185">
        <f t="shared" si="54"/>
        <v>0.31000000000000005</v>
      </c>
      <c r="AA1241" s="233">
        <v>42696</v>
      </c>
      <c r="AB1241" s="564" t="s">
        <v>2595</v>
      </c>
      <c r="AC1241" s="693"/>
      <c r="AD1241" s="196">
        <v>0.5</v>
      </c>
      <c r="AE1241" s="187">
        <v>0.25</v>
      </c>
      <c r="AF1241" s="205">
        <f t="shared" si="52"/>
        <v>0.75</v>
      </c>
      <c r="AG1241" s="138">
        <v>8</v>
      </c>
      <c r="AH1241" s="138"/>
      <c r="AI1241" s="718" t="s">
        <v>3924</v>
      </c>
      <c r="AJ1241" s="138" t="s">
        <v>1188</v>
      </c>
      <c r="AK1241" s="181" t="s">
        <v>1185</v>
      </c>
      <c r="AL1241" s="138" t="s">
        <v>1178</v>
      </c>
    </row>
    <row r="1242" spans="1:38" ht="15" customHeight="1" x14ac:dyDescent="0.3">
      <c r="A1242" s="181" t="s">
        <v>22</v>
      </c>
      <c r="B1242" s="145" t="s">
        <v>228</v>
      </c>
      <c r="C1242" s="135">
        <v>1</v>
      </c>
      <c r="D1242" s="136" t="s">
        <v>190</v>
      </c>
      <c r="E1242" s="168">
        <v>42194</v>
      </c>
      <c r="F1242" s="136">
        <v>2015</v>
      </c>
      <c r="G1242" s="178" t="s">
        <v>3925</v>
      </c>
      <c r="H1242" s="178" t="s">
        <v>3926</v>
      </c>
      <c r="I1242" s="30" t="s">
        <v>38</v>
      </c>
      <c r="J1242" s="32" t="s">
        <v>26</v>
      </c>
      <c r="K1242" s="197" t="s">
        <v>50</v>
      </c>
      <c r="L1242" s="197" t="s">
        <v>3927</v>
      </c>
      <c r="M1242" s="137" t="s">
        <v>804</v>
      </c>
      <c r="N1242" s="197"/>
      <c r="O1242" s="197" t="s">
        <v>3928</v>
      </c>
      <c r="P1242" s="197" t="s">
        <v>3929</v>
      </c>
      <c r="Q1242" s="15" t="s">
        <v>35</v>
      </c>
      <c r="R1242" s="132">
        <v>42436</v>
      </c>
      <c r="S1242" s="16" t="s">
        <v>35</v>
      </c>
      <c r="T1242" s="133">
        <v>42621</v>
      </c>
      <c r="U1242" s="623"/>
      <c r="V1242" s="624"/>
      <c r="W1242" s="256">
        <v>22.5</v>
      </c>
      <c r="X1242" s="185">
        <v>0</v>
      </c>
      <c r="Y1242" s="7">
        <f>IF(AE1242="","",W1242*AE1242)-8.5</f>
        <v>8.375</v>
      </c>
      <c r="Z1242" s="185">
        <f t="shared" si="54"/>
        <v>8.375</v>
      </c>
      <c r="AA1242" s="229">
        <v>42690</v>
      </c>
      <c r="AB1242" s="564" t="s">
        <v>1073</v>
      </c>
      <c r="AC1242" s="693"/>
      <c r="AD1242" s="196">
        <v>0</v>
      </c>
      <c r="AE1242" s="187">
        <v>0.75</v>
      </c>
      <c r="AF1242" s="205">
        <f t="shared" si="52"/>
        <v>0.75</v>
      </c>
      <c r="AG1242" s="138">
        <v>8</v>
      </c>
      <c r="AH1242" s="197" t="s">
        <v>3917</v>
      </c>
      <c r="AI1242" s="718" t="s">
        <v>3931</v>
      </c>
      <c r="AJ1242" s="138" t="s">
        <v>1188</v>
      </c>
      <c r="AK1242" s="181" t="s">
        <v>1185</v>
      </c>
      <c r="AL1242" s="138" t="s">
        <v>1178</v>
      </c>
    </row>
    <row r="1243" spans="1:38" ht="15" customHeight="1" x14ac:dyDescent="0.3">
      <c r="A1243" s="181" t="s">
        <v>22</v>
      </c>
      <c r="B1243" s="145" t="s">
        <v>3545</v>
      </c>
      <c r="C1243" s="135"/>
      <c r="D1243" s="136" t="s">
        <v>190</v>
      </c>
      <c r="E1243" s="168">
        <v>41751</v>
      </c>
      <c r="F1243" s="136">
        <v>2013</v>
      </c>
      <c r="G1243" s="178" t="s">
        <v>3932</v>
      </c>
      <c r="H1243" s="204" t="s">
        <v>3933</v>
      </c>
      <c r="I1243" s="33" t="s">
        <v>33</v>
      </c>
      <c r="J1243" s="32" t="s">
        <v>26</v>
      </c>
      <c r="K1243" s="197" t="s">
        <v>162</v>
      </c>
      <c r="L1243" s="746" t="s">
        <v>28</v>
      </c>
      <c r="M1243" s="197" t="s">
        <v>42</v>
      </c>
      <c r="N1243" s="197"/>
      <c r="O1243" s="138" t="s">
        <v>3934</v>
      </c>
      <c r="P1243" s="138" t="s">
        <v>3935</v>
      </c>
      <c r="Q1243" s="15" t="s">
        <v>282</v>
      </c>
      <c r="R1243" s="218">
        <v>41968</v>
      </c>
      <c r="S1243" s="16" t="s">
        <v>44</v>
      </c>
      <c r="T1243" s="191">
        <v>42258</v>
      </c>
      <c r="U1243" s="236"/>
      <c r="V1243" s="237"/>
      <c r="W1243" s="256">
        <v>60</v>
      </c>
      <c r="X1243" s="7">
        <v>0</v>
      </c>
      <c r="Y1243" s="7">
        <f>IF(AE1243="","",W1243*AE1243)</f>
        <v>0</v>
      </c>
      <c r="Z1243" s="7">
        <f t="shared" si="54"/>
        <v>0</v>
      </c>
      <c r="AA1243" s="235"/>
      <c r="AB1243" s="564" t="s">
        <v>2595</v>
      </c>
      <c r="AC1243" s="693"/>
      <c r="AD1243" s="187">
        <v>0</v>
      </c>
      <c r="AE1243" s="187">
        <v>0</v>
      </c>
      <c r="AF1243" s="205">
        <f t="shared" si="52"/>
        <v>0</v>
      </c>
      <c r="AG1243" s="200">
        <v>8</v>
      </c>
      <c r="AH1243" s="138" t="s">
        <v>3380</v>
      </c>
      <c r="AI1243" s="138"/>
      <c r="AJ1243" s="200" t="s">
        <v>1188</v>
      </c>
      <c r="AK1243" s="181" t="s">
        <v>1185</v>
      </c>
      <c r="AL1243" s="181" t="s">
        <v>1178</v>
      </c>
    </row>
    <row r="1244" spans="1:38" ht="15" customHeight="1" x14ac:dyDescent="0.3">
      <c r="A1244" s="181" t="s">
        <v>160</v>
      </c>
      <c r="B1244" s="167" t="s">
        <v>506</v>
      </c>
      <c r="C1244" s="135">
        <v>1</v>
      </c>
      <c r="D1244" s="11" t="s">
        <v>225</v>
      </c>
      <c r="E1244" s="168">
        <v>42062</v>
      </c>
      <c r="F1244" s="136">
        <v>2015</v>
      </c>
      <c r="G1244" s="178" t="s">
        <v>3936</v>
      </c>
      <c r="H1244" s="178" t="s">
        <v>3937</v>
      </c>
      <c r="I1244" s="136" t="s">
        <v>38</v>
      </c>
      <c r="J1244" s="32" t="s">
        <v>26</v>
      </c>
      <c r="K1244" s="197" t="s">
        <v>3938</v>
      </c>
      <c r="L1244" s="197" t="s">
        <v>28</v>
      </c>
      <c r="M1244" s="197" t="s">
        <v>42</v>
      </c>
      <c r="N1244" s="197"/>
      <c r="O1244" s="783" t="s">
        <v>3939</v>
      </c>
      <c r="P1244" s="197" t="s">
        <v>3940</v>
      </c>
      <c r="Q1244" s="15" t="s">
        <v>282</v>
      </c>
      <c r="R1244" s="231">
        <v>42416</v>
      </c>
      <c r="S1244" s="16" t="s">
        <v>44</v>
      </c>
      <c r="T1244" s="232">
        <v>42593</v>
      </c>
      <c r="U1244" s="776"/>
      <c r="V1244" s="776"/>
      <c r="W1244" s="256">
        <v>20</v>
      </c>
      <c r="X1244" s="185">
        <v>0</v>
      </c>
      <c r="Y1244" s="7">
        <f>IF(AE1244="","",W1244*AE1244)</f>
        <v>0</v>
      </c>
      <c r="Z1244" s="7">
        <f t="shared" si="54"/>
        <v>0</v>
      </c>
      <c r="AA1244" s="233"/>
      <c r="AB1244" s="467" t="s">
        <v>3641</v>
      </c>
      <c r="AC1244" s="197"/>
      <c r="AD1244" s="196">
        <v>0</v>
      </c>
      <c r="AE1244" s="187">
        <v>0</v>
      </c>
      <c r="AF1244" s="205">
        <f t="shared" si="52"/>
        <v>0</v>
      </c>
      <c r="AG1244" s="197">
        <v>8</v>
      </c>
      <c r="AH1244" s="197" t="s">
        <v>3930</v>
      </c>
      <c r="AI1244" s="197"/>
      <c r="AJ1244" s="197" t="s">
        <v>1188</v>
      </c>
      <c r="AK1244" s="197" t="s">
        <v>1185</v>
      </c>
      <c r="AL1244" s="93" t="s">
        <v>1178</v>
      </c>
    </row>
    <row r="1245" spans="1:38" ht="15" customHeight="1" x14ac:dyDescent="0.3">
      <c r="A1245" s="30" t="s">
        <v>22</v>
      </c>
      <c r="B1245" s="30" t="s">
        <v>23</v>
      </c>
      <c r="C1245" s="146">
        <v>20</v>
      </c>
      <c r="D1245" s="11" t="s">
        <v>24</v>
      </c>
      <c r="E1245" s="108">
        <v>42334</v>
      </c>
      <c r="F1245" s="37">
        <v>2015</v>
      </c>
      <c r="G1245" s="30" t="s">
        <v>3941</v>
      </c>
      <c r="H1245" s="162" t="s">
        <v>3942</v>
      </c>
      <c r="I1245" s="12" t="s">
        <v>38</v>
      </c>
      <c r="J1245" s="32" t="s">
        <v>26</v>
      </c>
      <c r="K1245" s="137" t="s">
        <v>50</v>
      </c>
      <c r="L1245" s="137" t="s">
        <v>28</v>
      </c>
      <c r="M1245" s="660" t="s">
        <v>42</v>
      </c>
      <c r="N1245" s="709"/>
      <c r="O1245" s="146" t="s">
        <v>3943</v>
      </c>
      <c r="P1245" s="138" t="s">
        <v>6091</v>
      </c>
      <c r="Q1245" s="91"/>
      <c r="R1245" s="132"/>
      <c r="S1245" s="92"/>
      <c r="T1245" s="139"/>
      <c r="U1245" s="624"/>
      <c r="V1245" s="624"/>
      <c r="W1245" s="735">
        <v>33.6</v>
      </c>
      <c r="X1245" s="7"/>
      <c r="Y1245" s="7" t="str">
        <f>IF(AE1245="","",W1245*AE1245)</f>
        <v/>
      </c>
      <c r="Z1245" s="7">
        <f t="shared" si="54"/>
        <v>0</v>
      </c>
      <c r="AA1245" s="108"/>
      <c r="AB1245" s="479" t="s">
        <v>49</v>
      </c>
      <c r="AC1245" s="480"/>
      <c r="AD1245" s="187"/>
      <c r="AE1245" s="187"/>
      <c r="AF1245" s="205">
        <f t="shared" si="52"/>
        <v>0</v>
      </c>
      <c r="AG1245" s="30">
        <v>8</v>
      </c>
      <c r="AH1245" s="30" t="s">
        <v>58</v>
      </c>
      <c r="AI1245" s="719" t="s">
        <v>3944</v>
      </c>
      <c r="AJ1245" s="30" t="s">
        <v>1188</v>
      </c>
      <c r="AK1245" s="30" t="s">
        <v>1177</v>
      </c>
      <c r="AL1245" s="93" t="s">
        <v>1178</v>
      </c>
    </row>
    <row r="1246" spans="1:38" ht="15" customHeight="1" x14ac:dyDescent="0.3">
      <c r="A1246" s="788" t="s">
        <v>22</v>
      </c>
      <c r="B1246" s="167" t="s">
        <v>105</v>
      </c>
      <c r="C1246" s="135">
        <v>18</v>
      </c>
      <c r="D1246" s="11" t="s">
        <v>5936</v>
      </c>
      <c r="E1246" s="168">
        <v>38570</v>
      </c>
      <c r="F1246" s="202">
        <v>2005</v>
      </c>
      <c r="G1246" s="142" t="s">
        <v>1215</v>
      </c>
      <c r="H1246" s="204" t="s">
        <v>1216</v>
      </c>
      <c r="I1246" s="33" t="s">
        <v>33</v>
      </c>
      <c r="J1246" s="32" t="s">
        <v>191</v>
      </c>
      <c r="K1246" s="138" t="s">
        <v>3945</v>
      </c>
      <c r="L1246" s="137" t="s">
        <v>28</v>
      </c>
      <c r="M1246" s="137" t="s">
        <v>42</v>
      </c>
      <c r="N1246" s="137"/>
      <c r="O1246" s="765" t="s">
        <v>466</v>
      </c>
      <c r="P1246" s="765" t="s">
        <v>3946</v>
      </c>
      <c r="Q1246" s="15" t="s">
        <v>282</v>
      </c>
      <c r="R1246" s="132">
        <v>38896</v>
      </c>
      <c r="S1246" s="16" t="s">
        <v>44</v>
      </c>
      <c r="T1246" s="133">
        <v>39758</v>
      </c>
      <c r="U1246" s="631"/>
      <c r="V1246" s="789"/>
      <c r="W1246" s="239">
        <v>0</v>
      </c>
      <c r="X1246" s="240">
        <v>0</v>
      </c>
      <c r="Y1246" s="7">
        <f>IF(AE1246="","",W1246*AE1246)</f>
        <v>0</v>
      </c>
      <c r="Z1246" s="7">
        <f>IF(Y1246="",X1246,Y1246+X1246)</f>
        <v>0</v>
      </c>
      <c r="AA1246" s="108"/>
      <c r="AB1246" s="564" t="s">
        <v>1073</v>
      </c>
      <c r="AC1246" s="693"/>
      <c r="AD1246" s="187">
        <v>0</v>
      </c>
      <c r="AE1246" s="187">
        <v>0</v>
      </c>
      <c r="AF1246" s="205">
        <f>AE1246+AD1246</f>
        <v>0</v>
      </c>
      <c r="AG1246" s="184">
        <v>7</v>
      </c>
      <c r="AH1246" s="790"/>
      <c r="AI1246" s="791"/>
      <c r="AJ1246" s="138" t="s">
        <v>1188</v>
      </c>
      <c r="AK1246" s="138" t="s">
        <v>1185</v>
      </c>
      <c r="AL1246" s="93" t="s">
        <v>1178</v>
      </c>
    </row>
    <row r="1247" spans="1:38" ht="15" customHeight="1" x14ac:dyDescent="0.3">
      <c r="A1247" s="181" t="s">
        <v>525</v>
      </c>
      <c r="B1247" s="167" t="s">
        <v>105</v>
      </c>
      <c r="C1247" s="135">
        <v>18</v>
      </c>
      <c r="D1247" s="11" t="s">
        <v>5936</v>
      </c>
      <c r="E1247" s="168">
        <v>38570</v>
      </c>
      <c r="F1247" s="202">
        <v>2011</v>
      </c>
      <c r="G1247" s="792" t="s">
        <v>3947</v>
      </c>
      <c r="H1247" s="793" t="s">
        <v>3948</v>
      </c>
      <c r="I1247" s="33" t="s">
        <v>33</v>
      </c>
      <c r="J1247" s="32" t="s">
        <v>191</v>
      </c>
      <c r="K1247" s="264" t="s">
        <v>3949</v>
      </c>
      <c r="L1247" s="138" t="s">
        <v>1319</v>
      </c>
      <c r="M1247" s="137" t="s">
        <v>804</v>
      </c>
      <c r="N1247" s="137"/>
      <c r="O1247" s="765" t="s">
        <v>3950</v>
      </c>
      <c r="P1247" s="765" t="s">
        <v>6092</v>
      </c>
      <c r="Q1247" s="15" t="s">
        <v>35</v>
      </c>
      <c r="R1247" s="132"/>
      <c r="S1247" s="16" t="s">
        <v>35</v>
      </c>
      <c r="T1247" s="133">
        <v>42590</v>
      </c>
      <c r="U1247" s="631"/>
      <c r="V1247" s="789"/>
      <c r="W1247" s="239">
        <v>400000000</v>
      </c>
      <c r="X1247" s="240"/>
      <c r="Y1247" s="7">
        <f>IF(AE1247="","",W1247*AE1247)</f>
        <v>0</v>
      </c>
      <c r="Z1247" s="7">
        <f>IF(Y1247="",X1247,Y1247+X1247)</f>
        <v>0</v>
      </c>
      <c r="AA1247" s="108">
        <v>42748</v>
      </c>
      <c r="AB1247" s="504" t="s">
        <v>6093</v>
      </c>
      <c r="AC1247" s="138"/>
      <c r="AD1247" s="187">
        <v>1</v>
      </c>
      <c r="AE1247" s="187">
        <v>0</v>
      </c>
      <c r="AF1247" s="205">
        <f>AE1247+AD1247</f>
        <v>1</v>
      </c>
      <c r="AG1247" s="184">
        <v>8</v>
      </c>
      <c r="AH1247" s="790"/>
      <c r="AI1247" s="787" t="s">
        <v>3952</v>
      </c>
      <c r="AJ1247" s="138" t="s">
        <v>1188</v>
      </c>
      <c r="AK1247" s="181" t="s">
        <v>1185</v>
      </c>
      <c r="AL1247" s="138" t="s">
        <v>1178</v>
      </c>
    </row>
    <row r="1248" spans="1:38" ht="15" customHeight="1" x14ac:dyDescent="0.3">
      <c r="A1248" s="181" t="s">
        <v>22</v>
      </c>
      <c r="B1248" s="145" t="s">
        <v>227</v>
      </c>
      <c r="C1248" s="135" t="s">
        <v>3953</v>
      </c>
      <c r="D1248" s="11" t="s">
        <v>225</v>
      </c>
      <c r="E1248" s="168">
        <v>41913</v>
      </c>
      <c r="F1248" s="136">
        <v>2014</v>
      </c>
      <c r="G1248" s="178" t="s">
        <v>3954</v>
      </c>
      <c r="H1248" s="204" t="s">
        <v>3955</v>
      </c>
      <c r="I1248" s="136" t="s">
        <v>38</v>
      </c>
      <c r="J1248" s="32" t="s">
        <v>26</v>
      </c>
      <c r="K1248" s="197" t="s">
        <v>50</v>
      </c>
      <c r="L1248" s="746" t="s">
        <v>28</v>
      </c>
      <c r="M1248" s="138" t="s">
        <v>42</v>
      </c>
      <c r="N1248" s="138"/>
      <c r="O1248" s="138" t="s">
        <v>3956</v>
      </c>
      <c r="P1248" s="138" t="s">
        <v>6094</v>
      </c>
      <c r="Q1248" s="15" t="s">
        <v>35</v>
      </c>
      <c r="R1248" s="231">
        <v>42698</v>
      </c>
      <c r="S1248" s="241"/>
      <c r="T1248" s="241"/>
      <c r="U1248" s="776"/>
      <c r="V1248" s="776"/>
      <c r="W1248" s="242">
        <v>13000000</v>
      </c>
      <c r="X1248" s="243">
        <v>0</v>
      </c>
      <c r="Y1248" s="7">
        <f t="shared" ref="Y1248:Y1259" si="55">IF(AE1248="","",W1248*AE1248)</f>
        <v>0</v>
      </c>
      <c r="Z1248" s="7">
        <f t="shared" ref="Z1248:Z1253" si="56">IF(Y1248="",X1248,Y1248+X1248)</f>
        <v>0</v>
      </c>
      <c r="AA1248" s="233"/>
      <c r="AB1248" s="500" t="s">
        <v>5953</v>
      </c>
      <c r="AC1248" s="501"/>
      <c r="AD1248" s="196">
        <v>0</v>
      </c>
      <c r="AE1248" s="187">
        <v>0</v>
      </c>
      <c r="AF1248" s="205">
        <f t="shared" ref="AF1248:AF1278" si="57">AE1248+AD1248</f>
        <v>0</v>
      </c>
      <c r="AG1248" s="197">
        <v>8</v>
      </c>
      <c r="AH1248" s="138" t="s">
        <v>245</v>
      </c>
      <c r="AI1248" s="197"/>
      <c r="AJ1248" s="197" t="s">
        <v>1188</v>
      </c>
      <c r="AK1248" s="197" t="s">
        <v>3457</v>
      </c>
      <c r="AL1248" s="93" t="s">
        <v>1178</v>
      </c>
    </row>
    <row r="1249" spans="1:38" ht="15" customHeight="1" x14ac:dyDescent="0.3">
      <c r="A1249" s="181" t="s">
        <v>22</v>
      </c>
      <c r="B1249" s="145" t="s">
        <v>105</v>
      </c>
      <c r="C1249" s="135">
        <v>2</v>
      </c>
      <c r="D1249" s="11" t="s">
        <v>5936</v>
      </c>
      <c r="E1249" s="168">
        <v>41569</v>
      </c>
      <c r="F1249" s="136">
        <v>2013</v>
      </c>
      <c r="G1249" s="178" t="s">
        <v>3957</v>
      </c>
      <c r="H1249" s="204" t="s">
        <v>3958</v>
      </c>
      <c r="I1249" s="136" t="s">
        <v>38</v>
      </c>
      <c r="J1249" s="32" t="s">
        <v>26</v>
      </c>
      <c r="K1249" s="197" t="s">
        <v>50</v>
      </c>
      <c r="L1249" s="746" t="s">
        <v>3501</v>
      </c>
      <c r="M1249" s="197" t="s">
        <v>42</v>
      </c>
      <c r="N1249" s="197"/>
      <c r="O1249" s="138" t="s">
        <v>3959</v>
      </c>
      <c r="P1249" s="138" t="s">
        <v>6095</v>
      </c>
      <c r="Q1249" s="15" t="s">
        <v>282</v>
      </c>
      <c r="R1249" s="132">
        <v>42319</v>
      </c>
      <c r="S1249" s="16" t="s">
        <v>44</v>
      </c>
      <c r="T1249" s="133">
        <v>42656</v>
      </c>
      <c r="U1249" s="623"/>
      <c r="V1249" s="624"/>
      <c r="W1249" s="242">
        <v>22000000</v>
      </c>
      <c r="X1249" s="243">
        <v>0</v>
      </c>
      <c r="Y1249" s="7">
        <f t="shared" si="55"/>
        <v>0</v>
      </c>
      <c r="Z1249" s="185">
        <f t="shared" si="56"/>
        <v>0</v>
      </c>
      <c r="AA1249" s="233"/>
      <c r="AB1249" s="564" t="s">
        <v>1073</v>
      </c>
      <c r="AC1249" s="693"/>
      <c r="AD1249" s="196">
        <v>0</v>
      </c>
      <c r="AE1249" s="187">
        <v>0</v>
      </c>
      <c r="AF1249" s="205">
        <f t="shared" si="57"/>
        <v>0</v>
      </c>
      <c r="AG1249" s="138">
        <v>8</v>
      </c>
      <c r="AH1249" s="138" t="s">
        <v>3951</v>
      </c>
      <c r="AI1249" s="138"/>
      <c r="AJ1249" s="138" t="s">
        <v>1188</v>
      </c>
      <c r="AK1249" s="181" t="s">
        <v>1185</v>
      </c>
      <c r="AL1249" s="138" t="s">
        <v>1178</v>
      </c>
    </row>
    <row r="1250" spans="1:38" ht="15" customHeight="1" x14ac:dyDescent="0.3">
      <c r="A1250" s="181" t="s">
        <v>22</v>
      </c>
      <c r="B1250" s="145" t="s">
        <v>105</v>
      </c>
      <c r="C1250" s="135">
        <v>20</v>
      </c>
      <c r="D1250" s="11" t="s">
        <v>5936</v>
      </c>
      <c r="E1250" s="168">
        <v>41848</v>
      </c>
      <c r="F1250" s="136">
        <v>2014</v>
      </c>
      <c r="G1250" s="178" t="s">
        <v>3962</v>
      </c>
      <c r="H1250" s="204" t="s">
        <v>3963</v>
      </c>
      <c r="I1250" s="136" t="s">
        <v>80</v>
      </c>
      <c r="J1250" s="32" t="s">
        <v>26</v>
      </c>
      <c r="K1250" s="197" t="s">
        <v>50</v>
      </c>
      <c r="L1250" s="746" t="s">
        <v>3501</v>
      </c>
      <c r="M1250" s="138" t="s">
        <v>42</v>
      </c>
      <c r="N1250" s="138"/>
      <c r="O1250" s="138" t="s">
        <v>3965</v>
      </c>
      <c r="P1250" s="138" t="s">
        <v>3966</v>
      </c>
      <c r="Q1250" s="15" t="s">
        <v>282</v>
      </c>
      <c r="R1250" s="218">
        <v>42111</v>
      </c>
      <c r="S1250" s="16" t="s">
        <v>44</v>
      </c>
      <c r="T1250" s="133">
        <v>42654</v>
      </c>
      <c r="U1250" s="623"/>
      <c r="V1250" s="624"/>
      <c r="W1250" s="242">
        <v>47500000</v>
      </c>
      <c r="X1250" s="243">
        <v>0</v>
      </c>
      <c r="Y1250" s="7">
        <f t="shared" si="55"/>
        <v>0</v>
      </c>
      <c r="Z1250" s="185">
        <f t="shared" si="56"/>
        <v>0</v>
      </c>
      <c r="AA1250" s="233"/>
      <c r="AB1250" s="513" t="s">
        <v>3232</v>
      </c>
      <c r="AC1250" s="147"/>
      <c r="AD1250" s="196">
        <v>0</v>
      </c>
      <c r="AE1250" s="187">
        <v>0</v>
      </c>
      <c r="AF1250" s="205">
        <f t="shared" si="57"/>
        <v>0</v>
      </c>
      <c r="AG1250" s="138">
        <v>8</v>
      </c>
      <c r="AH1250" s="138"/>
      <c r="AI1250" s="138"/>
      <c r="AJ1250" s="138" t="s">
        <v>1188</v>
      </c>
      <c r="AK1250" s="181" t="s">
        <v>1185</v>
      </c>
      <c r="AL1250" s="138" t="s">
        <v>1178</v>
      </c>
    </row>
    <row r="1251" spans="1:38" ht="15" customHeight="1" x14ac:dyDescent="0.3">
      <c r="A1251" s="248" t="s">
        <v>22</v>
      </c>
      <c r="B1251" s="244" t="s">
        <v>116</v>
      </c>
      <c r="C1251" s="245" t="s">
        <v>240</v>
      </c>
      <c r="D1251" s="11" t="s">
        <v>5936</v>
      </c>
      <c r="E1251" s="247">
        <v>42229</v>
      </c>
      <c r="F1251" s="246">
        <v>2015</v>
      </c>
      <c r="G1251" s="792" t="s">
        <v>3967</v>
      </c>
      <c r="H1251" s="204" t="s">
        <v>3968</v>
      </c>
      <c r="I1251" s="246" t="s">
        <v>38</v>
      </c>
      <c r="J1251" s="32" t="s">
        <v>26</v>
      </c>
      <c r="K1251" s="137" t="s">
        <v>86</v>
      </c>
      <c r="L1251" s="264" t="s">
        <v>28</v>
      </c>
      <c r="M1251" s="264" t="s">
        <v>42</v>
      </c>
      <c r="N1251" s="264"/>
      <c r="O1251" s="264" t="s">
        <v>3969</v>
      </c>
      <c r="P1251" s="783" t="s">
        <v>3970</v>
      </c>
      <c r="Q1251" s="15" t="s">
        <v>282</v>
      </c>
      <c r="R1251" s="218">
        <v>42479</v>
      </c>
      <c r="S1251" s="16" t="s">
        <v>44</v>
      </c>
      <c r="T1251" s="133">
        <v>42670</v>
      </c>
      <c r="U1251" s="623"/>
      <c r="V1251" s="624"/>
      <c r="W1251" s="242">
        <v>91600000</v>
      </c>
      <c r="X1251" s="243">
        <v>0</v>
      </c>
      <c r="Y1251" s="7">
        <f t="shared" si="55"/>
        <v>0</v>
      </c>
      <c r="Z1251" s="185">
        <f t="shared" si="56"/>
        <v>0</v>
      </c>
      <c r="AA1251" s="233"/>
      <c r="AB1251" s="503" t="s">
        <v>3960</v>
      </c>
      <c r="AC1251" s="222"/>
      <c r="AD1251" s="196">
        <v>0</v>
      </c>
      <c r="AE1251" s="187">
        <v>0</v>
      </c>
      <c r="AF1251" s="205">
        <f t="shared" si="57"/>
        <v>0</v>
      </c>
      <c r="AG1251" s="138">
        <v>8</v>
      </c>
      <c r="AH1251" s="138" t="s">
        <v>3961</v>
      </c>
      <c r="AI1251" s="138"/>
      <c r="AJ1251" s="138" t="s">
        <v>1188</v>
      </c>
      <c r="AK1251" s="181" t="s">
        <v>1185</v>
      </c>
      <c r="AL1251" s="138" t="s">
        <v>1178</v>
      </c>
    </row>
    <row r="1252" spans="1:38" ht="15" customHeight="1" x14ac:dyDescent="0.3">
      <c r="A1252" s="181" t="s">
        <v>22</v>
      </c>
      <c r="B1252" s="181" t="s">
        <v>105</v>
      </c>
      <c r="C1252" s="181">
        <v>32</v>
      </c>
      <c r="D1252" s="11" t="s">
        <v>5936</v>
      </c>
      <c r="E1252" s="192">
        <v>41710</v>
      </c>
      <c r="F1252" s="181">
        <v>2014</v>
      </c>
      <c r="G1252" s="181" t="s">
        <v>3972</v>
      </c>
      <c r="H1252" s="217" t="s">
        <v>3973</v>
      </c>
      <c r="I1252" s="136" t="s">
        <v>3964</v>
      </c>
      <c r="J1252" s="32" t="s">
        <v>26</v>
      </c>
      <c r="K1252" s="197" t="s">
        <v>50</v>
      </c>
      <c r="L1252" s="138" t="s">
        <v>56</v>
      </c>
      <c r="M1252" s="181" t="s">
        <v>42</v>
      </c>
      <c r="N1252" s="181"/>
      <c r="O1252" s="138" t="s">
        <v>3974</v>
      </c>
      <c r="P1252" s="138" t="s">
        <v>3975</v>
      </c>
      <c r="Q1252" s="15" t="s">
        <v>282</v>
      </c>
      <c r="R1252" s="218">
        <v>42584</v>
      </c>
      <c r="S1252" s="16" t="s">
        <v>35</v>
      </c>
      <c r="T1252" s="133">
        <v>42605</v>
      </c>
      <c r="U1252" s="623"/>
      <c r="V1252" s="624"/>
      <c r="W1252" s="249">
        <v>50000000</v>
      </c>
      <c r="X1252" s="240">
        <v>0</v>
      </c>
      <c r="Y1252" s="7" t="str">
        <f t="shared" si="55"/>
        <v/>
      </c>
      <c r="Z1252" s="7">
        <f t="shared" si="56"/>
        <v>0</v>
      </c>
      <c r="AA1252" s="250"/>
      <c r="AB1252" s="513" t="s">
        <v>3232</v>
      </c>
      <c r="AC1252" s="147"/>
      <c r="AD1252" s="251"/>
      <c r="AE1252" s="187"/>
      <c r="AF1252" s="205">
        <f t="shared" si="57"/>
        <v>0</v>
      </c>
      <c r="AG1252" s="181">
        <v>8</v>
      </c>
      <c r="AH1252" s="250"/>
      <c r="AI1252" s="718" t="s">
        <v>3976</v>
      </c>
      <c r="AJ1252" s="138" t="s">
        <v>1188</v>
      </c>
      <c r="AK1252" s="181" t="s">
        <v>1185</v>
      </c>
      <c r="AL1252" s="138" t="s">
        <v>1178</v>
      </c>
    </row>
    <row r="1253" spans="1:38" ht="15" customHeight="1" x14ac:dyDescent="0.3">
      <c r="A1253" s="30" t="s">
        <v>22</v>
      </c>
      <c r="B1253" s="145" t="s">
        <v>506</v>
      </c>
      <c r="C1253" s="107">
        <v>3</v>
      </c>
      <c r="D1253" s="11" t="s">
        <v>225</v>
      </c>
      <c r="E1253" s="114">
        <v>42045</v>
      </c>
      <c r="F1253" s="136">
        <v>2015</v>
      </c>
      <c r="G1253" s="142" t="s">
        <v>3977</v>
      </c>
      <c r="H1253" s="162" t="s">
        <v>3978</v>
      </c>
      <c r="I1253" s="30" t="s">
        <v>38</v>
      </c>
      <c r="J1253" s="32" t="s">
        <v>191</v>
      </c>
      <c r="K1253" s="137" t="s">
        <v>3979</v>
      </c>
      <c r="L1253" s="746" t="s">
        <v>85</v>
      </c>
      <c r="M1253" s="137" t="s">
        <v>804</v>
      </c>
      <c r="N1253" s="197"/>
      <c r="O1253" s="197" t="s">
        <v>3980</v>
      </c>
      <c r="P1253" s="197" t="s">
        <v>3981</v>
      </c>
      <c r="Q1253" s="15" t="s">
        <v>35</v>
      </c>
      <c r="R1253" s="231">
        <v>42503</v>
      </c>
      <c r="S1253" s="16" t="s">
        <v>35</v>
      </c>
      <c r="T1253" s="232">
        <v>42599</v>
      </c>
      <c r="U1253" s="776"/>
      <c r="V1253" s="776"/>
      <c r="W1253" s="242">
        <v>50000000</v>
      </c>
      <c r="X1253" s="243">
        <v>3799999.9999999972</v>
      </c>
      <c r="Y1253" s="7">
        <f t="shared" si="55"/>
        <v>0</v>
      </c>
      <c r="Z1253" s="7">
        <f t="shared" si="56"/>
        <v>3799999.9999999972</v>
      </c>
      <c r="AA1253" s="233">
        <v>42724</v>
      </c>
      <c r="AB1253" s="467" t="s">
        <v>3641</v>
      </c>
      <c r="AC1253" s="197"/>
      <c r="AD1253" s="196">
        <v>1</v>
      </c>
      <c r="AE1253" s="187">
        <v>0</v>
      </c>
      <c r="AF1253" s="205">
        <f t="shared" si="57"/>
        <v>1</v>
      </c>
      <c r="AG1253" s="197">
        <v>8</v>
      </c>
      <c r="AH1253" s="197" t="s">
        <v>3971</v>
      </c>
      <c r="AI1253" s="736" t="s">
        <v>3984</v>
      </c>
      <c r="AJ1253" s="197" t="s">
        <v>1188</v>
      </c>
      <c r="AK1253" s="197" t="s">
        <v>1185</v>
      </c>
      <c r="AL1253" s="93" t="s">
        <v>1178</v>
      </c>
    </row>
    <row r="1254" spans="1:38" ht="15" customHeight="1" x14ac:dyDescent="0.3">
      <c r="A1254" s="181" t="s">
        <v>22</v>
      </c>
      <c r="B1254" s="120" t="s">
        <v>159</v>
      </c>
      <c r="C1254" s="107">
        <v>1</v>
      </c>
      <c r="D1254" s="11" t="s">
        <v>143</v>
      </c>
      <c r="E1254" s="114">
        <v>41901</v>
      </c>
      <c r="F1254" s="107">
        <v>2014</v>
      </c>
      <c r="G1254" s="142" t="s">
        <v>3985</v>
      </c>
      <c r="H1254" s="162" t="s">
        <v>3986</v>
      </c>
      <c r="I1254" s="30" t="s">
        <v>38</v>
      </c>
      <c r="J1254" s="32" t="s">
        <v>26</v>
      </c>
      <c r="K1254" s="197" t="s">
        <v>50</v>
      </c>
      <c r="L1254" s="197" t="s">
        <v>3439</v>
      </c>
      <c r="M1254" s="137" t="s">
        <v>804</v>
      </c>
      <c r="N1254" s="197"/>
      <c r="O1254" s="197" t="s">
        <v>3987</v>
      </c>
      <c r="P1254" s="197" t="s">
        <v>3988</v>
      </c>
      <c r="Q1254" s="15" t="s">
        <v>35</v>
      </c>
      <c r="R1254" s="179">
        <v>42228</v>
      </c>
      <c r="S1254" s="16" t="s">
        <v>35</v>
      </c>
      <c r="T1254" s="191">
        <v>42692</v>
      </c>
      <c r="U1254" s="707"/>
      <c r="V1254" s="623"/>
      <c r="W1254" s="252">
        <v>13000000</v>
      </c>
      <c r="X1254" s="253">
        <v>9750000</v>
      </c>
      <c r="Y1254" s="7" t="str">
        <f t="shared" si="55"/>
        <v/>
      </c>
      <c r="Z1254" s="201">
        <f>IF(Y1254="",X1254,Y1254+X1254)-9750000</f>
        <v>0</v>
      </c>
      <c r="AA1254" s="90">
        <v>42758</v>
      </c>
      <c r="AB1254" s="706" t="s">
        <v>147</v>
      </c>
      <c r="AC1254" s="200"/>
      <c r="AD1254" s="187">
        <v>0.75</v>
      </c>
      <c r="AE1254" s="187"/>
      <c r="AF1254" s="205">
        <f t="shared" si="57"/>
        <v>0.75</v>
      </c>
      <c r="AG1254" s="200">
        <v>8</v>
      </c>
      <c r="AH1254" s="200"/>
      <c r="AI1254" s="719" t="s">
        <v>3989</v>
      </c>
      <c r="AJ1254" s="200" t="s">
        <v>1188</v>
      </c>
      <c r="AK1254" s="200" t="s">
        <v>1185</v>
      </c>
      <c r="AL1254" s="146" t="s">
        <v>1178</v>
      </c>
    </row>
    <row r="1255" spans="1:38" ht="15" customHeight="1" x14ac:dyDescent="0.3">
      <c r="A1255" s="181" t="s">
        <v>22</v>
      </c>
      <c r="B1255" s="145" t="s">
        <v>193</v>
      </c>
      <c r="C1255" s="135">
        <v>3</v>
      </c>
      <c r="D1255" s="136" t="s">
        <v>190</v>
      </c>
      <c r="E1255" s="168">
        <v>41523</v>
      </c>
      <c r="F1255" s="136">
        <v>2013</v>
      </c>
      <c r="G1255" s="178" t="s">
        <v>3990</v>
      </c>
      <c r="H1255" s="217" t="s">
        <v>3991</v>
      </c>
      <c r="I1255" s="33" t="s">
        <v>33</v>
      </c>
      <c r="J1255" s="32" t="s">
        <v>26</v>
      </c>
      <c r="K1255" s="137" t="s">
        <v>3979</v>
      </c>
      <c r="L1255" s="746" t="s">
        <v>85</v>
      </c>
      <c r="M1255" s="137" t="s">
        <v>804</v>
      </c>
      <c r="N1255" s="197"/>
      <c r="O1255" s="138" t="s">
        <v>3992</v>
      </c>
      <c r="P1255" s="138" t="s">
        <v>3993</v>
      </c>
      <c r="Q1255" s="15" t="s">
        <v>35</v>
      </c>
      <c r="R1255" s="218">
        <v>41719</v>
      </c>
      <c r="S1255" s="16" t="s">
        <v>35</v>
      </c>
      <c r="T1255" s="133">
        <v>42608</v>
      </c>
      <c r="U1255" s="236"/>
      <c r="V1255" s="237"/>
      <c r="W1255" s="242">
        <v>30000000</v>
      </c>
      <c r="X1255" s="240">
        <v>25500000</v>
      </c>
      <c r="Y1255" s="7">
        <f t="shared" si="55"/>
        <v>0</v>
      </c>
      <c r="Z1255" s="254">
        <f>IF(Y1255="",X1255,Y1255+X1255)-25500000</f>
        <v>0</v>
      </c>
      <c r="AA1255" s="235">
        <v>42781</v>
      </c>
      <c r="AB1255" s="604" t="s">
        <v>3982</v>
      </c>
      <c r="AC1255" s="163"/>
      <c r="AD1255" s="187">
        <v>1</v>
      </c>
      <c r="AE1255" s="187">
        <v>0</v>
      </c>
      <c r="AF1255" s="205">
        <f t="shared" si="57"/>
        <v>1</v>
      </c>
      <c r="AG1255" s="138">
        <v>8</v>
      </c>
      <c r="AH1255" s="138" t="s">
        <v>3983</v>
      </c>
      <c r="AI1255" s="718" t="s">
        <v>3994</v>
      </c>
      <c r="AJ1255" s="138" t="s">
        <v>1188</v>
      </c>
      <c r="AK1255" s="181" t="s">
        <v>1185</v>
      </c>
      <c r="AL1255" s="181" t="s">
        <v>1178</v>
      </c>
    </row>
    <row r="1256" spans="1:38" ht="15" customHeight="1" x14ac:dyDescent="0.3">
      <c r="A1256" s="181" t="s">
        <v>140</v>
      </c>
      <c r="B1256" s="301" t="s">
        <v>819</v>
      </c>
      <c r="C1256" s="135">
        <v>2</v>
      </c>
      <c r="D1256" s="11" t="s">
        <v>225</v>
      </c>
      <c r="E1256" s="168">
        <v>42570</v>
      </c>
      <c r="F1256" s="136">
        <v>2016</v>
      </c>
      <c r="G1256" s="178" t="s">
        <v>3995</v>
      </c>
      <c r="H1256" s="178"/>
      <c r="I1256" s="30" t="s">
        <v>38</v>
      </c>
      <c r="J1256" s="181" t="s">
        <v>81</v>
      </c>
      <c r="K1256" s="197" t="s">
        <v>163</v>
      </c>
      <c r="L1256" s="197" t="s">
        <v>3996</v>
      </c>
      <c r="M1256" s="137" t="s">
        <v>804</v>
      </c>
      <c r="N1256" s="197"/>
      <c r="O1256" s="783" t="s">
        <v>3997</v>
      </c>
      <c r="P1256" s="197" t="s">
        <v>6096</v>
      </c>
      <c r="Q1256" s="15" t="s">
        <v>35</v>
      </c>
      <c r="R1256" s="231">
        <v>42678</v>
      </c>
      <c r="S1256" s="16" t="s">
        <v>44</v>
      </c>
      <c r="T1256" s="232">
        <v>42766</v>
      </c>
      <c r="U1256" s="776"/>
      <c r="V1256" s="776"/>
      <c r="W1256" s="242">
        <v>5000000</v>
      </c>
      <c r="X1256" s="243">
        <v>2500000</v>
      </c>
      <c r="Y1256" s="7" t="str">
        <f t="shared" si="55"/>
        <v/>
      </c>
      <c r="Z1256" s="7">
        <f t="shared" ref="Z1256:Z1263" si="58">IF(Y1256="",X1256,Y1256+X1256)</f>
        <v>2500000</v>
      </c>
      <c r="AA1256" s="233">
        <v>42916</v>
      </c>
      <c r="AB1256" s="504" t="s">
        <v>6115</v>
      </c>
      <c r="AC1256" s="138"/>
      <c r="AD1256" s="196">
        <v>0.5</v>
      </c>
      <c r="AE1256" s="187"/>
      <c r="AF1256" s="205">
        <f t="shared" si="57"/>
        <v>0.5</v>
      </c>
      <c r="AG1256" s="197">
        <v>8</v>
      </c>
      <c r="AH1256" s="197"/>
      <c r="AI1256" s="736" t="s">
        <v>3698</v>
      </c>
      <c r="AJ1256" s="197" t="s">
        <v>1188</v>
      </c>
      <c r="AK1256" s="197" t="s">
        <v>1185</v>
      </c>
      <c r="AL1256" s="93" t="s">
        <v>1178</v>
      </c>
    </row>
    <row r="1257" spans="1:38" ht="15" customHeight="1" x14ac:dyDescent="0.3">
      <c r="A1257" s="30" t="s">
        <v>22</v>
      </c>
      <c r="B1257" s="120" t="s">
        <v>105</v>
      </c>
      <c r="C1257" s="109">
        <v>8</v>
      </c>
      <c r="D1257" s="11" t="s">
        <v>5936</v>
      </c>
      <c r="E1257" s="108">
        <v>37456</v>
      </c>
      <c r="F1257" s="33">
        <v>2002</v>
      </c>
      <c r="G1257" s="142" t="s">
        <v>3998</v>
      </c>
      <c r="H1257" s="162" t="s">
        <v>3999</v>
      </c>
      <c r="I1257" s="33" t="s">
        <v>33</v>
      </c>
      <c r="J1257" s="32" t="s">
        <v>26</v>
      </c>
      <c r="K1257" s="197" t="s">
        <v>1194</v>
      </c>
      <c r="L1257" s="137" t="s">
        <v>40</v>
      </c>
      <c r="M1257" s="137" t="s">
        <v>804</v>
      </c>
      <c r="N1257" s="137"/>
      <c r="O1257" s="138" t="s">
        <v>4000</v>
      </c>
      <c r="P1257" s="732" t="s">
        <v>4001</v>
      </c>
      <c r="Q1257" s="15" t="s">
        <v>35</v>
      </c>
      <c r="R1257" s="132">
        <v>40025</v>
      </c>
      <c r="S1257" s="16" t="s">
        <v>35</v>
      </c>
      <c r="T1257" s="133">
        <v>40816</v>
      </c>
      <c r="U1257" s="623" t="s">
        <v>44</v>
      </c>
      <c r="V1257" s="180">
        <v>42767</v>
      </c>
      <c r="W1257" s="239">
        <v>80000000</v>
      </c>
      <c r="X1257" s="240">
        <v>80000000</v>
      </c>
      <c r="Y1257" s="7">
        <f t="shared" si="55"/>
        <v>0</v>
      </c>
      <c r="Z1257" s="7">
        <f t="shared" si="58"/>
        <v>80000000</v>
      </c>
      <c r="AA1257" s="108">
        <v>43358</v>
      </c>
      <c r="AB1257" s="564" t="s">
        <v>1073</v>
      </c>
      <c r="AC1257" s="693"/>
      <c r="AD1257" s="187">
        <v>1</v>
      </c>
      <c r="AE1257" s="187">
        <v>0</v>
      </c>
      <c r="AF1257" s="205">
        <f t="shared" si="57"/>
        <v>1</v>
      </c>
      <c r="AG1257" s="163">
        <v>8</v>
      </c>
      <c r="AH1257" s="93"/>
      <c r="AI1257" s="718" t="s">
        <v>4002</v>
      </c>
      <c r="AJ1257" s="181" t="s">
        <v>1188</v>
      </c>
      <c r="AK1257" s="30" t="s">
        <v>99</v>
      </c>
      <c r="AL1257" s="93" t="s">
        <v>1178</v>
      </c>
    </row>
    <row r="1258" spans="1:38" ht="15" customHeight="1" x14ac:dyDescent="0.3">
      <c r="A1258" s="181" t="s">
        <v>140</v>
      </c>
      <c r="B1258" s="167" t="s">
        <v>105</v>
      </c>
      <c r="C1258" s="135">
        <v>34</v>
      </c>
      <c r="D1258" s="11" t="s">
        <v>5936</v>
      </c>
      <c r="E1258" s="168">
        <v>42101</v>
      </c>
      <c r="F1258" s="136">
        <v>2015</v>
      </c>
      <c r="G1258" s="178" t="s">
        <v>4003</v>
      </c>
      <c r="H1258" s="178" t="s">
        <v>4004</v>
      </c>
      <c r="I1258" s="136" t="s">
        <v>38</v>
      </c>
      <c r="J1258" s="181" t="s">
        <v>81</v>
      </c>
      <c r="K1258" s="197" t="s">
        <v>163</v>
      </c>
      <c r="L1258" s="197" t="s">
        <v>28</v>
      </c>
      <c r="M1258" s="197" t="s">
        <v>42</v>
      </c>
      <c r="N1258" s="197"/>
      <c r="O1258" s="197" t="s">
        <v>4005</v>
      </c>
      <c r="P1258" s="197" t="s">
        <v>4006</v>
      </c>
      <c r="Q1258" s="220"/>
      <c r="R1258" s="218"/>
      <c r="S1258" s="92"/>
      <c r="T1258" s="133"/>
      <c r="U1258" s="623"/>
      <c r="V1258" s="624"/>
      <c r="W1258" s="242">
        <v>5000000</v>
      </c>
      <c r="X1258" s="240">
        <v>0</v>
      </c>
      <c r="Y1258" s="7" t="str">
        <f t="shared" si="55"/>
        <v/>
      </c>
      <c r="Z1258" s="185">
        <f t="shared" si="58"/>
        <v>0</v>
      </c>
      <c r="AA1258" s="233"/>
      <c r="AB1258" s="564" t="s">
        <v>1073</v>
      </c>
      <c r="AC1258" s="693"/>
      <c r="AD1258" s="196"/>
      <c r="AE1258" s="187"/>
      <c r="AF1258" s="205">
        <f t="shared" si="57"/>
        <v>0</v>
      </c>
      <c r="AG1258" s="138">
        <v>8</v>
      </c>
      <c r="AH1258" s="138"/>
      <c r="AI1258" s="718" t="s">
        <v>3698</v>
      </c>
      <c r="AJ1258" s="138" t="s">
        <v>1188</v>
      </c>
      <c r="AK1258" s="181" t="s">
        <v>1177</v>
      </c>
      <c r="AL1258" s="138" t="s">
        <v>1178</v>
      </c>
    </row>
    <row r="1259" spans="1:38" ht="15" customHeight="1" x14ac:dyDescent="0.3">
      <c r="A1259" s="30" t="s">
        <v>22</v>
      </c>
      <c r="B1259" s="30" t="s">
        <v>23</v>
      </c>
      <c r="C1259" s="37">
        <v>16</v>
      </c>
      <c r="D1259" s="11" t="s">
        <v>24</v>
      </c>
      <c r="E1259" s="108">
        <v>41619</v>
      </c>
      <c r="F1259" s="37">
        <v>2013</v>
      </c>
      <c r="G1259" s="30" t="s">
        <v>4007</v>
      </c>
      <c r="H1259" s="162" t="s">
        <v>4008</v>
      </c>
      <c r="I1259" s="12" t="s">
        <v>38</v>
      </c>
      <c r="J1259" s="32" t="s">
        <v>26</v>
      </c>
      <c r="K1259" s="197" t="s">
        <v>50</v>
      </c>
      <c r="L1259" s="137" t="s">
        <v>3349</v>
      </c>
      <c r="M1259" s="660" t="s">
        <v>42</v>
      </c>
      <c r="N1259" s="709"/>
      <c r="O1259" s="146" t="s">
        <v>4009</v>
      </c>
      <c r="P1259" s="138" t="s">
        <v>6097</v>
      </c>
      <c r="Q1259" s="91"/>
      <c r="R1259" s="132"/>
      <c r="S1259" s="92"/>
      <c r="T1259" s="139"/>
      <c r="U1259" s="624"/>
      <c r="V1259" s="624"/>
      <c r="W1259" s="239">
        <v>36000000</v>
      </c>
      <c r="X1259" s="240">
        <v>0</v>
      </c>
      <c r="Y1259" s="7">
        <f t="shared" si="55"/>
        <v>0</v>
      </c>
      <c r="Z1259" s="7">
        <f t="shared" si="58"/>
        <v>0</v>
      </c>
      <c r="AA1259" s="108"/>
      <c r="AB1259" s="762" t="s">
        <v>3077</v>
      </c>
      <c r="AC1259" s="652"/>
      <c r="AD1259" s="187">
        <v>0</v>
      </c>
      <c r="AE1259" s="187">
        <v>0</v>
      </c>
      <c r="AF1259" s="205">
        <f t="shared" si="57"/>
        <v>0</v>
      </c>
      <c r="AG1259" s="30">
        <v>8</v>
      </c>
      <c r="AH1259" s="30" t="s">
        <v>58</v>
      </c>
      <c r="AI1259" s="719" t="s">
        <v>4010</v>
      </c>
      <c r="AJ1259" s="30" t="s">
        <v>1188</v>
      </c>
      <c r="AK1259" s="30" t="s">
        <v>1177</v>
      </c>
      <c r="AL1259" s="93" t="s">
        <v>1178</v>
      </c>
    </row>
    <row r="1260" spans="1:38" ht="15" customHeight="1" x14ac:dyDescent="0.3">
      <c r="A1260" s="181" t="s">
        <v>22</v>
      </c>
      <c r="B1260" s="181" t="s">
        <v>246</v>
      </c>
      <c r="C1260" s="135" t="s">
        <v>4011</v>
      </c>
      <c r="D1260" s="11" t="s">
        <v>225</v>
      </c>
      <c r="E1260" s="168">
        <v>42675</v>
      </c>
      <c r="F1260" s="136">
        <v>2016</v>
      </c>
      <c r="G1260" s="178" t="s">
        <v>4012</v>
      </c>
      <c r="H1260" s="178" t="s">
        <v>4013</v>
      </c>
      <c r="I1260" s="30" t="s">
        <v>38</v>
      </c>
      <c r="J1260" s="32" t="s">
        <v>26</v>
      </c>
      <c r="K1260" s="197" t="s">
        <v>4014</v>
      </c>
      <c r="L1260" s="197" t="s">
        <v>4015</v>
      </c>
      <c r="M1260" s="137" t="s">
        <v>804</v>
      </c>
      <c r="N1260" s="197"/>
      <c r="O1260" s="783" t="s">
        <v>4016</v>
      </c>
      <c r="P1260" s="794" t="s">
        <v>4017</v>
      </c>
      <c r="Q1260" s="15" t="s">
        <v>35</v>
      </c>
      <c r="R1260" s="231">
        <v>42774</v>
      </c>
      <c r="S1260" s="241"/>
      <c r="T1260" s="241"/>
      <c r="U1260" s="776"/>
      <c r="V1260" s="776"/>
      <c r="W1260" s="256">
        <v>10000000</v>
      </c>
      <c r="X1260" s="185"/>
      <c r="Y1260" s="201">
        <f>IF(AE1260="","",W1260*AE1260)-5908543</f>
        <v>4091457</v>
      </c>
      <c r="Z1260" s="201">
        <f t="shared" si="58"/>
        <v>4091457</v>
      </c>
      <c r="AA1260" s="229">
        <v>42828</v>
      </c>
      <c r="AB1260" s="500" t="s">
        <v>5953</v>
      </c>
      <c r="AC1260" s="501"/>
      <c r="AD1260" s="196">
        <v>0</v>
      </c>
      <c r="AE1260" s="187">
        <v>1</v>
      </c>
      <c r="AF1260" s="205">
        <f t="shared" si="57"/>
        <v>1</v>
      </c>
      <c r="AG1260" s="197">
        <v>8</v>
      </c>
      <c r="AH1260" s="197"/>
      <c r="AI1260" s="736" t="s">
        <v>4018</v>
      </c>
      <c r="AJ1260" s="197" t="s">
        <v>1188</v>
      </c>
      <c r="AK1260" s="197" t="s">
        <v>3457</v>
      </c>
      <c r="AL1260" s="93" t="s">
        <v>1178</v>
      </c>
    </row>
    <row r="1261" spans="1:38" ht="15" customHeight="1" x14ac:dyDescent="0.3">
      <c r="A1261" s="181" t="s">
        <v>22</v>
      </c>
      <c r="B1261" s="145" t="s">
        <v>105</v>
      </c>
      <c r="C1261" s="135">
        <v>20</v>
      </c>
      <c r="D1261" s="11" t="s">
        <v>5936</v>
      </c>
      <c r="E1261" s="168">
        <v>41851</v>
      </c>
      <c r="F1261" s="136">
        <v>2014</v>
      </c>
      <c r="G1261" s="178" t="s">
        <v>4019</v>
      </c>
      <c r="H1261" s="204" t="s">
        <v>4020</v>
      </c>
      <c r="I1261" s="33" t="s">
        <v>33</v>
      </c>
      <c r="J1261" s="32" t="s">
        <v>26</v>
      </c>
      <c r="K1261" s="197" t="s">
        <v>4021</v>
      </c>
      <c r="L1261" s="746" t="s">
        <v>3501</v>
      </c>
      <c r="M1261" s="197" t="s">
        <v>42</v>
      </c>
      <c r="N1261" s="197"/>
      <c r="O1261" s="138" t="s">
        <v>4022</v>
      </c>
      <c r="P1261" s="736" t="s">
        <v>4023</v>
      </c>
      <c r="Q1261" s="15" t="s">
        <v>282</v>
      </c>
      <c r="R1261" s="218">
        <v>42514</v>
      </c>
      <c r="S1261" s="16" t="s">
        <v>44</v>
      </c>
      <c r="T1261" s="133">
        <v>42620</v>
      </c>
      <c r="U1261" s="623"/>
      <c r="V1261" s="624"/>
      <c r="W1261" s="242">
        <v>15000000</v>
      </c>
      <c r="X1261" s="243">
        <v>0</v>
      </c>
      <c r="Y1261" s="7">
        <f t="shared" ref="Y1261:Y1272" si="59">IF(AE1261="","",W1261*AE1261)</f>
        <v>0</v>
      </c>
      <c r="Z1261" s="185">
        <f t="shared" si="58"/>
        <v>0</v>
      </c>
      <c r="AA1261" s="233"/>
      <c r="AB1261" s="564" t="s">
        <v>1073</v>
      </c>
      <c r="AC1261" s="693"/>
      <c r="AD1261" s="196">
        <v>0</v>
      </c>
      <c r="AE1261" s="187">
        <v>0</v>
      </c>
      <c r="AF1261" s="205">
        <f t="shared" si="57"/>
        <v>0</v>
      </c>
      <c r="AG1261" s="138">
        <v>8</v>
      </c>
      <c r="AH1261" s="138" t="s">
        <v>3951</v>
      </c>
      <c r="AI1261" s="138"/>
      <c r="AJ1261" s="138" t="s">
        <v>1188</v>
      </c>
      <c r="AK1261" s="30" t="s">
        <v>99</v>
      </c>
      <c r="AL1261" s="138" t="s">
        <v>1178</v>
      </c>
    </row>
    <row r="1262" spans="1:38" ht="15" customHeight="1" x14ac:dyDescent="0.3">
      <c r="A1262" s="181" t="s">
        <v>140</v>
      </c>
      <c r="B1262" s="145" t="s">
        <v>197</v>
      </c>
      <c r="C1262" s="135">
        <v>5</v>
      </c>
      <c r="D1262" s="136" t="s">
        <v>190</v>
      </c>
      <c r="E1262" s="168">
        <v>42178</v>
      </c>
      <c r="F1262" s="136">
        <v>2015</v>
      </c>
      <c r="G1262" s="178" t="s">
        <v>4024</v>
      </c>
      <c r="H1262" s="178" t="s">
        <v>4025</v>
      </c>
      <c r="I1262" s="136" t="s">
        <v>38</v>
      </c>
      <c r="J1262" s="181" t="s">
        <v>81</v>
      </c>
      <c r="K1262" s="197" t="s">
        <v>163</v>
      </c>
      <c r="L1262" s="197" t="s">
        <v>28</v>
      </c>
      <c r="M1262" s="197" t="s">
        <v>42</v>
      </c>
      <c r="N1262" s="197"/>
      <c r="O1262" s="197" t="s">
        <v>4026</v>
      </c>
      <c r="P1262" s="197" t="s">
        <v>4027</v>
      </c>
      <c r="Q1262" s="15" t="s">
        <v>282</v>
      </c>
      <c r="R1262" s="132">
        <v>42843</v>
      </c>
      <c r="S1262" s="16" t="s">
        <v>44</v>
      </c>
      <c r="T1262" s="133">
        <v>42874</v>
      </c>
      <c r="U1262" s="623"/>
      <c r="V1262" s="624"/>
      <c r="W1262" s="242">
        <v>5000000</v>
      </c>
      <c r="X1262" s="243">
        <v>0</v>
      </c>
      <c r="Y1262" s="7">
        <f t="shared" si="59"/>
        <v>0</v>
      </c>
      <c r="Z1262" s="185">
        <f t="shared" si="58"/>
        <v>0</v>
      </c>
      <c r="AA1262" s="233"/>
      <c r="AB1262" s="564" t="s">
        <v>2595</v>
      </c>
      <c r="AC1262" s="693"/>
      <c r="AD1262" s="196">
        <v>0</v>
      </c>
      <c r="AE1262" s="187">
        <v>0</v>
      </c>
      <c r="AF1262" s="205">
        <f t="shared" si="57"/>
        <v>0</v>
      </c>
      <c r="AG1262" s="138">
        <v>8</v>
      </c>
      <c r="AH1262" s="138"/>
      <c r="AI1262" s="718" t="s">
        <v>3698</v>
      </c>
      <c r="AJ1262" s="138" t="s">
        <v>1188</v>
      </c>
      <c r="AK1262" s="181" t="s">
        <v>1185</v>
      </c>
      <c r="AL1262" s="138" t="s">
        <v>1178</v>
      </c>
    </row>
    <row r="1263" spans="1:38" ht="15" customHeight="1" x14ac:dyDescent="0.3">
      <c r="A1263" s="30" t="s">
        <v>22</v>
      </c>
      <c r="B1263" s="30" t="s">
        <v>23</v>
      </c>
      <c r="C1263" s="146">
        <v>12</v>
      </c>
      <c r="D1263" s="11" t="s">
        <v>24</v>
      </c>
      <c r="E1263" s="108">
        <v>42334</v>
      </c>
      <c r="F1263" s="37">
        <v>2015</v>
      </c>
      <c r="G1263" s="30" t="s">
        <v>4028</v>
      </c>
      <c r="H1263" s="162" t="s">
        <v>4029</v>
      </c>
      <c r="I1263" s="12" t="s">
        <v>38</v>
      </c>
      <c r="J1263" s="32" t="s">
        <v>26</v>
      </c>
      <c r="K1263" s="137" t="s">
        <v>50</v>
      </c>
      <c r="L1263" s="137" t="s">
        <v>28</v>
      </c>
      <c r="M1263" s="660" t="s">
        <v>42</v>
      </c>
      <c r="N1263" s="709"/>
      <c r="O1263" s="146" t="s">
        <v>4030</v>
      </c>
      <c r="P1263" s="718" t="s">
        <v>6098</v>
      </c>
      <c r="Q1263" s="91"/>
      <c r="R1263" s="132"/>
      <c r="S1263" s="92"/>
      <c r="T1263" s="139"/>
      <c r="U1263" s="624"/>
      <c r="V1263" s="624"/>
      <c r="W1263" s="239">
        <v>21800000</v>
      </c>
      <c r="X1263" s="240">
        <v>0</v>
      </c>
      <c r="Y1263" s="7" t="str">
        <f t="shared" si="59"/>
        <v/>
      </c>
      <c r="Z1263" s="7">
        <f t="shared" si="58"/>
        <v>0</v>
      </c>
      <c r="AA1263" s="108"/>
      <c r="AB1263" s="762" t="s">
        <v>3077</v>
      </c>
      <c r="AC1263" s="652"/>
      <c r="AD1263" s="187"/>
      <c r="AE1263" s="187"/>
      <c r="AF1263" s="205">
        <f t="shared" si="57"/>
        <v>0</v>
      </c>
      <c r="AG1263" s="30">
        <v>8</v>
      </c>
      <c r="AH1263" s="30" t="s">
        <v>58</v>
      </c>
      <c r="AI1263" s="719" t="s">
        <v>4031</v>
      </c>
      <c r="AJ1263" s="30" t="s">
        <v>1188</v>
      </c>
      <c r="AK1263" s="30" t="s">
        <v>1177</v>
      </c>
      <c r="AL1263" s="93" t="s">
        <v>1178</v>
      </c>
    </row>
    <row r="1264" spans="1:38" ht="15" customHeight="1" x14ac:dyDescent="0.3">
      <c r="A1264" s="181" t="s">
        <v>22</v>
      </c>
      <c r="B1264" s="167" t="s">
        <v>105</v>
      </c>
      <c r="C1264" s="135">
        <v>3</v>
      </c>
      <c r="D1264" s="11" t="s">
        <v>5936</v>
      </c>
      <c r="E1264" s="168">
        <v>42319</v>
      </c>
      <c r="F1264" s="136">
        <v>2015</v>
      </c>
      <c r="G1264" s="178" t="s">
        <v>4032</v>
      </c>
      <c r="H1264" s="178" t="s">
        <v>4033</v>
      </c>
      <c r="I1264" s="33" t="s">
        <v>33</v>
      </c>
      <c r="J1264" s="32" t="s">
        <v>26</v>
      </c>
      <c r="K1264" s="137" t="s">
        <v>3979</v>
      </c>
      <c r="L1264" s="197" t="s">
        <v>109</v>
      </c>
      <c r="M1264" s="137" t="s">
        <v>804</v>
      </c>
      <c r="N1264" s="197"/>
      <c r="O1264" s="197" t="s">
        <v>4034</v>
      </c>
      <c r="P1264" s="783" t="s">
        <v>4035</v>
      </c>
      <c r="Q1264" s="15" t="s">
        <v>35</v>
      </c>
      <c r="R1264" s="218">
        <v>42600</v>
      </c>
      <c r="S1264" s="16" t="s">
        <v>35</v>
      </c>
      <c r="T1264" s="133">
        <v>42620</v>
      </c>
      <c r="U1264" s="623"/>
      <c r="V1264" s="624"/>
      <c r="W1264" s="242">
        <v>20000000</v>
      </c>
      <c r="X1264" s="243">
        <v>8500000</v>
      </c>
      <c r="Y1264" s="201">
        <f t="shared" si="59"/>
        <v>10000000</v>
      </c>
      <c r="Z1264" s="189">
        <f>IF(Y1264="",X1264,Y1264+X1264)-18500000</f>
        <v>0</v>
      </c>
      <c r="AA1264" s="229">
        <v>42879</v>
      </c>
      <c r="AB1264" s="513" t="s">
        <v>3232</v>
      </c>
      <c r="AC1264" s="147"/>
      <c r="AD1264" s="196">
        <v>0.5</v>
      </c>
      <c r="AE1264" s="187">
        <v>0.5</v>
      </c>
      <c r="AF1264" s="205">
        <f t="shared" si="57"/>
        <v>1</v>
      </c>
      <c r="AG1264" s="138">
        <v>8</v>
      </c>
      <c r="AH1264" s="138"/>
      <c r="AI1264" s="718" t="s">
        <v>4036</v>
      </c>
      <c r="AJ1264" s="138" t="s">
        <v>1188</v>
      </c>
      <c r="AK1264" s="181" t="s">
        <v>1185</v>
      </c>
      <c r="AL1264" s="138" t="s">
        <v>1178</v>
      </c>
    </row>
    <row r="1265" spans="1:38" ht="15" customHeight="1" x14ac:dyDescent="0.3">
      <c r="A1265" s="181" t="s">
        <v>160</v>
      </c>
      <c r="B1265" s="167" t="s">
        <v>105</v>
      </c>
      <c r="C1265" s="135">
        <v>3</v>
      </c>
      <c r="D1265" s="11" t="s">
        <v>5936</v>
      </c>
      <c r="E1265" s="168">
        <v>42319</v>
      </c>
      <c r="F1265" s="136">
        <v>2015</v>
      </c>
      <c r="G1265" s="178" t="s">
        <v>4037</v>
      </c>
      <c r="H1265" s="178" t="s">
        <v>4038</v>
      </c>
      <c r="I1265" s="30" t="s">
        <v>38</v>
      </c>
      <c r="J1265" s="32" t="s">
        <v>26</v>
      </c>
      <c r="K1265" s="197" t="s">
        <v>138</v>
      </c>
      <c r="L1265" s="197" t="s">
        <v>179</v>
      </c>
      <c r="M1265" s="137" t="s">
        <v>804</v>
      </c>
      <c r="N1265" s="197"/>
      <c r="O1265" s="783" t="s">
        <v>4039</v>
      </c>
      <c r="P1265" s="783" t="s">
        <v>4040</v>
      </c>
      <c r="Q1265" s="15" t="s">
        <v>35</v>
      </c>
      <c r="R1265" s="218">
        <v>42669</v>
      </c>
      <c r="S1265" s="16" t="s">
        <v>35</v>
      </c>
      <c r="T1265" s="133">
        <v>42703</v>
      </c>
      <c r="U1265" s="623"/>
      <c r="V1265" s="624"/>
      <c r="W1265" s="242">
        <v>26000000</v>
      </c>
      <c r="X1265" s="243">
        <v>13000000</v>
      </c>
      <c r="Y1265" s="201">
        <f t="shared" si="59"/>
        <v>13000000</v>
      </c>
      <c r="Z1265" s="189">
        <f>IF(Y1265="",X1265,Y1265+X1265)-16124813</f>
        <v>9875187</v>
      </c>
      <c r="AA1265" s="229">
        <v>42879</v>
      </c>
      <c r="AB1265" s="467" t="s">
        <v>52</v>
      </c>
      <c r="AC1265" s="197"/>
      <c r="AD1265" s="196">
        <v>0.5</v>
      </c>
      <c r="AE1265" s="187">
        <v>0.5</v>
      </c>
      <c r="AF1265" s="205">
        <f t="shared" si="57"/>
        <v>1</v>
      </c>
      <c r="AG1265" s="138">
        <v>8</v>
      </c>
      <c r="AH1265" s="200" t="s">
        <v>45</v>
      </c>
      <c r="AI1265" s="718" t="s">
        <v>4042</v>
      </c>
      <c r="AJ1265" s="138" t="s">
        <v>1188</v>
      </c>
      <c r="AK1265" s="30" t="s">
        <v>1185</v>
      </c>
      <c r="AL1265" s="138" t="s">
        <v>1178</v>
      </c>
    </row>
    <row r="1266" spans="1:38" ht="15" customHeight="1" x14ac:dyDescent="0.3">
      <c r="A1266" s="30" t="s">
        <v>22</v>
      </c>
      <c r="B1266" s="30" t="s">
        <v>23</v>
      </c>
      <c r="C1266" s="146">
        <v>6</v>
      </c>
      <c r="D1266" s="11" t="s">
        <v>24</v>
      </c>
      <c r="E1266" s="108">
        <v>42500</v>
      </c>
      <c r="F1266" s="37">
        <v>2016</v>
      </c>
      <c r="G1266" s="30" t="s">
        <v>4043</v>
      </c>
      <c r="H1266" s="162" t="s">
        <v>4044</v>
      </c>
      <c r="I1266" s="12" t="s">
        <v>38</v>
      </c>
      <c r="J1266" s="32" t="s">
        <v>26</v>
      </c>
      <c r="K1266" s="137" t="s">
        <v>4014</v>
      </c>
      <c r="L1266" s="137" t="s">
        <v>28</v>
      </c>
      <c r="M1266" s="660" t="s">
        <v>42</v>
      </c>
      <c r="N1266" s="709"/>
      <c r="O1266" s="146" t="s">
        <v>4045</v>
      </c>
      <c r="P1266" s="138" t="s">
        <v>6099</v>
      </c>
      <c r="Q1266" s="91"/>
      <c r="R1266" s="132"/>
      <c r="S1266" s="92"/>
      <c r="T1266" s="139"/>
      <c r="U1266" s="624"/>
      <c r="V1266" s="624"/>
      <c r="W1266" s="239">
        <v>17100000</v>
      </c>
      <c r="X1266" s="240">
        <v>0</v>
      </c>
      <c r="Y1266" s="7" t="str">
        <f t="shared" si="59"/>
        <v/>
      </c>
      <c r="Z1266" s="7">
        <f t="shared" ref="Z1266:Z1271" si="60">IF(Y1266="",X1266,Y1266+X1266)</f>
        <v>0</v>
      </c>
      <c r="AA1266" s="108"/>
      <c r="AB1266" s="762" t="s">
        <v>3077</v>
      </c>
      <c r="AC1266" s="652"/>
      <c r="AD1266" s="187"/>
      <c r="AE1266" s="187"/>
      <c r="AF1266" s="205">
        <f t="shared" si="57"/>
        <v>0</v>
      </c>
      <c r="AG1266" s="30">
        <v>8</v>
      </c>
      <c r="AH1266" s="30" t="s">
        <v>2284</v>
      </c>
      <c r="AI1266" s="719" t="s">
        <v>4047</v>
      </c>
      <c r="AJ1266" s="30" t="s">
        <v>1188</v>
      </c>
      <c r="AK1266" s="30" t="s">
        <v>1177</v>
      </c>
      <c r="AL1266" s="93" t="s">
        <v>1178</v>
      </c>
    </row>
    <row r="1267" spans="1:38" ht="15" customHeight="1" x14ac:dyDescent="0.3">
      <c r="A1267" s="30" t="s">
        <v>22</v>
      </c>
      <c r="B1267" s="30" t="s">
        <v>23</v>
      </c>
      <c r="C1267" s="146">
        <v>15</v>
      </c>
      <c r="D1267" s="11" t="s">
        <v>24</v>
      </c>
      <c r="E1267" s="108">
        <v>42284</v>
      </c>
      <c r="F1267" s="37">
        <v>2015</v>
      </c>
      <c r="G1267" s="30" t="s">
        <v>4048</v>
      </c>
      <c r="H1267" s="162" t="s">
        <v>4049</v>
      </c>
      <c r="I1267" s="12" t="s">
        <v>38</v>
      </c>
      <c r="J1267" s="32" t="s">
        <v>26</v>
      </c>
      <c r="K1267" s="197" t="s">
        <v>4050</v>
      </c>
      <c r="L1267" s="137" t="s">
        <v>28</v>
      </c>
      <c r="M1267" s="660" t="s">
        <v>42</v>
      </c>
      <c r="N1267" s="709"/>
      <c r="O1267" s="146" t="s">
        <v>4051</v>
      </c>
      <c r="P1267" s="138" t="s">
        <v>4052</v>
      </c>
      <c r="Q1267" s="15" t="s">
        <v>282</v>
      </c>
      <c r="R1267" s="132">
        <v>42473</v>
      </c>
      <c r="S1267" s="16" t="s">
        <v>44</v>
      </c>
      <c r="T1267" s="139" t="s">
        <v>4053</v>
      </c>
      <c r="U1267" s="624"/>
      <c r="V1267" s="624"/>
      <c r="W1267" s="239">
        <v>80000000</v>
      </c>
      <c r="X1267" s="240">
        <v>0</v>
      </c>
      <c r="Y1267" s="7" t="str">
        <f t="shared" si="59"/>
        <v/>
      </c>
      <c r="Z1267" s="7">
        <f t="shared" si="60"/>
        <v>0</v>
      </c>
      <c r="AA1267" s="108"/>
      <c r="AB1267" s="762" t="s">
        <v>3077</v>
      </c>
      <c r="AC1267" s="652"/>
      <c r="AD1267" s="187"/>
      <c r="AE1267" s="187"/>
      <c r="AF1267" s="205">
        <f t="shared" si="57"/>
        <v>0</v>
      </c>
      <c r="AG1267" s="30">
        <v>8</v>
      </c>
      <c r="AH1267" s="30" t="s">
        <v>4041</v>
      </c>
      <c r="AI1267" s="200"/>
      <c r="AJ1267" s="30" t="s">
        <v>1188</v>
      </c>
      <c r="AK1267" s="30" t="s">
        <v>1185</v>
      </c>
      <c r="AL1267" s="93" t="s">
        <v>1178</v>
      </c>
    </row>
    <row r="1268" spans="1:38" ht="15" customHeight="1" x14ac:dyDescent="0.3">
      <c r="A1268" s="30" t="s">
        <v>22</v>
      </c>
      <c r="B1268" s="30" t="s">
        <v>23</v>
      </c>
      <c r="C1268" s="30">
        <v>16</v>
      </c>
      <c r="D1268" s="11" t="s">
        <v>24</v>
      </c>
      <c r="E1268" s="108">
        <v>41543</v>
      </c>
      <c r="F1268" s="37">
        <v>2013</v>
      </c>
      <c r="G1268" s="30" t="s">
        <v>4055</v>
      </c>
      <c r="H1268" s="162" t="s">
        <v>4056</v>
      </c>
      <c r="I1268" s="57" t="s">
        <v>6176</v>
      </c>
      <c r="J1268" s="37" t="s">
        <v>67</v>
      </c>
      <c r="K1268" s="137" t="s">
        <v>4057</v>
      </c>
      <c r="L1268" s="137" t="s">
        <v>3349</v>
      </c>
      <c r="M1268" s="660" t="s">
        <v>42</v>
      </c>
      <c r="N1268" s="709"/>
      <c r="O1268" s="146" t="s">
        <v>4058</v>
      </c>
      <c r="P1268" s="138" t="s">
        <v>4059</v>
      </c>
      <c r="Q1268" s="15" t="s">
        <v>35</v>
      </c>
      <c r="R1268" s="132">
        <v>42213</v>
      </c>
      <c r="S1268" s="16" t="s">
        <v>44</v>
      </c>
      <c r="T1268" s="165">
        <v>42677</v>
      </c>
      <c r="U1268" s="624"/>
      <c r="V1268" s="624"/>
      <c r="W1268" s="239">
        <v>25000000</v>
      </c>
      <c r="X1268" s="240">
        <v>0</v>
      </c>
      <c r="Y1268" s="7">
        <f t="shared" si="59"/>
        <v>0</v>
      </c>
      <c r="Z1268" s="7">
        <f t="shared" si="60"/>
        <v>0</v>
      </c>
      <c r="AA1268" s="108"/>
      <c r="AB1268" s="772" t="s">
        <v>36</v>
      </c>
      <c r="AC1268" s="30"/>
      <c r="AD1268" s="187">
        <v>0</v>
      </c>
      <c r="AE1268" s="187">
        <v>0</v>
      </c>
      <c r="AF1268" s="205">
        <f t="shared" si="57"/>
        <v>0</v>
      </c>
      <c r="AG1268" s="30">
        <v>8</v>
      </c>
      <c r="AH1268" s="30" t="s">
        <v>4046</v>
      </c>
      <c r="AI1268" s="146"/>
      <c r="AJ1268" s="30" t="s">
        <v>1188</v>
      </c>
      <c r="AK1268" s="30" t="s">
        <v>1185</v>
      </c>
      <c r="AL1268" s="93" t="s">
        <v>1178</v>
      </c>
    </row>
    <row r="1269" spans="1:38" ht="15" customHeight="1" x14ac:dyDescent="0.3">
      <c r="A1269" s="30" t="s">
        <v>22</v>
      </c>
      <c r="B1269" s="30" t="s">
        <v>23</v>
      </c>
      <c r="C1269" s="37">
        <v>16</v>
      </c>
      <c r="D1269" s="11" t="s">
        <v>24</v>
      </c>
      <c r="E1269" s="108">
        <v>41862</v>
      </c>
      <c r="F1269" s="37">
        <v>2014</v>
      </c>
      <c r="G1269" s="30" t="s">
        <v>4060</v>
      </c>
      <c r="H1269" s="162" t="s">
        <v>4061</v>
      </c>
      <c r="I1269" s="12" t="s">
        <v>80</v>
      </c>
      <c r="J1269" s="32" t="s">
        <v>26</v>
      </c>
      <c r="K1269" s="137" t="s">
        <v>4062</v>
      </c>
      <c r="L1269" s="137" t="s">
        <v>3349</v>
      </c>
      <c r="M1269" s="660" t="s">
        <v>42</v>
      </c>
      <c r="N1269" s="709"/>
      <c r="O1269" s="146" t="s">
        <v>4063</v>
      </c>
      <c r="P1269" s="138" t="s">
        <v>4064</v>
      </c>
      <c r="Q1269" s="15" t="s">
        <v>282</v>
      </c>
      <c r="R1269" s="132">
        <v>42311</v>
      </c>
      <c r="S1269" s="16" t="s">
        <v>44</v>
      </c>
      <c r="T1269" s="165">
        <v>42580</v>
      </c>
      <c r="U1269" s="624"/>
      <c r="V1269" s="624"/>
      <c r="W1269" s="239">
        <v>50000000</v>
      </c>
      <c r="X1269" s="240">
        <v>0</v>
      </c>
      <c r="Y1269" s="7">
        <f t="shared" si="59"/>
        <v>0</v>
      </c>
      <c r="Z1269" s="7">
        <f t="shared" si="60"/>
        <v>0</v>
      </c>
      <c r="AA1269" s="108"/>
      <c r="AB1269" s="772" t="s">
        <v>36</v>
      </c>
      <c r="AC1269" s="30"/>
      <c r="AD1269" s="187">
        <v>0</v>
      </c>
      <c r="AE1269" s="187">
        <v>0</v>
      </c>
      <c r="AF1269" s="205">
        <f t="shared" si="57"/>
        <v>0</v>
      </c>
      <c r="AG1269" s="30">
        <v>8</v>
      </c>
      <c r="AH1269" s="30" t="s">
        <v>4054</v>
      </c>
      <c r="AI1269" s="200"/>
      <c r="AJ1269" s="30" t="s">
        <v>1188</v>
      </c>
      <c r="AK1269" s="30" t="s">
        <v>1185</v>
      </c>
      <c r="AL1269" s="93" t="s">
        <v>1178</v>
      </c>
    </row>
    <row r="1270" spans="1:38" ht="15" customHeight="1" x14ac:dyDescent="0.3">
      <c r="A1270" s="30" t="s">
        <v>22</v>
      </c>
      <c r="B1270" s="161" t="s">
        <v>105</v>
      </c>
      <c r="C1270" s="161" t="s">
        <v>4065</v>
      </c>
      <c r="D1270" s="11" t="s">
        <v>5936</v>
      </c>
      <c r="E1270" s="460">
        <v>39083</v>
      </c>
      <c r="F1270" s="161">
        <v>2007</v>
      </c>
      <c r="G1270" s="161" t="s">
        <v>4066</v>
      </c>
      <c r="H1270" s="161" t="s">
        <v>4067</v>
      </c>
      <c r="I1270" s="161" t="s">
        <v>38</v>
      </c>
      <c r="J1270" s="32" t="s">
        <v>26</v>
      </c>
      <c r="K1270" s="197" t="s">
        <v>50</v>
      </c>
      <c r="L1270" s="138" t="s">
        <v>132</v>
      </c>
      <c r="M1270" s="137" t="s">
        <v>42</v>
      </c>
      <c r="N1270" s="764"/>
      <c r="O1270" s="795" t="s">
        <v>4068</v>
      </c>
      <c r="P1270" s="718" t="s">
        <v>4069</v>
      </c>
      <c r="Q1270" s="15" t="s">
        <v>282</v>
      </c>
      <c r="R1270" s="179">
        <v>39994</v>
      </c>
      <c r="S1270" s="16" t="s">
        <v>44</v>
      </c>
      <c r="T1270" s="133">
        <v>40480</v>
      </c>
      <c r="U1270" s="742" t="s">
        <v>44</v>
      </c>
      <c r="V1270" s="742" t="s">
        <v>4070</v>
      </c>
      <c r="W1270" s="249">
        <v>40000000</v>
      </c>
      <c r="X1270" s="253">
        <v>0</v>
      </c>
      <c r="Y1270" s="7">
        <f t="shared" si="59"/>
        <v>0</v>
      </c>
      <c r="Z1270" s="7">
        <f t="shared" si="60"/>
        <v>0</v>
      </c>
      <c r="AA1270" s="90"/>
      <c r="AB1270" s="564" t="s">
        <v>1073</v>
      </c>
      <c r="AC1270" s="693"/>
      <c r="AD1270" s="187">
        <v>0</v>
      </c>
      <c r="AE1270" s="187">
        <v>0</v>
      </c>
      <c r="AF1270" s="205">
        <f t="shared" si="57"/>
        <v>0</v>
      </c>
      <c r="AG1270" s="161" t="s">
        <v>2916</v>
      </c>
      <c r="AH1270" s="161"/>
      <c r="AI1270" s="161"/>
      <c r="AJ1270" s="161" t="s">
        <v>1188</v>
      </c>
      <c r="AK1270" s="30" t="s">
        <v>99</v>
      </c>
      <c r="AL1270" s="161" t="s">
        <v>1178</v>
      </c>
    </row>
    <row r="1271" spans="1:38" ht="15" customHeight="1" x14ac:dyDescent="0.3">
      <c r="A1271" s="30" t="s">
        <v>22</v>
      </c>
      <c r="B1271" s="30" t="s">
        <v>23</v>
      </c>
      <c r="C1271" s="146">
        <v>19</v>
      </c>
      <c r="D1271" s="11" t="s">
        <v>24</v>
      </c>
      <c r="E1271" s="108">
        <v>42415</v>
      </c>
      <c r="F1271" s="37">
        <v>2016</v>
      </c>
      <c r="G1271" s="30" t="s">
        <v>4072</v>
      </c>
      <c r="H1271" s="162" t="s">
        <v>4073</v>
      </c>
      <c r="I1271" s="12" t="s">
        <v>38</v>
      </c>
      <c r="J1271" s="32" t="s">
        <v>26</v>
      </c>
      <c r="K1271" s="137" t="s">
        <v>50</v>
      </c>
      <c r="L1271" s="137" t="s">
        <v>28</v>
      </c>
      <c r="M1271" s="660" t="s">
        <v>42</v>
      </c>
      <c r="N1271" s="709"/>
      <c r="O1271" s="146" t="s">
        <v>4074</v>
      </c>
      <c r="P1271" s="138" t="s">
        <v>6100</v>
      </c>
      <c r="Q1271" s="91"/>
      <c r="R1271" s="132"/>
      <c r="S1271" s="92"/>
      <c r="T1271" s="139"/>
      <c r="U1271" s="624"/>
      <c r="V1271" s="624"/>
      <c r="W1271" s="239">
        <v>111900000</v>
      </c>
      <c r="X1271" s="240">
        <v>0</v>
      </c>
      <c r="Y1271" s="7" t="str">
        <f t="shared" si="59"/>
        <v/>
      </c>
      <c r="Z1271" s="7">
        <f t="shared" si="60"/>
        <v>0</v>
      </c>
      <c r="AA1271" s="108"/>
      <c r="AB1271" s="772" t="s">
        <v>36</v>
      </c>
      <c r="AC1271" s="30"/>
      <c r="AD1271" s="187"/>
      <c r="AE1271" s="187"/>
      <c r="AF1271" s="205">
        <f t="shared" si="57"/>
        <v>0</v>
      </c>
      <c r="AG1271" s="30">
        <v>8</v>
      </c>
      <c r="AH1271" s="200" t="s">
        <v>45</v>
      </c>
      <c r="AI1271" s="718" t="s">
        <v>4075</v>
      </c>
      <c r="AJ1271" s="30" t="s">
        <v>1188</v>
      </c>
      <c r="AK1271" s="30" t="s">
        <v>1177</v>
      </c>
      <c r="AL1271" s="93" t="s">
        <v>1178</v>
      </c>
    </row>
    <row r="1272" spans="1:38" ht="15" customHeight="1" x14ac:dyDescent="0.3">
      <c r="A1272" s="181" t="s">
        <v>22</v>
      </c>
      <c r="B1272" s="167" t="s">
        <v>228</v>
      </c>
      <c r="C1272" s="135">
        <v>4</v>
      </c>
      <c r="D1272" s="11" t="s">
        <v>225</v>
      </c>
      <c r="E1272" s="168">
        <v>42489</v>
      </c>
      <c r="F1272" s="136">
        <v>2016</v>
      </c>
      <c r="G1272" s="178" t="s">
        <v>4076</v>
      </c>
      <c r="H1272" s="178" t="s">
        <v>4077</v>
      </c>
      <c r="I1272" s="30" t="s">
        <v>38</v>
      </c>
      <c r="J1272" s="32" t="s">
        <v>26</v>
      </c>
      <c r="K1272" s="197" t="s">
        <v>50</v>
      </c>
      <c r="L1272" s="197" t="s">
        <v>179</v>
      </c>
      <c r="M1272" s="137" t="s">
        <v>804</v>
      </c>
      <c r="N1272" s="197"/>
      <c r="O1272" s="783" t="s">
        <v>4078</v>
      </c>
      <c r="P1272" s="783" t="s">
        <v>4079</v>
      </c>
      <c r="Q1272" s="15" t="s">
        <v>35</v>
      </c>
      <c r="R1272" s="231">
        <v>42667</v>
      </c>
      <c r="S1272" s="16" t="s">
        <v>35</v>
      </c>
      <c r="T1272" s="232">
        <v>42874</v>
      </c>
      <c r="U1272" s="776"/>
      <c r="V1272" s="776"/>
      <c r="W1272" s="242">
        <v>36000000</v>
      </c>
      <c r="X1272" s="243">
        <v>18000000</v>
      </c>
      <c r="Y1272" s="7" t="str">
        <f t="shared" si="59"/>
        <v/>
      </c>
      <c r="Z1272" s="201">
        <f>IF(Y1272="",X1272,Y1272+X1272)-11461410</f>
        <v>6538590</v>
      </c>
      <c r="AA1272" s="229">
        <v>42978</v>
      </c>
      <c r="AB1272" s="500" t="s">
        <v>5953</v>
      </c>
      <c r="AC1272" s="501"/>
      <c r="AD1272" s="196">
        <v>0.5</v>
      </c>
      <c r="AE1272" s="187"/>
      <c r="AF1272" s="205">
        <f t="shared" si="57"/>
        <v>0.5</v>
      </c>
      <c r="AG1272" s="197">
        <v>8</v>
      </c>
      <c r="AH1272" s="197" t="s">
        <v>4071</v>
      </c>
      <c r="AI1272" s="736" t="s">
        <v>4080</v>
      </c>
      <c r="AJ1272" s="197" t="s">
        <v>1188</v>
      </c>
      <c r="AK1272" s="197" t="s">
        <v>1185</v>
      </c>
      <c r="AL1272" s="93" t="s">
        <v>1178</v>
      </c>
    </row>
    <row r="1273" spans="1:38" ht="15" customHeight="1" x14ac:dyDescent="0.3">
      <c r="A1273" s="30" t="s">
        <v>22</v>
      </c>
      <c r="B1273" s="30" t="s">
        <v>23</v>
      </c>
      <c r="C1273" s="37">
        <v>7</v>
      </c>
      <c r="D1273" s="11" t="s">
        <v>24</v>
      </c>
      <c r="E1273" s="108">
        <v>41478</v>
      </c>
      <c r="F1273" s="37">
        <v>2014</v>
      </c>
      <c r="G1273" s="30" t="s">
        <v>4081</v>
      </c>
      <c r="H1273" s="162" t="s">
        <v>4082</v>
      </c>
      <c r="I1273" s="12" t="s">
        <v>80</v>
      </c>
      <c r="J1273" s="32" t="s">
        <v>26</v>
      </c>
      <c r="K1273" s="197" t="s">
        <v>50</v>
      </c>
      <c r="L1273" s="137" t="s">
        <v>3754</v>
      </c>
      <c r="M1273" s="137" t="s">
        <v>804</v>
      </c>
      <c r="N1273" s="709"/>
      <c r="O1273" s="146" t="s">
        <v>4083</v>
      </c>
      <c r="P1273" s="138" t="s">
        <v>6101</v>
      </c>
      <c r="Q1273" s="15" t="s">
        <v>35</v>
      </c>
      <c r="R1273" s="132">
        <v>42488</v>
      </c>
      <c r="S1273" s="16" t="s">
        <v>35</v>
      </c>
      <c r="T1273" s="165">
        <v>42892</v>
      </c>
      <c r="U1273" s="624"/>
      <c r="V1273" s="624"/>
      <c r="W1273" s="239">
        <v>36400000</v>
      </c>
      <c r="X1273" s="257">
        <v>0</v>
      </c>
      <c r="Y1273" s="201">
        <f>IF(AE1273="","",W1273*AE1273)-13377692</f>
        <v>4822308</v>
      </c>
      <c r="Z1273" s="201">
        <f>IF(Y1273="",X1273,Y1273+X1273)</f>
        <v>4822308</v>
      </c>
      <c r="AA1273" s="192">
        <v>42955</v>
      </c>
      <c r="AB1273" s="772" t="s">
        <v>36</v>
      </c>
      <c r="AC1273" s="30"/>
      <c r="AD1273" s="187">
        <v>0.5</v>
      </c>
      <c r="AE1273" s="187">
        <v>0.5</v>
      </c>
      <c r="AF1273" s="205">
        <f t="shared" si="57"/>
        <v>1</v>
      </c>
      <c r="AG1273" s="30">
        <v>8</v>
      </c>
      <c r="AH1273" s="30" t="s">
        <v>58</v>
      </c>
      <c r="AI1273" s="719" t="s">
        <v>4084</v>
      </c>
      <c r="AJ1273" s="30" t="s">
        <v>1188</v>
      </c>
      <c r="AK1273" s="30" t="s">
        <v>1185</v>
      </c>
      <c r="AL1273" s="93" t="s">
        <v>1178</v>
      </c>
    </row>
    <row r="1274" spans="1:38" ht="15" customHeight="1" x14ac:dyDescent="0.3">
      <c r="A1274" s="181" t="s">
        <v>22</v>
      </c>
      <c r="B1274" s="120" t="s">
        <v>159</v>
      </c>
      <c r="C1274" s="107">
        <v>1</v>
      </c>
      <c r="D1274" s="11" t="s">
        <v>143</v>
      </c>
      <c r="E1274" s="114">
        <v>41941</v>
      </c>
      <c r="F1274" s="107">
        <v>2014</v>
      </c>
      <c r="G1274" s="142" t="s">
        <v>4085</v>
      </c>
      <c r="H1274" s="162" t="s">
        <v>4086</v>
      </c>
      <c r="I1274" s="30" t="s">
        <v>38</v>
      </c>
      <c r="J1274" s="32" t="s">
        <v>26</v>
      </c>
      <c r="K1274" s="197" t="s">
        <v>50</v>
      </c>
      <c r="L1274" s="197" t="s">
        <v>3439</v>
      </c>
      <c r="M1274" s="137" t="s">
        <v>804</v>
      </c>
      <c r="N1274" s="197"/>
      <c r="O1274" s="197" t="s">
        <v>4087</v>
      </c>
      <c r="P1274" s="197" t="s">
        <v>4088</v>
      </c>
      <c r="Q1274" s="15" t="s">
        <v>35</v>
      </c>
      <c r="R1274" s="179">
        <v>42271</v>
      </c>
      <c r="S1274" s="16" t="s">
        <v>35</v>
      </c>
      <c r="T1274" s="191">
        <v>42891</v>
      </c>
      <c r="U1274" s="707"/>
      <c r="V1274" s="707"/>
      <c r="W1274" s="252">
        <v>16000000</v>
      </c>
      <c r="X1274" s="253">
        <v>12000000</v>
      </c>
      <c r="Y1274" s="201">
        <f>IF(AE1274="","",W1274*AE1274)</f>
        <v>4000000</v>
      </c>
      <c r="Z1274" s="201">
        <f>IF(Y1274="",X1274,Y1274+X1274)-16000000</f>
        <v>0</v>
      </c>
      <c r="AA1274" s="212">
        <v>42934</v>
      </c>
      <c r="AB1274" s="706" t="s">
        <v>147</v>
      </c>
      <c r="AC1274" s="200"/>
      <c r="AD1274" s="187">
        <v>0.75</v>
      </c>
      <c r="AE1274" s="187">
        <v>0.25</v>
      </c>
      <c r="AF1274" s="205">
        <f t="shared" si="57"/>
        <v>1</v>
      </c>
      <c r="AG1274" s="200">
        <v>8</v>
      </c>
      <c r="AH1274" s="200"/>
      <c r="AI1274" s="796" t="s">
        <v>4089</v>
      </c>
      <c r="AJ1274" s="200" t="s">
        <v>1188</v>
      </c>
      <c r="AK1274" s="200" t="s">
        <v>1185</v>
      </c>
      <c r="AL1274" s="146" t="s">
        <v>1178</v>
      </c>
    </row>
    <row r="1275" spans="1:38" ht="15" customHeight="1" x14ac:dyDescent="0.3">
      <c r="A1275" s="30" t="s">
        <v>140</v>
      </c>
      <c r="B1275" s="120" t="s">
        <v>144</v>
      </c>
      <c r="C1275" s="107">
        <v>9</v>
      </c>
      <c r="D1275" s="11" t="s">
        <v>143</v>
      </c>
      <c r="E1275" s="114">
        <v>42106</v>
      </c>
      <c r="F1275" s="107">
        <v>2015</v>
      </c>
      <c r="G1275" s="609" t="s">
        <v>4090</v>
      </c>
      <c r="H1275" s="162" t="s">
        <v>4091</v>
      </c>
      <c r="I1275" s="30" t="s">
        <v>38</v>
      </c>
      <c r="J1275" s="32" t="s">
        <v>26</v>
      </c>
      <c r="K1275" s="197" t="s">
        <v>4092</v>
      </c>
      <c r="L1275" s="137" t="s">
        <v>40</v>
      </c>
      <c r="M1275" s="137" t="s">
        <v>804</v>
      </c>
      <c r="N1275" s="553" t="s">
        <v>122</v>
      </c>
      <c r="O1275" s="197" t="s">
        <v>4093</v>
      </c>
      <c r="P1275" s="197" t="s">
        <v>4094</v>
      </c>
      <c r="Q1275" s="15" t="s">
        <v>282</v>
      </c>
      <c r="R1275" s="179">
        <v>42467</v>
      </c>
      <c r="S1275" s="16" t="s">
        <v>44</v>
      </c>
      <c r="T1275" s="191">
        <v>42751</v>
      </c>
      <c r="U1275" s="707"/>
      <c r="V1275" s="623"/>
      <c r="W1275" s="249">
        <v>40000000</v>
      </c>
      <c r="X1275" s="253">
        <v>8000000</v>
      </c>
      <c r="Y1275" s="7" t="str">
        <f>IF(AE1275="","",W1275*AE1275)</f>
        <v/>
      </c>
      <c r="Z1275" s="7">
        <f t="shared" ref="Z1275:Z1315" si="61">IF(Y1275="",X1275,Y1275+X1275)</f>
        <v>8000000</v>
      </c>
      <c r="AA1275" s="90">
        <v>43707</v>
      </c>
      <c r="AB1275" s="503" t="s">
        <v>6055</v>
      </c>
      <c r="AC1275" s="222"/>
      <c r="AD1275" s="187">
        <v>0.2</v>
      </c>
      <c r="AE1275" s="187"/>
      <c r="AF1275" s="205">
        <f t="shared" si="57"/>
        <v>0.2</v>
      </c>
      <c r="AG1275" s="88">
        <v>8</v>
      </c>
      <c r="AH1275" s="93" t="s">
        <v>6004</v>
      </c>
      <c r="AI1275" s="200"/>
      <c r="AJ1275" s="146" t="s">
        <v>1188</v>
      </c>
      <c r="AK1275" s="37" t="s">
        <v>1185</v>
      </c>
      <c r="AL1275" s="146" t="s">
        <v>1178</v>
      </c>
    </row>
    <row r="1276" spans="1:38" ht="15" customHeight="1" x14ac:dyDescent="0.3">
      <c r="A1276" s="181" t="s">
        <v>22</v>
      </c>
      <c r="B1276" s="153" t="s">
        <v>233</v>
      </c>
      <c r="C1276" s="135">
        <v>3</v>
      </c>
      <c r="D1276" s="11" t="s">
        <v>225</v>
      </c>
      <c r="E1276" s="168">
        <v>39939</v>
      </c>
      <c r="F1276" s="136">
        <v>2009</v>
      </c>
      <c r="G1276" s="178" t="s">
        <v>4095</v>
      </c>
      <c r="H1276" s="204" t="s">
        <v>4096</v>
      </c>
      <c r="I1276" s="136" t="s">
        <v>25</v>
      </c>
      <c r="J1276" s="32" t="s">
        <v>26</v>
      </c>
      <c r="K1276" s="197" t="s">
        <v>4097</v>
      </c>
      <c r="L1276" s="138" t="s">
        <v>4098</v>
      </c>
      <c r="M1276" s="137" t="s">
        <v>804</v>
      </c>
      <c r="N1276" s="197"/>
      <c r="O1276" s="197" t="s">
        <v>4099</v>
      </c>
      <c r="P1276" s="797" t="s">
        <v>4100</v>
      </c>
      <c r="Q1276" s="15" t="s">
        <v>282</v>
      </c>
      <c r="R1276" s="132">
        <v>40357</v>
      </c>
      <c r="S1276" s="16" t="s">
        <v>44</v>
      </c>
      <c r="T1276" s="133">
        <v>40662</v>
      </c>
      <c r="U1276" s="623" t="s">
        <v>3368</v>
      </c>
      <c r="V1276" s="721">
        <v>42340</v>
      </c>
      <c r="W1276" s="249">
        <v>150000000</v>
      </c>
      <c r="X1276" s="240">
        <v>150000000</v>
      </c>
      <c r="Y1276" s="7">
        <v>-150000000</v>
      </c>
      <c r="Z1276" s="201">
        <f t="shared" si="61"/>
        <v>0</v>
      </c>
      <c r="AA1276" s="192">
        <v>42941</v>
      </c>
      <c r="AB1276" s="504" t="s">
        <v>6126</v>
      </c>
      <c r="AC1276" s="138"/>
      <c r="AD1276" s="187">
        <v>1</v>
      </c>
      <c r="AE1276" s="187"/>
      <c r="AF1276" s="205">
        <f t="shared" si="57"/>
        <v>1</v>
      </c>
      <c r="AG1276" s="138">
        <v>8</v>
      </c>
      <c r="AH1276" s="138"/>
      <c r="AI1276" s="718" t="s">
        <v>4101</v>
      </c>
      <c r="AJ1276" s="138" t="s">
        <v>1188</v>
      </c>
      <c r="AK1276" s="30" t="s">
        <v>99</v>
      </c>
      <c r="AL1276" s="93" t="s">
        <v>1178</v>
      </c>
    </row>
    <row r="1277" spans="1:38" ht="15" customHeight="1" x14ac:dyDescent="0.3">
      <c r="A1277" s="181" t="s">
        <v>22</v>
      </c>
      <c r="B1277" s="145" t="s">
        <v>105</v>
      </c>
      <c r="C1277" s="135">
        <v>8</v>
      </c>
      <c r="D1277" s="11" t="s">
        <v>5936</v>
      </c>
      <c r="E1277" s="192">
        <v>39556</v>
      </c>
      <c r="F1277" s="138">
        <v>2008</v>
      </c>
      <c r="G1277" s="744" t="s">
        <v>4102</v>
      </c>
      <c r="H1277" s="204" t="s">
        <v>4103</v>
      </c>
      <c r="I1277" s="33" t="s">
        <v>33</v>
      </c>
      <c r="J1277" s="32" t="s">
        <v>191</v>
      </c>
      <c r="K1277" s="138" t="s">
        <v>3945</v>
      </c>
      <c r="L1277" s="197" t="s">
        <v>161</v>
      </c>
      <c r="M1277" s="137" t="s">
        <v>42</v>
      </c>
      <c r="N1277" s="137"/>
      <c r="O1277" s="138" t="s">
        <v>4104</v>
      </c>
      <c r="P1277" s="718" t="s">
        <v>4105</v>
      </c>
      <c r="Q1277" s="15" t="s">
        <v>35</v>
      </c>
      <c r="R1277" s="132">
        <v>40480</v>
      </c>
      <c r="S1277" s="16" t="s">
        <v>44</v>
      </c>
      <c r="T1277" s="133">
        <v>40724</v>
      </c>
      <c r="U1277" s="623" t="s">
        <v>35</v>
      </c>
      <c r="V1277" s="180">
        <v>42977</v>
      </c>
      <c r="W1277" s="249">
        <v>40000000</v>
      </c>
      <c r="X1277" s="240">
        <v>0</v>
      </c>
      <c r="Y1277" s="7">
        <f>IF(AE1277="","",W1277*AE1277)</f>
        <v>0</v>
      </c>
      <c r="Z1277" s="7">
        <f t="shared" si="61"/>
        <v>0</v>
      </c>
      <c r="AA1277" s="108"/>
      <c r="AB1277" s="564" t="s">
        <v>1073</v>
      </c>
      <c r="AC1277" s="693"/>
      <c r="AD1277" s="187">
        <v>0</v>
      </c>
      <c r="AE1277" s="187">
        <v>0</v>
      </c>
      <c r="AF1277" s="205">
        <f t="shared" si="57"/>
        <v>0</v>
      </c>
      <c r="AG1277" s="163">
        <v>8</v>
      </c>
      <c r="AH1277" s="138"/>
      <c r="AI1277" s="798" t="s">
        <v>6102</v>
      </c>
      <c r="AJ1277" s="138" t="s">
        <v>1188</v>
      </c>
      <c r="AK1277" s="30" t="s">
        <v>99</v>
      </c>
      <c r="AL1277" s="138" t="s">
        <v>1178</v>
      </c>
    </row>
    <row r="1278" spans="1:38" ht="15" customHeight="1" x14ac:dyDescent="0.3">
      <c r="A1278" s="181" t="s">
        <v>22</v>
      </c>
      <c r="B1278" s="181" t="s">
        <v>23</v>
      </c>
      <c r="C1278" s="184">
        <v>17</v>
      </c>
      <c r="D1278" s="11" t="s">
        <v>24</v>
      </c>
      <c r="E1278" s="192">
        <v>42809</v>
      </c>
      <c r="F1278" s="181">
        <v>2017</v>
      </c>
      <c r="G1278" s="181" t="s">
        <v>4106</v>
      </c>
      <c r="H1278" s="217" t="s">
        <v>4107</v>
      </c>
      <c r="I1278" s="12" t="s">
        <v>38</v>
      </c>
      <c r="J1278" s="32" t="s">
        <v>26</v>
      </c>
      <c r="K1278" s="197" t="s">
        <v>4014</v>
      </c>
      <c r="L1278" s="138" t="s">
        <v>56</v>
      </c>
      <c r="M1278" s="279" t="s">
        <v>42</v>
      </c>
      <c r="N1278" s="799"/>
      <c r="O1278" s="146" t="s">
        <v>4108</v>
      </c>
      <c r="P1278" s="800" t="s">
        <v>6103</v>
      </c>
      <c r="Q1278" s="91"/>
      <c r="R1278" s="132"/>
      <c r="S1278" s="92"/>
      <c r="T1278" s="165"/>
      <c r="U1278" s="624"/>
      <c r="V1278" s="624"/>
      <c r="W1278" s="239">
        <v>34000000</v>
      </c>
      <c r="X1278" s="240"/>
      <c r="Y1278" s="7" t="str">
        <f>IF(AE1278="","",W1278*AE1278)</f>
        <v/>
      </c>
      <c r="Z1278" s="7">
        <f t="shared" si="61"/>
        <v>0</v>
      </c>
      <c r="AA1278" s="192"/>
      <c r="AB1278" s="801" t="s">
        <v>53</v>
      </c>
      <c r="AC1278" s="192"/>
      <c r="AD1278" s="258"/>
      <c r="AE1278" s="187"/>
      <c r="AF1278" s="205">
        <f t="shared" si="57"/>
        <v>0</v>
      </c>
      <c r="AG1278" s="181">
        <v>8</v>
      </c>
      <c r="AH1278" s="181" t="s">
        <v>58</v>
      </c>
      <c r="AI1278" s="763" t="s">
        <v>4109</v>
      </c>
      <c r="AJ1278" s="181" t="s">
        <v>1188</v>
      </c>
      <c r="AK1278" s="30" t="s">
        <v>1177</v>
      </c>
      <c r="AL1278" s="93" t="s">
        <v>1178</v>
      </c>
    </row>
    <row r="1279" spans="1:38" ht="15" customHeight="1" x14ac:dyDescent="0.3">
      <c r="A1279" s="181" t="s">
        <v>22</v>
      </c>
      <c r="B1279" s="145" t="s">
        <v>105</v>
      </c>
      <c r="C1279" s="135">
        <v>28</v>
      </c>
      <c r="D1279" s="11" t="s">
        <v>5936</v>
      </c>
      <c r="E1279" s="168">
        <v>40358</v>
      </c>
      <c r="F1279" s="136">
        <v>2010</v>
      </c>
      <c r="G1279" s="178" t="s">
        <v>4110</v>
      </c>
      <c r="H1279" s="204" t="s">
        <v>4111</v>
      </c>
      <c r="I1279" s="33" t="s">
        <v>33</v>
      </c>
      <c r="J1279" s="32" t="s">
        <v>191</v>
      </c>
      <c r="K1279" s="264" t="s">
        <v>3949</v>
      </c>
      <c r="L1279" s="197" t="s">
        <v>161</v>
      </c>
      <c r="M1279" s="197" t="s">
        <v>42</v>
      </c>
      <c r="N1279" s="197"/>
      <c r="O1279" s="138" t="s">
        <v>4112</v>
      </c>
      <c r="P1279" s="718" t="s">
        <v>4113</v>
      </c>
      <c r="Q1279" s="15" t="s">
        <v>282</v>
      </c>
      <c r="R1279" s="227">
        <v>40584</v>
      </c>
      <c r="S1279" s="16" t="s">
        <v>44</v>
      </c>
      <c r="T1279" s="756">
        <v>40710</v>
      </c>
      <c r="U1279" s="737" t="s">
        <v>282</v>
      </c>
      <c r="V1279" s="786">
        <v>42914</v>
      </c>
      <c r="W1279" s="242">
        <v>10000000</v>
      </c>
      <c r="X1279" s="240">
        <v>0</v>
      </c>
      <c r="Y1279" s="7">
        <f>IF(AE1279="","",W1279*AE1279)</f>
        <v>0</v>
      </c>
      <c r="Z1279" s="7">
        <f t="shared" si="61"/>
        <v>0</v>
      </c>
      <c r="AA1279" s="108"/>
      <c r="AB1279" s="564" t="s">
        <v>1073</v>
      </c>
      <c r="AC1279" s="693"/>
      <c r="AD1279" s="187">
        <v>0</v>
      </c>
      <c r="AE1279" s="187">
        <v>0</v>
      </c>
      <c r="AF1279" s="9">
        <f>AD1279+AE1279</f>
        <v>0</v>
      </c>
      <c r="AG1279" s="30">
        <v>8</v>
      </c>
      <c r="AH1279" s="476" t="s">
        <v>851</v>
      </c>
      <c r="AI1279" s="718" t="s">
        <v>4115</v>
      </c>
      <c r="AJ1279" s="30" t="s">
        <v>1188</v>
      </c>
      <c r="AK1279" s="30" t="s">
        <v>99</v>
      </c>
      <c r="AL1279" s="30" t="s">
        <v>1178</v>
      </c>
    </row>
    <row r="1280" spans="1:38" ht="15" customHeight="1" x14ac:dyDescent="0.3">
      <c r="A1280" s="181" t="s">
        <v>22</v>
      </c>
      <c r="B1280" s="145" t="s">
        <v>208</v>
      </c>
      <c r="C1280" s="135">
        <v>1</v>
      </c>
      <c r="D1280" s="136" t="s">
        <v>190</v>
      </c>
      <c r="E1280" s="168">
        <v>41446</v>
      </c>
      <c r="F1280" s="136">
        <v>2013</v>
      </c>
      <c r="G1280" s="178" t="s">
        <v>4116</v>
      </c>
      <c r="H1280" s="204"/>
      <c r="I1280" s="33" t="s">
        <v>33</v>
      </c>
      <c r="J1280" s="181" t="s">
        <v>67</v>
      </c>
      <c r="K1280" s="137" t="s">
        <v>3979</v>
      </c>
      <c r="L1280" s="746" t="s">
        <v>85</v>
      </c>
      <c r="M1280" s="137" t="s">
        <v>804</v>
      </c>
      <c r="N1280" s="197"/>
      <c r="O1280" s="138" t="s">
        <v>4117</v>
      </c>
      <c r="P1280" s="138" t="s">
        <v>4118</v>
      </c>
      <c r="Q1280" s="15" t="s">
        <v>35</v>
      </c>
      <c r="R1280" s="179">
        <v>42543</v>
      </c>
      <c r="S1280" s="16" t="s">
        <v>44</v>
      </c>
      <c r="T1280" s="191">
        <v>42948</v>
      </c>
      <c r="U1280" s="707"/>
      <c r="V1280" s="624"/>
      <c r="W1280" s="239">
        <v>75000000</v>
      </c>
      <c r="X1280" s="240">
        <v>52500000</v>
      </c>
      <c r="Y1280" s="7" t="str">
        <f>IF(AE1280="","",W1280*AE1280)</f>
        <v/>
      </c>
      <c r="Z1280" s="7">
        <f t="shared" si="61"/>
        <v>52500000</v>
      </c>
      <c r="AA1280" s="192"/>
      <c r="AB1280" s="604" t="s">
        <v>3744</v>
      </c>
      <c r="AC1280" s="163"/>
      <c r="AD1280" s="187">
        <v>0.7</v>
      </c>
      <c r="AE1280" s="187"/>
      <c r="AF1280" s="205">
        <f t="shared" ref="AF1280:AF1343" si="62">AE1280+AD1280</f>
        <v>0.7</v>
      </c>
      <c r="AG1280" s="200">
        <v>8</v>
      </c>
      <c r="AH1280" s="138" t="s">
        <v>3745</v>
      </c>
      <c r="AI1280" s="796" t="s">
        <v>3733</v>
      </c>
      <c r="AJ1280" s="200" t="s">
        <v>1188</v>
      </c>
      <c r="AK1280" s="200" t="s">
        <v>1185</v>
      </c>
      <c r="AL1280" s="200" t="s">
        <v>1178</v>
      </c>
    </row>
    <row r="1281" spans="1:38" ht="15" customHeight="1" x14ac:dyDescent="0.3">
      <c r="A1281" s="181" t="s">
        <v>22</v>
      </c>
      <c r="B1281" s="153" t="s">
        <v>189</v>
      </c>
      <c r="C1281" s="135">
        <v>2</v>
      </c>
      <c r="D1281" s="136" t="s">
        <v>190</v>
      </c>
      <c r="E1281" s="168">
        <v>41838</v>
      </c>
      <c r="F1281" s="136">
        <v>2014</v>
      </c>
      <c r="G1281" s="178" t="s">
        <v>4120</v>
      </c>
      <c r="H1281" s="204" t="s">
        <v>4121</v>
      </c>
      <c r="I1281" s="30" t="s">
        <v>38</v>
      </c>
      <c r="J1281" s="32" t="s">
        <v>26</v>
      </c>
      <c r="K1281" s="197" t="s">
        <v>162</v>
      </c>
      <c r="L1281" s="746" t="s">
        <v>85</v>
      </c>
      <c r="M1281" s="137" t="s">
        <v>804</v>
      </c>
      <c r="N1281" s="197"/>
      <c r="O1281" s="197" t="s">
        <v>4122</v>
      </c>
      <c r="P1281" s="736" t="s">
        <v>4123</v>
      </c>
      <c r="Q1281" s="15" t="s">
        <v>35</v>
      </c>
      <c r="R1281" s="132">
        <v>42458</v>
      </c>
      <c r="S1281" s="16" t="s">
        <v>35</v>
      </c>
      <c r="T1281" s="133">
        <v>42691</v>
      </c>
      <c r="U1281" s="623"/>
      <c r="V1281" s="624"/>
      <c r="W1281" s="242">
        <v>120000000</v>
      </c>
      <c r="X1281" s="259">
        <v>4088463</v>
      </c>
      <c r="Y1281" s="201">
        <f>IF(AE1281="","",W1281*AE1281)-30000000</f>
        <v>0</v>
      </c>
      <c r="Z1281" s="189">
        <f t="shared" si="61"/>
        <v>4088463</v>
      </c>
      <c r="AA1281" s="229">
        <v>42979</v>
      </c>
      <c r="AB1281" s="503" t="s">
        <v>4114</v>
      </c>
      <c r="AC1281" s="222"/>
      <c r="AD1281" s="196">
        <v>0.75</v>
      </c>
      <c r="AE1281" s="187">
        <v>0.25</v>
      </c>
      <c r="AF1281" s="205">
        <f t="shared" si="62"/>
        <v>1</v>
      </c>
      <c r="AG1281" s="138">
        <v>8</v>
      </c>
      <c r="AH1281" s="138" t="s">
        <v>194</v>
      </c>
      <c r="AI1281" s="718" t="s">
        <v>4125</v>
      </c>
      <c r="AJ1281" s="138" t="s">
        <v>1188</v>
      </c>
      <c r="AK1281" s="30" t="s">
        <v>99</v>
      </c>
      <c r="AL1281" s="138" t="s">
        <v>1178</v>
      </c>
    </row>
    <row r="1282" spans="1:38" ht="15" customHeight="1" x14ac:dyDescent="0.3">
      <c r="A1282" s="30" t="s">
        <v>22</v>
      </c>
      <c r="B1282" s="112" t="s">
        <v>148</v>
      </c>
      <c r="C1282" s="107">
        <v>6</v>
      </c>
      <c r="D1282" s="11" t="s">
        <v>143</v>
      </c>
      <c r="E1282" s="114">
        <v>42528</v>
      </c>
      <c r="F1282" s="142">
        <v>2016</v>
      </c>
      <c r="G1282" s="142" t="s">
        <v>4126</v>
      </c>
      <c r="H1282" s="162" t="s">
        <v>4127</v>
      </c>
      <c r="I1282" s="12" t="s">
        <v>38</v>
      </c>
      <c r="J1282" s="32" t="s">
        <v>26</v>
      </c>
      <c r="K1282" s="197" t="s">
        <v>50</v>
      </c>
      <c r="L1282" s="197" t="s">
        <v>28</v>
      </c>
      <c r="M1282" s="197" t="s">
        <v>42</v>
      </c>
      <c r="N1282" s="197"/>
      <c r="O1282" s="138" t="s">
        <v>4128</v>
      </c>
      <c r="P1282" s="197" t="s">
        <v>6104</v>
      </c>
      <c r="Q1282" s="143"/>
      <c r="R1282" s="179"/>
      <c r="S1282" s="144"/>
      <c r="T1282" s="133"/>
      <c r="U1282" s="623"/>
      <c r="V1282" s="623"/>
      <c r="W1282" s="260">
        <v>150000000</v>
      </c>
      <c r="X1282" s="240">
        <v>0</v>
      </c>
      <c r="Y1282" s="7" t="str">
        <f t="shared" ref="Y1282:Y1287" si="63">IF(AE1282="","",W1282*AE1282)</f>
        <v/>
      </c>
      <c r="Z1282" s="7">
        <f t="shared" si="61"/>
        <v>0</v>
      </c>
      <c r="AA1282" s="90"/>
      <c r="AB1282" s="503" t="s">
        <v>98</v>
      </c>
      <c r="AC1282" s="222"/>
      <c r="AD1282" s="187"/>
      <c r="AE1282" s="187"/>
      <c r="AF1282" s="205">
        <f t="shared" si="62"/>
        <v>0</v>
      </c>
      <c r="AG1282" s="88">
        <v>8</v>
      </c>
      <c r="AH1282" s="146" t="s">
        <v>4119</v>
      </c>
      <c r="AI1282" s="719" t="s">
        <v>4129</v>
      </c>
      <c r="AJ1282" s="146" t="s">
        <v>1188</v>
      </c>
      <c r="AK1282" s="37" t="s">
        <v>1177</v>
      </c>
      <c r="AL1282" s="146" t="s">
        <v>1178</v>
      </c>
    </row>
    <row r="1283" spans="1:38" ht="15" customHeight="1" x14ac:dyDescent="0.3">
      <c r="A1283" s="30" t="s">
        <v>22</v>
      </c>
      <c r="B1283" s="30" t="s">
        <v>39</v>
      </c>
      <c r="C1283" s="137" t="s">
        <v>4130</v>
      </c>
      <c r="D1283" s="11" t="s">
        <v>24</v>
      </c>
      <c r="E1283" s="108">
        <v>42230</v>
      </c>
      <c r="F1283" s="37">
        <v>2015</v>
      </c>
      <c r="G1283" s="30" t="s">
        <v>4131</v>
      </c>
      <c r="H1283" s="162" t="s">
        <v>4132</v>
      </c>
      <c r="I1283" s="12" t="s">
        <v>38</v>
      </c>
      <c r="J1283" s="32" t="s">
        <v>26</v>
      </c>
      <c r="K1283" s="137" t="s">
        <v>4050</v>
      </c>
      <c r="L1283" s="137" t="s">
        <v>28</v>
      </c>
      <c r="M1283" s="660" t="s">
        <v>42</v>
      </c>
      <c r="N1283" s="709"/>
      <c r="O1283" s="146" t="s">
        <v>4133</v>
      </c>
      <c r="P1283" s="138" t="s">
        <v>4134</v>
      </c>
      <c r="Q1283" s="15" t="s">
        <v>282</v>
      </c>
      <c r="R1283" s="132">
        <v>42773</v>
      </c>
      <c r="S1283" s="16" t="s">
        <v>44</v>
      </c>
      <c r="T1283" s="165">
        <v>42802</v>
      </c>
      <c r="U1283" s="624"/>
      <c r="V1283" s="624"/>
      <c r="W1283" s="239">
        <v>60000000</v>
      </c>
      <c r="X1283" s="240">
        <v>0</v>
      </c>
      <c r="Y1283" s="7">
        <f t="shared" si="63"/>
        <v>0</v>
      </c>
      <c r="Z1283" s="7">
        <f t="shared" si="61"/>
        <v>0</v>
      </c>
      <c r="AA1283" s="108"/>
      <c r="AB1283" s="479" t="s">
        <v>49</v>
      </c>
      <c r="AC1283" s="480"/>
      <c r="AD1283" s="187">
        <v>0</v>
      </c>
      <c r="AE1283" s="187">
        <v>0</v>
      </c>
      <c r="AF1283" s="205">
        <f t="shared" si="62"/>
        <v>0</v>
      </c>
      <c r="AG1283" s="30">
        <v>8</v>
      </c>
      <c r="AH1283" s="30" t="s">
        <v>4124</v>
      </c>
      <c r="AI1283" s="200"/>
      <c r="AJ1283" s="30" t="s">
        <v>1188</v>
      </c>
      <c r="AK1283" s="30" t="s">
        <v>1185</v>
      </c>
      <c r="AL1283" s="93" t="s">
        <v>1178</v>
      </c>
    </row>
    <row r="1284" spans="1:38" ht="15" customHeight="1" x14ac:dyDescent="0.3">
      <c r="A1284" s="30" t="s">
        <v>22</v>
      </c>
      <c r="B1284" s="145" t="s">
        <v>144</v>
      </c>
      <c r="C1284" s="107">
        <v>1</v>
      </c>
      <c r="D1284" s="11" t="s">
        <v>143</v>
      </c>
      <c r="E1284" s="108">
        <v>37196</v>
      </c>
      <c r="F1284" s="33">
        <v>2001</v>
      </c>
      <c r="G1284" s="142" t="s">
        <v>4136</v>
      </c>
      <c r="H1284" s="162" t="s">
        <v>4137</v>
      </c>
      <c r="I1284" s="33" t="s">
        <v>33</v>
      </c>
      <c r="J1284" s="32" t="s">
        <v>26</v>
      </c>
      <c r="K1284" s="197" t="s">
        <v>1194</v>
      </c>
      <c r="L1284" s="137" t="s">
        <v>161</v>
      </c>
      <c r="M1284" s="137" t="s">
        <v>42</v>
      </c>
      <c r="N1284" s="137"/>
      <c r="O1284" s="93" t="s">
        <v>4138</v>
      </c>
      <c r="P1284" s="718" t="s">
        <v>4139</v>
      </c>
      <c r="Q1284" s="15" t="s">
        <v>35</v>
      </c>
      <c r="R1284" s="132">
        <v>38891</v>
      </c>
      <c r="S1284" s="16" t="s">
        <v>44</v>
      </c>
      <c r="T1284" s="133">
        <v>40086</v>
      </c>
      <c r="U1284" s="623" t="s">
        <v>44</v>
      </c>
      <c r="V1284" s="180">
        <v>43012</v>
      </c>
      <c r="W1284" s="239">
        <v>180000000</v>
      </c>
      <c r="X1284" s="240">
        <v>0</v>
      </c>
      <c r="Y1284" s="7">
        <f t="shared" si="63"/>
        <v>0</v>
      </c>
      <c r="Z1284" s="7">
        <f t="shared" si="61"/>
        <v>0</v>
      </c>
      <c r="AA1284" s="108"/>
      <c r="AB1284" s="503" t="s">
        <v>6105</v>
      </c>
      <c r="AC1284" s="222"/>
      <c r="AD1284" s="187">
        <v>0</v>
      </c>
      <c r="AE1284" s="187">
        <v>0</v>
      </c>
      <c r="AF1284" s="205">
        <f t="shared" si="62"/>
        <v>0</v>
      </c>
      <c r="AG1284" s="163">
        <v>10</v>
      </c>
      <c r="AH1284" s="93" t="s">
        <v>1380</v>
      </c>
      <c r="AI1284" s="718" t="s">
        <v>4141</v>
      </c>
      <c r="AJ1284" s="93" t="s">
        <v>1188</v>
      </c>
      <c r="AK1284" s="30" t="s">
        <v>99</v>
      </c>
      <c r="AL1284" s="93" t="s">
        <v>1178</v>
      </c>
    </row>
    <row r="1285" spans="1:38" ht="15" customHeight="1" x14ac:dyDescent="0.3">
      <c r="A1285" s="248" t="s">
        <v>22</v>
      </c>
      <c r="B1285" s="244" t="s">
        <v>105</v>
      </c>
      <c r="C1285" s="245">
        <v>29</v>
      </c>
      <c r="D1285" s="11" t="s">
        <v>5936</v>
      </c>
      <c r="E1285" s="247">
        <v>42299</v>
      </c>
      <c r="F1285" s="246">
        <v>2015</v>
      </c>
      <c r="G1285" s="792" t="s">
        <v>4142</v>
      </c>
      <c r="H1285" s="792" t="s">
        <v>4143</v>
      </c>
      <c r="I1285" s="30" t="s">
        <v>38</v>
      </c>
      <c r="J1285" s="32" t="s">
        <v>26</v>
      </c>
      <c r="K1285" s="264" t="s">
        <v>162</v>
      </c>
      <c r="L1285" s="264" t="s">
        <v>4144</v>
      </c>
      <c r="M1285" s="137" t="s">
        <v>804</v>
      </c>
      <c r="N1285" s="264"/>
      <c r="O1285" s="264" t="s">
        <v>4145</v>
      </c>
      <c r="P1285" s="783" t="s">
        <v>6106</v>
      </c>
      <c r="Q1285" s="15" t="s">
        <v>282</v>
      </c>
      <c r="R1285" s="218">
        <v>42779</v>
      </c>
      <c r="S1285" s="16" t="s">
        <v>44</v>
      </c>
      <c r="T1285" s="133">
        <v>42816</v>
      </c>
      <c r="U1285" s="623"/>
      <c r="V1285" s="624"/>
      <c r="W1285" s="242">
        <v>250000000</v>
      </c>
      <c r="X1285" s="243">
        <v>75000000</v>
      </c>
      <c r="Y1285" s="7">
        <f t="shared" si="63"/>
        <v>50000000</v>
      </c>
      <c r="Z1285" s="185">
        <f t="shared" si="61"/>
        <v>125000000</v>
      </c>
      <c r="AA1285" s="233">
        <v>44119</v>
      </c>
      <c r="AB1285" s="564" t="s">
        <v>1073</v>
      </c>
      <c r="AC1285" s="693"/>
      <c r="AD1285" s="196">
        <v>0.3</v>
      </c>
      <c r="AE1285" s="187">
        <v>0.2</v>
      </c>
      <c r="AF1285" s="205">
        <f t="shared" si="62"/>
        <v>0.5</v>
      </c>
      <c r="AG1285" s="138">
        <v>8</v>
      </c>
      <c r="AH1285" s="138" t="s">
        <v>4135</v>
      </c>
      <c r="AI1285" s="138"/>
      <c r="AJ1285" s="138" t="s">
        <v>1188</v>
      </c>
      <c r="AK1285" s="181" t="s">
        <v>1185</v>
      </c>
      <c r="AL1285" s="138" t="s">
        <v>1178</v>
      </c>
    </row>
    <row r="1286" spans="1:38" ht="15" customHeight="1" x14ac:dyDescent="0.3">
      <c r="A1286" s="181" t="s">
        <v>22</v>
      </c>
      <c r="B1286" s="181" t="s">
        <v>23</v>
      </c>
      <c r="C1286" s="184">
        <v>11</v>
      </c>
      <c r="D1286" s="11" t="s">
        <v>24</v>
      </c>
      <c r="E1286" s="192">
        <v>42663</v>
      </c>
      <c r="F1286" s="181">
        <v>2016</v>
      </c>
      <c r="G1286" s="181" t="s">
        <v>4147</v>
      </c>
      <c r="H1286" s="217" t="s">
        <v>4148</v>
      </c>
      <c r="I1286" s="12" t="s">
        <v>38</v>
      </c>
      <c r="J1286" s="32" t="s">
        <v>26</v>
      </c>
      <c r="K1286" s="197" t="s">
        <v>50</v>
      </c>
      <c r="L1286" s="138" t="s">
        <v>56</v>
      </c>
      <c r="M1286" s="279" t="s">
        <v>42</v>
      </c>
      <c r="N1286" s="799"/>
      <c r="O1286" s="146" t="s">
        <v>4149</v>
      </c>
      <c r="P1286" s="800" t="s">
        <v>6107</v>
      </c>
      <c r="Q1286" s="91"/>
      <c r="R1286" s="132"/>
      <c r="S1286" s="92"/>
      <c r="T1286" s="165"/>
      <c r="U1286" s="624"/>
      <c r="V1286" s="624"/>
      <c r="W1286" s="239">
        <v>43000000</v>
      </c>
      <c r="X1286" s="240"/>
      <c r="Y1286" s="7" t="str">
        <f t="shared" si="63"/>
        <v/>
      </c>
      <c r="Z1286" s="7">
        <f t="shared" si="61"/>
        <v>0</v>
      </c>
      <c r="AA1286" s="192"/>
      <c r="AB1286" s="762" t="s">
        <v>3077</v>
      </c>
      <c r="AC1286" s="652"/>
      <c r="AD1286" s="258"/>
      <c r="AE1286" s="187"/>
      <c r="AF1286" s="205">
        <f t="shared" si="62"/>
        <v>0</v>
      </c>
      <c r="AG1286" s="181">
        <v>8</v>
      </c>
      <c r="AH1286" s="181" t="s">
        <v>4140</v>
      </c>
      <c r="AI1286" s="763" t="s">
        <v>4150</v>
      </c>
      <c r="AJ1286" s="181" t="s">
        <v>1188</v>
      </c>
      <c r="AK1286" s="30" t="s">
        <v>1177</v>
      </c>
      <c r="AL1286" s="93" t="s">
        <v>1178</v>
      </c>
    </row>
    <row r="1287" spans="1:38" ht="15" customHeight="1" x14ac:dyDescent="0.3">
      <c r="A1287" s="181" t="s">
        <v>22</v>
      </c>
      <c r="B1287" s="153" t="s">
        <v>105</v>
      </c>
      <c r="C1287" s="135">
        <v>16</v>
      </c>
      <c r="D1287" s="11" t="s">
        <v>5936</v>
      </c>
      <c r="E1287" s="168">
        <v>39859</v>
      </c>
      <c r="F1287" s="136">
        <v>2009</v>
      </c>
      <c r="G1287" s="178" t="s">
        <v>4151</v>
      </c>
      <c r="H1287" s="204" t="s">
        <v>4152</v>
      </c>
      <c r="I1287" s="33" t="s">
        <v>33</v>
      </c>
      <c r="J1287" s="32" t="s">
        <v>26</v>
      </c>
      <c r="K1287" s="197" t="s">
        <v>50</v>
      </c>
      <c r="L1287" s="197" t="s">
        <v>132</v>
      </c>
      <c r="M1287" s="197" t="s">
        <v>42</v>
      </c>
      <c r="N1287" s="197"/>
      <c r="O1287" s="197" t="s">
        <v>4153</v>
      </c>
      <c r="P1287" s="736" t="s">
        <v>4154</v>
      </c>
      <c r="Q1287" s="15" t="s">
        <v>282</v>
      </c>
      <c r="R1287" s="227">
        <v>40451</v>
      </c>
      <c r="S1287" s="16" t="s">
        <v>44</v>
      </c>
      <c r="T1287" s="756">
        <v>40886</v>
      </c>
      <c r="U1287" s="780" t="s">
        <v>44</v>
      </c>
      <c r="V1287" s="786">
        <v>43026</v>
      </c>
      <c r="W1287" s="242">
        <v>169400000</v>
      </c>
      <c r="X1287" s="240">
        <v>0</v>
      </c>
      <c r="Y1287" s="7">
        <f t="shared" si="63"/>
        <v>0</v>
      </c>
      <c r="Z1287" s="7">
        <f t="shared" si="61"/>
        <v>0</v>
      </c>
      <c r="AA1287" s="108"/>
      <c r="AB1287" s="564" t="s">
        <v>1073</v>
      </c>
      <c r="AC1287" s="693"/>
      <c r="AD1287" s="187">
        <v>0</v>
      </c>
      <c r="AE1287" s="187">
        <v>0</v>
      </c>
      <c r="AF1287" s="205">
        <f t="shared" si="62"/>
        <v>0</v>
      </c>
      <c r="AG1287" s="30">
        <v>8</v>
      </c>
      <c r="AH1287" s="30" t="s">
        <v>4146</v>
      </c>
      <c r="AI1287" s="30"/>
      <c r="AJ1287" s="30" t="s">
        <v>1188</v>
      </c>
      <c r="AK1287" s="30" t="s">
        <v>99</v>
      </c>
      <c r="AL1287" s="30" t="s">
        <v>1178</v>
      </c>
    </row>
    <row r="1288" spans="1:38" ht="15" customHeight="1" x14ac:dyDescent="0.3">
      <c r="A1288" s="181" t="s">
        <v>22</v>
      </c>
      <c r="B1288" s="145" t="s">
        <v>105</v>
      </c>
      <c r="C1288" s="135">
        <v>23</v>
      </c>
      <c r="D1288" s="11" t="s">
        <v>5936</v>
      </c>
      <c r="E1288" s="168">
        <v>41880</v>
      </c>
      <c r="F1288" s="136">
        <v>2014</v>
      </c>
      <c r="G1288" s="178" t="s">
        <v>4156</v>
      </c>
      <c r="H1288" s="204" t="s">
        <v>4157</v>
      </c>
      <c r="I1288" s="30" t="s">
        <v>38</v>
      </c>
      <c r="J1288" s="32" t="s">
        <v>26</v>
      </c>
      <c r="K1288" s="197" t="s">
        <v>50</v>
      </c>
      <c r="L1288" s="746" t="s">
        <v>3690</v>
      </c>
      <c r="M1288" s="137" t="s">
        <v>804</v>
      </c>
      <c r="N1288" s="138"/>
      <c r="O1288" s="138" t="s">
        <v>4158</v>
      </c>
      <c r="P1288" s="718" t="s">
        <v>6108</v>
      </c>
      <c r="Q1288" s="15" t="s">
        <v>35</v>
      </c>
      <c r="R1288" s="218">
        <v>42320</v>
      </c>
      <c r="S1288" s="16" t="s">
        <v>35</v>
      </c>
      <c r="T1288" s="133">
        <v>42711</v>
      </c>
      <c r="U1288" s="623"/>
      <c r="V1288" s="624"/>
      <c r="W1288" s="242">
        <v>84000000</v>
      </c>
      <c r="X1288" s="243">
        <v>28823672</v>
      </c>
      <c r="Y1288" s="201">
        <f>IF(AE1288="","",W1288*AE1288)-21000000</f>
        <v>0</v>
      </c>
      <c r="Z1288" s="189">
        <f t="shared" si="61"/>
        <v>28823672</v>
      </c>
      <c r="AA1288" s="229">
        <v>43035</v>
      </c>
      <c r="AB1288" s="564" t="s">
        <v>1073</v>
      </c>
      <c r="AC1288" s="693"/>
      <c r="AD1288" s="196">
        <v>0.75</v>
      </c>
      <c r="AE1288" s="187">
        <v>0.25</v>
      </c>
      <c r="AF1288" s="205">
        <f t="shared" si="62"/>
        <v>1</v>
      </c>
      <c r="AG1288" s="138">
        <v>8</v>
      </c>
      <c r="AH1288" s="200" t="s">
        <v>45</v>
      </c>
      <c r="AI1288" s="718" t="s">
        <v>4159</v>
      </c>
      <c r="AJ1288" s="138" t="s">
        <v>1188</v>
      </c>
      <c r="AK1288" s="30" t="s">
        <v>99</v>
      </c>
      <c r="AL1288" s="138" t="s">
        <v>1178</v>
      </c>
    </row>
    <row r="1289" spans="1:38" ht="15" customHeight="1" x14ac:dyDescent="0.3">
      <c r="A1289" s="248" t="s">
        <v>22</v>
      </c>
      <c r="B1289" s="261" t="s">
        <v>116</v>
      </c>
      <c r="C1289" s="245" t="s">
        <v>4160</v>
      </c>
      <c r="D1289" s="11" t="s">
        <v>5936</v>
      </c>
      <c r="E1289" s="247">
        <v>42138</v>
      </c>
      <c r="F1289" s="246">
        <v>2015</v>
      </c>
      <c r="G1289" s="792" t="s">
        <v>4161</v>
      </c>
      <c r="H1289" s="204" t="s">
        <v>4162</v>
      </c>
      <c r="I1289" s="246" t="s">
        <v>38</v>
      </c>
      <c r="J1289" s="32" t="s">
        <v>26</v>
      </c>
      <c r="K1289" s="197" t="s">
        <v>50</v>
      </c>
      <c r="L1289" s="264" t="s">
        <v>28</v>
      </c>
      <c r="M1289" s="264" t="s">
        <v>42</v>
      </c>
      <c r="N1289" s="264"/>
      <c r="O1289" s="264" t="s">
        <v>4163</v>
      </c>
      <c r="P1289" s="783" t="s">
        <v>4164</v>
      </c>
      <c r="Q1289" s="15" t="s">
        <v>282</v>
      </c>
      <c r="R1289" s="218">
        <v>42409</v>
      </c>
      <c r="S1289" s="16" t="s">
        <v>44</v>
      </c>
      <c r="T1289" s="262">
        <v>43040</v>
      </c>
      <c r="U1289" s="802"/>
      <c r="V1289" s="803"/>
      <c r="W1289" s="242">
        <v>21400000</v>
      </c>
      <c r="X1289" s="259">
        <v>0</v>
      </c>
      <c r="Y1289" s="7">
        <f t="shared" ref="Y1289:Y1295" si="64">IF(AE1289="","",W1289*AE1289)</f>
        <v>0</v>
      </c>
      <c r="Z1289" s="185">
        <f t="shared" si="61"/>
        <v>0</v>
      </c>
      <c r="AA1289" s="229"/>
      <c r="AB1289" s="604" t="s">
        <v>4155</v>
      </c>
      <c r="AC1289" s="163"/>
      <c r="AD1289" s="196">
        <v>0</v>
      </c>
      <c r="AE1289" s="187">
        <v>0</v>
      </c>
      <c r="AF1289" s="205">
        <f t="shared" si="62"/>
        <v>0</v>
      </c>
      <c r="AG1289" s="138">
        <v>8</v>
      </c>
      <c r="AH1289" s="138"/>
      <c r="AI1289" s="138"/>
      <c r="AJ1289" s="138" t="s">
        <v>1188</v>
      </c>
      <c r="AK1289" s="181" t="s">
        <v>1185</v>
      </c>
      <c r="AL1289" s="138" t="s">
        <v>1178</v>
      </c>
    </row>
    <row r="1290" spans="1:38" ht="15" customHeight="1" x14ac:dyDescent="0.3">
      <c r="A1290" s="181" t="s">
        <v>22</v>
      </c>
      <c r="B1290" s="145" t="s">
        <v>105</v>
      </c>
      <c r="C1290" s="135">
        <v>14</v>
      </c>
      <c r="D1290" s="11" t="s">
        <v>5936</v>
      </c>
      <c r="E1290" s="168">
        <v>42151</v>
      </c>
      <c r="F1290" s="136">
        <v>2015</v>
      </c>
      <c r="G1290" s="178" t="s">
        <v>4166</v>
      </c>
      <c r="H1290" s="204" t="s">
        <v>4167</v>
      </c>
      <c r="I1290" s="136" t="s">
        <v>38</v>
      </c>
      <c r="J1290" s="32" t="s">
        <v>26</v>
      </c>
      <c r="K1290" s="197" t="s">
        <v>50</v>
      </c>
      <c r="L1290" s="197" t="s">
        <v>28</v>
      </c>
      <c r="M1290" s="197" t="s">
        <v>42</v>
      </c>
      <c r="N1290" s="197"/>
      <c r="O1290" s="264" t="s">
        <v>4168</v>
      </c>
      <c r="P1290" s="197" t="s">
        <v>4169</v>
      </c>
      <c r="Q1290" s="15" t="s">
        <v>282</v>
      </c>
      <c r="R1290" s="218">
        <v>42821</v>
      </c>
      <c r="S1290" s="16" t="s">
        <v>44</v>
      </c>
      <c r="T1290" s="133">
        <v>43012</v>
      </c>
      <c r="U1290" s="623"/>
      <c r="V1290" s="624"/>
      <c r="W1290" s="242">
        <v>60000000</v>
      </c>
      <c r="X1290" s="243">
        <v>0</v>
      </c>
      <c r="Y1290" s="7">
        <f t="shared" si="64"/>
        <v>0</v>
      </c>
      <c r="Z1290" s="185">
        <f t="shared" si="61"/>
        <v>0</v>
      </c>
      <c r="AA1290" s="233"/>
      <c r="AB1290" s="564" t="s">
        <v>1073</v>
      </c>
      <c r="AC1290" s="693"/>
      <c r="AD1290" s="196">
        <v>0</v>
      </c>
      <c r="AE1290" s="187">
        <v>0</v>
      </c>
      <c r="AF1290" s="205">
        <f t="shared" si="62"/>
        <v>0</v>
      </c>
      <c r="AG1290" s="138">
        <v>8</v>
      </c>
      <c r="AH1290" s="138"/>
      <c r="AI1290" s="138"/>
      <c r="AJ1290" s="138" t="s">
        <v>1188</v>
      </c>
      <c r="AK1290" s="181" t="s">
        <v>1185</v>
      </c>
      <c r="AL1290" s="138" t="s">
        <v>1178</v>
      </c>
    </row>
    <row r="1291" spans="1:38" ht="15" customHeight="1" x14ac:dyDescent="0.3">
      <c r="A1291" s="181" t="s">
        <v>22</v>
      </c>
      <c r="B1291" s="167" t="s">
        <v>506</v>
      </c>
      <c r="C1291" s="135">
        <v>3</v>
      </c>
      <c r="D1291" s="11" t="s">
        <v>225</v>
      </c>
      <c r="E1291" s="168">
        <v>42436</v>
      </c>
      <c r="F1291" s="136">
        <v>2016</v>
      </c>
      <c r="G1291" s="178" t="s">
        <v>4170</v>
      </c>
      <c r="H1291" s="178" t="s">
        <v>4171</v>
      </c>
      <c r="I1291" s="136" t="s">
        <v>38</v>
      </c>
      <c r="J1291" s="181" t="s">
        <v>81</v>
      </c>
      <c r="K1291" s="137" t="s">
        <v>4014</v>
      </c>
      <c r="L1291" s="197" t="s">
        <v>28</v>
      </c>
      <c r="M1291" s="197" t="s">
        <v>42</v>
      </c>
      <c r="N1291" s="197"/>
      <c r="O1291" s="783" t="s">
        <v>4172</v>
      </c>
      <c r="P1291" s="197" t="s">
        <v>4173</v>
      </c>
      <c r="Q1291" s="15" t="s">
        <v>282</v>
      </c>
      <c r="R1291" s="231">
        <v>42794</v>
      </c>
      <c r="S1291" s="16" t="s">
        <v>44</v>
      </c>
      <c r="T1291" s="232">
        <v>42971</v>
      </c>
      <c r="U1291" s="776"/>
      <c r="V1291" s="776"/>
      <c r="W1291" s="242">
        <v>232000000</v>
      </c>
      <c r="X1291" s="240">
        <v>0</v>
      </c>
      <c r="Y1291" s="7" t="str">
        <f t="shared" si="64"/>
        <v/>
      </c>
      <c r="Z1291" s="7">
        <f t="shared" si="61"/>
        <v>0</v>
      </c>
      <c r="AA1291" s="263"/>
      <c r="AB1291" s="804" t="s">
        <v>4165</v>
      </c>
      <c r="AC1291" s="264"/>
      <c r="AD1291" s="196"/>
      <c r="AE1291" s="187"/>
      <c r="AF1291" s="205">
        <f t="shared" si="62"/>
        <v>0</v>
      </c>
      <c r="AG1291" s="264">
        <v>8</v>
      </c>
      <c r="AH1291" s="264"/>
      <c r="AI1291" s="197"/>
      <c r="AJ1291" s="264" t="s">
        <v>1188</v>
      </c>
      <c r="AK1291" s="264" t="s">
        <v>1185</v>
      </c>
      <c r="AL1291" s="310" t="s">
        <v>1178</v>
      </c>
    </row>
    <row r="1292" spans="1:38" ht="15" customHeight="1" x14ac:dyDescent="0.3">
      <c r="A1292" s="181" t="s">
        <v>140</v>
      </c>
      <c r="B1292" s="266" t="s">
        <v>105</v>
      </c>
      <c r="C1292" s="245">
        <v>23</v>
      </c>
      <c r="D1292" s="11" t="s">
        <v>5936</v>
      </c>
      <c r="E1292" s="247">
        <v>42788</v>
      </c>
      <c r="F1292" s="246">
        <v>2017</v>
      </c>
      <c r="G1292" s="792" t="s">
        <v>4174</v>
      </c>
      <c r="H1292" s="792" t="s">
        <v>4175</v>
      </c>
      <c r="I1292" s="246" t="s">
        <v>38</v>
      </c>
      <c r="J1292" s="248" t="s">
        <v>81</v>
      </c>
      <c r="K1292" s="264" t="s">
        <v>163</v>
      </c>
      <c r="L1292" s="264" t="s">
        <v>28</v>
      </c>
      <c r="M1292" s="264" t="s">
        <v>42</v>
      </c>
      <c r="N1292" s="264"/>
      <c r="O1292" s="805" t="s">
        <v>4176</v>
      </c>
      <c r="P1292" s="794" t="s">
        <v>6109</v>
      </c>
      <c r="Q1292" s="220"/>
      <c r="R1292" s="218"/>
      <c r="S1292" s="92"/>
      <c r="T1292" s="133"/>
      <c r="U1292" s="623"/>
      <c r="V1292" s="624"/>
      <c r="W1292" s="239">
        <v>5000000</v>
      </c>
      <c r="X1292" s="243"/>
      <c r="Y1292" s="201" t="str">
        <f t="shared" si="64"/>
        <v/>
      </c>
      <c r="Z1292" s="189">
        <f t="shared" si="61"/>
        <v>0</v>
      </c>
      <c r="AA1292" s="267"/>
      <c r="AB1292" s="564" t="s">
        <v>1073</v>
      </c>
      <c r="AC1292" s="693"/>
      <c r="AD1292" s="251"/>
      <c r="AE1292" s="187"/>
      <c r="AF1292" s="205">
        <f t="shared" si="62"/>
        <v>0</v>
      </c>
      <c r="AG1292" s="181">
        <v>8</v>
      </c>
      <c r="AH1292" s="264"/>
      <c r="AI1292" s="718" t="s">
        <v>3698</v>
      </c>
      <c r="AJ1292" s="138" t="s">
        <v>1188</v>
      </c>
      <c r="AK1292" s="181" t="s">
        <v>1177</v>
      </c>
      <c r="AL1292" s="138" t="s">
        <v>1178</v>
      </c>
    </row>
    <row r="1293" spans="1:38" ht="15" customHeight="1" x14ac:dyDescent="0.3">
      <c r="A1293" s="181" t="s">
        <v>22</v>
      </c>
      <c r="B1293" s="145" t="s">
        <v>105</v>
      </c>
      <c r="C1293" s="135">
        <v>31</v>
      </c>
      <c r="D1293" s="11" t="s">
        <v>5936</v>
      </c>
      <c r="E1293" s="168">
        <v>42069</v>
      </c>
      <c r="F1293" s="136">
        <v>2015</v>
      </c>
      <c r="G1293" s="178" t="s">
        <v>4161</v>
      </c>
      <c r="H1293" s="204" t="s">
        <v>4178</v>
      </c>
      <c r="I1293" s="136" t="s">
        <v>38</v>
      </c>
      <c r="J1293" s="32" t="s">
        <v>26</v>
      </c>
      <c r="K1293" s="197" t="s">
        <v>50</v>
      </c>
      <c r="L1293" s="197" t="s">
        <v>28</v>
      </c>
      <c r="M1293" s="197" t="s">
        <v>42</v>
      </c>
      <c r="N1293" s="197"/>
      <c r="O1293" s="197" t="s">
        <v>4179</v>
      </c>
      <c r="P1293" s="197" t="s">
        <v>4180</v>
      </c>
      <c r="Q1293" s="15" t="s">
        <v>282</v>
      </c>
      <c r="R1293" s="218">
        <v>42338</v>
      </c>
      <c r="S1293" s="16" t="s">
        <v>44</v>
      </c>
      <c r="T1293" s="133">
        <v>42704</v>
      </c>
      <c r="U1293" s="623"/>
      <c r="V1293" s="624"/>
      <c r="W1293" s="242">
        <v>255000000</v>
      </c>
      <c r="X1293" s="243">
        <v>0</v>
      </c>
      <c r="Y1293" s="7">
        <f t="shared" si="64"/>
        <v>0</v>
      </c>
      <c r="Z1293" s="185">
        <f t="shared" si="61"/>
        <v>0</v>
      </c>
      <c r="AA1293" s="233"/>
      <c r="AB1293" s="564" t="s">
        <v>1073</v>
      </c>
      <c r="AC1293" s="693"/>
      <c r="AD1293" s="196">
        <v>0</v>
      </c>
      <c r="AE1293" s="187">
        <v>0</v>
      </c>
      <c r="AF1293" s="205">
        <f t="shared" si="62"/>
        <v>0</v>
      </c>
      <c r="AG1293" s="138">
        <v>8</v>
      </c>
      <c r="AH1293" s="138"/>
      <c r="AI1293" s="138"/>
      <c r="AJ1293" s="138" t="s">
        <v>1188</v>
      </c>
      <c r="AK1293" s="181" t="s">
        <v>1185</v>
      </c>
      <c r="AL1293" s="138" t="s">
        <v>1178</v>
      </c>
    </row>
    <row r="1294" spans="1:38" ht="15" customHeight="1" x14ac:dyDescent="0.3">
      <c r="A1294" s="30" t="s">
        <v>22</v>
      </c>
      <c r="B1294" s="30" t="s">
        <v>23</v>
      </c>
      <c r="C1294" s="30">
        <v>5</v>
      </c>
      <c r="D1294" s="11" t="s">
        <v>24</v>
      </c>
      <c r="E1294" s="108">
        <v>42122</v>
      </c>
      <c r="F1294" s="37">
        <v>2015</v>
      </c>
      <c r="G1294" s="30" t="s">
        <v>4181</v>
      </c>
      <c r="H1294" s="162" t="s">
        <v>4182</v>
      </c>
      <c r="I1294" s="12" t="s">
        <v>38</v>
      </c>
      <c r="J1294" s="32" t="s">
        <v>26</v>
      </c>
      <c r="K1294" s="137" t="s">
        <v>4050</v>
      </c>
      <c r="L1294" s="137" t="s">
        <v>28</v>
      </c>
      <c r="M1294" s="660" t="s">
        <v>42</v>
      </c>
      <c r="N1294" s="709"/>
      <c r="O1294" s="146" t="s">
        <v>4183</v>
      </c>
      <c r="P1294" s="138" t="s">
        <v>4184</v>
      </c>
      <c r="Q1294" s="15" t="s">
        <v>282</v>
      </c>
      <c r="R1294" s="132">
        <v>42390</v>
      </c>
      <c r="S1294" s="16" t="s">
        <v>44</v>
      </c>
      <c r="T1294" s="165">
        <v>43014</v>
      </c>
      <c r="U1294" s="624"/>
      <c r="V1294" s="624"/>
      <c r="W1294" s="239">
        <v>50000000</v>
      </c>
      <c r="X1294" s="240">
        <v>0</v>
      </c>
      <c r="Y1294" s="7">
        <f t="shared" si="64"/>
        <v>0</v>
      </c>
      <c r="Z1294" s="7">
        <f t="shared" si="61"/>
        <v>0</v>
      </c>
      <c r="AA1294" s="108"/>
      <c r="AB1294" s="762" t="s">
        <v>3077</v>
      </c>
      <c r="AC1294" s="652"/>
      <c r="AD1294" s="187">
        <v>0</v>
      </c>
      <c r="AE1294" s="187">
        <v>0</v>
      </c>
      <c r="AF1294" s="205">
        <f t="shared" si="62"/>
        <v>0</v>
      </c>
      <c r="AG1294" s="30">
        <v>8</v>
      </c>
      <c r="AH1294" s="30" t="s">
        <v>4177</v>
      </c>
      <c r="AI1294" s="200"/>
      <c r="AJ1294" s="30" t="s">
        <v>1188</v>
      </c>
      <c r="AK1294" s="30" t="s">
        <v>1185</v>
      </c>
      <c r="AL1294" s="93" t="s">
        <v>1178</v>
      </c>
    </row>
    <row r="1295" spans="1:38" ht="15" customHeight="1" x14ac:dyDescent="0.3">
      <c r="A1295" s="30" t="s">
        <v>22</v>
      </c>
      <c r="B1295" s="30" t="s">
        <v>23</v>
      </c>
      <c r="C1295" s="37">
        <v>13</v>
      </c>
      <c r="D1295" s="11" t="s">
        <v>24</v>
      </c>
      <c r="E1295" s="108">
        <v>42067</v>
      </c>
      <c r="F1295" s="37">
        <v>2015</v>
      </c>
      <c r="G1295" s="30" t="s">
        <v>4186</v>
      </c>
      <c r="H1295" s="162" t="s">
        <v>4187</v>
      </c>
      <c r="I1295" s="12" t="s">
        <v>38</v>
      </c>
      <c r="J1295" s="32" t="s">
        <v>26</v>
      </c>
      <c r="K1295" s="197" t="s">
        <v>50</v>
      </c>
      <c r="L1295" s="137" t="s">
        <v>3349</v>
      </c>
      <c r="M1295" s="660" t="s">
        <v>42</v>
      </c>
      <c r="N1295" s="709"/>
      <c r="O1295" s="146" t="s">
        <v>4188</v>
      </c>
      <c r="P1295" s="718" t="s">
        <v>4189</v>
      </c>
      <c r="Q1295" s="15" t="s">
        <v>282</v>
      </c>
      <c r="R1295" s="132">
        <v>42459</v>
      </c>
      <c r="S1295" s="16" t="s">
        <v>44</v>
      </c>
      <c r="T1295" s="165">
        <v>42765</v>
      </c>
      <c r="U1295" s="624"/>
      <c r="V1295" s="624"/>
      <c r="W1295" s="239">
        <v>500000000</v>
      </c>
      <c r="X1295" s="240">
        <v>0</v>
      </c>
      <c r="Y1295" s="7">
        <f t="shared" si="64"/>
        <v>0</v>
      </c>
      <c r="Z1295" s="7">
        <f t="shared" si="61"/>
        <v>0</v>
      </c>
      <c r="AA1295" s="108"/>
      <c r="AB1295" s="762" t="s">
        <v>3077</v>
      </c>
      <c r="AC1295" s="652"/>
      <c r="AD1295" s="187">
        <v>0</v>
      </c>
      <c r="AE1295" s="187">
        <v>0</v>
      </c>
      <c r="AF1295" s="205">
        <f t="shared" si="62"/>
        <v>0</v>
      </c>
      <c r="AG1295" s="30">
        <v>8</v>
      </c>
      <c r="AH1295" s="30" t="s">
        <v>3466</v>
      </c>
      <c r="AI1295" s="200"/>
      <c r="AJ1295" s="30" t="s">
        <v>1188</v>
      </c>
      <c r="AK1295" s="30" t="s">
        <v>99</v>
      </c>
      <c r="AL1295" s="93" t="s">
        <v>1178</v>
      </c>
    </row>
    <row r="1296" spans="1:38" ht="15" customHeight="1" x14ac:dyDescent="0.3">
      <c r="A1296" s="181" t="s">
        <v>22</v>
      </c>
      <c r="B1296" s="255" t="s">
        <v>105</v>
      </c>
      <c r="C1296" s="135">
        <v>31</v>
      </c>
      <c r="D1296" s="11" t="s">
        <v>5936</v>
      </c>
      <c r="E1296" s="168">
        <v>42865</v>
      </c>
      <c r="F1296" s="136">
        <v>2017</v>
      </c>
      <c r="G1296" s="178" t="s">
        <v>4190</v>
      </c>
      <c r="H1296" s="178" t="s">
        <v>4191</v>
      </c>
      <c r="I1296" s="136" t="s">
        <v>38</v>
      </c>
      <c r="J1296" s="32" t="s">
        <v>26</v>
      </c>
      <c r="K1296" s="197" t="s">
        <v>4192</v>
      </c>
      <c r="L1296" s="197" t="s">
        <v>28</v>
      </c>
      <c r="M1296" s="197" t="s">
        <v>42</v>
      </c>
      <c r="N1296" s="197"/>
      <c r="O1296" s="783" t="s">
        <v>4193</v>
      </c>
      <c r="P1296" s="794" t="s">
        <v>4194</v>
      </c>
      <c r="Q1296" s="15" t="s">
        <v>282</v>
      </c>
      <c r="R1296" s="218">
        <v>42963</v>
      </c>
      <c r="S1296" s="16" t="s">
        <v>44</v>
      </c>
      <c r="T1296" s="133">
        <v>43011</v>
      </c>
      <c r="U1296" s="623"/>
      <c r="V1296" s="624"/>
      <c r="W1296" s="239">
        <v>50000000</v>
      </c>
      <c r="X1296" s="243"/>
      <c r="Y1296" s="201" t="str">
        <f>IF(AE1296="","",W1296*AE1296)</f>
        <v/>
      </c>
      <c r="Z1296" s="189">
        <f t="shared" si="61"/>
        <v>0</v>
      </c>
      <c r="AA1296" s="267"/>
      <c r="AB1296" s="564" t="s">
        <v>1073</v>
      </c>
      <c r="AC1296" s="693"/>
      <c r="AD1296" s="251"/>
      <c r="AE1296" s="187"/>
      <c r="AF1296" s="205">
        <f t="shared" si="62"/>
        <v>0</v>
      </c>
      <c r="AG1296" s="181">
        <v>8</v>
      </c>
      <c r="AH1296" s="264" t="s">
        <v>4185</v>
      </c>
      <c r="AI1296" s="138"/>
      <c r="AJ1296" s="138" t="s">
        <v>1188</v>
      </c>
      <c r="AK1296" s="181" t="s">
        <v>1185</v>
      </c>
      <c r="AL1296" s="138" t="s">
        <v>1178</v>
      </c>
    </row>
    <row r="1297" spans="1:38" ht="15" customHeight="1" x14ac:dyDescent="0.3">
      <c r="A1297" s="30" t="s">
        <v>22</v>
      </c>
      <c r="B1297" s="140" t="s">
        <v>105</v>
      </c>
      <c r="C1297" s="107">
        <v>13</v>
      </c>
      <c r="D1297" s="11" t="s">
        <v>5936</v>
      </c>
      <c r="E1297" s="114">
        <v>39083</v>
      </c>
      <c r="F1297" s="12">
        <v>2007</v>
      </c>
      <c r="G1297" s="142" t="s">
        <v>4195</v>
      </c>
      <c r="H1297" s="162" t="s">
        <v>4196</v>
      </c>
      <c r="I1297" s="33" t="s">
        <v>33</v>
      </c>
      <c r="J1297" s="32" t="s">
        <v>26</v>
      </c>
      <c r="K1297" s="197" t="s">
        <v>50</v>
      </c>
      <c r="L1297" s="138" t="s">
        <v>132</v>
      </c>
      <c r="M1297" s="137" t="s">
        <v>42</v>
      </c>
      <c r="N1297" s="137"/>
      <c r="O1297" s="138" t="s">
        <v>4197</v>
      </c>
      <c r="P1297" s="718" t="s">
        <v>4198</v>
      </c>
      <c r="Q1297" s="15" t="s">
        <v>282</v>
      </c>
      <c r="R1297" s="132">
        <v>40375</v>
      </c>
      <c r="S1297" s="16" t="s">
        <v>44</v>
      </c>
      <c r="T1297" s="133">
        <v>40816</v>
      </c>
      <c r="U1297" s="623" t="s">
        <v>44</v>
      </c>
      <c r="V1297" s="721">
        <v>43047</v>
      </c>
      <c r="W1297" s="249">
        <v>40000000</v>
      </c>
      <c r="X1297" s="240">
        <v>0</v>
      </c>
      <c r="Y1297" s="7">
        <f>IF(AE1297="","",W1297*AE1297)</f>
        <v>0</v>
      </c>
      <c r="Z1297" s="7">
        <f t="shared" si="61"/>
        <v>0</v>
      </c>
      <c r="AA1297" s="108"/>
      <c r="AB1297" s="564" t="s">
        <v>1073</v>
      </c>
      <c r="AC1297" s="693"/>
      <c r="AD1297" s="187">
        <v>0</v>
      </c>
      <c r="AE1297" s="187">
        <v>0</v>
      </c>
      <c r="AF1297" s="205">
        <f t="shared" si="62"/>
        <v>0</v>
      </c>
      <c r="AG1297" s="138">
        <v>8</v>
      </c>
      <c r="AH1297" s="138"/>
      <c r="AI1297" s="138"/>
      <c r="AJ1297" s="138" t="s">
        <v>1188</v>
      </c>
      <c r="AK1297" s="30" t="s">
        <v>99</v>
      </c>
      <c r="AL1297" s="93" t="s">
        <v>1178</v>
      </c>
    </row>
    <row r="1298" spans="1:38" ht="15" customHeight="1" x14ac:dyDescent="0.3">
      <c r="A1298" s="181" t="s">
        <v>22</v>
      </c>
      <c r="B1298" s="167" t="s">
        <v>197</v>
      </c>
      <c r="C1298" s="135">
        <v>1</v>
      </c>
      <c r="D1298" s="136" t="s">
        <v>190</v>
      </c>
      <c r="E1298" s="168">
        <v>42318</v>
      </c>
      <c r="F1298" s="136">
        <v>2015</v>
      </c>
      <c r="G1298" s="178" t="s">
        <v>4199</v>
      </c>
      <c r="H1298" s="178" t="s">
        <v>4200</v>
      </c>
      <c r="I1298" s="30" t="s">
        <v>38</v>
      </c>
      <c r="J1298" s="32" t="s">
        <v>26</v>
      </c>
      <c r="K1298" s="197" t="s">
        <v>50</v>
      </c>
      <c r="L1298" s="197" t="s">
        <v>3996</v>
      </c>
      <c r="M1298" s="137" t="s">
        <v>804</v>
      </c>
      <c r="N1298" s="197"/>
      <c r="O1298" s="197" t="s">
        <v>4201</v>
      </c>
      <c r="P1298" s="197" t="s">
        <v>4202</v>
      </c>
      <c r="Q1298" s="15" t="s">
        <v>35</v>
      </c>
      <c r="R1298" s="231">
        <v>42774</v>
      </c>
      <c r="S1298" s="16" t="s">
        <v>35</v>
      </c>
      <c r="T1298" s="268">
        <v>42947</v>
      </c>
      <c r="U1298" s="803"/>
      <c r="V1298" s="803"/>
      <c r="W1298" s="242">
        <v>94000000</v>
      </c>
      <c r="X1298" s="240">
        <v>0</v>
      </c>
      <c r="Y1298" s="201">
        <f>IF(AE1298="","",W1298*AE1298)-21675178</f>
        <v>72324822</v>
      </c>
      <c r="Z1298" s="189">
        <f t="shared" si="61"/>
        <v>72324822</v>
      </c>
      <c r="AA1298" s="229">
        <v>43014</v>
      </c>
      <c r="AB1298" s="564" t="s">
        <v>2595</v>
      </c>
      <c r="AC1298" s="693"/>
      <c r="AD1298" s="196"/>
      <c r="AE1298" s="187">
        <v>1</v>
      </c>
      <c r="AF1298" s="205">
        <f t="shared" si="62"/>
        <v>1</v>
      </c>
      <c r="AG1298" s="197">
        <v>8</v>
      </c>
      <c r="AH1298" s="197"/>
      <c r="AI1298" s="736" t="s">
        <v>4204</v>
      </c>
      <c r="AJ1298" s="197" t="s">
        <v>1188</v>
      </c>
      <c r="AK1298" s="197" t="s">
        <v>1185</v>
      </c>
      <c r="AL1298" s="138" t="s">
        <v>1178</v>
      </c>
    </row>
    <row r="1299" spans="1:38" ht="15" customHeight="1" x14ac:dyDescent="0.3">
      <c r="A1299" s="181" t="s">
        <v>22</v>
      </c>
      <c r="B1299" s="167" t="s">
        <v>105</v>
      </c>
      <c r="C1299" s="135">
        <v>4</v>
      </c>
      <c r="D1299" s="11" t="s">
        <v>5936</v>
      </c>
      <c r="E1299" s="168">
        <v>42277</v>
      </c>
      <c r="F1299" s="136">
        <v>2015</v>
      </c>
      <c r="G1299" s="178" t="s">
        <v>4205</v>
      </c>
      <c r="H1299" s="178" t="s">
        <v>4206</v>
      </c>
      <c r="I1299" s="30" t="s">
        <v>38</v>
      </c>
      <c r="J1299" s="32" t="s">
        <v>26</v>
      </c>
      <c r="K1299" s="197" t="s">
        <v>50</v>
      </c>
      <c r="L1299" s="197" t="s">
        <v>179</v>
      </c>
      <c r="M1299" s="137" t="s">
        <v>804</v>
      </c>
      <c r="N1299" s="197"/>
      <c r="O1299" s="197" t="s">
        <v>4207</v>
      </c>
      <c r="P1299" s="197" t="s">
        <v>4208</v>
      </c>
      <c r="Q1299" s="15" t="s">
        <v>35</v>
      </c>
      <c r="R1299" s="218">
        <v>42670</v>
      </c>
      <c r="S1299" s="16" t="s">
        <v>35</v>
      </c>
      <c r="T1299" s="133">
        <v>42857</v>
      </c>
      <c r="U1299" s="623"/>
      <c r="V1299" s="624"/>
      <c r="W1299" s="242">
        <v>38000000</v>
      </c>
      <c r="X1299" s="259"/>
      <c r="Y1299" s="201">
        <f>IF(AE1299="","",W1299*AE1299)-6449225</f>
        <v>12550775</v>
      </c>
      <c r="Z1299" s="189">
        <f t="shared" si="61"/>
        <v>12550775</v>
      </c>
      <c r="AA1299" s="229">
        <v>43060</v>
      </c>
      <c r="AB1299" s="564" t="s">
        <v>1073</v>
      </c>
      <c r="AC1299" s="693"/>
      <c r="AD1299" s="196">
        <v>0.5</v>
      </c>
      <c r="AE1299" s="187">
        <v>0.5</v>
      </c>
      <c r="AF1299" s="205">
        <f t="shared" si="62"/>
        <v>1</v>
      </c>
      <c r="AG1299" s="138">
        <v>8</v>
      </c>
      <c r="AH1299" s="138"/>
      <c r="AI1299" s="718" t="s">
        <v>4210</v>
      </c>
      <c r="AJ1299" s="138" t="s">
        <v>1188</v>
      </c>
      <c r="AK1299" s="181" t="s">
        <v>1185</v>
      </c>
      <c r="AL1299" s="138" t="s">
        <v>1178</v>
      </c>
    </row>
    <row r="1300" spans="1:38" ht="15" customHeight="1" x14ac:dyDescent="0.3">
      <c r="A1300" s="30" t="s">
        <v>22</v>
      </c>
      <c r="B1300" s="145" t="s">
        <v>159</v>
      </c>
      <c r="C1300" s="107">
        <v>2</v>
      </c>
      <c r="D1300" s="11" t="s">
        <v>143</v>
      </c>
      <c r="E1300" s="108">
        <v>39139</v>
      </c>
      <c r="F1300" s="12">
        <v>2007</v>
      </c>
      <c r="G1300" s="142" t="s">
        <v>4211</v>
      </c>
      <c r="H1300" s="162" t="s">
        <v>4212</v>
      </c>
      <c r="I1300" s="12" t="s">
        <v>25</v>
      </c>
      <c r="J1300" s="32" t="s">
        <v>26</v>
      </c>
      <c r="K1300" s="197" t="s">
        <v>50</v>
      </c>
      <c r="L1300" s="138" t="s">
        <v>161</v>
      </c>
      <c r="M1300" s="137" t="s">
        <v>42</v>
      </c>
      <c r="N1300" s="137"/>
      <c r="O1300" s="138" t="s">
        <v>4213</v>
      </c>
      <c r="P1300" s="718" t="s">
        <v>4214</v>
      </c>
      <c r="Q1300" s="15" t="s">
        <v>282</v>
      </c>
      <c r="R1300" s="132">
        <v>40227</v>
      </c>
      <c r="S1300" s="16" t="s">
        <v>44</v>
      </c>
      <c r="T1300" s="133">
        <v>40357</v>
      </c>
      <c r="U1300" s="623" t="s">
        <v>44</v>
      </c>
      <c r="V1300" s="180">
        <v>43068</v>
      </c>
      <c r="W1300" s="239">
        <v>30000000</v>
      </c>
      <c r="X1300" s="240">
        <v>0</v>
      </c>
      <c r="Y1300" s="7">
        <f>IF(AE1300="","",W1300*AE1300)</f>
        <v>0</v>
      </c>
      <c r="Z1300" s="7">
        <f t="shared" si="61"/>
        <v>0</v>
      </c>
      <c r="AA1300" s="108"/>
      <c r="AB1300" s="503" t="s">
        <v>6110</v>
      </c>
      <c r="AC1300" s="222"/>
      <c r="AD1300" s="187">
        <v>0</v>
      </c>
      <c r="AE1300" s="187">
        <v>0</v>
      </c>
      <c r="AF1300" s="205">
        <f t="shared" si="62"/>
        <v>0</v>
      </c>
      <c r="AG1300" s="163">
        <v>8</v>
      </c>
      <c r="AH1300" s="93" t="s">
        <v>4203</v>
      </c>
      <c r="AI1300" s="718" t="s">
        <v>4215</v>
      </c>
      <c r="AJ1300" s="93" t="s">
        <v>1188</v>
      </c>
      <c r="AK1300" s="30" t="s">
        <v>99</v>
      </c>
      <c r="AL1300" s="93" t="s">
        <v>1178</v>
      </c>
    </row>
    <row r="1301" spans="1:38" ht="15" customHeight="1" x14ac:dyDescent="0.3">
      <c r="A1301" s="30" t="s">
        <v>22</v>
      </c>
      <c r="B1301" s="30" t="s">
        <v>23</v>
      </c>
      <c r="C1301" s="146">
        <v>12</v>
      </c>
      <c r="D1301" s="11" t="s">
        <v>24</v>
      </c>
      <c r="E1301" s="108">
        <v>42271</v>
      </c>
      <c r="F1301" s="37">
        <v>2015</v>
      </c>
      <c r="G1301" s="30" t="s">
        <v>4216</v>
      </c>
      <c r="H1301" s="162" t="s">
        <v>4217</v>
      </c>
      <c r="I1301" s="12" t="s">
        <v>80</v>
      </c>
      <c r="J1301" s="32" t="s">
        <v>26</v>
      </c>
      <c r="K1301" s="137" t="s">
        <v>2570</v>
      </c>
      <c r="L1301" s="137" t="s">
        <v>28</v>
      </c>
      <c r="M1301" s="660" t="s">
        <v>42</v>
      </c>
      <c r="N1301" s="709"/>
      <c r="O1301" s="146" t="s">
        <v>4218</v>
      </c>
      <c r="P1301" s="138" t="s">
        <v>4219</v>
      </c>
      <c r="Q1301" s="15" t="s">
        <v>282</v>
      </c>
      <c r="R1301" s="132">
        <v>42850</v>
      </c>
      <c r="S1301" s="16" t="s">
        <v>44</v>
      </c>
      <c r="T1301" s="165">
        <v>43080</v>
      </c>
      <c r="U1301" s="624"/>
      <c r="V1301" s="624"/>
      <c r="W1301" s="239">
        <v>68000000</v>
      </c>
      <c r="X1301" s="240">
        <v>0</v>
      </c>
      <c r="Y1301" s="7" t="str">
        <f>IF(AE1301="","",W1301*AE1301)</f>
        <v/>
      </c>
      <c r="Z1301" s="7">
        <f t="shared" si="61"/>
        <v>0</v>
      </c>
      <c r="AA1301" s="108"/>
      <c r="AB1301" s="479" t="s">
        <v>49</v>
      </c>
      <c r="AC1301" s="480"/>
      <c r="AD1301" s="187"/>
      <c r="AE1301" s="187"/>
      <c r="AF1301" s="205">
        <f t="shared" si="62"/>
        <v>0</v>
      </c>
      <c r="AG1301" s="30">
        <v>8</v>
      </c>
      <c r="AH1301" s="30" t="s">
        <v>4209</v>
      </c>
      <c r="AI1301" s="200"/>
      <c r="AJ1301" s="30" t="s">
        <v>1188</v>
      </c>
      <c r="AK1301" s="30" t="s">
        <v>1185</v>
      </c>
      <c r="AL1301" s="93" t="s">
        <v>1178</v>
      </c>
    </row>
    <row r="1302" spans="1:38" ht="15" customHeight="1" x14ac:dyDescent="0.3">
      <c r="A1302" s="30" t="s">
        <v>22</v>
      </c>
      <c r="B1302" s="153" t="s">
        <v>105</v>
      </c>
      <c r="C1302" s="109">
        <v>4</v>
      </c>
      <c r="D1302" s="11" t="s">
        <v>5936</v>
      </c>
      <c r="E1302" s="108">
        <v>36892</v>
      </c>
      <c r="F1302" s="93">
        <v>2001</v>
      </c>
      <c r="G1302" s="142" t="s">
        <v>4221</v>
      </c>
      <c r="H1302" s="162" t="s">
        <v>4222</v>
      </c>
      <c r="I1302" s="33" t="s">
        <v>33</v>
      </c>
      <c r="J1302" s="32" t="s">
        <v>26</v>
      </c>
      <c r="K1302" s="197" t="s">
        <v>1194</v>
      </c>
      <c r="L1302" s="137" t="s">
        <v>3423</v>
      </c>
      <c r="M1302" s="137" t="s">
        <v>42</v>
      </c>
      <c r="N1302" s="137"/>
      <c r="O1302" s="93" t="s">
        <v>4223</v>
      </c>
      <c r="P1302" s="718" t="s">
        <v>4224</v>
      </c>
      <c r="Q1302" s="15" t="s">
        <v>282</v>
      </c>
      <c r="R1302" s="132">
        <v>39538</v>
      </c>
      <c r="S1302" s="16" t="s">
        <v>44</v>
      </c>
      <c r="T1302" s="133">
        <v>40724</v>
      </c>
      <c r="U1302" s="623" t="s">
        <v>44</v>
      </c>
      <c r="V1302" s="180">
        <v>43068</v>
      </c>
      <c r="W1302" s="239">
        <v>140000000</v>
      </c>
      <c r="X1302" s="240">
        <v>0</v>
      </c>
      <c r="Y1302" s="7">
        <f>IF(AE1302="","",W1302*AE1302)</f>
        <v>0</v>
      </c>
      <c r="Z1302" s="7">
        <f t="shared" si="61"/>
        <v>0</v>
      </c>
      <c r="AA1302" s="108"/>
      <c r="AB1302" s="564" t="s">
        <v>1073</v>
      </c>
      <c r="AC1302" s="693"/>
      <c r="AD1302" s="187">
        <v>0</v>
      </c>
      <c r="AE1302" s="187">
        <v>0</v>
      </c>
      <c r="AF1302" s="205">
        <f t="shared" si="62"/>
        <v>0</v>
      </c>
      <c r="AG1302" s="163">
        <v>8</v>
      </c>
      <c r="AH1302" s="93"/>
      <c r="AI1302" s="146"/>
      <c r="AJ1302" s="93" t="s">
        <v>1188</v>
      </c>
      <c r="AK1302" s="30" t="s">
        <v>99</v>
      </c>
      <c r="AL1302" s="93" t="s">
        <v>1178</v>
      </c>
    </row>
    <row r="1303" spans="1:38" ht="15" customHeight="1" x14ac:dyDescent="0.3">
      <c r="A1303" s="181" t="s">
        <v>22</v>
      </c>
      <c r="B1303" s="181" t="s">
        <v>211</v>
      </c>
      <c r="C1303" s="181">
        <v>2</v>
      </c>
      <c r="D1303" s="181" t="s">
        <v>190</v>
      </c>
      <c r="E1303" s="192">
        <v>39651</v>
      </c>
      <c r="F1303" s="181">
        <v>2008</v>
      </c>
      <c r="G1303" s="181" t="s">
        <v>4225</v>
      </c>
      <c r="H1303" s="806"/>
      <c r="I1303" s="181" t="s">
        <v>3964</v>
      </c>
      <c r="J1303" s="32" t="s">
        <v>26</v>
      </c>
      <c r="K1303" s="197" t="s">
        <v>50</v>
      </c>
      <c r="L1303" s="138" t="s">
        <v>4226</v>
      </c>
      <c r="M1303" s="181" t="s">
        <v>42</v>
      </c>
      <c r="N1303" s="181"/>
      <c r="O1303" s="138" t="s">
        <v>4227</v>
      </c>
      <c r="P1303" s="718" t="s">
        <v>4228</v>
      </c>
      <c r="Q1303" s="15" t="s">
        <v>282</v>
      </c>
      <c r="R1303" s="231">
        <v>40113</v>
      </c>
      <c r="S1303" s="16" t="s">
        <v>44</v>
      </c>
      <c r="T1303" s="268">
        <v>40435</v>
      </c>
      <c r="U1303" s="803" t="s">
        <v>44</v>
      </c>
      <c r="V1303" s="807">
        <v>43033</v>
      </c>
      <c r="W1303" s="269">
        <v>120000000</v>
      </c>
      <c r="X1303" s="240">
        <v>0</v>
      </c>
      <c r="Y1303" s="240">
        <v>0</v>
      </c>
      <c r="Z1303" s="7">
        <f t="shared" si="61"/>
        <v>0</v>
      </c>
      <c r="AA1303" s="192"/>
      <c r="AB1303" s="564" t="s">
        <v>1073</v>
      </c>
      <c r="AC1303" s="693"/>
      <c r="AD1303" s="258">
        <v>0</v>
      </c>
      <c r="AE1303" s="187">
        <v>0</v>
      </c>
      <c r="AF1303" s="205">
        <f t="shared" si="62"/>
        <v>0</v>
      </c>
      <c r="AG1303" s="181">
        <v>8</v>
      </c>
      <c r="AH1303" s="181" t="s">
        <v>4220</v>
      </c>
      <c r="AI1303" s="181"/>
      <c r="AJ1303" s="197" t="s">
        <v>1188</v>
      </c>
      <c r="AK1303" s="30" t="s">
        <v>99</v>
      </c>
      <c r="AL1303" s="138" t="s">
        <v>1178</v>
      </c>
    </row>
    <row r="1304" spans="1:38" ht="15" customHeight="1" x14ac:dyDescent="0.3">
      <c r="A1304" s="181" t="s">
        <v>22</v>
      </c>
      <c r="B1304" s="167" t="s">
        <v>105</v>
      </c>
      <c r="C1304" s="135">
        <v>11</v>
      </c>
      <c r="D1304" s="11" t="s">
        <v>5936</v>
      </c>
      <c r="E1304" s="168">
        <v>39372</v>
      </c>
      <c r="F1304" s="136">
        <v>2007</v>
      </c>
      <c r="G1304" s="178" t="s">
        <v>4229</v>
      </c>
      <c r="H1304" s="204" t="s">
        <v>4230</v>
      </c>
      <c r="I1304" s="136" t="s">
        <v>38</v>
      </c>
      <c r="J1304" s="32" t="s">
        <v>26</v>
      </c>
      <c r="K1304" s="138" t="s">
        <v>1194</v>
      </c>
      <c r="L1304" s="138" t="s">
        <v>132</v>
      </c>
      <c r="M1304" s="137" t="s">
        <v>42</v>
      </c>
      <c r="N1304" s="137"/>
      <c r="O1304" s="138" t="s">
        <v>4231</v>
      </c>
      <c r="P1304" s="718" t="s">
        <v>4232</v>
      </c>
      <c r="Q1304" s="15" t="s">
        <v>282</v>
      </c>
      <c r="R1304" s="132">
        <v>40235</v>
      </c>
      <c r="S1304" s="16" t="s">
        <v>44</v>
      </c>
      <c r="T1304" s="133">
        <v>40877</v>
      </c>
      <c r="U1304" s="623" t="s">
        <v>44</v>
      </c>
      <c r="V1304" s="721">
        <v>43075</v>
      </c>
      <c r="W1304" s="249">
        <v>30000000</v>
      </c>
      <c r="X1304" s="240">
        <v>0</v>
      </c>
      <c r="Y1304" s="7">
        <f>IF(AE1304="","",W1304*AE1304)</f>
        <v>0</v>
      </c>
      <c r="Z1304" s="7">
        <f t="shared" si="61"/>
        <v>0</v>
      </c>
      <c r="AA1304" s="108"/>
      <c r="AB1304" s="564" t="s">
        <v>1073</v>
      </c>
      <c r="AC1304" s="693"/>
      <c r="AD1304" s="187">
        <v>0</v>
      </c>
      <c r="AE1304" s="187">
        <v>0</v>
      </c>
      <c r="AF1304" s="205">
        <f t="shared" si="62"/>
        <v>0</v>
      </c>
      <c r="AG1304" s="138">
        <v>8</v>
      </c>
      <c r="AH1304" s="138"/>
      <c r="AI1304" s="138"/>
      <c r="AJ1304" s="138" t="s">
        <v>1188</v>
      </c>
      <c r="AK1304" s="30" t="s">
        <v>99</v>
      </c>
      <c r="AL1304" s="138" t="s">
        <v>1178</v>
      </c>
    </row>
    <row r="1305" spans="1:38" ht="15" customHeight="1" x14ac:dyDescent="0.3">
      <c r="A1305" s="30" t="s">
        <v>22</v>
      </c>
      <c r="B1305" s="140" t="s">
        <v>105</v>
      </c>
      <c r="C1305" s="107">
        <v>12</v>
      </c>
      <c r="D1305" s="11" t="s">
        <v>5936</v>
      </c>
      <c r="E1305" s="114">
        <v>39070</v>
      </c>
      <c r="F1305" s="12">
        <v>2006</v>
      </c>
      <c r="G1305" s="142" t="s">
        <v>4233</v>
      </c>
      <c r="H1305" s="162" t="s">
        <v>4234</v>
      </c>
      <c r="I1305" s="33" t="s">
        <v>33</v>
      </c>
      <c r="J1305" s="32" t="s">
        <v>26</v>
      </c>
      <c r="K1305" s="137" t="s">
        <v>3979</v>
      </c>
      <c r="L1305" s="138" t="s">
        <v>132</v>
      </c>
      <c r="M1305" s="137" t="s">
        <v>42</v>
      </c>
      <c r="N1305" s="137"/>
      <c r="O1305" s="138" t="s">
        <v>4235</v>
      </c>
      <c r="P1305" s="718" t="s">
        <v>4236</v>
      </c>
      <c r="Q1305" s="15" t="s">
        <v>282</v>
      </c>
      <c r="R1305" s="132">
        <v>39521</v>
      </c>
      <c r="S1305" s="16" t="s">
        <v>44</v>
      </c>
      <c r="T1305" s="133">
        <v>40724</v>
      </c>
      <c r="U1305" s="623" t="s">
        <v>44</v>
      </c>
      <c r="V1305" s="721">
        <v>43321</v>
      </c>
      <c r="W1305" s="249">
        <v>20000000</v>
      </c>
      <c r="X1305" s="240">
        <v>0</v>
      </c>
      <c r="Y1305" s="7">
        <f>IF(AE1305="","",W1305*AE1305)</f>
        <v>0</v>
      </c>
      <c r="Z1305" s="7">
        <f t="shared" si="61"/>
        <v>0</v>
      </c>
      <c r="AA1305" s="108"/>
      <c r="AB1305" s="564" t="s">
        <v>1073</v>
      </c>
      <c r="AC1305" s="693"/>
      <c r="AD1305" s="187">
        <v>0</v>
      </c>
      <c r="AE1305" s="187">
        <v>0</v>
      </c>
      <c r="AF1305" s="205">
        <f t="shared" si="62"/>
        <v>0</v>
      </c>
      <c r="AG1305" s="138">
        <v>8</v>
      </c>
      <c r="AH1305" s="138"/>
      <c r="AI1305" s="138" t="s">
        <v>4238</v>
      </c>
      <c r="AJ1305" s="138" t="s">
        <v>1188</v>
      </c>
      <c r="AK1305" s="30" t="s">
        <v>99</v>
      </c>
      <c r="AL1305" s="93" t="s">
        <v>1178</v>
      </c>
    </row>
    <row r="1306" spans="1:38" ht="15" customHeight="1" x14ac:dyDescent="0.3">
      <c r="A1306" s="181" t="s">
        <v>22</v>
      </c>
      <c r="B1306" s="167" t="s">
        <v>229</v>
      </c>
      <c r="C1306" s="135">
        <v>2</v>
      </c>
      <c r="D1306" s="11" t="s">
        <v>225</v>
      </c>
      <c r="E1306" s="168">
        <v>39448</v>
      </c>
      <c r="F1306" s="136">
        <v>2008</v>
      </c>
      <c r="G1306" s="178" t="s">
        <v>4239</v>
      </c>
      <c r="H1306" s="204" t="s">
        <v>4240</v>
      </c>
      <c r="I1306" s="136" t="s">
        <v>38</v>
      </c>
      <c r="J1306" s="32" t="s">
        <v>26</v>
      </c>
      <c r="K1306" s="197" t="s">
        <v>50</v>
      </c>
      <c r="L1306" s="197" t="s">
        <v>161</v>
      </c>
      <c r="M1306" s="137" t="s">
        <v>42</v>
      </c>
      <c r="N1306" s="137"/>
      <c r="O1306" s="138" t="s">
        <v>4241</v>
      </c>
      <c r="P1306" s="718" t="s">
        <v>4242</v>
      </c>
      <c r="Q1306" s="15" t="s">
        <v>35</v>
      </c>
      <c r="R1306" s="132">
        <v>40359</v>
      </c>
      <c r="S1306" s="16" t="s">
        <v>44</v>
      </c>
      <c r="T1306" s="133">
        <v>40842</v>
      </c>
      <c r="U1306" s="623" t="s">
        <v>44</v>
      </c>
      <c r="V1306" s="721">
        <v>43075</v>
      </c>
      <c r="W1306" s="269">
        <v>40000000</v>
      </c>
      <c r="X1306" s="240">
        <v>0</v>
      </c>
      <c r="Y1306" s="7">
        <f>IF(AE1306="","",W1306*AE1306)</f>
        <v>0</v>
      </c>
      <c r="Z1306" s="7">
        <f t="shared" si="61"/>
        <v>0</v>
      </c>
      <c r="AA1306" s="108"/>
      <c r="AB1306" s="564" t="s">
        <v>1073</v>
      </c>
      <c r="AC1306" s="693"/>
      <c r="AD1306" s="187">
        <v>0</v>
      </c>
      <c r="AE1306" s="187">
        <v>0</v>
      </c>
      <c r="AF1306" s="205">
        <f t="shared" si="62"/>
        <v>0</v>
      </c>
      <c r="AG1306" s="138">
        <v>8</v>
      </c>
      <c r="AH1306" s="138"/>
      <c r="AI1306" s="718" t="s">
        <v>4244</v>
      </c>
      <c r="AJ1306" s="138" t="s">
        <v>1188</v>
      </c>
      <c r="AK1306" s="30" t="s">
        <v>99</v>
      </c>
      <c r="AL1306" s="138" t="s">
        <v>1178</v>
      </c>
    </row>
    <row r="1307" spans="1:38" ht="15" customHeight="1" x14ac:dyDescent="0.3">
      <c r="A1307" s="181" t="s">
        <v>22</v>
      </c>
      <c r="B1307" s="265" t="s">
        <v>105</v>
      </c>
      <c r="C1307" s="245">
        <v>12</v>
      </c>
      <c r="D1307" s="11" t="s">
        <v>5936</v>
      </c>
      <c r="E1307" s="247">
        <v>42710</v>
      </c>
      <c r="F1307" s="246">
        <v>2016</v>
      </c>
      <c r="G1307" s="792" t="s">
        <v>4245</v>
      </c>
      <c r="H1307" s="792" t="s">
        <v>4246</v>
      </c>
      <c r="I1307" s="246" t="s">
        <v>38</v>
      </c>
      <c r="J1307" s="32" t="s">
        <v>26</v>
      </c>
      <c r="K1307" s="264" t="s">
        <v>111</v>
      </c>
      <c r="L1307" s="264" t="s">
        <v>28</v>
      </c>
      <c r="M1307" s="264" t="s">
        <v>42</v>
      </c>
      <c r="N1307" s="264"/>
      <c r="O1307" s="805" t="s">
        <v>4247</v>
      </c>
      <c r="P1307" s="794" t="s">
        <v>6111</v>
      </c>
      <c r="Q1307" s="220"/>
      <c r="R1307" s="218"/>
      <c r="S1307" s="92"/>
      <c r="T1307" s="133"/>
      <c r="U1307" s="623"/>
      <c r="V1307" s="624"/>
      <c r="W1307" s="239">
        <v>390000000</v>
      </c>
      <c r="X1307" s="243">
        <v>0</v>
      </c>
      <c r="Y1307" s="240">
        <v>0</v>
      </c>
      <c r="Z1307" s="189">
        <f t="shared" si="61"/>
        <v>0</v>
      </c>
      <c r="AA1307" s="267"/>
      <c r="AB1307" s="513" t="s">
        <v>3232</v>
      </c>
      <c r="AC1307" s="147"/>
      <c r="AD1307" s="251">
        <v>0</v>
      </c>
      <c r="AE1307" s="187">
        <v>0</v>
      </c>
      <c r="AF1307" s="205">
        <f t="shared" si="62"/>
        <v>0</v>
      </c>
      <c r="AG1307" s="181">
        <v>8</v>
      </c>
      <c r="AH1307" s="264" t="s">
        <v>4237</v>
      </c>
      <c r="AI1307" s="718" t="s">
        <v>4249</v>
      </c>
      <c r="AJ1307" s="138" t="s">
        <v>1188</v>
      </c>
      <c r="AK1307" s="181" t="s">
        <v>1177</v>
      </c>
      <c r="AL1307" s="138" t="s">
        <v>1178</v>
      </c>
    </row>
    <row r="1308" spans="1:38" ht="15" customHeight="1" x14ac:dyDescent="0.3">
      <c r="A1308" s="30" t="s">
        <v>22</v>
      </c>
      <c r="B1308" s="30" t="s">
        <v>23</v>
      </c>
      <c r="C1308" s="93">
        <v>2</v>
      </c>
      <c r="D1308" s="11" t="s">
        <v>24</v>
      </c>
      <c r="E1308" s="108">
        <v>42054</v>
      </c>
      <c r="F1308" s="37">
        <v>2015</v>
      </c>
      <c r="G1308" s="30" t="s">
        <v>4250</v>
      </c>
      <c r="H1308" s="162" t="s">
        <v>4251</v>
      </c>
      <c r="I1308" s="12" t="s">
        <v>80</v>
      </c>
      <c r="J1308" s="32" t="s">
        <v>26</v>
      </c>
      <c r="K1308" s="197" t="s">
        <v>50</v>
      </c>
      <c r="L1308" s="137" t="s">
        <v>28</v>
      </c>
      <c r="M1308" s="660" t="s">
        <v>42</v>
      </c>
      <c r="N1308" s="709"/>
      <c r="O1308" s="146" t="s">
        <v>4252</v>
      </c>
      <c r="P1308" s="138" t="s">
        <v>4253</v>
      </c>
      <c r="Q1308" s="15" t="s">
        <v>282</v>
      </c>
      <c r="R1308" s="132">
        <v>42632</v>
      </c>
      <c r="S1308" s="16" t="s">
        <v>44</v>
      </c>
      <c r="T1308" s="165">
        <v>42999</v>
      </c>
      <c r="U1308" s="624"/>
      <c r="V1308" s="624"/>
      <c r="W1308" s="239">
        <v>77500000</v>
      </c>
      <c r="X1308" s="240">
        <v>0</v>
      </c>
      <c r="Y1308" s="240">
        <v>0</v>
      </c>
      <c r="Z1308" s="7">
        <f t="shared" si="61"/>
        <v>0</v>
      </c>
      <c r="AA1308" s="108"/>
      <c r="AB1308" s="772" t="s">
        <v>36</v>
      </c>
      <c r="AC1308" s="30"/>
      <c r="AD1308" s="187">
        <v>0</v>
      </c>
      <c r="AE1308" s="187">
        <v>0</v>
      </c>
      <c r="AF1308" s="205">
        <f t="shared" si="62"/>
        <v>0</v>
      </c>
      <c r="AG1308" s="30">
        <v>8</v>
      </c>
      <c r="AH1308" s="30" t="s">
        <v>4243</v>
      </c>
      <c r="AI1308" s="200"/>
      <c r="AJ1308" s="30" t="s">
        <v>1188</v>
      </c>
      <c r="AK1308" s="30" t="s">
        <v>1185</v>
      </c>
      <c r="AL1308" s="93" t="s">
        <v>1178</v>
      </c>
    </row>
    <row r="1309" spans="1:38" ht="15" customHeight="1" x14ac:dyDescent="0.3">
      <c r="A1309" s="181" t="s">
        <v>22</v>
      </c>
      <c r="B1309" s="181" t="s">
        <v>105</v>
      </c>
      <c r="C1309" s="135">
        <v>1</v>
      </c>
      <c r="D1309" s="11" t="s">
        <v>5936</v>
      </c>
      <c r="E1309" s="168">
        <v>42541</v>
      </c>
      <c r="F1309" s="136">
        <v>2016</v>
      </c>
      <c r="G1309" s="178" t="s">
        <v>4254</v>
      </c>
      <c r="H1309" s="178" t="s">
        <v>4255</v>
      </c>
      <c r="I1309" s="136" t="s">
        <v>38</v>
      </c>
      <c r="J1309" s="32" t="s">
        <v>26</v>
      </c>
      <c r="K1309" s="197" t="s">
        <v>111</v>
      </c>
      <c r="L1309" s="197" t="s">
        <v>28</v>
      </c>
      <c r="M1309" s="197" t="s">
        <v>42</v>
      </c>
      <c r="N1309" s="197"/>
      <c r="O1309" s="805" t="s">
        <v>4256</v>
      </c>
      <c r="P1309" s="794" t="s">
        <v>4257</v>
      </c>
      <c r="Q1309" s="15" t="s">
        <v>35</v>
      </c>
      <c r="R1309" s="218">
        <v>42916</v>
      </c>
      <c r="S1309" s="16" t="s">
        <v>44</v>
      </c>
      <c r="T1309" s="133">
        <v>43125</v>
      </c>
      <c r="U1309" s="623"/>
      <c r="V1309" s="624"/>
      <c r="W1309" s="239">
        <v>16000000</v>
      </c>
      <c r="X1309" s="243">
        <v>0</v>
      </c>
      <c r="Y1309" s="240">
        <v>0</v>
      </c>
      <c r="Z1309" s="7">
        <f t="shared" si="61"/>
        <v>0</v>
      </c>
      <c r="AA1309" s="270"/>
      <c r="AB1309" s="564" t="s">
        <v>1073</v>
      </c>
      <c r="AC1309" s="693"/>
      <c r="AD1309" s="251">
        <v>0</v>
      </c>
      <c r="AE1309" s="187">
        <v>0</v>
      </c>
      <c r="AF1309" s="205">
        <f t="shared" si="62"/>
        <v>0</v>
      </c>
      <c r="AG1309" s="181">
        <v>8</v>
      </c>
      <c r="AH1309" s="264" t="s">
        <v>4248</v>
      </c>
      <c r="AI1309" s="138"/>
      <c r="AJ1309" s="138" t="s">
        <v>1188</v>
      </c>
      <c r="AK1309" s="181" t="s">
        <v>1185</v>
      </c>
      <c r="AL1309" s="138" t="s">
        <v>1178</v>
      </c>
    </row>
    <row r="1310" spans="1:38" ht="15" customHeight="1" x14ac:dyDescent="0.3">
      <c r="A1310" s="181" t="s">
        <v>4259</v>
      </c>
      <c r="B1310" s="265" t="s">
        <v>105</v>
      </c>
      <c r="C1310" s="245">
        <v>15</v>
      </c>
      <c r="D1310" s="11" t="s">
        <v>5936</v>
      </c>
      <c r="E1310" s="247">
        <v>42815</v>
      </c>
      <c r="F1310" s="246">
        <v>2017</v>
      </c>
      <c r="G1310" s="792" t="s">
        <v>4260</v>
      </c>
      <c r="H1310" s="792" t="s">
        <v>4261</v>
      </c>
      <c r="I1310" s="246" t="s">
        <v>38</v>
      </c>
      <c r="J1310" s="248" t="s">
        <v>81</v>
      </c>
      <c r="K1310" s="264" t="s">
        <v>163</v>
      </c>
      <c r="L1310" s="264" t="s">
        <v>28</v>
      </c>
      <c r="M1310" s="264" t="s">
        <v>42</v>
      </c>
      <c r="N1310" s="553" t="s">
        <v>122</v>
      </c>
      <c r="O1310" s="805" t="s">
        <v>4262</v>
      </c>
      <c r="P1310" s="794" t="s">
        <v>6112</v>
      </c>
      <c r="Q1310" s="220"/>
      <c r="R1310" s="218"/>
      <c r="S1310" s="92"/>
      <c r="T1310" s="133"/>
      <c r="U1310" s="623"/>
      <c r="V1310" s="624"/>
      <c r="W1310" s="239">
        <v>5000000</v>
      </c>
      <c r="X1310" s="243">
        <v>0</v>
      </c>
      <c r="Y1310" s="201">
        <f t="shared" ref="Y1310:Y1335" si="65">IF(AE1310="","",W1310*AE1310)</f>
        <v>0</v>
      </c>
      <c r="Z1310" s="189">
        <f t="shared" si="61"/>
        <v>0</v>
      </c>
      <c r="AA1310" s="267"/>
      <c r="AB1310" s="564" t="s">
        <v>1073</v>
      </c>
      <c r="AC1310" s="693"/>
      <c r="AD1310" s="251">
        <v>0</v>
      </c>
      <c r="AE1310" s="187">
        <v>0</v>
      </c>
      <c r="AF1310" s="205">
        <f t="shared" si="62"/>
        <v>0</v>
      </c>
      <c r="AG1310" s="181">
        <v>8</v>
      </c>
      <c r="AH1310" s="264"/>
      <c r="AI1310" s="138"/>
      <c r="AJ1310" s="138" t="s">
        <v>1188</v>
      </c>
      <c r="AK1310" s="181" t="s">
        <v>1177</v>
      </c>
      <c r="AL1310" s="138" t="s">
        <v>1178</v>
      </c>
    </row>
    <row r="1311" spans="1:38" ht="15" customHeight="1" x14ac:dyDescent="0.3">
      <c r="A1311" s="181" t="s">
        <v>22</v>
      </c>
      <c r="B1311" s="181" t="s">
        <v>23</v>
      </c>
      <c r="C1311" s="184">
        <v>9</v>
      </c>
      <c r="D1311" s="11" t="s">
        <v>24</v>
      </c>
      <c r="E1311" s="192">
        <v>42774</v>
      </c>
      <c r="F1311" s="181">
        <v>2017</v>
      </c>
      <c r="G1311" s="181" t="s">
        <v>4263</v>
      </c>
      <c r="H1311" s="217" t="s">
        <v>4264</v>
      </c>
      <c r="I1311" s="12" t="s">
        <v>38</v>
      </c>
      <c r="J1311" s="32" t="s">
        <v>26</v>
      </c>
      <c r="K1311" s="197" t="s">
        <v>4014</v>
      </c>
      <c r="L1311" s="138" t="s">
        <v>56</v>
      </c>
      <c r="M1311" s="279" t="s">
        <v>42</v>
      </c>
      <c r="N1311" s="799"/>
      <c r="O1311" s="146" t="s">
        <v>4265</v>
      </c>
      <c r="P1311" s="800" t="s">
        <v>6113</v>
      </c>
      <c r="Q1311" s="91"/>
      <c r="R1311" s="132"/>
      <c r="S1311" s="92"/>
      <c r="T1311" s="165"/>
      <c r="U1311" s="624"/>
      <c r="V1311" s="624"/>
      <c r="W1311" s="239">
        <v>98000000</v>
      </c>
      <c r="X1311" s="240">
        <v>0</v>
      </c>
      <c r="Y1311" s="201">
        <f t="shared" si="65"/>
        <v>0</v>
      </c>
      <c r="Z1311" s="7">
        <f t="shared" si="61"/>
        <v>0</v>
      </c>
      <c r="AA1311" s="192"/>
      <c r="AB1311" s="801" t="s">
        <v>53</v>
      </c>
      <c r="AC1311" s="192"/>
      <c r="AD1311" s="258">
        <v>0</v>
      </c>
      <c r="AE1311" s="187">
        <v>0</v>
      </c>
      <c r="AF1311" s="205">
        <f t="shared" si="62"/>
        <v>0</v>
      </c>
      <c r="AG1311" s="181">
        <v>8</v>
      </c>
      <c r="AH1311" s="181" t="s">
        <v>4258</v>
      </c>
      <c r="AI1311" s="763" t="s">
        <v>4266</v>
      </c>
      <c r="AJ1311" s="181" t="s">
        <v>1188</v>
      </c>
      <c r="AK1311" s="30" t="s">
        <v>1177</v>
      </c>
      <c r="AL1311" s="93" t="s">
        <v>1178</v>
      </c>
    </row>
    <row r="1312" spans="1:38" ht="15" customHeight="1" x14ac:dyDescent="0.3">
      <c r="A1312" s="30" t="s">
        <v>22</v>
      </c>
      <c r="B1312" s="120" t="s">
        <v>144</v>
      </c>
      <c r="C1312" s="107">
        <v>11</v>
      </c>
      <c r="D1312" s="11" t="s">
        <v>143</v>
      </c>
      <c r="E1312" s="114">
        <v>42325</v>
      </c>
      <c r="F1312" s="107">
        <v>2015</v>
      </c>
      <c r="G1312" s="142" t="s">
        <v>4267</v>
      </c>
      <c r="H1312" s="162" t="s">
        <v>4268</v>
      </c>
      <c r="I1312" s="12" t="s">
        <v>38</v>
      </c>
      <c r="J1312" s="32" t="s">
        <v>26</v>
      </c>
      <c r="K1312" s="137" t="s">
        <v>4057</v>
      </c>
      <c r="L1312" s="197" t="s">
        <v>28</v>
      </c>
      <c r="M1312" s="197" t="s">
        <v>42</v>
      </c>
      <c r="N1312" s="197"/>
      <c r="O1312" s="138" t="s">
        <v>4269</v>
      </c>
      <c r="P1312" s="197" t="s">
        <v>4270</v>
      </c>
      <c r="Q1312" s="15" t="s">
        <v>35</v>
      </c>
      <c r="R1312" s="132">
        <v>42851</v>
      </c>
      <c r="S1312" s="16" t="s">
        <v>35</v>
      </c>
      <c r="T1312" s="133">
        <v>43063</v>
      </c>
      <c r="U1312" s="623"/>
      <c r="V1312" s="623"/>
      <c r="W1312" s="249">
        <v>20000000</v>
      </c>
      <c r="X1312" s="253">
        <v>0</v>
      </c>
      <c r="Y1312" s="7">
        <f t="shared" si="65"/>
        <v>0</v>
      </c>
      <c r="Z1312" s="7">
        <f t="shared" si="61"/>
        <v>0</v>
      </c>
      <c r="AA1312" s="90"/>
      <c r="AB1312" s="808" t="s">
        <v>147</v>
      </c>
      <c r="AC1312" s="554"/>
      <c r="AD1312" s="187">
        <v>0</v>
      </c>
      <c r="AE1312" s="187">
        <v>0</v>
      </c>
      <c r="AF1312" s="205">
        <f t="shared" si="62"/>
        <v>0</v>
      </c>
      <c r="AG1312" s="88">
        <v>8</v>
      </c>
      <c r="AH1312" s="93"/>
      <c r="AI1312" s="719" t="s">
        <v>4271</v>
      </c>
      <c r="AJ1312" s="146" t="s">
        <v>1188</v>
      </c>
      <c r="AK1312" s="37" t="s">
        <v>1185</v>
      </c>
      <c r="AL1312" s="146" t="s">
        <v>1178</v>
      </c>
    </row>
    <row r="1313" spans="1:38" ht="15" customHeight="1" x14ac:dyDescent="0.3">
      <c r="A1313" s="181" t="s">
        <v>22</v>
      </c>
      <c r="B1313" s="181" t="s">
        <v>199</v>
      </c>
      <c r="C1313" s="135">
        <v>2</v>
      </c>
      <c r="D1313" s="136" t="s">
        <v>190</v>
      </c>
      <c r="E1313" s="168">
        <v>42621</v>
      </c>
      <c r="F1313" s="136">
        <v>2016</v>
      </c>
      <c r="G1313" s="178" t="s">
        <v>4272</v>
      </c>
      <c r="H1313" s="178" t="s">
        <v>4273</v>
      </c>
      <c r="I1313" s="136" t="s">
        <v>38</v>
      </c>
      <c r="J1313" s="32" t="s">
        <v>26</v>
      </c>
      <c r="K1313" s="197" t="s">
        <v>50</v>
      </c>
      <c r="L1313" s="197" t="s">
        <v>28</v>
      </c>
      <c r="M1313" s="197" t="s">
        <v>42</v>
      </c>
      <c r="N1313" s="197"/>
      <c r="O1313" s="783" t="s">
        <v>4274</v>
      </c>
      <c r="P1313" s="794" t="s">
        <v>6114</v>
      </c>
      <c r="Q1313" s="230"/>
      <c r="R1313" s="231"/>
      <c r="S1313" s="272"/>
      <c r="T1313" s="268"/>
      <c r="U1313" s="803"/>
      <c r="V1313" s="803"/>
      <c r="W1313" s="242">
        <v>144000000</v>
      </c>
      <c r="X1313" s="240">
        <v>0</v>
      </c>
      <c r="Y1313" s="201">
        <f t="shared" si="65"/>
        <v>0</v>
      </c>
      <c r="Z1313" s="7">
        <f t="shared" si="61"/>
        <v>0</v>
      </c>
      <c r="AA1313" s="192"/>
      <c r="AB1313" s="479" t="s">
        <v>200</v>
      </c>
      <c r="AC1313" s="480"/>
      <c r="AD1313" s="258">
        <v>0</v>
      </c>
      <c r="AE1313" s="187">
        <v>0</v>
      </c>
      <c r="AF1313" s="205">
        <f t="shared" si="62"/>
        <v>0</v>
      </c>
      <c r="AG1313" s="181">
        <v>8</v>
      </c>
      <c r="AH1313" s="264"/>
      <c r="AI1313" s="181"/>
      <c r="AJ1313" s="197" t="s">
        <v>1188</v>
      </c>
      <c r="AK1313" s="197" t="s">
        <v>1177</v>
      </c>
      <c r="AL1313" s="138" t="s">
        <v>1178</v>
      </c>
    </row>
    <row r="1314" spans="1:38" ht="15" customHeight="1" x14ac:dyDescent="0.3">
      <c r="A1314" s="181" t="s">
        <v>140</v>
      </c>
      <c r="B1314" s="153" t="s">
        <v>220</v>
      </c>
      <c r="C1314" s="135">
        <v>2</v>
      </c>
      <c r="D1314" s="136" t="s">
        <v>190</v>
      </c>
      <c r="E1314" s="168">
        <v>42720</v>
      </c>
      <c r="F1314" s="136">
        <v>2016</v>
      </c>
      <c r="G1314" s="178" t="s">
        <v>4275</v>
      </c>
      <c r="H1314" s="178"/>
      <c r="I1314" s="136" t="s">
        <v>38</v>
      </c>
      <c r="J1314" s="181" t="s">
        <v>81</v>
      </c>
      <c r="K1314" s="197" t="s">
        <v>163</v>
      </c>
      <c r="L1314" s="197" t="s">
        <v>28</v>
      </c>
      <c r="M1314" s="197" t="s">
        <v>42</v>
      </c>
      <c r="N1314" s="197"/>
      <c r="O1314" s="783" t="s">
        <v>4276</v>
      </c>
      <c r="P1314" s="794" t="s">
        <v>4277</v>
      </c>
      <c r="Q1314" s="15" t="s">
        <v>282</v>
      </c>
      <c r="R1314" s="231">
        <v>43038</v>
      </c>
      <c r="S1314" s="16" t="s">
        <v>35</v>
      </c>
      <c r="T1314" s="268">
        <v>43042</v>
      </c>
      <c r="U1314" s="803"/>
      <c r="V1314" s="803"/>
      <c r="W1314" s="242">
        <v>5000000</v>
      </c>
      <c r="X1314" s="240">
        <v>0</v>
      </c>
      <c r="Y1314" s="201">
        <f t="shared" si="65"/>
        <v>0</v>
      </c>
      <c r="Z1314" s="7">
        <f t="shared" si="61"/>
        <v>0</v>
      </c>
      <c r="AA1314" s="192"/>
      <c r="AB1314" s="513" t="s">
        <v>3232</v>
      </c>
      <c r="AC1314" s="147"/>
      <c r="AD1314" s="258">
        <v>0</v>
      </c>
      <c r="AE1314" s="187">
        <v>0</v>
      </c>
      <c r="AF1314" s="205">
        <f t="shared" si="62"/>
        <v>0</v>
      </c>
      <c r="AG1314" s="181">
        <v>12</v>
      </c>
      <c r="AH1314" s="264"/>
      <c r="AI1314" s="718" t="s">
        <v>3698</v>
      </c>
      <c r="AJ1314" s="197" t="s">
        <v>1188</v>
      </c>
      <c r="AK1314" s="197" t="s">
        <v>1185</v>
      </c>
      <c r="AL1314" s="138" t="s">
        <v>1178</v>
      </c>
    </row>
    <row r="1315" spans="1:38" ht="15" customHeight="1" x14ac:dyDescent="0.3">
      <c r="A1315" s="181" t="s">
        <v>22</v>
      </c>
      <c r="B1315" s="145" t="s">
        <v>422</v>
      </c>
      <c r="C1315" s="135">
        <v>3</v>
      </c>
      <c r="D1315" s="136" t="s">
        <v>190</v>
      </c>
      <c r="E1315" s="192">
        <v>39448</v>
      </c>
      <c r="F1315" s="138">
        <v>2008</v>
      </c>
      <c r="G1315" s="744" t="s">
        <v>4278</v>
      </c>
      <c r="H1315" s="162" t="s">
        <v>4279</v>
      </c>
      <c r="I1315" s="33" t="s">
        <v>33</v>
      </c>
      <c r="J1315" s="32" t="s">
        <v>26</v>
      </c>
      <c r="K1315" s="197" t="s">
        <v>162</v>
      </c>
      <c r="L1315" s="197" t="s">
        <v>161</v>
      </c>
      <c r="M1315" s="137" t="s">
        <v>42</v>
      </c>
      <c r="N1315" s="137"/>
      <c r="O1315" s="138" t="s">
        <v>1809</v>
      </c>
      <c r="P1315" s="718" t="s">
        <v>4280</v>
      </c>
      <c r="Q1315" s="15" t="s">
        <v>282</v>
      </c>
      <c r="R1315" s="132">
        <v>40298</v>
      </c>
      <c r="S1315" s="16" t="s">
        <v>44</v>
      </c>
      <c r="T1315" s="133">
        <v>40809</v>
      </c>
      <c r="U1315" s="623" t="s">
        <v>44</v>
      </c>
      <c r="V1315" s="180">
        <v>43026</v>
      </c>
      <c r="W1315" s="249">
        <v>30000000</v>
      </c>
      <c r="X1315" s="240">
        <v>0</v>
      </c>
      <c r="Y1315" s="7">
        <f t="shared" si="65"/>
        <v>0</v>
      </c>
      <c r="Z1315" s="185">
        <f t="shared" si="61"/>
        <v>0</v>
      </c>
      <c r="AA1315" s="108"/>
      <c r="AB1315" s="564" t="s">
        <v>1073</v>
      </c>
      <c r="AC1315" s="693"/>
      <c r="AD1315" s="187">
        <v>0</v>
      </c>
      <c r="AE1315" s="187">
        <v>0</v>
      </c>
      <c r="AF1315" s="205">
        <f t="shared" si="62"/>
        <v>0</v>
      </c>
      <c r="AG1315" s="163">
        <v>8</v>
      </c>
      <c r="AH1315" s="138"/>
      <c r="AI1315" s="683"/>
      <c r="AJ1315" s="138" t="s">
        <v>1188</v>
      </c>
      <c r="AK1315" s="30" t="s">
        <v>99</v>
      </c>
      <c r="AL1315" s="138" t="s">
        <v>1178</v>
      </c>
    </row>
    <row r="1316" spans="1:38" ht="15" customHeight="1" x14ac:dyDescent="0.3">
      <c r="A1316" s="181" t="s">
        <v>22</v>
      </c>
      <c r="B1316" s="145" t="s">
        <v>105</v>
      </c>
      <c r="C1316" s="135">
        <v>31</v>
      </c>
      <c r="D1316" s="11" t="s">
        <v>5936</v>
      </c>
      <c r="E1316" s="168">
        <v>40834</v>
      </c>
      <c r="F1316" s="136">
        <v>2011</v>
      </c>
      <c r="G1316" s="178" t="s">
        <v>4282</v>
      </c>
      <c r="H1316" s="204" t="s">
        <v>4283</v>
      </c>
      <c r="I1316" s="33" t="s">
        <v>33</v>
      </c>
      <c r="J1316" s="32" t="s">
        <v>191</v>
      </c>
      <c r="K1316" s="138" t="s">
        <v>2177</v>
      </c>
      <c r="L1316" s="765" t="s">
        <v>1319</v>
      </c>
      <c r="M1316" s="137" t="s">
        <v>804</v>
      </c>
      <c r="N1316" s="138"/>
      <c r="O1316" s="138" t="s">
        <v>4284</v>
      </c>
      <c r="P1316" s="718" t="s">
        <v>4285</v>
      </c>
      <c r="Q1316" s="15" t="s">
        <v>35</v>
      </c>
      <c r="R1316" s="132">
        <v>41180</v>
      </c>
      <c r="S1316" s="16" t="s">
        <v>35</v>
      </c>
      <c r="T1316" s="133">
        <v>41248</v>
      </c>
      <c r="U1316" s="623" t="s">
        <v>35</v>
      </c>
      <c r="V1316" s="180">
        <v>43068</v>
      </c>
      <c r="W1316" s="242">
        <v>60000000</v>
      </c>
      <c r="X1316" s="240">
        <v>60000000</v>
      </c>
      <c r="Y1316" s="7">
        <f t="shared" si="65"/>
        <v>0</v>
      </c>
      <c r="Z1316" s="254">
        <f>IF(Y1316="",X1316,Y1316+X1316)-60000000</f>
        <v>0</v>
      </c>
      <c r="AA1316" s="271">
        <v>43214</v>
      </c>
      <c r="AB1316" s="564" t="s">
        <v>1073</v>
      </c>
      <c r="AC1316" s="693"/>
      <c r="AD1316" s="196">
        <v>1</v>
      </c>
      <c r="AE1316" s="187">
        <v>0</v>
      </c>
      <c r="AF1316" s="205">
        <f t="shared" si="62"/>
        <v>1</v>
      </c>
      <c r="AG1316" s="138">
        <v>8</v>
      </c>
      <c r="AH1316" s="138"/>
      <c r="AI1316" s="718" t="s">
        <v>4286</v>
      </c>
      <c r="AJ1316" s="138" t="s">
        <v>1188</v>
      </c>
      <c r="AK1316" s="30" t="s">
        <v>99</v>
      </c>
      <c r="AL1316" s="138" t="s">
        <v>1178</v>
      </c>
    </row>
    <row r="1317" spans="1:38" ht="15" customHeight="1" x14ac:dyDescent="0.3">
      <c r="A1317" s="181" t="s">
        <v>22</v>
      </c>
      <c r="B1317" s="167" t="s">
        <v>105</v>
      </c>
      <c r="C1317" s="135">
        <v>27</v>
      </c>
      <c r="D1317" s="11" t="s">
        <v>5936</v>
      </c>
      <c r="E1317" s="168">
        <v>41795</v>
      </c>
      <c r="F1317" s="136">
        <v>2014</v>
      </c>
      <c r="G1317" s="178" t="s">
        <v>4287</v>
      </c>
      <c r="H1317" s="178" t="s">
        <v>4288</v>
      </c>
      <c r="I1317" s="33" t="s">
        <v>33</v>
      </c>
      <c r="J1317" s="32" t="s">
        <v>26</v>
      </c>
      <c r="K1317" s="197" t="s">
        <v>4097</v>
      </c>
      <c r="L1317" s="197" t="s">
        <v>133</v>
      </c>
      <c r="M1317" s="137" t="s">
        <v>804</v>
      </c>
      <c r="N1317" s="197"/>
      <c r="O1317" s="197" t="s">
        <v>4289</v>
      </c>
      <c r="P1317" s="736" t="s">
        <v>4290</v>
      </c>
      <c r="Q1317" s="15" t="s">
        <v>35</v>
      </c>
      <c r="R1317" s="218">
        <v>42765</v>
      </c>
      <c r="S1317" s="16" t="s">
        <v>35</v>
      </c>
      <c r="T1317" s="133">
        <v>42801</v>
      </c>
      <c r="U1317" s="623"/>
      <c r="V1317" s="624"/>
      <c r="W1317" s="242">
        <v>70000000</v>
      </c>
      <c r="X1317" s="240">
        <v>70000000</v>
      </c>
      <c r="Y1317" s="201">
        <f t="shared" si="65"/>
        <v>0</v>
      </c>
      <c r="Z1317" s="189">
        <f>IF(Y1317="",X1317,Y1317+X1317)-70000000</f>
        <v>0</v>
      </c>
      <c r="AA1317" s="229">
        <v>43200</v>
      </c>
      <c r="AB1317" s="513" t="s">
        <v>3232</v>
      </c>
      <c r="AC1317" s="147"/>
      <c r="AD1317" s="196">
        <v>1</v>
      </c>
      <c r="AE1317" s="187">
        <v>0</v>
      </c>
      <c r="AF1317" s="205">
        <f t="shared" si="62"/>
        <v>1</v>
      </c>
      <c r="AG1317" s="138">
        <v>8</v>
      </c>
      <c r="AH1317" s="138" t="s">
        <v>4281</v>
      </c>
      <c r="AI1317" s="718" t="s">
        <v>4292</v>
      </c>
      <c r="AJ1317" s="138" t="s">
        <v>1188</v>
      </c>
      <c r="AK1317" s="30" t="s">
        <v>99</v>
      </c>
      <c r="AL1317" s="138" t="s">
        <v>1178</v>
      </c>
    </row>
    <row r="1318" spans="1:38" ht="15" customHeight="1" x14ac:dyDescent="0.3">
      <c r="A1318" s="30" t="s">
        <v>22</v>
      </c>
      <c r="B1318" s="30" t="s">
        <v>23</v>
      </c>
      <c r="C1318" s="37">
        <v>21</v>
      </c>
      <c r="D1318" s="11" t="s">
        <v>24</v>
      </c>
      <c r="E1318" s="108">
        <v>41617</v>
      </c>
      <c r="F1318" s="37">
        <v>2013</v>
      </c>
      <c r="G1318" s="30" t="s">
        <v>4293</v>
      </c>
      <c r="H1318" s="162" t="s">
        <v>4294</v>
      </c>
      <c r="I1318" s="12" t="s">
        <v>38</v>
      </c>
      <c r="J1318" s="32" t="s">
        <v>26</v>
      </c>
      <c r="K1318" s="197" t="s">
        <v>50</v>
      </c>
      <c r="L1318" s="137" t="s">
        <v>3349</v>
      </c>
      <c r="M1318" s="660" t="s">
        <v>42</v>
      </c>
      <c r="N1318" s="709"/>
      <c r="O1318" s="146" t="s">
        <v>4295</v>
      </c>
      <c r="P1318" s="138" t="s">
        <v>4296</v>
      </c>
      <c r="Q1318" s="15" t="s">
        <v>282</v>
      </c>
      <c r="R1318" s="132">
        <v>42474</v>
      </c>
      <c r="S1318" s="16" t="s">
        <v>44</v>
      </c>
      <c r="T1318" s="165">
        <v>43168</v>
      </c>
      <c r="U1318" s="624"/>
      <c r="V1318" s="624"/>
      <c r="W1318" s="239">
        <v>23700000</v>
      </c>
      <c r="X1318" s="240">
        <v>0</v>
      </c>
      <c r="Y1318" s="7">
        <f t="shared" si="65"/>
        <v>0</v>
      </c>
      <c r="Z1318" s="7">
        <f>IF(Y1318="",X1318,Y1318+X1318)</f>
        <v>0</v>
      </c>
      <c r="AA1318" s="108"/>
      <c r="AB1318" s="479" t="s">
        <v>49</v>
      </c>
      <c r="AC1318" s="480"/>
      <c r="AD1318" s="187">
        <v>0</v>
      </c>
      <c r="AE1318" s="187">
        <v>0</v>
      </c>
      <c r="AF1318" s="205">
        <f t="shared" si="62"/>
        <v>0</v>
      </c>
      <c r="AG1318" s="30">
        <v>8</v>
      </c>
      <c r="AH1318" s="30" t="s">
        <v>58</v>
      </c>
      <c r="AI1318" s="146"/>
      <c r="AJ1318" s="30" t="s">
        <v>1188</v>
      </c>
      <c r="AK1318" s="30" t="s">
        <v>1185</v>
      </c>
      <c r="AL1318" s="93" t="s">
        <v>1178</v>
      </c>
    </row>
    <row r="1319" spans="1:38" ht="15" customHeight="1" x14ac:dyDescent="0.3">
      <c r="A1319" s="30" t="s">
        <v>22</v>
      </c>
      <c r="B1319" s="120" t="s">
        <v>227</v>
      </c>
      <c r="C1319" s="107">
        <v>4</v>
      </c>
      <c r="D1319" s="11" t="s">
        <v>225</v>
      </c>
      <c r="E1319" s="114">
        <v>38869</v>
      </c>
      <c r="F1319" s="12">
        <v>2006</v>
      </c>
      <c r="G1319" s="142" t="s">
        <v>4297</v>
      </c>
      <c r="H1319" s="162" t="s">
        <v>4298</v>
      </c>
      <c r="I1319" s="33" t="s">
        <v>33</v>
      </c>
      <c r="J1319" s="32" t="s">
        <v>26</v>
      </c>
      <c r="K1319" s="197" t="s">
        <v>1194</v>
      </c>
      <c r="L1319" s="138" t="s">
        <v>1319</v>
      </c>
      <c r="M1319" s="137" t="s">
        <v>804</v>
      </c>
      <c r="N1319" s="137"/>
      <c r="O1319" s="138" t="s">
        <v>4299</v>
      </c>
      <c r="P1319" s="718" t="s">
        <v>4300</v>
      </c>
      <c r="Q1319" s="15" t="s">
        <v>35</v>
      </c>
      <c r="R1319" s="132">
        <v>39994</v>
      </c>
      <c r="S1319" s="16" t="s">
        <v>35</v>
      </c>
      <c r="T1319" s="133">
        <v>40450</v>
      </c>
      <c r="U1319" s="623" t="s">
        <v>44</v>
      </c>
      <c r="V1319" s="180">
        <v>43173</v>
      </c>
      <c r="W1319" s="239">
        <v>140000000</v>
      </c>
      <c r="X1319" s="240">
        <v>140000000</v>
      </c>
      <c r="Y1319" s="7">
        <f t="shared" si="65"/>
        <v>0</v>
      </c>
      <c r="Z1319" s="201">
        <f>IF(Y1319="",X1319,Y1319+X1319)</f>
        <v>140000000</v>
      </c>
      <c r="AA1319" s="108">
        <v>43280</v>
      </c>
      <c r="AB1319" s="504" t="s">
        <v>6115</v>
      </c>
      <c r="AC1319" s="138"/>
      <c r="AD1319" s="187">
        <v>1</v>
      </c>
      <c r="AE1319" s="187">
        <v>0</v>
      </c>
      <c r="AF1319" s="205">
        <f t="shared" si="62"/>
        <v>1</v>
      </c>
      <c r="AG1319" s="138">
        <v>8</v>
      </c>
      <c r="AH1319" s="138" t="s">
        <v>4291</v>
      </c>
      <c r="AI1319" s="718" t="s">
        <v>4302</v>
      </c>
      <c r="AJ1319" s="93" t="s">
        <v>1188</v>
      </c>
      <c r="AK1319" s="30" t="s">
        <v>99</v>
      </c>
      <c r="AL1319" s="93" t="s">
        <v>1178</v>
      </c>
    </row>
    <row r="1320" spans="1:38" ht="15" customHeight="1" x14ac:dyDescent="0.3">
      <c r="A1320" s="181" t="s">
        <v>140</v>
      </c>
      <c r="B1320" s="255" t="s">
        <v>105</v>
      </c>
      <c r="C1320" s="135">
        <v>13</v>
      </c>
      <c r="D1320" s="11" t="s">
        <v>5936</v>
      </c>
      <c r="E1320" s="168">
        <v>42957</v>
      </c>
      <c r="F1320" s="136">
        <v>2017</v>
      </c>
      <c r="G1320" s="178" t="s">
        <v>4303</v>
      </c>
      <c r="H1320" s="178" t="s">
        <v>4304</v>
      </c>
      <c r="I1320" s="136" t="s">
        <v>38</v>
      </c>
      <c r="J1320" s="181" t="s">
        <v>81</v>
      </c>
      <c r="K1320" s="197" t="s">
        <v>4305</v>
      </c>
      <c r="L1320" s="197" t="s">
        <v>28</v>
      </c>
      <c r="M1320" s="197" t="s">
        <v>42</v>
      </c>
      <c r="N1320" s="197"/>
      <c r="O1320" s="783" t="s">
        <v>4306</v>
      </c>
      <c r="P1320" s="794" t="s">
        <v>4307</v>
      </c>
      <c r="Q1320" s="15" t="s">
        <v>282</v>
      </c>
      <c r="R1320" s="218">
        <v>43207</v>
      </c>
      <c r="S1320" s="16" t="s">
        <v>44</v>
      </c>
      <c r="T1320" s="133">
        <v>43227</v>
      </c>
      <c r="U1320" s="623"/>
      <c r="V1320" s="624"/>
      <c r="W1320" s="239">
        <v>5000000</v>
      </c>
      <c r="X1320" s="243">
        <v>0</v>
      </c>
      <c r="Y1320" s="201">
        <f t="shared" si="65"/>
        <v>0</v>
      </c>
      <c r="Z1320" s="189">
        <f>IF(Y1320="",X1320,Y1320+X1320)</f>
        <v>0</v>
      </c>
      <c r="AA1320" s="267"/>
      <c r="AB1320" s="513" t="s">
        <v>3232</v>
      </c>
      <c r="AC1320" s="147"/>
      <c r="AD1320" s="187">
        <v>0</v>
      </c>
      <c r="AE1320" s="187">
        <v>0</v>
      </c>
      <c r="AF1320" s="205">
        <f t="shared" si="62"/>
        <v>0</v>
      </c>
      <c r="AG1320" s="181">
        <v>8</v>
      </c>
      <c r="AH1320" s="264"/>
      <c r="AI1320" s="138"/>
      <c r="AJ1320" s="138" t="s">
        <v>1188</v>
      </c>
      <c r="AK1320" s="181" t="s">
        <v>1185</v>
      </c>
      <c r="AL1320" s="138" t="s">
        <v>1178</v>
      </c>
    </row>
    <row r="1321" spans="1:38" ht="15" customHeight="1" x14ac:dyDescent="0.3">
      <c r="A1321" s="181" t="s">
        <v>140</v>
      </c>
      <c r="B1321" s="153" t="s">
        <v>220</v>
      </c>
      <c r="C1321" s="245">
        <v>2</v>
      </c>
      <c r="D1321" s="246" t="s">
        <v>190</v>
      </c>
      <c r="E1321" s="247">
        <v>42782</v>
      </c>
      <c r="F1321" s="246">
        <v>2017</v>
      </c>
      <c r="G1321" s="792" t="s">
        <v>4308</v>
      </c>
      <c r="H1321" s="792" t="s">
        <v>4309</v>
      </c>
      <c r="I1321" s="246" t="s">
        <v>38</v>
      </c>
      <c r="J1321" s="248" t="s">
        <v>81</v>
      </c>
      <c r="K1321" s="264" t="s">
        <v>4310</v>
      </c>
      <c r="L1321" s="264" t="s">
        <v>28</v>
      </c>
      <c r="M1321" s="264" t="s">
        <v>42</v>
      </c>
      <c r="N1321" s="553" t="s">
        <v>122</v>
      </c>
      <c r="O1321" s="805" t="s">
        <v>4311</v>
      </c>
      <c r="P1321" s="794" t="s">
        <v>4312</v>
      </c>
      <c r="Q1321" s="15" t="s">
        <v>282</v>
      </c>
      <c r="R1321" s="231">
        <v>43021</v>
      </c>
      <c r="S1321" s="16" t="s">
        <v>44</v>
      </c>
      <c r="T1321" s="268">
        <v>43031</v>
      </c>
      <c r="U1321" s="803"/>
      <c r="V1321" s="803"/>
      <c r="W1321" s="242">
        <v>5000000</v>
      </c>
      <c r="X1321" s="240"/>
      <c r="Y1321" s="201">
        <f t="shared" si="65"/>
        <v>0</v>
      </c>
      <c r="Z1321" s="7">
        <f>IF(Y1321="",X1321,Y1321+X1321)</f>
        <v>0</v>
      </c>
      <c r="AA1321" s="192"/>
      <c r="AB1321" s="513" t="s">
        <v>3232</v>
      </c>
      <c r="AC1321" s="147"/>
      <c r="AD1321" s="258">
        <v>0</v>
      </c>
      <c r="AE1321" s="187">
        <v>0</v>
      </c>
      <c r="AF1321" s="205">
        <f t="shared" si="62"/>
        <v>0</v>
      </c>
      <c r="AG1321" s="181">
        <v>8</v>
      </c>
      <c r="AH1321" s="264" t="s">
        <v>4301</v>
      </c>
      <c r="AI1321" s="138"/>
      <c r="AJ1321" s="197" t="s">
        <v>1188</v>
      </c>
      <c r="AK1321" s="197" t="s">
        <v>1177</v>
      </c>
      <c r="AL1321" s="138" t="s">
        <v>1178</v>
      </c>
    </row>
    <row r="1322" spans="1:38" ht="15" customHeight="1" x14ac:dyDescent="0.3">
      <c r="A1322" s="181" t="s">
        <v>22</v>
      </c>
      <c r="B1322" s="145" t="s">
        <v>105</v>
      </c>
      <c r="C1322" s="135">
        <v>10</v>
      </c>
      <c r="D1322" s="11" t="s">
        <v>5936</v>
      </c>
      <c r="E1322" s="168">
        <v>40218</v>
      </c>
      <c r="F1322" s="136">
        <v>2010</v>
      </c>
      <c r="G1322" s="178" t="s">
        <v>4314</v>
      </c>
      <c r="H1322" s="204" t="s">
        <v>4315</v>
      </c>
      <c r="I1322" s="33" t="s">
        <v>33</v>
      </c>
      <c r="J1322" s="32" t="s">
        <v>26</v>
      </c>
      <c r="K1322" s="197" t="s">
        <v>50</v>
      </c>
      <c r="L1322" s="197" t="s">
        <v>161</v>
      </c>
      <c r="M1322" s="197" t="s">
        <v>42</v>
      </c>
      <c r="N1322" s="197"/>
      <c r="O1322" s="138" t="s">
        <v>4316</v>
      </c>
      <c r="P1322" s="718" t="s">
        <v>4317</v>
      </c>
      <c r="Q1322" s="15" t="s">
        <v>35</v>
      </c>
      <c r="R1322" s="227">
        <v>40420</v>
      </c>
      <c r="S1322" s="16" t="s">
        <v>44</v>
      </c>
      <c r="T1322" s="756">
        <v>41060</v>
      </c>
      <c r="U1322" s="737" t="s">
        <v>44</v>
      </c>
      <c r="V1322" s="786">
        <v>43236</v>
      </c>
      <c r="W1322" s="242">
        <v>430000000</v>
      </c>
      <c r="X1322" s="240">
        <v>0</v>
      </c>
      <c r="Y1322" s="7">
        <f t="shared" si="65"/>
        <v>0</v>
      </c>
      <c r="Z1322" s="7">
        <f>IF(Y1322="",X1322,Y1322+X1322)</f>
        <v>0</v>
      </c>
      <c r="AA1322" s="108"/>
      <c r="AB1322" s="564" t="s">
        <v>1073</v>
      </c>
      <c r="AC1322" s="693"/>
      <c r="AD1322" s="187">
        <v>0</v>
      </c>
      <c r="AE1322" s="187">
        <v>0</v>
      </c>
      <c r="AF1322" s="205">
        <f t="shared" si="62"/>
        <v>0</v>
      </c>
      <c r="AG1322" s="30">
        <v>8</v>
      </c>
      <c r="AH1322" s="30" t="s">
        <v>2761</v>
      </c>
      <c r="AI1322" s="30"/>
      <c r="AJ1322" s="30" t="s">
        <v>1188</v>
      </c>
      <c r="AK1322" s="30" t="s">
        <v>99</v>
      </c>
      <c r="AL1322" s="30" t="s">
        <v>1178</v>
      </c>
    </row>
    <row r="1323" spans="1:38" ht="15" customHeight="1" x14ac:dyDescent="0.3">
      <c r="A1323" s="248" t="s">
        <v>22</v>
      </c>
      <c r="B1323" s="244" t="s">
        <v>105</v>
      </c>
      <c r="C1323" s="245">
        <v>23</v>
      </c>
      <c r="D1323" s="11" t="s">
        <v>5936</v>
      </c>
      <c r="E1323" s="247">
        <v>42128</v>
      </c>
      <c r="F1323" s="246">
        <v>2015</v>
      </c>
      <c r="G1323" s="792" t="s">
        <v>84</v>
      </c>
      <c r="H1323" s="204" t="s">
        <v>4318</v>
      </c>
      <c r="I1323" s="30" t="s">
        <v>38</v>
      </c>
      <c r="J1323" s="32" t="s">
        <v>26</v>
      </c>
      <c r="K1323" s="264" t="s">
        <v>4319</v>
      </c>
      <c r="L1323" s="264" t="s">
        <v>179</v>
      </c>
      <c r="M1323" s="137" t="s">
        <v>804</v>
      </c>
      <c r="N1323" s="264"/>
      <c r="O1323" s="264" t="s">
        <v>4320</v>
      </c>
      <c r="P1323" s="783" t="s">
        <v>4321</v>
      </c>
      <c r="Q1323" s="15" t="s">
        <v>35</v>
      </c>
      <c r="R1323" s="218">
        <v>42642</v>
      </c>
      <c r="S1323" s="16" t="s">
        <v>35</v>
      </c>
      <c r="T1323" s="133">
        <v>43194</v>
      </c>
      <c r="U1323" s="623"/>
      <c r="V1323" s="624"/>
      <c r="W1323" s="242">
        <v>57300000</v>
      </c>
      <c r="X1323" s="243">
        <v>57300000</v>
      </c>
      <c r="Y1323" s="201">
        <f t="shared" si="65"/>
        <v>0</v>
      </c>
      <c r="Z1323" s="189">
        <f>IF(Y1323="",X1323,Y1323+X1323)-45694191</f>
        <v>11605809</v>
      </c>
      <c r="AA1323" s="229">
        <v>43242</v>
      </c>
      <c r="AB1323" s="513" t="s">
        <v>3232</v>
      </c>
      <c r="AC1323" s="147"/>
      <c r="AD1323" s="196">
        <v>1</v>
      </c>
      <c r="AE1323" s="187">
        <v>0</v>
      </c>
      <c r="AF1323" s="205">
        <f t="shared" si="62"/>
        <v>1</v>
      </c>
      <c r="AG1323" s="138">
        <v>8</v>
      </c>
      <c r="AH1323" s="138" t="s">
        <v>4313</v>
      </c>
      <c r="AI1323" s="718" t="s">
        <v>4322</v>
      </c>
      <c r="AJ1323" s="138" t="s">
        <v>1188</v>
      </c>
      <c r="AK1323" s="181" t="s">
        <v>1185</v>
      </c>
      <c r="AL1323" s="138" t="s">
        <v>1178</v>
      </c>
    </row>
    <row r="1324" spans="1:38" ht="15" customHeight="1" x14ac:dyDescent="0.3">
      <c r="A1324" s="181" t="s">
        <v>22</v>
      </c>
      <c r="B1324" s="167" t="s">
        <v>105</v>
      </c>
      <c r="C1324" s="135">
        <v>5</v>
      </c>
      <c r="D1324" s="11" t="s">
        <v>5936</v>
      </c>
      <c r="E1324" s="168">
        <v>39863</v>
      </c>
      <c r="F1324" s="136">
        <v>2009</v>
      </c>
      <c r="G1324" s="178" t="s">
        <v>4323</v>
      </c>
      <c r="H1324" s="204" t="s">
        <v>4324</v>
      </c>
      <c r="I1324" s="136" t="s">
        <v>80</v>
      </c>
      <c r="J1324" s="32" t="s">
        <v>26</v>
      </c>
      <c r="K1324" s="138" t="s">
        <v>1194</v>
      </c>
      <c r="L1324" s="138" t="s">
        <v>1319</v>
      </c>
      <c r="M1324" s="137" t="s">
        <v>804</v>
      </c>
      <c r="N1324" s="138"/>
      <c r="O1324" s="138" t="s">
        <v>4325</v>
      </c>
      <c r="P1324" s="718" t="s">
        <v>4326</v>
      </c>
      <c r="Q1324" s="15" t="s">
        <v>282</v>
      </c>
      <c r="R1324" s="132">
        <v>40295</v>
      </c>
      <c r="S1324" s="16" t="s">
        <v>35</v>
      </c>
      <c r="T1324" s="133">
        <v>40350</v>
      </c>
      <c r="U1324" s="623" t="s">
        <v>35</v>
      </c>
      <c r="V1324" s="721">
        <v>43060</v>
      </c>
      <c r="W1324" s="269">
        <v>70000000</v>
      </c>
      <c r="X1324" s="257">
        <v>70000000</v>
      </c>
      <c r="Y1324" s="7">
        <f t="shared" si="65"/>
        <v>0</v>
      </c>
      <c r="Z1324" s="201">
        <f>IF(Y1324="",X1324,Y1324+X1324)-70000000</f>
        <v>0</v>
      </c>
      <c r="AA1324" s="192">
        <v>43237</v>
      </c>
      <c r="AB1324" s="564" t="s">
        <v>1073</v>
      </c>
      <c r="AC1324" s="693"/>
      <c r="AD1324" s="187">
        <v>1</v>
      </c>
      <c r="AE1324" s="187">
        <v>0</v>
      </c>
      <c r="AF1324" s="210">
        <f t="shared" si="62"/>
        <v>1</v>
      </c>
      <c r="AG1324" s="138">
        <v>8</v>
      </c>
      <c r="AH1324" s="138" t="s">
        <v>123</v>
      </c>
      <c r="AI1324" s="138"/>
      <c r="AJ1324" s="138" t="s">
        <v>1188</v>
      </c>
      <c r="AK1324" s="30" t="s">
        <v>99</v>
      </c>
      <c r="AL1324" s="138" t="s">
        <v>1178</v>
      </c>
    </row>
    <row r="1325" spans="1:38" ht="15" customHeight="1" x14ac:dyDescent="0.3">
      <c r="A1325" s="30" t="s">
        <v>22</v>
      </c>
      <c r="B1325" s="30" t="s">
        <v>23</v>
      </c>
      <c r="C1325" s="93">
        <v>15</v>
      </c>
      <c r="D1325" s="11" t="s">
        <v>24</v>
      </c>
      <c r="E1325" s="108">
        <v>42173</v>
      </c>
      <c r="F1325" s="37">
        <v>2015</v>
      </c>
      <c r="G1325" s="30" t="s">
        <v>4328</v>
      </c>
      <c r="H1325" s="162" t="s">
        <v>4329</v>
      </c>
      <c r="I1325" s="12" t="s">
        <v>25</v>
      </c>
      <c r="J1325" s="32" t="s">
        <v>26</v>
      </c>
      <c r="K1325" s="137" t="s">
        <v>4014</v>
      </c>
      <c r="L1325" s="137" t="s">
        <v>28</v>
      </c>
      <c r="M1325" s="660" t="s">
        <v>42</v>
      </c>
      <c r="N1325" s="709"/>
      <c r="O1325" s="146" t="s">
        <v>4330</v>
      </c>
      <c r="P1325" s="718" t="s">
        <v>4331</v>
      </c>
      <c r="Q1325" s="15" t="s">
        <v>282</v>
      </c>
      <c r="R1325" s="132">
        <v>42655</v>
      </c>
      <c r="S1325" s="16" t="s">
        <v>44</v>
      </c>
      <c r="T1325" s="165">
        <v>43063</v>
      </c>
      <c r="U1325" s="624"/>
      <c r="V1325" s="624"/>
      <c r="W1325" s="239">
        <v>228000000</v>
      </c>
      <c r="X1325" s="240">
        <v>0</v>
      </c>
      <c r="Y1325" s="7">
        <f t="shared" si="65"/>
        <v>0</v>
      </c>
      <c r="Z1325" s="7">
        <f>IF(Y1325="",X1325,Y1325+X1325)</f>
        <v>0</v>
      </c>
      <c r="AA1325" s="108"/>
      <c r="AB1325" s="479" t="s">
        <v>49</v>
      </c>
      <c r="AC1325" s="480"/>
      <c r="AD1325" s="187">
        <v>0</v>
      </c>
      <c r="AE1325" s="187">
        <v>0</v>
      </c>
      <c r="AF1325" s="205">
        <f t="shared" si="62"/>
        <v>0</v>
      </c>
      <c r="AG1325" s="30">
        <v>8</v>
      </c>
      <c r="AH1325" s="30" t="s">
        <v>58</v>
      </c>
      <c r="AI1325" s="200"/>
      <c r="AJ1325" s="30" t="s">
        <v>1188</v>
      </c>
      <c r="AK1325" s="30" t="s">
        <v>99</v>
      </c>
      <c r="AL1325" s="93" t="s">
        <v>1178</v>
      </c>
    </row>
    <row r="1326" spans="1:38" ht="15" customHeight="1" x14ac:dyDescent="0.3">
      <c r="A1326" s="181" t="s">
        <v>22</v>
      </c>
      <c r="B1326" s="181" t="s">
        <v>23</v>
      </c>
      <c r="C1326" s="184">
        <v>2</v>
      </c>
      <c r="D1326" s="11" t="s">
        <v>24</v>
      </c>
      <c r="E1326" s="192">
        <v>41947</v>
      </c>
      <c r="F1326" s="181">
        <v>2014</v>
      </c>
      <c r="G1326" s="181" t="s">
        <v>4333</v>
      </c>
      <c r="H1326" s="217" t="s">
        <v>4334</v>
      </c>
      <c r="I1326" s="12" t="s">
        <v>80</v>
      </c>
      <c r="J1326" s="32" t="s">
        <v>26</v>
      </c>
      <c r="K1326" s="197" t="s">
        <v>50</v>
      </c>
      <c r="L1326" s="138" t="s">
        <v>56</v>
      </c>
      <c r="M1326" s="279" t="s">
        <v>42</v>
      </c>
      <c r="N1326" s="799"/>
      <c r="O1326" s="146" t="s">
        <v>4335</v>
      </c>
      <c r="P1326" s="800" t="s">
        <v>4336</v>
      </c>
      <c r="Q1326" s="15" t="s">
        <v>282</v>
      </c>
      <c r="R1326" s="132">
        <v>43136</v>
      </c>
      <c r="S1326" s="16" t="s">
        <v>44</v>
      </c>
      <c r="T1326" s="165">
        <v>43257</v>
      </c>
      <c r="U1326" s="624"/>
      <c r="V1326" s="624"/>
      <c r="W1326" s="239">
        <v>47000000</v>
      </c>
      <c r="X1326" s="240">
        <v>0</v>
      </c>
      <c r="Y1326" s="201">
        <f t="shared" si="65"/>
        <v>0</v>
      </c>
      <c r="Z1326" s="7">
        <f>IF(Y1326="",X1326,Y1326+X1326)</f>
        <v>0</v>
      </c>
      <c r="AA1326" s="192"/>
      <c r="AB1326" s="479" t="s">
        <v>49</v>
      </c>
      <c r="AC1326" s="480"/>
      <c r="AD1326" s="258">
        <v>0</v>
      </c>
      <c r="AE1326" s="187">
        <v>0</v>
      </c>
      <c r="AF1326" s="205">
        <f t="shared" si="62"/>
        <v>0</v>
      </c>
      <c r="AG1326" s="181">
        <v>8</v>
      </c>
      <c r="AH1326" s="181" t="s">
        <v>4327</v>
      </c>
      <c r="AI1326" s="184"/>
      <c r="AJ1326" s="181" t="s">
        <v>1188</v>
      </c>
      <c r="AK1326" s="30" t="s">
        <v>1185</v>
      </c>
      <c r="AL1326" s="93" t="s">
        <v>1178</v>
      </c>
    </row>
    <row r="1327" spans="1:38" ht="15" customHeight="1" x14ac:dyDescent="0.3">
      <c r="A1327" s="30" t="s">
        <v>22</v>
      </c>
      <c r="B1327" s="153" t="s">
        <v>23</v>
      </c>
      <c r="C1327" s="109">
        <v>12</v>
      </c>
      <c r="D1327" s="11" t="s">
        <v>24</v>
      </c>
      <c r="E1327" s="114">
        <v>40008</v>
      </c>
      <c r="F1327" s="33">
        <v>2009</v>
      </c>
      <c r="G1327" s="142" t="s">
        <v>4338</v>
      </c>
      <c r="H1327" s="162" t="s">
        <v>4339</v>
      </c>
      <c r="I1327" s="12" t="s">
        <v>25</v>
      </c>
      <c r="J1327" s="32" t="s">
        <v>26</v>
      </c>
      <c r="K1327" s="197" t="s">
        <v>3205</v>
      </c>
      <c r="L1327" s="137" t="s">
        <v>4340</v>
      </c>
      <c r="M1327" s="137" t="s">
        <v>953</v>
      </c>
      <c r="N1327" s="238"/>
      <c r="O1327" s="146" t="s">
        <v>3206</v>
      </c>
      <c r="P1327" s="718" t="s">
        <v>6116</v>
      </c>
      <c r="Q1327" s="15" t="s">
        <v>35</v>
      </c>
      <c r="R1327" s="132">
        <v>40403</v>
      </c>
      <c r="S1327" s="16" t="s">
        <v>44</v>
      </c>
      <c r="T1327" s="165">
        <v>40863</v>
      </c>
      <c r="U1327" s="624" t="s">
        <v>44</v>
      </c>
      <c r="V1327" s="180">
        <v>43269</v>
      </c>
      <c r="W1327" s="239">
        <v>250000000</v>
      </c>
      <c r="X1327" s="240">
        <v>0</v>
      </c>
      <c r="Y1327" s="7">
        <f t="shared" si="65"/>
        <v>0</v>
      </c>
      <c r="Z1327" s="7">
        <f>IF(Y1327="",X1327,Y1327+X1327)</f>
        <v>0</v>
      </c>
      <c r="AA1327" s="108"/>
      <c r="AB1327" s="479" t="s">
        <v>49</v>
      </c>
      <c r="AC1327" s="480"/>
      <c r="AD1327" s="187">
        <v>0</v>
      </c>
      <c r="AE1327" s="187">
        <v>0</v>
      </c>
      <c r="AF1327" s="205">
        <f t="shared" si="62"/>
        <v>0</v>
      </c>
      <c r="AG1327" s="163">
        <v>8</v>
      </c>
      <c r="AH1327" s="93" t="s">
        <v>4332</v>
      </c>
      <c r="AI1327" s="146"/>
      <c r="AJ1327" s="93" t="s">
        <v>1188</v>
      </c>
      <c r="AK1327" s="30" t="s">
        <v>99</v>
      </c>
      <c r="AL1327" s="93" t="s">
        <v>1178</v>
      </c>
    </row>
    <row r="1328" spans="1:38" ht="15" customHeight="1" x14ac:dyDescent="0.3">
      <c r="A1328" s="181" t="s">
        <v>22</v>
      </c>
      <c r="B1328" s="265" t="s">
        <v>105</v>
      </c>
      <c r="C1328" s="245">
        <v>3</v>
      </c>
      <c r="D1328" s="11" t="s">
        <v>5936</v>
      </c>
      <c r="E1328" s="247">
        <v>42713</v>
      </c>
      <c r="F1328" s="246">
        <v>2016</v>
      </c>
      <c r="G1328" s="792" t="s">
        <v>4341</v>
      </c>
      <c r="H1328" s="792" t="s">
        <v>4342</v>
      </c>
      <c r="I1328" s="30" t="s">
        <v>38</v>
      </c>
      <c r="J1328" s="248" t="s">
        <v>81</v>
      </c>
      <c r="K1328" s="264" t="s">
        <v>4343</v>
      </c>
      <c r="L1328" s="264" t="s">
        <v>133</v>
      </c>
      <c r="M1328" s="137" t="s">
        <v>804</v>
      </c>
      <c r="N1328" s="197"/>
      <c r="O1328" s="805" t="s">
        <v>4344</v>
      </c>
      <c r="P1328" s="794" t="s">
        <v>4345</v>
      </c>
      <c r="Q1328" s="15" t="s">
        <v>35</v>
      </c>
      <c r="R1328" s="218">
        <v>42976</v>
      </c>
      <c r="S1328" s="16" t="s">
        <v>35</v>
      </c>
      <c r="T1328" s="133">
        <v>43195</v>
      </c>
      <c r="U1328" s="623"/>
      <c r="V1328" s="624"/>
      <c r="W1328" s="239">
        <v>114000000</v>
      </c>
      <c r="X1328" s="243">
        <v>114000000</v>
      </c>
      <c r="Y1328" s="201">
        <f t="shared" si="65"/>
        <v>0</v>
      </c>
      <c r="Z1328" s="189">
        <f>IF(Y1328="",X1328,Y1328+X1328)-38740362</f>
        <v>75259638</v>
      </c>
      <c r="AA1328" s="267">
        <v>43266</v>
      </c>
      <c r="AB1328" s="513" t="s">
        <v>3232</v>
      </c>
      <c r="AC1328" s="147"/>
      <c r="AD1328" s="187">
        <v>1</v>
      </c>
      <c r="AE1328" s="187">
        <v>0</v>
      </c>
      <c r="AF1328" s="205">
        <f t="shared" si="62"/>
        <v>1</v>
      </c>
      <c r="AG1328" s="181">
        <v>8</v>
      </c>
      <c r="AH1328" s="264" t="s">
        <v>4337</v>
      </c>
      <c r="AI1328" s="718" t="s">
        <v>4347</v>
      </c>
      <c r="AJ1328" s="138" t="s">
        <v>1188</v>
      </c>
      <c r="AK1328" s="181" t="s">
        <v>1185</v>
      </c>
      <c r="AL1328" s="138" t="s">
        <v>1178</v>
      </c>
    </row>
    <row r="1329" spans="1:38" ht="15" customHeight="1" x14ac:dyDescent="0.3">
      <c r="A1329" s="181" t="s">
        <v>22</v>
      </c>
      <c r="B1329" s="153" t="s">
        <v>105</v>
      </c>
      <c r="C1329" s="135">
        <v>33</v>
      </c>
      <c r="D1329" s="11" t="s">
        <v>5936</v>
      </c>
      <c r="E1329" s="168">
        <v>40723</v>
      </c>
      <c r="F1329" s="136">
        <v>2011</v>
      </c>
      <c r="G1329" s="178" t="s">
        <v>4348</v>
      </c>
      <c r="H1329" s="204" t="s">
        <v>4349</v>
      </c>
      <c r="I1329" s="136" t="s">
        <v>80</v>
      </c>
      <c r="J1329" s="32" t="s">
        <v>26</v>
      </c>
      <c r="K1329" s="197" t="s">
        <v>50</v>
      </c>
      <c r="L1329" s="765" t="s">
        <v>161</v>
      </c>
      <c r="M1329" s="138" t="s">
        <v>42</v>
      </c>
      <c r="N1329" s="138"/>
      <c r="O1329" s="765" t="s">
        <v>4350</v>
      </c>
      <c r="P1329" s="732" t="s">
        <v>4351</v>
      </c>
      <c r="Q1329" s="15" t="s">
        <v>282</v>
      </c>
      <c r="R1329" s="132">
        <v>41023</v>
      </c>
      <c r="S1329" s="16" t="s">
        <v>44</v>
      </c>
      <c r="T1329" s="133">
        <v>41054</v>
      </c>
      <c r="U1329" s="623" t="s">
        <v>44</v>
      </c>
      <c r="V1329" s="180">
        <v>43229</v>
      </c>
      <c r="W1329" s="242">
        <v>30000000</v>
      </c>
      <c r="X1329" s="240">
        <v>0</v>
      </c>
      <c r="Y1329" s="7">
        <f t="shared" si="65"/>
        <v>0</v>
      </c>
      <c r="Z1329" s="7">
        <f t="shared" ref="Z1329:Z1335" si="66">IF(Y1329="",X1329,Y1329+X1329)</f>
        <v>0</v>
      </c>
      <c r="AA1329" s="108"/>
      <c r="AB1329" s="564" t="s">
        <v>1073</v>
      </c>
      <c r="AC1329" s="693"/>
      <c r="AD1329" s="196">
        <v>0</v>
      </c>
      <c r="AE1329" s="187">
        <v>0</v>
      </c>
      <c r="AF1329" s="205">
        <f t="shared" si="62"/>
        <v>0</v>
      </c>
      <c r="AG1329" s="138">
        <v>8</v>
      </c>
      <c r="AH1329" s="138" t="s">
        <v>123</v>
      </c>
      <c r="AI1329" s="138"/>
      <c r="AJ1329" s="138" t="s">
        <v>1188</v>
      </c>
      <c r="AK1329" s="30" t="s">
        <v>99</v>
      </c>
      <c r="AL1329" s="138" t="s">
        <v>1178</v>
      </c>
    </row>
    <row r="1330" spans="1:38" ht="15" customHeight="1" x14ac:dyDescent="0.3">
      <c r="A1330" s="248" t="s">
        <v>160</v>
      </c>
      <c r="B1330" s="244" t="s">
        <v>193</v>
      </c>
      <c r="C1330" s="135">
        <v>1</v>
      </c>
      <c r="D1330" s="246" t="s">
        <v>190</v>
      </c>
      <c r="E1330" s="247">
        <v>42641</v>
      </c>
      <c r="F1330" s="246">
        <v>2016</v>
      </c>
      <c r="G1330" s="792" t="s">
        <v>4352</v>
      </c>
      <c r="H1330" s="178" t="s">
        <v>4353</v>
      </c>
      <c r="I1330" s="246" t="s">
        <v>38</v>
      </c>
      <c r="J1330" s="32" t="s">
        <v>26</v>
      </c>
      <c r="K1330" s="264" t="s">
        <v>4014</v>
      </c>
      <c r="L1330" s="264" t="s">
        <v>28</v>
      </c>
      <c r="M1330" s="264" t="s">
        <v>42</v>
      </c>
      <c r="N1330" s="264"/>
      <c r="O1330" s="805" t="s">
        <v>4354</v>
      </c>
      <c r="P1330" s="310" t="s">
        <v>6117</v>
      </c>
      <c r="Q1330" s="15" t="s">
        <v>282</v>
      </c>
      <c r="R1330" s="231">
        <v>42930</v>
      </c>
      <c r="S1330" s="272"/>
      <c r="T1330" s="272"/>
      <c r="U1330" s="803"/>
      <c r="V1330" s="803"/>
      <c r="W1330" s="242">
        <v>50000000</v>
      </c>
      <c r="X1330" s="240">
        <v>0</v>
      </c>
      <c r="Y1330" s="201">
        <f t="shared" si="65"/>
        <v>0</v>
      </c>
      <c r="Z1330" s="185">
        <f t="shared" si="66"/>
        <v>0</v>
      </c>
      <c r="AA1330" s="229"/>
      <c r="AB1330" s="604" t="s">
        <v>3744</v>
      </c>
      <c r="AC1330" s="163"/>
      <c r="AD1330" s="196">
        <v>0</v>
      </c>
      <c r="AE1330" s="187">
        <v>0</v>
      </c>
      <c r="AF1330" s="205">
        <f t="shared" si="62"/>
        <v>0</v>
      </c>
      <c r="AG1330" s="197">
        <v>8</v>
      </c>
      <c r="AH1330" s="264" t="s">
        <v>4346</v>
      </c>
      <c r="AI1330" s="197"/>
      <c r="AJ1330" s="197" t="s">
        <v>1188</v>
      </c>
      <c r="AK1330" s="197" t="s">
        <v>1185</v>
      </c>
      <c r="AL1330" s="138" t="s">
        <v>1178</v>
      </c>
    </row>
    <row r="1331" spans="1:38" ht="15" customHeight="1" x14ac:dyDescent="0.3">
      <c r="A1331" s="181" t="s">
        <v>22</v>
      </c>
      <c r="B1331" s="181" t="s">
        <v>105</v>
      </c>
      <c r="C1331" s="135">
        <v>37</v>
      </c>
      <c r="D1331" s="11" t="s">
        <v>5936</v>
      </c>
      <c r="E1331" s="168">
        <v>42598</v>
      </c>
      <c r="F1331" s="136">
        <v>2016</v>
      </c>
      <c r="G1331" s="178" t="s">
        <v>4356</v>
      </c>
      <c r="H1331" s="178" t="s">
        <v>4357</v>
      </c>
      <c r="I1331" s="136" t="s">
        <v>38</v>
      </c>
      <c r="J1331" s="32" t="s">
        <v>26</v>
      </c>
      <c r="K1331" s="197" t="s">
        <v>4358</v>
      </c>
      <c r="L1331" s="197" t="s">
        <v>28</v>
      </c>
      <c r="M1331" s="197" t="s">
        <v>42</v>
      </c>
      <c r="N1331" s="197"/>
      <c r="O1331" s="783" t="s">
        <v>4359</v>
      </c>
      <c r="P1331" s="794" t="s">
        <v>4360</v>
      </c>
      <c r="Q1331" s="15" t="s">
        <v>282</v>
      </c>
      <c r="R1331" s="218">
        <v>42870</v>
      </c>
      <c r="S1331" s="16" t="s">
        <v>44</v>
      </c>
      <c r="T1331" s="133">
        <v>43236</v>
      </c>
      <c r="U1331" s="623"/>
      <c r="V1331" s="624"/>
      <c r="W1331" s="239">
        <v>25000000</v>
      </c>
      <c r="X1331" s="243">
        <v>0</v>
      </c>
      <c r="Y1331" s="201">
        <f t="shared" si="65"/>
        <v>0</v>
      </c>
      <c r="Z1331" s="7">
        <f t="shared" si="66"/>
        <v>0</v>
      </c>
      <c r="AA1331" s="270"/>
      <c r="AB1331" s="564" t="s">
        <v>1073</v>
      </c>
      <c r="AC1331" s="693"/>
      <c r="AD1331" s="196">
        <v>0</v>
      </c>
      <c r="AE1331" s="187">
        <v>0</v>
      </c>
      <c r="AF1331" s="205">
        <f t="shared" si="62"/>
        <v>0</v>
      </c>
      <c r="AG1331" s="181">
        <v>8</v>
      </c>
      <c r="AH1331" s="250" t="s">
        <v>3961</v>
      </c>
      <c r="AI1331" s="138"/>
      <c r="AJ1331" s="138" t="s">
        <v>1188</v>
      </c>
      <c r="AK1331" s="181" t="s">
        <v>1185</v>
      </c>
      <c r="AL1331" s="138" t="s">
        <v>1178</v>
      </c>
    </row>
    <row r="1332" spans="1:38" ht="15" customHeight="1" x14ac:dyDescent="0.3">
      <c r="A1332" s="181" t="s">
        <v>22</v>
      </c>
      <c r="B1332" s="265" t="s">
        <v>227</v>
      </c>
      <c r="C1332" s="245">
        <v>8</v>
      </c>
      <c r="D1332" s="11" t="s">
        <v>225</v>
      </c>
      <c r="E1332" s="247">
        <v>42640</v>
      </c>
      <c r="F1332" s="246">
        <v>2016</v>
      </c>
      <c r="G1332" s="792" t="s">
        <v>4361</v>
      </c>
      <c r="H1332" s="792" t="s">
        <v>4362</v>
      </c>
      <c r="I1332" s="246" t="s">
        <v>38</v>
      </c>
      <c r="J1332" s="32" t="s">
        <v>26</v>
      </c>
      <c r="K1332" s="264" t="s">
        <v>4363</v>
      </c>
      <c r="L1332" s="264" t="s">
        <v>28</v>
      </c>
      <c r="M1332" s="264" t="s">
        <v>42</v>
      </c>
      <c r="N1332" s="264"/>
      <c r="O1332" s="805" t="s">
        <v>4364</v>
      </c>
      <c r="P1332" s="794" t="s">
        <v>4365</v>
      </c>
      <c r="Q1332" s="15" t="s">
        <v>282</v>
      </c>
      <c r="R1332" s="273">
        <v>42947</v>
      </c>
      <c r="S1332" s="16" t="s">
        <v>44</v>
      </c>
      <c r="T1332" s="809">
        <v>43180</v>
      </c>
      <c r="U1332" s="810"/>
      <c r="V1332" s="810"/>
      <c r="W1332" s="256">
        <v>9000000</v>
      </c>
      <c r="X1332" s="628">
        <v>0</v>
      </c>
      <c r="Y1332" s="7">
        <f t="shared" si="65"/>
        <v>0</v>
      </c>
      <c r="Z1332" s="7">
        <f t="shared" si="66"/>
        <v>0</v>
      </c>
      <c r="AA1332" s="628"/>
      <c r="AB1332" s="500" t="s">
        <v>5953</v>
      </c>
      <c r="AC1332" s="501"/>
      <c r="AD1332" s="196">
        <v>0</v>
      </c>
      <c r="AE1332" s="187">
        <v>0</v>
      </c>
      <c r="AF1332" s="205">
        <f t="shared" si="62"/>
        <v>0</v>
      </c>
      <c r="AG1332" s="30">
        <v>8</v>
      </c>
      <c r="AH1332" s="30" t="s">
        <v>4355</v>
      </c>
      <c r="AI1332" s="628"/>
      <c r="AJ1332" s="30" t="s">
        <v>1188</v>
      </c>
      <c r="AK1332" s="30" t="s">
        <v>1185</v>
      </c>
      <c r="AL1332" s="30" t="s">
        <v>1178</v>
      </c>
    </row>
    <row r="1333" spans="1:38" ht="15" customHeight="1" x14ac:dyDescent="0.3">
      <c r="A1333" s="181" t="s">
        <v>22</v>
      </c>
      <c r="B1333" s="265" t="s">
        <v>105</v>
      </c>
      <c r="C1333" s="245">
        <v>31</v>
      </c>
      <c r="D1333" s="11" t="s">
        <v>5936</v>
      </c>
      <c r="E1333" s="247">
        <v>43006</v>
      </c>
      <c r="F1333" s="246">
        <v>2017</v>
      </c>
      <c r="G1333" s="792" t="s">
        <v>4366</v>
      </c>
      <c r="H1333" s="792" t="s">
        <v>4367</v>
      </c>
      <c r="I1333" s="246" t="s">
        <v>38</v>
      </c>
      <c r="J1333" s="248" t="s">
        <v>81</v>
      </c>
      <c r="K1333" s="264" t="s">
        <v>113</v>
      </c>
      <c r="L1333" s="264" t="s">
        <v>28</v>
      </c>
      <c r="M1333" s="264" t="s">
        <v>42</v>
      </c>
      <c r="N1333" s="264"/>
      <c r="O1333" s="805" t="s">
        <v>4368</v>
      </c>
      <c r="P1333" s="794" t="s">
        <v>4369</v>
      </c>
      <c r="Q1333" s="15" t="s">
        <v>282</v>
      </c>
      <c r="R1333" s="218">
        <v>43236</v>
      </c>
      <c r="S1333" s="16" t="s">
        <v>44</v>
      </c>
      <c r="T1333" s="133">
        <v>43257</v>
      </c>
      <c r="U1333" s="623"/>
      <c r="V1333" s="624"/>
      <c r="W1333" s="239">
        <v>70000000</v>
      </c>
      <c r="X1333" s="243"/>
      <c r="Y1333" s="201">
        <f t="shared" si="65"/>
        <v>0</v>
      </c>
      <c r="Z1333" s="189">
        <f t="shared" si="66"/>
        <v>0</v>
      </c>
      <c r="AA1333" s="267"/>
      <c r="AB1333" s="564" t="s">
        <v>1073</v>
      </c>
      <c r="AC1333" s="693"/>
      <c r="AD1333" s="187">
        <v>0</v>
      </c>
      <c r="AE1333" s="187">
        <v>0</v>
      </c>
      <c r="AF1333" s="205">
        <f t="shared" si="62"/>
        <v>0</v>
      </c>
      <c r="AG1333" s="181">
        <v>8</v>
      </c>
      <c r="AH1333" s="264"/>
      <c r="AI1333" s="138"/>
      <c r="AJ1333" s="138"/>
      <c r="AK1333" s="181" t="s">
        <v>1185</v>
      </c>
      <c r="AL1333" s="138" t="s">
        <v>1178</v>
      </c>
    </row>
    <row r="1334" spans="1:38" ht="15" customHeight="1" x14ac:dyDescent="0.3">
      <c r="A1334" s="181" t="s">
        <v>22</v>
      </c>
      <c r="B1334" s="255" t="s">
        <v>961</v>
      </c>
      <c r="C1334" s="135" t="s">
        <v>247</v>
      </c>
      <c r="D1334" s="136" t="s">
        <v>190</v>
      </c>
      <c r="E1334" s="168">
        <v>43035</v>
      </c>
      <c r="F1334" s="136">
        <v>2017</v>
      </c>
      <c r="G1334" s="178" t="s">
        <v>4371</v>
      </c>
      <c r="H1334" s="178"/>
      <c r="I1334" s="136" t="s">
        <v>38</v>
      </c>
      <c r="J1334" s="181" t="s">
        <v>81</v>
      </c>
      <c r="K1334" s="197" t="s">
        <v>4372</v>
      </c>
      <c r="L1334" s="197" t="s">
        <v>28</v>
      </c>
      <c r="M1334" s="197" t="s">
        <v>42</v>
      </c>
      <c r="N1334" s="197"/>
      <c r="O1334" s="783" t="s">
        <v>4373</v>
      </c>
      <c r="P1334" s="794" t="s">
        <v>6118</v>
      </c>
      <c r="Q1334" s="230"/>
      <c r="R1334" s="231"/>
      <c r="S1334" s="272"/>
      <c r="T1334" s="268"/>
      <c r="U1334" s="803"/>
      <c r="V1334" s="803"/>
      <c r="W1334" s="242">
        <v>5000000</v>
      </c>
      <c r="X1334" s="240">
        <v>0</v>
      </c>
      <c r="Y1334" s="201">
        <f t="shared" si="65"/>
        <v>0</v>
      </c>
      <c r="Z1334" s="7">
        <f t="shared" si="66"/>
        <v>0</v>
      </c>
      <c r="AA1334" s="192"/>
      <c r="AB1334" s="503" t="s">
        <v>3960</v>
      </c>
      <c r="AC1334" s="222"/>
      <c r="AD1334" s="258">
        <v>0</v>
      </c>
      <c r="AE1334" s="187">
        <v>0</v>
      </c>
      <c r="AF1334" s="205">
        <f t="shared" si="62"/>
        <v>0</v>
      </c>
      <c r="AG1334" s="181">
        <v>8</v>
      </c>
      <c r="AH1334" s="200" t="s">
        <v>45</v>
      </c>
      <c r="AI1334" s="138"/>
      <c r="AJ1334" s="197" t="s">
        <v>1188</v>
      </c>
      <c r="AK1334" s="197" t="s">
        <v>1177</v>
      </c>
      <c r="AL1334" s="138" t="s">
        <v>1178</v>
      </c>
    </row>
    <row r="1335" spans="1:38" ht="15" customHeight="1" x14ac:dyDescent="0.3">
      <c r="A1335" s="181" t="s">
        <v>140</v>
      </c>
      <c r="B1335" s="265" t="s">
        <v>345</v>
      </c>
      <c r="C1335" s="245" t="s">
        <v>240</v>
      </c>
      <c r="D1335" s="11" t="s">
        <v>225</v>
      </c>
      <c r="E1335" s="247">
        <v>43196</v>
      </c>
      <c r="F1335" s="246">
        <v>2018</v>
      </c>
      <c r="G1335" s="792" t="s">
        <v>4374</v>
      </c>
      <c r="H1335" s="792" t="s">
        <v>4375</v>
      </c>
      <c r="I1335" s="246" t="s">
        <v>38</v>
      </c>
      <c r="J1335" s="248" t="s">
        <v>81</v>
      </c>
      <c r="K1335" s="264" t="s">
        <v>163</v>
      </c>
      <c r="L1335" s="264" t="s">
        <v>28</v>
      </c>
      <c r="M1335" s="264" t="s">
        <v>42</v>
      </c>
      <c r="N1335" s="264" t="s">
        <v>43</v>
      </c>
      <c r="O1335" s="805" t="s">
        <v>4376</v>
      </c>
      <c r="P1335" s="794" t="s">
        <v>4377</v>
      </c>
      <c r="Q1335" s="15" t="s">
        <v>282</v>
      </c>
      <c r="R1335" s="231">
        <v>43223</v>
      </c>
      <c r="S1335" s="16" t="s">
        <v>44</v>
      </c>
      <c r="T1335" s="232">
        <v>43241</v>
      </c>
      <c r="U1335" s="776"/>
      <c r="V1335" s="776"/>
      <c r="W1335" s="256">
        <v>5000000</v>
      </c>
      <c r="X1335" s="185"/>
      <c r="Y1335" s="7" t="str">
        <f t="shared" si="65"/>
        <v/>
      </c>
      <c r="Z1335" s="7">
        <f t="shared" si="66"/>
        <v>0</v>
      </c>
      <c r="AA1335" s="233"/>
      <c r="AB1335" s="503" t="s">
        <v>3960</v>
      </c>
      <c r="AC1335" s="222"/>
      <c r="AD1335" s="196"/>
      <c r="AE1335" s="187"/>
      <c r="AF1335" s="205">
        <f t="shared" si="62"/>
        <v>0</v>
      </c>
      <c r="AG1335" s="197">
        <v>8</v>
      </c>
      <c r="AH1335" s="197" t="s">
        <v>4370</v>
      </c>
      <c r="AI1335" s="197"/>
      <c r="AJ1335" s="197" t="s">
        <v>1188</v>
      </c>
      <c r="AK1335" s="197" t="s">
        <v>1185</v>
      </c>
      <c r="AL1335" s="93" t="s">
        <v>1178</v>
      </c>
    </row>
    <row r="1336" spans="1:38" ht="15" customHeight="1" x14ac:dyDescent="0.3">
      <c r="A1336" s="181" t="s">
        <v>22</v>
      </c>
      <c r="B1336" s="265" t="s">
        <v>223</v>
      </c>
      <c r="C1336" s="245" t="s">
        <v>4379</v>
      </c>
      <c r="D1336" s="246" t="s">
        <v>190</v>
      </c>
      <c r="E1336" s="247">
        <v>43143</v>
      </c>
      <c r="F1336" s="246">
        <v>2018</v>
      </c>
      <c r="G1336" s="792" t="s">
        <v>4380</v>
      </c>
      <c r="H1336" s="792" t="s">
        <v>4381</v>
      </c>
      <c r="I1336" s="33" t="s">
        <v>33</v>
      </c>
      <c r="J1336" s="248" t="s">
        <v>81</v>
      </c>
      <c r="K1336" s="264" t="s">
        <v>4382</v>
      </c>
      <c r="L1336" s="264" t="s">
        <v>4383</v>
      </c>
      <c r="M1336" s="137" t="s">
        <v>804</v>
      </c>
      <c r="N1336" s="197"/>
      <c r="O1336" s="805" t="s">
        <v>4384</v>
      </c>
      <c r="P1336" s="794" t="s">
        <v>4385</v>
      </c>
      <c r="Q1336" s="15" t="s">
        <v>35</v>
      </c>
      <c r="R1336" s="231">
        <v>43286</v>
      </c>
      <c r="S1336" s="272"/>
      <c r="T1336" s="268"/>
      <c r="U1336" s="803"/>
      <c r="V1336" s="803"/>
      <c r="W1336" s="242">
        <v>959309</v>
      </c>
      <c r="X1336" s="240"/>
      <c r="Y1336" s="201">
        <f>IF(AE1336="","",W1336*AE1336)-959309</f>
        <v>0</v>
      </c>
      <c r="Z1336" s="7">
        <f>IF(Y1336="",X1336,Y1336+X1336)</f>
        <v>0</v>
      </c>
      <c r="AA1336" s="192">
        <v>43306</v>
      </c>
      <c r="AB1336" s="609"/>
      <c r="AC1336" s="181"/>
      <c r="AD1336" s="258"/>
      <c r="AE1336" s="187">
        <v>1</v>
      </c>
      <c r="AF1336" s="205">
        <f t="shared" si="62"/>
        <v>1</v>
      </c>
      <c r="AG1336" s="181"/>
      <c r="AH1336" s="264"/>
      <c r="AI1336" s="718" t="s">
        <v>4387</v>
      </c>
      <c r="AJ1336" s="197" t="s">
        <v>1188</v>
      </c>
      <c r="AK1336" s="197" t="s">
        <v>3457</v>
      </c>
      <c r="AL1336" s="138" t="s">
        <v>1178</v>
      </c>
    </row>
    <row r="1337" spans="1:38" ht="15" customHeight="1" x14ac:dyDescent="0.3">
      <c r="A1337" s="181" t="s">
        <v>22</v>
      </c>
      <c r="B1337" s="181" t="s">
        <v>23</v>
      </c>
      <c r="C1337" s="184">
        <v>2</v>
      </c>
      <c r="D1337" s="11" t="s">
        <v>24</v>
      </c>
      <c r="E1337" s="192">
        <v>43038</v>
      </c>
      <c r="F1337" s="181">
        <v>2017</v>
      </c>
      <c r="G1337" s="181" t="s">
        <v>4388</v>
      </c>
      <c r="H1337" s="217" t="s">
        <v>4389</v>
      </c>
      <c r="I1337" s="30" t="s">
        <v>38</v>
      </c>
      <c r="J1337" s="32" t="s">
        <v>26</v>
      </c>
      <c r="K1337" s="197" t="s">
        <v>50</v>
      </c>
      <c r="L1337" s="138" t="s">
        <v>4390</v>
      </c>
      <c r="M1337" s="137" t="s">
        <v>804</v>
      </c>
      <c r="N1337" s="799"/>
      <c r="O1337" s="146" t="s">
        <v>4391</v>
      </c>
      <c r="P1337" s="800" t="s">
        <v>6119</v>
      </c>
      <c r="Q1337" s="91"/>
      <c r="R1337" s="132"/>
      <c r="S1337" s="92"/>
      <c r="T1337" s="165"/>
      <c r="U1337" s="624"/>
      <c r="V1337" s="624"/>
      <c r="W1337" s="239">
        <v>157000000</v>
      </c>
      <c r="X1337" s="240"/>
      <c r="Y1337" s="201">
        <v>27500000</v>
      </c>
      <c r="Z1337" s="201">
        <f>IF(Y1337="",X1337,Y1337+X1337)-27500000</f>
        <v>0</v>
      </c>
      <c r="AA1337" s="192">
        <v>43318</v>
      </c>
      <c r="AB1337" s="801" t="s">
        <v>53</v>
      </c>
      <c r="AC1337" s="192"/>
      <c r="AD1337" s="258">
        <v>0</v>
      </c>
      <c r="AE1337" s="187">
        <v>0</v>
      </c>
      <c r="AF1337" s="205">
        <f t="shared" si="62"/>
        <v>0</v>
      </c>
      <c r="AG1337" s="181">
        <v>8</v>
      </c>
      <c r="AH1337" s="181" t="s">
        <v>4378</v>
      </c>
      <c r="AI1337" s="763" t="s">
        <v>4393</v>
      </c>
      <c r="AJ1337" s="181" t="s">
        <v>1188</v>
      </c>
      <c r="AK1337" s="30" t="s">
        <v>1177</v>
      </c>
      <c r="AL1337" s="93" t="s">
        <v>1178</v>
      </c>
    </row>
    <row r="1338" spans="1:38" ht="15" customHeight="1" x14ac:dyDescent="0.3">
      <c r="A1338" s="181" t="s">
        <v>22</v>
      </c>
      <c r="B1338" s="181" t="s">
        <v>219</v>
      </c>
      <c r="C1338" s="135" t="s">
        <v>4394</v>
      </c>
      <c r="D1338" s="136" t="s">
        <v>190</v>
      </c>
      <c r="E1338" s="168">
        <v>42632</v>
      </c>
      <c r="F1338" s="136">
        <v>2016</v>
      </c>
      <c r="G1338" s="178" t="s">
        <v>4395</v>
      </c>
      <c r="H1338" s="178" t="s">
        <v>4396</v>
      </c>
      <c r="I1338" s="30" t="s">
        <v>38</v>
      </c>
      <c r="J1338" s="32" t="s">
        <v>26</v>
      </c>
      <c r="K1338" s="197" t="s">
        <v>4397</v>
      </c>
      <c r="L1338" s="197" t="s">
        <v>4398</v>
      </c>
      <c r="M1338" s="137" t="s">
        <v>804</v>
      </c>
      <c r="N1338" s="197"/>
      <c r="O1338" s="783" t="s">
        <v>4399</v>
      </c>
      <c r="P1338" s="794" t="s">
        <v>4400</v>
      </c>
      <c r="Q1338" s="15" t="s">
        <v>282</v>
      </c>
      <c r="R1338" s="231">
        <v>42780</v>
      </c>
      <c r="S1338" s="16" t="s">
        <v>35</v>
      </c>
      <c r="T1338" s="268">
        <v>43238</v>
      </c>
      <c r="U1338" s="803"/>
      <c r="V1338" s="803"/>
      <c r="W1338" s="242">
        <v>2800000</v>
      </c>
      <c r="X1338" s="240">
        <v>0</v>
      </c>
      <c r="Y1338" s="201">
        <f>IF(AE1338="","",W1338*AE1338)-871175</f>
        <v>1928825</v>
      </c>
      <c r="Z1338" s="201">
        <f>IF(Y1338="",X1338,Y1338+X1338)</f>
        <v>1928825</v>
      </c>
      <c r="AA1338" s="192">
        <v>43318</v>
      </c>
      <c r="AB1338" s="609" t="s">
        <v>619</v>
      </c>
      <c r="AC1338" s="181"/>
      <c r="AD1338" s="258">
        <v>0</v>
      </c>
      <c r="AE1338" s="187">
        <v>1</v>
      </c>
      <c r="AF1338" s="205">
        <f t="shared" si="62"/>
        <v>1</v>
      </c>
      <c r="AG1338" s="181">
        <v>8</v>
      </c>
      <c r="AH1338" s="264" t="s">
        <v>4386</v>
      </c>
      <c r="AI1338" s="750" t="s">
        <v>4402</v>
      </c>
      <c r="AJ1338" s="197" t="s">
        <v>1188</v>
      </c>
      <c r="AK1338" s="197" t="s">
        <v>1185</v>
      </c>
      <c r="AL1338" s="138" t="s">
        <v>1178</v>
      </c>
    </row>
    <row r="1339" spans="1:38" ht="15" customHeight="1" x14ac:dyDescent="0.3">
      <c r="A1339" s="181" t="s">
        <v>22</v>
      </c>
      <c r="B1339" s="145" t="s">
        <v>227</v>
      </c>
      <c r="C1339" s="135">
        <v>16</v>
      </c>
      <c r="D1339" s="11" t="s">
        <v>225</v>
      </c>
      <c r="E1339" s="168">
        <v>41768</v>
      </c>
      <c r="F1339" s="136">
        <v>2014</v>
      </c>
      <c r="G1339" s="178" t="s">
        <v>4403</v>
      </c>
      <c r="H1339" s="204" t="s">
        <v>4404</v>
      </c>
      <c r="I1339" s="30" t="s">
        <v>38</v>
      </c>
      <c r="J1339" s="32" t="s">
        <v>26</v>
      </c>
      <c r="K1339" s="197" t="s">
        <v>50</v>
      </c>
      <c r="L1339" s="746" t="s">
        <v>4398</v>
      </c>
      <c r="M1339" s="137" t="s">
        <v>804</v>
      </c>
      <c r="N1339" s="138"/>
      <c r="O1339" s="138" t="s">
        <v>4405</v>
      </c>
      <c r="P1339" s="138" t="s">
        <v>4406</v>
      </c>
      <c r="Q1339" s="15" t="s">
        <v>282</v>
      </c>
      <c r="R1339" s="218">
        <v>42038</v>
      </c>
      <c r="S1339" s="16" t="s">
        <v>35</v>
      </c>
      <c r="T1339" s="228">
        <v>43257</v>
      </c>
      <c r="U1339" s="775"/>
      <c r="V1339" s="776"/>
      <c r="W1339" s="242">
        <v>35000000</v>
      </c>
      <c r="X1339" s="259">
        <v>0</v>
      </c>
      <c r="Y1339" s="254">
        <f>IF(AE1339="","",W1339*AE1339)-10936333</f>
        <v>24063667</v>
      </c>
      <c r="Z1339" s="254">
        <f>IF(Y1339="",X1339,Y1339+X1339)</f>
        <v>24063667</v>
      </c>
      <c r="AA1339" s="271">
        <v>43318</v>
      </c>
      <c r="AB1339" s="500" t="s">
        <v>5953</v>
      </c>
      <c r="AC1339" s="501"/>
      <c r="AD1339" s="196">
        <v>0</v>
      </c>
      <c r="AE1339" s="187">
        <v>1</v>
      </c>
      <c r="AF1339" s="205">
        <f t="shared" si="62"/>
        <v>1</v>
      </c>
      <c r="AG1339" s="274">
        <v>8</v>
      </c>
      <c r="AH1339" s="138" t="s">
        <v>4392</v>
      </c>
      <c r="AI1339" s="718" t="s">
        <v>4407</v>
      </c>
      <c r="AJ1339" s="138" t="s">
        <v>1188</v>
      </c>
      <c r="AK1339" s="138" t="s">
        <v>1185</v>
      </c>
      <c r="AL1339" s="93" t="s">
        <v>1178</v>
      </c>
    </row>
    <row r="1340" spans="1:38" ht="15" customHeight="1" x14ac:dyDescent="0.3">
      <c r="A1340" s="181" t="s">
        <v>22</v>
      </c>
      <c r="B1340" s="181" t="s">
        <v>23</v>
      </c>
      <c r="C1340" s="181">
        <v>18</v>
      </c>
      <c r="D1340" s="11" t="s">
        <v>24</v>
      </c>
      <c r="E1340" s="192">
        <v>40274</v>
      </c>
      <c r="F1340" s="181">
        <v>2010</v>
      </c>
      <c r="G1340" s="181" t="s">
        <v>4408</v>
      </c>
      <c r="H1340" s="217" t="s">
        <v>4409</v>
      </c>
      <c r="I1340" s="12" t="s">
        <v>3964</v>
      </c>
      <c r="J1340" s="32" t="s">
        <v>26</v>
      </c>
      <c r="K1340" s="197" t="s">
        <v>50</v>
      </c>
      <c r="L1340" s="138" t="s">
        <v>4410</v>
      </c>
      <c r="M1340" s="137" t="s">
        <v>804</v>
      </c>
      <c r="N1340" s="181"/>
      <c r="O1340" s="138" t="s">
        <v>4411</v>
      </c>
      <c r="P1340" s="718" t="s">
        <v>4412</v>
      </c>
      <c r="Q1340" s="15" t="s">
        <v>35</v>
      </c>
      <c r="R1340" s="132">
        <v>40679</v>
      </c>
      <c r="S1340" s="16" t="s">
        <v>35</v>
      </c>
      <c r="T1340" s="165">
        <v>40771</v>
      </c>
      <c r="U1340" s="624" t="s">
        <v>4413</v>
      </c>
      <c r="V1340" s="180">
        <v>43306</v>
      </c>
      <c r="W1340" s="249">
        <v>213500000</v>
      </c>
      <c r="X1340" s="240">
        <v>213500000</v>
      </c>
      <c r="Y1340" s="201">
        <f t="shared" ref="Y1340:Y1351" si="67">IF(AE1340="","",W1340*AE1340)</f>
        <v>0</v>
      </c>
      <c r="Z1340" s="7">
        <f>IF(Y1340="",X1340,Y1340+X1340)-213500000</f>
        <v>0</v>
      </c>
      <c r="AA1340" s="192">
        <v>43354</v>
      </c>
      <c r="AB1340" s="479" t="s">
        <v>49</v>
      </c>
      <c r="AC1340" s="480"/>
      <c r="AD1340" s="275">
        <v>1</v>
      </c>
      <c r="AE1340" s="187">
        <v>0</v>
      </c>
      <c r="AF1340" s="205">
        <f t="shared" si="62"/>
        <v>1</v>
      </c>
      <c r="AG1340" s="181">
        <v>6</v>
      </c>
      <c r="AH1340" s="181" t="s">
        <v>4401</v>
      </c>
      <c r="AI1340" s="719" t="s">
        <v>6120</v>
      </c>
      <c r="AJ1340" s="30" t="s">
        <v>1188</v>
      </c>
      <c r="AK1340" s="30" t="s">
        <v>99</v>
      </c>
      <c r="AL1340" s="93" t="s">
        <v>1178</v>
      </c>
    </row>
    <row r="1341" spans="1:38" ht="15" customHeight="1" x14ac:dyDescent="0.3">
      <c r="A1341" s="181" t="s">
        <v>22</v>
      </c>
      <c r="B1341" s="145" t="s">
        <v>422</v>
      </c>
      <c r="C1341" s="135">
        <v>1</v>
      </c>
      <c r="D1341" s="136" t="s">
        <v>190</v>
      </c>
      <c r="E1341" s="168">
        <v>42117</v>
      </c>
      <c r="F1341" s="136">
        <v>2015</v>
      </c>
      <c r="G1341" s="178" t="s">
        <v>4415</v>
      </c>
      <c r="H1341" s="168" t="s">
        <v>4416</v>
      </c>
      <c r="I1341" s="136" t="s">
        <v>38</v>
      </c>
      <c r="J1341" s="32" t="s">
        <v>26</v>
      </c>
      <c r="K1341" s="137" t="s">
        <v>4014</v>
      </c>
      <c r="L1341" s="197" t="s">
        <v>28</v>
      </c>
      <c r="M1341" s="197" t="s">
        <v>42</v>
      </c>
      <c r="N1341" s="197"/>
      <c r="O1341" s="197" t="s">
        <v>4417</v>
      </c>
      <c r="P1341" s="197" t="s">
        <v>4418</v>
      </c>
      <c r="Q1341" s="15" t="s">
        <v>282</v>
      </c>
      <c r="R1341" s="132">
        <v>42321</v>
      </c>
      <c r="S1341" s="16" t="s">
        <v>44</v>
      </c>
      <c r="T1341" s="133">
        <v>43213</v>
      </c>
      <c r="U1341" s="623"/>
      <c r="V1341" s="624"/>
      <c r="W1341" s="242">
        <v>50000000</v>
      </c>
      <c r="X1341" s="243">
        <v>0</v>
      </c>
      <c r="Y1341" s="7">
        <f t="shared" si="67"/>
        <v>0</v>
      </c>
      <c r="Z1341" s="185">
        <f t="shared" ref="Z1341:Z1347" si="68">IF(Y1341="",X1341,Y1341+X1341)</f>
        <v>0</v>
      </c>
      <c r="AA1341" s="233"/>
      <c r="AB1341" s="503" t="s">
        <v>201</v>
      </c>
      <c r="AC1341" s="222"/>
      <c r="AD1341" s="196">
        <v>0</v>
      </c>
      <c r="AE1341" s="187">
        <v>0</v>
      </c>
      <c r="AF1341" s="205">
        <f t="shared" si="62"/>
        <v>0</v>
      </c>
      <c r="AG1341" s="138">
        <v>8</v>
      </c>
      <c r="AH1341" s="138" t="s">
        <v>192</v>
      </c>
      <c r="AI1341" s="138"/>
      <c r="AJ1341" s="138" t="s">
        <v>1188</v>
      </c>
      <c r="AK1341" s="181" t="s">
        <v>1185</v>
      </c>
      <c r="AL1341" s="138" t="s">
        <v>1178</v>
      </c>
    </row>
    <row r="1342" spans="1:38" ht="15" customHeight="1" x14ac:dyDescent="0.3">
      <c r="A1342" s="181" t="s">
        <v>22</v>
      </c>
      <c r="B1342" s="145" t="s">
        <v>222</v>
      </c>
      <c r="C1342" s="135">
        <v>1</v>
      </c>
      <c r="D1342" s="136" t="s">
        <v>190</v>
      </c>
      <c r="E1342" s="168">
        <v>42187</v>
      </c>
      <c r="F1342" s="136">
        <v>2015</v>
      </c>
      <c r="G1342" s="178" t="s">
        <v>4419</v>
      </c>
      <c r="H1342" s="178"/>
      <c r="I1342" s="136" t="s">
        <v>38</v>
      </c>
      <c r="J1342" s="32" t="s">
        <v>26</v>
      </c>
      <c r="K1342" s="197" t="s">
        <v>4420</v>
      </c>
      <c r="L1342" s="197" t="s">
        <v>28</v>
      </c>
      <c r="M1342" s="197" t="s">
        <v>42</v>
      </c>
      <c r="N1342" s="197"/>
      <c r="O1342" s="197" t="s">
        <v>4421</v>
      </c>
      <c r="P1342" s="197" t="s">
        <v>4422</v>
      </c>
      <c r="Q1342" s="15" t="s">
        <v>282</v>
      </c>
      <c r="R1342" s="132">
        <v>42429</v>
      </c>
      <c r="S1342" s="16" t="s">
        <v>35</v>
      </c>
      <c r="T1342" s="133">
        <v>43285</v>
      </c>
      <c r="U1342" s="623"/>
      <c r="V1342" s="624"/>
      <c r="W1342" s="242">
        <v>35000000</v>
      </c>
      <c r="X1342" s="243">
        <v>0</v>
      </c>
      <c r="Y1342" s="7">
        <f t="shared" si="67"/>
        <v>0</v>
      </c>
      <c r="Z1342" s="185">
        <f t="shared" si="68"/>
        <v>0</v>
      </c>
      <c r="AA1342" s="233"/>
      <c r="AB1342" s="503" t="s">
        <v>4155</v>
      </c>
      <c r="AC1342" s="222"/>
      <c r="AD1342" s="196">
        <v>0</v>
      </c>
      <c r="AE1342" s="187">
        <v>0</v>
      </c>
      <c r="AF1342" s="205">
        <f t="shared" si="62"/>
        <v>0</v>
      </c>
      <c r="AG1342" s="138">
        <v>8</v>
      </c>
      <c r="AH1342" s="197" t="s">
        <v>4414</v>
      </c>
      <c r="AI1342" s="718" t="s">
        <v>4424</v>
      </c>
      <c r="AJ1342" s="138" t="s">
        <v>1188</v>
      </c>
      <c r="AK1342" s="181" t="s">
        <v>1185</v>
      </c>
      <c r="AL1342" s="138" t="s">
        <v>1178</v>
      </c>
    </row>
    <row r="1343" spans="1:38" ht="15" customHeight="1" x14ac:dyDescent="0.3">
      <c r="A1343" s="181" t="s">
        <v>22</v>
      </c>
      <c r="B1343" s="181" t="s">
        <v>105</v>
      </c>
      <c r="C1343" s="135">
        <v>39</v>
      </c>
      <c r="D1343" s="11" t="s">
        <v>5936</v>
      </c>
      <c r="E1343" s="168">
        <v>42500</v>
      </c>
      <c r="F1343" s="136">
        <v>2016</v>
      </c>
      <c r="G1343" s="178" t="s">
        <v>4425</v>
      </c>
      <c r="H1343" s="178" t="s">
        <v>4426</v>
      </c>
      <c r="I1343" s="136" t="s">
        <v>38</v>
      </c>
      <c r="J1343" s="32" t="s">
        <v>26</v>
      </c>
      <c r="K1343" s="197" t="s">
        <v>4358</v>
      </c>
      <c r="L1343" s="197" t="s">
        <v>28</v>
      </c>
      <c r="M1343" s="197" t="s">
        <v>42</v>
      </c>
      <c r="N1343" s="197"/>
      <c r="O1343" s="783" t="s">
        <v>4427</v>
      </c>
      <c r="P1343" s="794" t="s">
        <v>4428</v>
      </c>
      <c r="Q1343" s="15" t="s">
        <v>282</v>
      </c>
      <c r="R1343" s="218">
        <v>43202</v>
      </c>
      <c r="S1343" s="16" t="s">
        <v>35</v>
      </c>
      <c r="T1343" s="133">
        <v>43244</v>
      </c>
      <c r="U1343" s="623"/>
      <c r="V1343" s="624"/>
      <c r="W1343" s="239">
        <v>50000000</v>
      </c>
      <c r="X1343" s="243">
        <v>0</v>
      </c>
      <c r="Y1343" s="201">
        <f t="shared" si="67"/>
        <v>0</v>
      </c>
      <c r="Z1343" s="7">
        <f t="shared" si="68"/>
        <v>0</v>
      </c>
      <c r="AA1343" s="270"/>
      <c r="AB1343" s="564" t="s">
        <v>1073</v>
      </c>
      <c r="AC1343" s="693"/>
      <c r="AD1343" s="196">
        <v>0</v>
      </c>
      <c r="AE1343" s="187">
        <v>0</v>
      </c>
      <c r="AF1343" s="205">
        <f t="shared" si="62"/>
        <v>0</v>
      </c>
      <c r="AG1343" s="181">
        <v>8</v>
      </c>
      <c r="AH1343" s="250"/>
      <c r="AI1343" s="718" t="s">
        <v>6121</v>
      </c>
      <c r="AJ1343" s="138" t="s">
        <v>1188</v>
      </c>
      <c r="AK1343" s="181" t="s">
        <v>1185</v>
      </c>
      <c r="AL1343" s="138" t="s">
        <v>1178</v>
      </c>
    </row>
    <row r="1344" spans="1:38" ht="15" customHeight="1" x14ac:dyDescent="0.3">
      <c r="A1344" s="181" t="s">
        <v>22</v>
      </c>
      <c r="B1344" s="181" t="s">
        <v>105</v>
      </c>
      <c r="C1344" s="135">
        <v>34</v>
      </c>
      <c r="D1344" s="11" t="s">
        <v>5936</v>
      </c>
      <c r="E1344" s="168">
        <v>42530</v>
      </c>
      <c r="F1344" s="136">
        <v>2016</v>
      </c>
      <c r="G1344" s="178" t="s">
        <v>4429</v>
      </c>
      <c r="H1344" s="178" t="s">
        <v>4430</v>
      </c>
      <c r="I1344" s="136" t="s">
        <v>38</v>
      </c>
      <c r="J1344" s="32" t="s">
        <v>26</v>
      </c>
      <c r="K1344" s="197" t="s">
        <v>111</v>
      </c>
      <c r="L1344" s="197" t="s">
        <v>28</v>
      </c>
      <c r="M1344" s="197" t="s">
        <v>42</v>
      </c>
      <c r="N1344" s="197"/>
      <c r="O1344" s="783" t="s">
        <v>4431</v>
      </c>
      <c r="P1344" s="794" t="s">
        <v>4432</v>
      </c>
      <c r="Q1344" s="15" t="s">
        <v>282</v>
      </c>
      <c r="R1344" s="218">
        <v>43220</v>
      </c>
      <c r="S1344" s="16" t="s">
        <v>44</v>
      </c>
      <c r="T1344" s="133">
        <v>43298</v>
      </c>
      <c r="U1344" s="623"/>
      <c r="V1344" s="624"/>
      <c r="W1344" s="239">
        <v>101000000</v>
      </c>
      <c r="X1344" s="243">
        <v>0</v>
      </c>
      <c r="Y1344" s="201">
        <f t="shared" si="67"/>
        <v>0</v>
      </c>
      <c r="Z1344" s="7">
        <f t="shared" si="68"/>
        <v>0</v>
      </c>
      <c r="AA1344" s="270"/>
      <c r="AB1344" s="564" t="s">
        <v>1073</v>
      </c>
      <c r="AC1344" s="693"/>
      <c r="AD1344" s="187">
        <v>0</v>
      </c>
      <c r="AE1344" s="187">
        <v>0</v>
      </c>
      <c r="AF1344" s="205">
        <f t="shared" ref="AF1344:AF1407" si="69">AE1344+AD1344</f>
        <v>0</v>
      </c>
      <c r="AG1344" s="181">
        <v>8</v>
      </c>
      <c r="AH1344" s="264" t="s">
        <v>4423</v>
      </c>
      <c r="AI1344" s="138"/>
      <c r="AJ1344" s="138" t="s">
        <v>1188</v>
      </c>
      <c r="AK1344" s="181" t="s">
        <v>1185</v>
      </c>
      <c r="AL1344" s="138" t="s">
        <v>1178</v>
      </c>
    </row>
    <row r="1345" spans="1:38" ht="15" customHeight="1" x14ac:dyDescent="0.3">
      <c r="A1345" s="181" t="s">
        <v>140</v>
      </c>
      <c r="B1345" s="301" t="s">
        <v>819</v>
      </c>
      <c r="C1345" s="245">
        <v>3</v>
      </c>
      <c r="D1345" s="11" t="s">
        <v>225</v>
      </c>
      <c r="E1345" s="247">
        <v>43161</v>
      </c>
      <c r="F1345" s="246">
        <v>2018</v>
      </c>
      <c r="G1345" s="792" t="s">
        <v>4433</v>
      </c>
      <c r="H1345" s="178" t="s">
        <v>4434</v>
      </c>
      <c r="I1345" s="246" t="s">
        <v>38</v>
      </c>
      <c r="J1345" s="248" t="s">
        <v>81</v>
      </c>
      <c r="K1345" s="264" t="s">
        <v>163</v>
      </c>
      <c r="L1345" s="264" t="s">
        <v>28</v>
      </c>
      <c r="M1345" s="264" t="s">
        <v>42</v>
      </c>
      <c r="N1345" s="264" t="s">
        <v>43</v>
      </c>
      <c r="O1345" s="805" t="s">
        <v>4435</v>
      </c>
      <c r="P1345" s="794" t="s">
        <v>4436</v>
      </c>
      <c r="Q1345" s="15" t="s">
        <v>282</v>
      </c>
      <c r="R1345" s="231">
        <v>43272</v>
      </c>
      <c r="S1345" s="16" t="s">
        <v>44</v>
      </c>
      <c r="T1345" s="232">
        <v>43312</v>
      </c>
      <c r="U1345" s="776"/>
      <c r="V1345" s="776"/>
      <c r="W1345" s="256">
        <v>5000000</v>
      </c>
      <c r="X1345" s="185"/>
      <c r="Y1345" s="7">
        <f t="shared" si="67"/>
        <v>0</v>
      </c>
      <c r="Z1345" s="7">
        <f t="shared" si="68"/>
        <v>0</v>
      </c>
      <c r="AA1345" s="233"/>
      <c r="AB1345" s="503" t="s">
        <v>3960</v>
      </c>
      <c r="AC1345" s="222"/>
      <c r="AD1345" s="196">
        <v>0</v>
      </c>
      <c r="AE1345" s="187">
        <v>0</v>
      </c>
      <c r="AF1345" s="205">
        <f t="shared" si="69"/>
        <v>0</v>
      </c>
      <c r="AG1345" s="197">
        <v>10</v>
      </c>
      <c r="AH1345" s="197"/>
      <c r="AI1345" s="197"/>
      <c r="AJ1345" s="197" t="s">
        <v>1188</v>
      </c>
      <c r="AK1345" s="197" t="s">
        <v>1185</v>
      </c>
      <c r="AL1345" s="93" t="s">
        <v>1178</v>
      </c>
    </row>
    <row r="1346" spans="1:38" ht="15" customHeight="1" x14ac:dyDescent="0.3">
      <c r="A1346" s="181" t="s">
        <v>22</v>
      </c>
      <c r="B1346" s="153" t="s">
        <v>105</v>
      </c>
      <c r="C1346" s="135">
        <v>7</v>
      </c>
      <c r="D1346" s="11" t="s">
        <v>5936</v>
      </c>
      <c r="E1346" s="168">
        <v>40058</v>
      </c>
      <c r="F1346" s="136">
        <v>2009</v>
      </c>
      <c r="G1346" s="178" t="s">
        <v>4438</v>
      </c>
      <c r="H1346" s="204" t="s">
        <v>4439</v>
      </c>
      <c r="I1346" s="136" t="s">
        <v>38</v>
      </c>
      <c r="J1346" s="32" t="s">
        <v>26</v>
      </c>
      <c r="K1346" s="197" t="s">
        <v>113</v>
      </c>
      <c r="L1346" s="138" t="s">
        <v>132</v>
      </c>
      <c r="M1346" s="197" t="s">
        <v>42</v>
      </c>
      <c r="N1346" s="197"/>
      <c r="O1346" s="197" t="s">
        <v>4440</v>
      </c>
      <c r="P1346" s="736" t="s">
        <v>4441</v>
      </c>
      <c r="Q1346" s="15" t="s">
        <v>282</v>
      </c>
      <c r="R1346" s="227">
        <v>40525</v>
      </c>
      <c r="S1346" s="16" t="s">
        <v>44</v>
      </c>
      <c r="T1346" s="756">
        <v>41029</v>
      </c>
      <c r="U1346" s="737" t="s">
        <v>44</v>
      </c>
      <c r="V1346" s="786">
        <v>43376</v>
      </c>
      <c r="W1346" s="242">
        <v>19200000</v>
      </c>
      <c r="X1346" s="240">
        <v>0</v>
      </c>
      <c r="Y1346" s="7">
        <f t="shared" si="67"/>
        <v>0</v>
      </c>
      <c r="Z1346" s="7">
        <f t="shared" si="68"/>
        <v>0</v>
      </c>
      <c r="AA1346" s="108"/>
      <c r="AB1346" s="564" t="s">
        <v>1073</v>
      </c>
      <c r="AC1346" s="693"/>
      <c r="AD1346" s="187">
        <v>0</v>
      </c>
      <c r="AE1346" s="187">
        <v>0</v>
      </c>
      <c r="AF1346" s="205">
        <f t="shared" si="69"/>
        <v>0</v>
      </c>
      <c r="AG1346" s="30">
        <v>8</v>
      </c>
      <c r="AH1346" s="30"/>
      <c r="AI1346" s="787" t="s">
        <v>4443</v>
      </c>
      <c r="AJ1346" s="30" t="s">
        <v>1188</v>
      </c>
      <c r="AK1346" s="30" t="s">
        <v>99</v>
      </c>
      <c r="AL1346" s="30" t="s">
        <v>1178</v>
      </c>
    </row>
    <row r="1347" spans="1:38" ht="15" customHeight="1" x14ac:dyDescent="0.3">
      <c r="A1347" s="181" t="s">
        <v>22</v>
      </c>
      <c r="B1347" s="181" t="s">
        <v>23</v>
      </c>
      <c r="C1347" s="184">
        <v>9</v>
      </c>
      <c r="D1347" s="11" t="s">
        <v>24</v>
      </c>
      <c r="E1347" s="192">
        <v>42842</v>
      </c>
      <c r="F1347" s="181">
        <v>2017</v>
      </c>
      <c r="G1347" s="181" t="s">
        <v>4444</v>
      </c>
      <c r="H1347" s="217" t="s">
        <v>4445</v>
      </c>
      <c r="I1347" s="12" t="s">
        <v>38</v>
      </c>
      <c r="J1347" s="32" t="s">
        <v>26</v>
      </c>
      <c r="K1347" s="197" t="s">
        <v>50</v>
      </c>
      <c r="L1347" s="138" t="s">
        <v>56</v>
      </c>
      <c r="M1347" s="279" t="s">
        <v>42</v>
      </c>
      <c r="N1347" s="799"/>
      <c r="O1347" s="146" t="s">
        <v>4446</v>
      </c>
      <c r="P1347" s="800" t="s">
        <v>6122</v>
      </c>
      <c r="Q1347" s="91"/>
      <c r="R1347" s="132"/>
      <c r="S1347" s="92"/>
      <c r="T1347" s="165"/>
      <c r="U1347" s="624"/>
      <c r="V1347" s="624"/>
      <c r="W1347" s="239">
        <v>85000000</v>
      </c>
      <c r="X1347" s="240">
        <v>0</v>
      </c>
      <c r="Y1347" s="201">
        <f t="shared" si="67"/>
        <v>0</v>
      </c>
      <c r="Z1347" s="7">
        <f t="shared" si="68"/>
        <v>0</v>
      </c>
      <c r="AA1347" s="192"/>
      <c r="AB1347" s="479" t="s">
        <v>49</v>
      </c>
      <c r="AC1347" s="480"/>
      <c r="AD1347" s="258">
        <v>0</v>
      </c>
      <c r="AE1347" s="187">
        <v>0</v>
      </c>
      <c r="AF1347" s="205">
        <f t="shared" si="69"/>
        <v>0</v>
      </c>
      <c r="AG1347" s="181">
        <v>8</v>
      </c>
      <c r="AH1347" s="181" t="s">
        <v>4437</v>
      </c>
      <c r="AI1347" s="787" t="s">
        <v>4448</v>
      </c>
      <c r="AJ1347" s="181" t="s">
        <v>1188</v>
      </c>
      <c r="AK1347" s="30" t="s">
        <v>1177</v>
      </c>
      <c r="AL1347" s="93" t="s">
        <v>1178</v>
      </c>
    </row>
    <row r="1348" spans="1:38" ht="15" customHeight="1" x14ac:dyDescent="0.3">
      <c r="A1348" s="30" t="s">
        <v>22</v>
      </c>
      <c r="B1348" s="30" t="s">
        <v>23</v>
      </c>
      <c r="C1348" s="37">
        <v>9</v>
      </c>
      <c r="D1348" s="11" t="s">
        <v>24</v>
      </c>
      <c r="E1348" s="108">
        <v>41948</v>
      </c>
      <c r="F1348" s="37">
        <v>2014</v>
      </c>
      <c r="G1348" s="30" t="s">
        <v>4449</v>
      </c>
      <c r="H1348" s="162" t="s">
        <v>4450</v>
      </c>
      <c r="I1348" s="12" t="s">
        <v>80</v>
      </c>
      <c r="J1348" s="32" t="s">
        <v>26</v>
      </c>
      <c r="K1348" s="137" t="s">
        <v>1930</v>
      </c>
      <c r="L1348" s="137" t="s">
        <v>3349</v>
      </c>
      <c r="M1348" s="660" t="s">
        <v>42</v>
      </c>
      <c r="N1348" s="709"/>
      <c r="O1348" s="146" t="s">
        <v>4451</v>
      </c>
      <c r="P1348" s="138" t="s">
        <v>4452</v>
      </c>
      <c r="Q1348" s="15" t="s">
        <v>282</v>
      </c>
      <c r="R1348" s="132">
        <v>42702</v>
      </c>
      <c r="S1348" s="16" t="s">
        <v>44</v>
      </c>
      <c r="T1348" s="165">
        <v>43153</v>
      </c>
      <c r="U1348" s="624"/>
      <c r="V1348" s="624"/>
      <c r="W1348" s="239">
        <v>44000000</v>
      </c>
      <c r="X1348" s="240">
        <v>0</v>
      </c>
      <c r="Y1348" s="7">
        <f t="shared" si="67"/>
        <v>0</v>
      </c>
      <c r="Z1348" s="7">
        <f>IF(Y1348="",X1348,Y1348+X1348)</f>
        <v>0</v>
      </c>
      <c r="AA1348" s="108"/>
      <c r="AB1348" s="772" t="s">
        <v>36</v>
      </c>
      <c r="AC1348" s="30"/>
      <c r="AD1348" s="187">
        <v>0</v>
      </c>
      <c r="AE1348" s="187">
        <v>0</v>
      </c>
      <c r="AF1348" s="205">
        <f t="shared" si="69"/>
        <v>0</v>
      </c>
      <c r="AG1348" s="30">
        <v>8</v>
      </c>
      <c r="AH1348" s="30" t="s">
        <v>4442</v>
      </c>
      <c r="AI1348" s="200"/>
      <c r="AJ1348" s="30" t="s">
        <v>1188</v>
      </c>
      <c r="AK1348" s="30" t="s">
        <v>1185</v>
      </c>
      <c r="AL1348" s="93" t="s">
        <v>1178</v>
      </c>
    </row>
    <row r="1349" spans="1:38" ht="15" customHeight="1" x14ac:dyDescent="0.3">
      <c r="A1349" s="181" t="s">
        <v>22</v>
      </c>
      <c r="B1349" s="181" t="s">
        <v>23</v>
      </c>
      <c r="C1349" s="184">
        <v>20</v>
      </c>
      <c r="D1349" s="11" t="s">
        <v>24</v>
      </c>
      <c r="E1349" s="192">
        <v>42913</v>
      </c>
      <c r="F1349" s="181">
        <v>2017</v>
      </c>
      <c r="G1349" s="181" t="s">
        <v>4453</v>
      </c>
      <c r="H1349" s="217" t="s">
        <v>4454</v>
      </c>
      <c r="I1349" s="30" t="s">
        <v>38</v>
      </c>
      <c r="J1349" s="32" t="s">
        <v>26</v>
      </c>
      <c r="K1349" s="197" t="s">
        <v>1194</v>
      </c>
      <c r="L1349" s="138" t="s">
        <v>34</v>
      </c>
      <c r="M1349" s="137" t="s">
        <v>804</v>
      </c>
      <c r="N1349" s="279"/>
      <c r="O1349" s="93" t="s">
        <v>4455</v>
      </c>
      <c r="P1349" s="800" t="s">
        <v>6123</v>
      </c>
      <c r="Q1349" s="91"/>
      <c r="R1349" s="132"/>
      <c r="S1349" s="92"/>
      <c r="T1349" s="165"/>
      <c r="U1349" s="624"/>
      <c r="V1349" s="624"/>
      <c r="W1349" s="239">
        <v>200000000</v>
      </c>
      <c r="X1349" s="240"/>
      <c r="Y1349" s="201">
        <f t="shared" si="67"/>
        <v>200000000</v>
      </c>
      <c r="Z1349" s="254">
        <f>IF(Y1349="",X1349,Y1349+X1349)-200000000</f>
        <v>0</v>
      </c>
      <c r="AA1349" s="192">
        <v>43412</v>
      </c>
      <c r="AB1349" s="479" t="s">
        <v>49</v>
      </c>
      <c r="AC1349" s="480"/>
      <c r="AD1349" s="258">
        <v>0</v>
      </c>
      <c r="AE1349" s="187">
        <v>1</v>
      </c>
      <c r="AF1349" s="205">
        <f t="shared" si="69"/>
        <v>1</v>
      </c>
      <c r="AG1349" s="181">
        <v>12</v>
      </c>
      <c r="AH1349" s="181" t="s">
        <v>4447</v>
      </c>
      <c r="AI1349" s="718" t="s">
        <v>4456</v>
      </c>
      <c r="AJ1349" s="181" t="s">
        <v>1188</v>
      </c>
      <c r="AK1349" s="30" t="s">
        <v>1177</v>
      </c>
      <c r="AL1349" s="93" t="s">
        <v>1178</v>
      </c>
    </row>
    <row r="1350" spans="1:38" ht="15" customHeight="1" x14ac:dyDescent="0.3">
      <c r="A1350" s="181" t="s">
        <v>22</v>
      </c>
      <c r="B1350" s="145" t="s">
        <v>422</v>
      </c>
      <c r="C1350" s="135">
        <v>1</v>
      </c>
      <c r="D1350" s="136" t="s">
        <v>190</v>
      </c>
      <c r="E1350" s="168">
        <v>40707</v>
      </c>
      <c r="F1350" s="136">
        <v>2011</v>
      </c>
      <c r="G1350" s="178" t="s">
        <v>4457</v>
      </c>
      <c r="H1350" s="204" t="s">
        <v>4458</v>
      </c>
      <c r="I1350" s="136" t="s">
        <v>80</v>
      </c>
      <c r="J1350" s="32" t="s">
        <v>26</v>
      </c>
      <c r="K1350" s="197" t="s">
        <v>50</v>
      </c>
      <c r="L1350" s="765" t="s">
        <v>1319</v>
      </c>
      <c r="M1350" s="137" t="s">
        <v>804</v>
      </c>
      <c r="N1350" s="138"/>
      <c r="O1350" s="765" t="s">
        <v>4459</v>
      </c>
      <c r="P1350" s="732" t="s">
        <v>4460</v>
      </c>
      <c r="Q1350" s="15" t="s">
        <v>282</v>
      </c>
      <c r="R1350" s="132">
        <v>40995</v>
      </c>
      <c r="S1350" s="16" t="s">
        <v>35</v>
      </c>
      <c r="T1350" s="133">
        <v>41106</v>
      </c>
      <c r="U1350" s="623" t="s">
        <v>44</v>
      </c>
      <c r="V1350" s="180">
        <v>43411</v>
      </c>
      <c r="W1350" s="239">
        <v>22500000</v>
      </c>
      <c r="X1350" s="253">
        <v>22500000</v>
      </c>
      <c r="Y1350" s="7">
        <f t="shared" si="67"/>
        <v>0</v>
      </c>
      <c r="Z1350" s="189">
        <f>IF(Y1350="",X1350,Y1350+X1350)</f>
        <v>22500000</v>
      </c>
      <c r="AA1350" s="90">
        <v>43454</v>
      </c>
      <c r="AB1350" s="706" t="s">
        <v>6124</v>
      </c>
      <c r="AC1350" s="200"/>
      <c r="AD1350" s="187">
        <v>1</v>
      </c>
      <c r="AE1350" s="187">
        <v>0</v>
      </c>
      <c r="AF1350" s="205">
        <f t="shared" si="69"/>
        <v>1</v>
      </c>
      <c r="AG1350" s="200">
        <v>8</v>
      </c>
      <c r="AH1350" s="138"/>
      <c r="AI1350" s="719" t="s">
        <v>4461</v>
      </c>
      <c r="AJ1350" s="200" t="s">
        <v>1188</v>
      </c>
      <c r="AK1350" s="30" t="s">
        <v>99</v>
      </c>
      <c r="AL1350" s="200" t="s">
        <v>1178</v>
      </c>
    </row>
    <row r="1351" spans="1:38" ht="15" customHeight="1" x14ac:dyDescent="0.3">
      <c r="A1351" s="181" t="s">
        <v>22</v>
      </c>
      <c r="B1351" s="265" t="s">
        <v>197</v>
      </c>
      <c r="C1351" s="245">
        <v>1</v>
      </c>
      <c r="D1351" s="246" t="s">
        <v>190</v>
      </c>
      <c r="E1351" s="247">
        <v>40850</v>
      </c>
      <c r="F1351" s="246">
        <v>2017</v>
      </c>
      <c r="G1351" s="792" t="s">
        <v>4462</v>
      </c>
      <c r="H1351" s="792" t="s">
        <v>4463</v>
      </c>
      <c r="I1351" s="246" t="s">
        <v>38</v>
      </c>
      <c r="J1351" s="248" t="s">
        <v>81</v>
      </c>
      <c r="K1351" s="264" t="s">
        <v>4464</v>
      </c>
      <c r="L1351" s="264" t="s">
        <v>28</v>
      </c>
      <c r="M1351" s="264" t="s">
        <v>42</v>
      </c>
      <c r="N1351" s="264"/>
      <c r="O1351" s="805" t="s">
        <v>4465</v>
      </c>
      <c r="P1351" s="794" t="s">
        <v>4466</v>
      </c>
      <c r="Q1351" s="15" t="s">
        <v>282</v>
      </c>
      <c r="R1351" s="231">
        <v>43175</v>
      </c>
      <c r="S1351" s="16" t="s">
        <v>44</v>
      </c>
      <c r="T1351" s="268">
        <v>43347</v>
      </c>
      <c r="U1351" s="803"/>
      <c r="V1351" s="803"/>
      <c r="W1351" s="242">
        <v>10000000</v>
      </c>
      <c r="X1351" s="240"/>
      <c r="Y1351" s="201">
        <f t="shared" si="67"/>
        <v>0</v>
      </c>
      <c r="Z1351" s="7">
        <f>IF(Y1351="",X1351,Y1351+X1351)</f>
        <v>0</v>
      </c>
      <c r="AA1351" s="192"/>
      <c r="AB1351" s="564" t="s">
        <v>2595</v>
      </c>
      <c r="AC1351" s="693"/>
      <c r="AD1351" s="258">
        <v>0</v>
      </c>
      <c r="AE1351" s="187">
        <v>0</v>
      </c>
      <c r="AF1351" s="205">
        <f t="shared" si="69"/>
        <v>0</v>
      </c>
      <c r="AG1351" s="181">
        <v>8</v>
      </c>
      <c r="AH1351" s="181"/>
      <c r="AI1351" s="138"/>
      <c r="AJ1351" s="197" t="s">
        <v>1188</v>
      </c>
      <c r="AK1351" s="197" t="s">
        <v>3457</v>
      </c>
      <c r="AL1351" s="138" t="s">
        <v>1178</v>
      </c>
    </row>
    <row r="1352" spans="1:38" ht="15" customHeight="1" x14ac:dyDescent="0.3">
      <c r="A1352" s="181" t="s">
        <v>140</v>
      </c>
      <c r="B1352" s="112" t="s">
        <v>3895</v>
      </c>
      <c r="C1352" s="107" t="s">
        <v>4467</v>
      </c>
      <c r="D1352" s="12" t="s">
        <v>190</v>
      </c>
      <c r="E1352" s="114">
        <v>43398</v>
      </c>
      <c r="F1352" s="246">
        <v>2018</v>
      </c>
      <c r="G1352" s="142">
        <v>2018</v>
      </c>
      <c r="H1352" s="162"/>
      <c r="I1352" s="107" t="s">
        <v>38</v>
      </c>
      <c r="J1352" s="248" t="s">
        <v>81</v>
      </c>
      <c r="K1352" s="264" t="s">
        <v>4305</v>
      </c>
      <c r="L1352" s="264" t="s">
        <v>28</v>
      </c>
      <c r="M1352" s="264" t="s">
        <v>42</v>
      </c>
      <c r="N1352" s="264" t="s">
        <v>43</v>
      </c>
      <c r="O1352" s="197" t="s">
        <v>4468</v>
      </c>
      <c r="P1352" s="783" t="s">
        <v>6125</v>
      </c>
      <c r="Q1352" s="220"/>
      <c r="R1352" s="218"/>
      <c r="S1352" s="400"/>
      <c r="T1352" s="133"/>
      <c r="U1352" s="623"/>
      <c r="V1352" s="624"/>
      <c r="W1352" s="242">
        <v>5000000</v>
      </c>
      <c r="X1352" s="243"/>
      <c r="Y1352" s="201" t="str">
        <f>IF(AE1352="","",W1352*AE1352)</f>
        <v/>
      </c>
      <c r="Z1352" s="185">
        <f>IF(Y1352="",X1352,Y1352+X1352)</f>
        <v>0</v>
      </c>
      <c r="AA1352" s="229"/>
      <c r="AB1352" s="503" t="s">
        <v>3960</v>
      </c>
      <c r="AC1352" s="222"/>
      <c r="AD1352" s="196"/>
      <c r="AE1352" s="187"/>
      <c r="AF1352" s="205">
        <f t="shared" si="69"/>
        <v>0</v>
      </c>
      <c r="AG1352" s="138">
        <v>8</v>
      </c>
      <c r="AH1352" s="197"/>
      <c r="AI1352" s="718" t="s">
        <v>3698</v>
      </c>
      <c r="AJ1352" s="138" t="s">
        <v>1188</v>
      </c>
      <c r="AK1352" s="181" t="s">
        <v>1177</v>
      </c>
      <c r="AL1352" s="138" t="s">
        <v>1178</v>
      </c>
    </row>
    <row r="1353" spans="1:38" ht="15" customHeight="1" x14ac:dyDescent="0.3">
      <c r="A1353" s="181" t="s">
        <v>22</v>
      </c>
      <c r="B1353" s="167" t="s">
        <v>105</v>
      </c>
      <c r="C1353" s="135">
        <v>21</v>
      </c>
      <c r="D1353" s="11" t="s">
        <v>5936</v>
      </c>
      <c r="E1353" s="168">
        <v>42173</v>
      </c>
      <c r="F1353" s="136">
        <v>2015</v>
      </c>
      <c r="G1353" s="178" t="s">
        <v>4469</v>
      </c>
      <c r="H1353" s="178" t="s">
        <v>4470</v>
      </c>
      <c r="I1353" s="30" t="s">
        <v>38</v>
      </c>
      <c r="J1353" s="32" t="s">
        <v>26</v>
      </c>
      <c r="K1353" s="197" t="s">
        <v>4471</v>
      </c>
      <c r="L1353" s="197" t="s">
        <v>133</v>
      </c>
      <c r="M1353" s="137" t="s">
        <v>804</v>
      </c>
      <c r="N1353" s="197"/>
      <c r="O1353" s="197" t="s">
        <v>4472</v>
      </c>
      <c r="P1353" s="783" t="s">
        <v>4473</v>
      </c>
      <c r="Q1353" s="15" t="s">
        <v>35</v>
      </c>
      <c r="R1353" s="218">
        <v>42807</v>
      </c>
      <c r="S1353" s="16" t="s">
        <v>35</v>
      </c>
      <c r="T1353" s="262">
        <v>43131</v>
      </c>
      <c r="U1353" s="802"/>
      <c r="V1353" s="803"/>
      <c r="W1353" s="242">
        <v>40000000</v>
      </c>
      <c r="X1353" s="259">
        <v>40000000</v>
      </c>
      <c r="Y1353" s="201">
        <f>IF(AE1353="","",W1353*AE1353)</f>
        <v>0</v>
      </c>
      <c r="Z1353" s="189">
        <f>IF(Y1353="",X1353,Y1353+X1353)-16955359</f>
        <v>23044641</v>
      </c>
      <c r="AA1353" s="229">
        <v>43434</v>
      </c>
      <c r="AB1353" s="564" t="s">
        <v>1073</v>
      </c>
      <c r="AC1353" s="693"/>
      <c r="AD1353" s="196">
        <v>1</v>
      </c>
      <c r="AE1353" s="187">
        <v>0</v>
      </c>
      <c r="AF1353" s="210">
        <f t="shared" si="69"/>
        <v>1</v>
      </c>
      <c r="AG1353" s="138">
        <v>8</v>
      </c>
      <c r="AH1353" s="200" t="s">
        <v>45</v>
      </c>
      <c r="AI1353" s="138"/>
      <c r="AJ1353" s="138" t="s">
        <v>1188</v>
      </c>
      <c r="AK1353" s="181" t="s">
        <v>1185</v>
      </c>
      <c r="AL1353" s="138" t="s">
        <v>1178</v>
      </c>
    </row>
    <row r="1354" spans="1:38" ht="15" customHeight="1" x14ac:dyDescent="0.3">
      <c r="A1354" s="181" t="s">
        <v>22</v>
      </c>
      <c r="B1354" s="153" t="s">
        <v>228</v>
      </c>
      <c r="C1354" s="135">
        <v>2</v>
      </c>
      <c r="D1354" s="11" t="s">
        <v>225</v>
      </c>
      <c r="E1354" s="168">
        <v>40127</v>
      </c>
      <c r="F1354" s="136">
        <v>2009</v>
      </c>
      <c r="G1354" s="178" t="s">
        <v>4474</v>
      </c>
      <c r="H1354" s="204" t="s">
        <v>4475</v>
      </c>
      <c r="I1354" s="33" t="s">
        <v>33</v>
      </c>
      <c r="J1354" s="32" t="s">
        <v>26</v>
      </c>
      <c r="K1354" s="197" t="s">
        <v>50</v>
      </c>
      <c r="L1354" s="197" t="s">
        <v>161</v>
      </c>
      <c r="M1354" s="197" t="s">
        <v>42</v>
      </c>
      <c r="N1354" s="197"/>
      <c r="O1354" s="197" t="s">
        <v>4476</v>
      </c>
      <c r="P1354" s="797" t="s">
        <v>4477</v>
      </c>
      <c r="Q1354" s="15" t="s">
        <v>282</v>
      </c>
      <c r="R1354" s="132">
        <v>40785</v>
      </c>
      <c r="S1354" s="16" t="s">
        <v>44</v>
      </c>
      <c r="T1354" s="133">
        <v>41229</v>
      </c>
      <c r="U1354" s="623" t="s">
        <v>44</v>
      </c>
      <c r="V1354" s="721">
        <v>43411</v>
      </c>
      <c r="W1354" s="269">
        <v>165800000</v>
      </c>
      <c r="X1354" s="240">
        <v>0</v>
      </c>
      <c r="Y1354" s="7">
        <f>IF(AE1354="","",W1354*AE1354)</f>
        <v>0</v>
      </c>
      <c r="Z1354" s="7">
        <f t="shared" ref="Z1354:Z1392" si="70">IF(Y1354="",X1354,Y1354+X1354)</f>
        <v>0</v>
      </c>
      <c r="AA1354" s="108"/>
      <c r="AB1354" s="504" t="s">
        <v>6126</v>
      </c>
      <c r="AC1354" s="138"/>
      <c r="AD1354" s="187">
        <v>0</v>
      </c>
      <c r="AE1354" s="187">
        <v>0</v>
      </c>
      <c r="AF1354" s="205">
        <f t="shared" si="69"/>
        <v>0</v>
      </c>
      <c r="AG1354" s="138">
        <v>8</v>
      </c>
      <c r="AH1354" s="138"/>
      <c r="AI1354" s="138"/>
      <c r="AJ1354" s="200" t="s">
        <v>1188</v>
      </c>
      <c r="AK1354" s="30" t="s">
        <v>99</v>
      </c>
      <c r="AL1354" s="200" t="s">
        <v>1178</v>
      </c>
    </row>
    <row r="1355" spans="1:38" ht="15" customHeight="1" x14ac:dyDescent="0.3">
      <c r="A1355" s="181" t="s">
        <v>22</v>
      </c>
      <c r="B1355" s="265" t="s">
        <v>227</v>
      </c>
      <c r="C1355" s="245">
        <v>8</v>
      </c>
      <c r="D1355" s="11" t="s">
        <v>225</v>
      </c>
      <c r="E1355" s="247">
        <v>42780</v>
      </c>
      <c r="F1355" s="246">
        <v>2017</v>
      </c>
      <c r="G1355" s="792" t="s">
        <v>4479</v>
      </c>
      <c r="H1355" s="792" t="s">
        <v>4480</v>
      </c>
      <c r="I1355" s="246" t="s">
        <v>38</v>
      </c>
      <c r="J1355" s="32" t="s">
        <v>26</v>
      </c>
      <c r="K1355" s="264" t="s">
        <v>111</v>
      </c>
      <c r="L1355" s="264" t="s">
        <v>28</v>
      </c>
      <c r="M1355" s="264" t="s">
        <v>42</v>
      </c>
      <c r="N1355" s="264"/>
      <c r="O1355" s="805" t="s">
        <v>4481</v>
      </c>
      <c r="P1355" s="811" t="s">
        <v>4482</v>
      </c>
      <c r="Q1355" s="15" t="s">
        <v>282</v>
      </c>
      <c r="R1355" s="231">
        <v>43005</v>
      </c>
      <c r="S1355" s="16" t="s">
        <v>44</v>
      </c>
      <c r="T1355" s="232">
        <v>43279</v>
      </c>
      <c r="U1355" s="776"/>
      <c r="V1355" s="776"/>
      <c r="W1355" s="256">
        <v>213000000</v>
      </c>
      <c r="X1355" s="185">
        <v>0</v>
      </c>
      <c r="Y1355" s="7">
        <f>IF(AE1355="","",W1355*AE1355)</f>
        <v>0</v>
      </c>
      <c r="Z1355" s="7">
        <f t="shared" si="70"/>
        <v>0</v>
      </c>
      <c r="AA1355" s="233"/>
      <c r="AB1355" s="504" t="s">
        <v>6115</v>
      </c>
      <c r="AC1355" s="138"/>
      <c r="AD1355" s="196">
        <v>0</v>
      </c>
      <c r="AE1355" s="187">
        <v>0</v>
      </c>
      <c r="AF1355" s="205">
        <f t="shared" si="69"/>
        <v>0</v>
      </c>
      <c r="AG1355" s="197">
        <v>8</v>
      </c>
      <c r="AH1355" s="197" t="s">
        <v>230</v>
      </c>
      <c r="AI1355" s="197"/>
      <c r="AJ1355" s="197" t="s">
        <v>1188</v>
      </c>
      <c r="AK1355" s="30" t="s">
        <v>99</v>
      </c>
      <c r="AL1355" s="93" t="s">
        <v>1178</v>
      </c>
    </row>
    <row r="1356" spans="1:38" ht="15" customHeight="1" x14ac:dyDescent="0.3">
      <c r="A1356" s="30" t="s">
        <v>22</v>
      </c>
      <c r="B1356" s="140" t="s">
        <v>227</v>
      </c>
      <c r="C1356" s="107">
        <v>7</v>
      </c>
      <c r="D1356" s="11" t="s">
        <v>225</v>
      </c>
      <c r="E1356" s="114">
        <v>39083</v>
      </c>
      <c r="F1356" s="12">
        <v>2007</v>
      </c>
      <c r="G1356" s="142" t="s">
        <v>4483</v>
      </c>
      <c r="H1356" s="162" t="s">
        <v>4484</v>
      </c>
      <c r="I1356" s="33" t="s">
        <v>33</v>
      </c>
      <c r="J1356" s="32" t="s">
        <v>26</v>
      </c>
      <c r="K1356" s="197" t="s">
        <v>162</v>
      </c>
      <c r="L1356" s="138" t="s">
        <v>1319</v>
      </c>
      <c r="M1356" s="137" t="s">
        <v>804</v>
      </c>
      <c r="N1356" s="137"/>
      <c r="O1356" s="138" t="s">
        <v>4485</v>
      </c>
      <c r="P1356" s="718" t="s">
        <v>4486</v>
      </c>
      <c r="Q1356" s="15" t="s">
        <v>282</v>
      </c>
      <c r="R1356" s="132">
        <v>40743</v>
      </c>
      <c r="S1356" s="16" t="s">
        <v>35</v>
      </c>
      <c r="T1356" s="133">
        <v>41068</v>
      </c>
      <c r="U1356" s="623" t="s">
        <v>35</v>
      </c>
      <c r="V1356" s="721">
        <v>43264</v>
      </c>
      <c r="W1356" s="249">
        <v>60000000</v>
      </c>
      <c r="X1356" s="240">
        <v>60000000</v>
      </c>
      <c r="Y1356" s="201">
        <f>IF(AE1356="","",W1356*AE1356)-60000000</f>
        <v>-60000000</v>
      </c>
      <c r="Z1356" s="7">
        <f t="shared" si="70"/>
        <v>0</v>
      </c>
      <c r="AA1356" s="192">
        <v>43438</v>
      </c>
      <c r="AB1356" s="504" t="s">
        <v>6127</v>
      </c>
      <c r="AC1356" s="138"/>
      <c r="AD1356" s="187">
        <v>1</v>
      </c>
      <c r="AE1356" s="187">
        <v>0</v>
      </c>
      <c r="AF1356" s="205">
        <f t="shared" si="69"/>
        <v>1</v>
      </c>
      <c r="AG1356" s="138">
        <v>8</v>
      </c>
      <c r="AH1356" s="138" t="s">
        <v>4478</v>
      </c>
      <c r="AI1356" s="138"/>
      <c r="AJ1356" s="138" t="s">
        <v>1188</v>
      </c>
      <c r="AK1356" s="30" t="s">
        <v>99</v>
      </c>
      <c r="AL1356" s="93" t="s">
        <v>1178</v>
      </c>
    </row>
    <row r="1357" spans="1:38" ht="15" customHeight="1" x14ac:dyDescent="0.3">
      <c r="A1357" s="181" t="s">
        <v>140</v>
      </c>
      <c r="B1357" s="153" t="s">
        <v>3895</v>
      </c>
      <c r="C1357" s="135" t="s">
        <v>4487</v>
      </c>
      <c r="D1357" s="136" t="s">
        <v>190</v>
      </c>
      <c r="E1357" s="168">
        <v>43398</v>
      </c>
      <c r="F1357" s="136">
        <v>2018</v>
      </c>
      <c r="G1357" s="178">
        <v>2018</v>
      </c>
      <c r="H1357" s="204"/>
      <c r="I1357" s="136" t="s">
        <v>38</v>
      </c>
      <c r="J1357" s="181" t="s">
        <v>81</v>
      </c>
      <c r="K1357" s="197" t="s">
        <v>4305</v>
      </c>
      <c r="L1357" s="197" t="s">
        <v>28</v>
      </c>
      <c r="M1357" s="197" t="s">
        <v>42</v>
      </c>
      <c r="N1357" s="264" t="s">
        <v>43</v>
      </c>
      <c r="O1357" s="197" t="s">
        <v>4488</v>
      </c>
      <c r="P1357" s="197" t="s">
        <v>6128</v>
      </c>
      <c r="Q1357" s="230"/>
      <c r="R1357" s="231"/>
      <c r="S1357" s="272"/>
      <c r="T1357" s="268"/>
      <c r="U1357" s="803"/>
      <c r="V1357" s="803"/>
      <c r="W1357" s="242">
        <v>5000000</v>
      </c>
      <c r="X1357" s="240"/>
      <c r="Y1357" s="201" t="str">
        <f t="shared" ref="Y1357:Y1377" si="71">IF(AE1357="","",W1357*AE1357)</f>
        <v/>
      </c>
      <c r="Z1357" s="7">
        <f t="shared" si="70"/>
        <v>0</v>
      </c>
      <c r="AA1357" s="192"/>
      <c r="AB1357" s="503" t="s">
        <v>3960</v>
      </c>
      <c r="AC1357" s="222"/>
      <c r="AD1357" s="258"/>
      <c r="AE1357" s="187"/>
      <c r="AF1357" s="205">
        <f t="shared" si="69"/>
        <v>0</v>
      </c>
      <c r="AG1357" s="181">
        <v>8</v>
      </c>
      <c r="AH1357" s="264"/>
      <c r="AI1357" s="718" t="s">
        <v>3698</v>
      </c>
      <c r="AJ1357" s="197" t="s">
        <v>1188</v>
      </c>
      <c r="AK1357" s="197" t="s">
        <v>1177</v>
      </c>
      <c r="AL1357" s="138" t="s">
        <v>1178</v>
      </c>
    </row>
    <row r="1358" spans="1:38" ht="15" customHeight="1" x14ac:dyDescent="0.3">
      <c r="A1358" s="181" t="s">
        <v>22</v>
      </c>
      <c r="B1358" s="167" t="s">
        <v>189</v>
      </c>
      <c r="C1358" s="135">
        <v>6</v>
      </c>
      <c r="D1358" s="136" t="s">
        <v>190</v>
      </c>
      <c r="E1358" s="168">
        <v>42249</v>
      </c>
      <c r="F1358" s="136">
        <v>2015</v>
      </c>
      <c r="G1358" s="178" t="s">
        <v>4489</v>
      </c>
      <c r="H1358" s="178" t="s">
        <v>4490</v>
      </c>
      <c r="I1358" s="33" t="s">
        <v>33</v>
      </c>
      <c r="J1358" s="32" t="s">
        <v>26</v>
      </c>
      <c r="K1358" s="137" t="s">
        <v>3979</v>
      </c>
      <c r="L1358" s="197" t="s">
        <v>85</v>
      </c>
      <c r="M1358" s="137" t="s">
        <v>804</v>
      </c>
      <c r="N1358" s="197"/>
      <c r="O1358" s="805" t="s">
        <v>4491</v>
      </c>
      <c r="P1358" s="197" t="s">
        <v>4492</v>
      </c>
      <c r="Q1358" s="15" t="s">
        <v>282</v>
      </c>
      <c r="R1358" s="231">
        <v>42632</v>
      </c>
      <c r="S1358" s="16" t="s">
        <v>35</v>
      </c>
      <c r="T1358" s="268">
        <v>43067</v>
      </c>
      <c r="U1358" s="803"/>
      <c r="V1358" s="803"/>
      <c r="W1358" s="242">
        <v>150000000</v>
      </c>
      <c r="X1358" s="259">
        <v>46422573</v>
      </c>
      <c r="Y1358" s="201">
        <f t="shared" si="71"/>
        <v>0</v>
      </c>
      <c r="Z1358" s="189">
        <f t="shared" si="70"/>
        <v>46422573</v>
      </c>
      <c r="AA1358" s="229">
        <v>44002</v>
      </c>
      <c r="AB1358" s="604" t="s">
        <v>3744</v>
      </c>
      <c r="AC1358" s="163"/>
      <c r="AD1358" s="196">
        <v>1</v>
      </c>
      <c r="AE1358" s="187">
        <v>0</v>
      </c>
      <c r="AF1358" s="205">
        <f t="shared" si="69"/>
        <v>1</v>
      </c>
      <c r="AG1358" s="197">
        <v>8</v>
      </c>
      <c r="AH1358" s="197"/>
      <c r="AI1358" s="736" t="s">
        <v>4493</v>
      </c>
      <c r="AJ1358" s="197" t="s">
        <v>1188</v>
      </c>
      <c r="AK1358" s="197" t="s">
        <v>1185</v>
      </c>
      <c r="AL1358" s="138" t="s">
        <v>1178</v>
      </c>
    </row>
    <row r="1359" spans="1:38" ht="15" customHeight="1" x14ac:dyDescent="0.3">
      <c r="A1359" s="30" t="s">
        <v>140</v>
      </c>
      <c r="B1359" s="120" t="s">
        <v>144</v>
      </c>
      <c r="C1359" s="107">
        <v>8</v>
      </c>
      <c r="D1359" s="11" t="s">
        <v>143</v>
      </c>
      <c r="E1359" s="114">
        <v>41560</v>
      </c>
      <c r="F1359" s="107">
        <v>2013</v>
      </c>
      <c r="G1359" s="178" t="s">
        <v>4494</v>
      </c>
      <c r="H1359" s="204" t="s">
        <v>4495</v>
      </c>
      <c r="I1359" s="12" t="s">
        <v>38</v>
      </c>
      <c r="J1359" s="30" t="s">
        <v>81</v>
      </c>
      <c r="K1359" s="197" t="s">
        <v>163</v>
      </c>
      <c r="L1359" s="197" t="s">
        <v>28</v>
      </c>
      <c r="M1359" s="197" t="s">
        <v>42</v>
      </c>
      <c r="N1359" s="197"/>
      <c r="O1359" s="197" t="s">
        <v>4496</v>
      </c>
      <c r="P1359" s="197" t="s">
        <v>6129</v>
      </c>
      <c r="Q1359" s="15" t="s">
        <v>282</v>
      </c>
      <c r="R1359" s="132">
        <v>42678</v>
      </c>
      <c r="S1359" s="92"/>
      <c r="T1359" s="133"/>
      <c r="U1359" s="623"/>
      <c r="V1359" s="623"/>
      <c r="W1359" s="269">
        <v>5000000</v>
      </c>
      <c r="X1359" s="240">
        <v>0</v>
      </c>
      <c r="Y1359" s="201">
        <f t="shared" si="71"/>
        <v>0</v>
      </c>
      <c r="Z1359" s="7">
        <f t="shared" si="70"/>
        <v>0</v>
      </c>
      <c r="AA1359" s="108"/>
      <c r="AB1359" s="504" t="s">
        <v>147</v>
      </c>
      <c r="AC1359" s="138"/>
      <c r="AD1359" s="187">
        <v>0</v>
      </c>
      <c r="AE1359" s="187">
        <v>0</v>
      </c>
      <c r="AF1359" s="205">
        <f t="shared" si="69"/>
        <v>0</v>
      </c>
      <c r="AG1359" s="138">
        <v>8</v>
      </c>
      <c r="AH1359" s="138"/>
      <c r="AI1359" s="718" t="s">
        <v>3698</v>
      </c>
      <c r="AJ1359" s="138" t="s">
        <v>1188</v>
      </c>
      <c r="AK1359" s="138" t="s">
        <v>1185</v>
      </c>
      <c r="AL1359" s="93" t="s">
        <v>1178</v>
      </c>
    </row>
    <row r="1360" spans="1:38" ht="15" customHeight="1" x14ac:dyDescent="0.3">
      <c r="A1360" s="30" t="s">
        <v>22</v>
      </c>
      <c r="B1360" s="120" t="s">
        <v>159</v>
      </c>
      <c r="C1360" s="107">
        <v>2</v>
      </c>
      <c r="D1360" s="11" t="s">
        <v>143</v>
      </c>
      <c r="E1360" s="114">
        <v>42213</v>
      </c>
      <c r="F1360" s="107">
        <v>2015</v>
      </c>
      <c r="G1360" s="142" t="s">
        <v>4497</v>
      </c>
      <c r="H1360" s="162" t="s">
        <v>4498</v>
      </c>
      <c r="I1360" s="30" t="s">
        <v>38</v>
      </c>
      <c r="J1360" s="32" t="s">
        <v>26</v>
      </c>
      <c r="K1360" s="197" t="s">
        <v>50</v>
      </c>
      <c r="L1360" s="197" t="s">
        <v>85</v>
      </c>
      <c r="M1360" s="137" t="s">
        <v>804</v>
      </c>
      <c r="N1360" s="197"/>
      <c r="O1360" s="197" t="s">
        <v>4499</v>
      </c>
      <c r="P1360" s="197" t="s">
        <v>4500</v>
      </c>
      <c r="Q1360" s="15" t="s">
        <v>35</v>
      </c>
      <c r="R1360" s="179">
        <v>42440</v>
      </c>
      <c r="S1360" s="16" t="s">
        <v>44</v>
      </c>
      <c r="T1360" s="191">
        <v>43227</v>
      </c>
      <c r="U1360" s="707"/>
      <c r="V1360" s="623"/>
      <c r="W1360" s="249">
        <v>219000000</v>
      </c>
      <c r="X1360" s="240">
        <v>219000000</v>
      </c>
      <c r="Y1360" s="201">
        <f t="shared" si="71"/>
        <v>0</v>
      </c>
      <c r="Z1360" s="254">
        <f t="shared" si="70"/>
        <v>219000000</v>
      </c>
      <c r="AA1360" s="90">
        <v>44073</v>
      </c>
      <c r="AB1360" s="808" t="s">
        <v>147</v>
      </c>
      <c r="AC1360" s="554"/>
      <c r="AD1360" s="187">
        <v>1</v>
      </c>
      <c r="AE1360" s="187">
        <v>0</v>
      </c>
      <c r="AF1360" s="205">
        <f t="shared" si="69"/>
        <v>1</v>
      </c>
      <c r="AG1360" s="88">
        <v>8</v>
      </c>
      <c r="AH1360" s="146"/>
      <c r="AI1360" s="200"/>
      <c r="AJ1360" s="146" t="s">
        <v>1188</v>
      </c>
      <c r="AK1360" s="37" t="s">
        <v>1185</v>
      </c>
      <c r="AL1360" s="146" t="s">
        <v>1178</v>
      </c>
    </row>
    <row r="1361" spans="1:38" ht="15" customHeight="1" x14ac:dyDescent="0.3">
      <c r="A1361" s="30" t="s">
        <v>140</v>
      </c>
      <c r="B1361" s="112" t="s">
        <v>159</v>
      </c>
      <c r="C1361" s="107">
        <v>3</v>
      </c>
      <c r="D1361" s="11" t="s">
        <v>143</v>
      </c>
      <c r="E1361" s="114">
        <v>42593</v>
      </c>
      <c r="F1361" s="142">
        <v>2016</v>
      </c>
      <c r="G1361" s="142" t="s">
        <v>4501</v>
      </c>
      <c r="H1361" s="162"/>
      <c r="I1361" s="12" t="s">
        <v>38</v>
      </c>
      <c r="J1361" s="30" t="s">
        <v>81</v>
      </c>
      <c r="K1361" s="197" t="s">
        <v>163</v>
      </c>
      <c r="L1361" s="197" t="s">
        <v>28</v>
      </c>
      <c r="M1361" s="197" t="s">
        <v>42</v>
      </c>
      <c r="N1361" s="553" t="s">
        <v>122</v>
      </c>
      <c r="O1361" s="138" t="s">
        <v>4502</v>
      </c>
      <c r="P1361" s="197" t="s">
        <v>6130</v>
      </c>
      <c r="Q1361" s="143"/>
      <c r="R1361" s="179"/>
      <c r="S1361" s="144"/>
      <c r="T1361" s="191"/>
      <c r="U1361" s="707"/>
      <c r="V1361" s="623"/>
      <c r="W1361" s="269">
        <v>5000000</v>
      </c>
      <c r="X1361" s="240">
        <v>0</v>
      </c>
      <c r="Y1361" s="201">
        <f t="shared" si="71"/>
        <v>0</v>
      </c>
      <c r="Z1361" s="7">
        <f t="shared" si="70"/>
        <v>0</v>
      </c>
      <c r="AA1361" s="108"/>
      <c r="AB1361" s="504" t="s">
        <v>147</v>
      </c>
      <c r="AC1361" s="138"/>
      <c r="AD1361" s="187">
        <v>0</v>
      </c>
      <c r="AE1361" s="187">
        <v>0</v>
      </c>
      <c r="AF1361" s="205">
        <f t="shared" si="69"/>
        <v>0</v>
      </c>
      <c r="AG1361" s="88">
        <v>8</v>
      </c>
      <c r="AH1361" s="146"/>
      <c r="AI1361" s="719" t="s">
        <v>3698</v>
      </c>
      <c r="AJ1361" s="146" t="s">
        <v>1188</v>
      </c>
      <c r="AK1361" s="37" t="s">
        <v>1177</v>
      </c>
      <c r="AL1361" s="146" t="s">
        <v>1178</v>
      </c>
    </row>
    <row r="1362" spans="1:38" ht="15" customHeight="1" x14ac:dyDescent="0.3">
      <c r="A1362" s="30" t="s">
        <v>22</v>
      </c>
      <c r="B1362" s="112" t="s">
        <v>159</v>
      </c>
      <c r="C1362" s="107">
        <v>5</v>
      </c>
      <c r="D1362" s="11" t="s">
        <v>143</v>
      </c>
      <c r="E1362" s="114">
        <v>42548</v>
      </c>
      <c r="F1362" s="142">
        <v>2016</v>
      </c>
      <c r="G1362" s="142" t="s">
        <v>4504</v>
      </c>
      <c r="H1362" s="162" t="s">
        <v>4505</v>
      </c>
      <c r="I1362" s="12" t="s">
        <v>38</v>
      </c>
      <c r="J1362" s="32" t="s">
        <v>26</v>
      </c>
      <c r="K1362" s="197" t="s">
        <v>50</v>
      </c>
      <c r="L1362" s="197" t="s">
        <v>28</v>
      </c>
      <c r="M1362" s="197" t="s">
        <v>42</v>
      </c>
      <c r="N1362" s="197"/>
      <c r="O1362" s="138" t="s">
        <v>4506</v>
      </c>
      <c r="P1362" s="197" t="s">
        <v>4507</v>
      </c>
      <c r="Q1362" s="15" t="s">
        <v>282</v>
      </c>
      <c r="R1362" s="179">
        <v>42662</v>
      </c>
      <c r="S1362" s="16" t="s">
        <v>44</v>
      </c>
      <c r="T1362" s="191">
        <v>43426</v>
      </c>
      <c r="U1362" s="707"/>
      <c r="V1362" s="707"/>
      <c r="W1362" s="260">
        <v>40000000</v>
      </c>
      <c r="X1362" s="240">
        <v>0</v>
      </c>
      <c r="Y1362" s="201">
        <f t="shared" si="71"/>
        <v>0</v>
      </c>
      <c r="Z1362" s="7">
        <f t="shared" si="70"/>
        <v>0</v>
      </c>
      <c r="AA1362" s="90"/>
      <c r="AB1362" s="504" t="s">
        <v>147</v>
      </c>
      <c r="AC1362" s="138"/>
      <c r="AD1362" s="187">
        <v>0</v>
      </c>
      <c r="AE1362" s="187">
        <v>0</v>
      </c>
      <c r="AF1362" s="205">
        <f t="shared" si="69"/>
        <v>0</v>
      </c>
      <c r="AG1362" s="88">
        <v>8</v>
      </c>
      <c r="AH1362" s="146"/>
      <c r="AI1362" s="200"/>
      <c r="AJ1362" s="146" t="s">
        <v>1188</v>
      </c>
      <c r="AK1362" s="37" t="s">
        <v>1185</v>
      </c>
      <c r="AL1362" s="146" t="s">
        <v>1178</v>
      </c>
    </row>
    <row r="1363" spans="1:38" ht="15" customHeight="1" x14ac:dyDescent="0.3">
      <c r="A1363" s="30" t="s">
        <v>22</v>
      </c>
      <c r="B1363" s="120" t="s">
        <v>144</v>
      </c>
      <c r="C1363" s="107">
        <v>8</v>
      </c>
      <c r="D1363" s="11" t="s">
        <v>143</v>
      </c>
      <c r="E1363" s="114">
        <v>42207</v>
      </c>
      <c r="F1363" s="107">
        <v>2014</v>
      </c>
      <c r="G1363" s="142" t="s">
        <v>4508</v>
      </c>
      <c r="H1363" s="162" t="s">
        <v>4509</v>
      </c>
      <c r="I1363" s="33" t="s">
        <v>33</v>
      </c>
      <c r="J1363" s="32" t="s">
        <v>26</v>
      </c>
      <c r="K1363" s="137" t="s">
        <v>3979</v>
      </c>
      <c r="L1363" s="137" t="s">
        <v>40</v>
      </c>
      <c r="M1363" s="137" t="s">
        <v>804</v>
      </c>
      <c r="N1363" s="197"/>
      <c r="O1363" s="812" t="s">
        <v>4510</v>
      </c>
      <c r="P1363" s="138" t="s">
        <v>4511</v>
      </c>
      <c r="Q1363" s="15" t="s">
        <v>282</v>
      </c>
      <c r="R1363" s="179">
        <v>42587</v>
      </c>
      <c r="S1363" s="16" t="s">
        <v>44</v>
      </c>
      <c r="T1363" s="191">
        <v>43417</v>
      </c>
      <c r="U1363" s="707"/>
      <c r="V1363" s="623"/>
      <c r="W1363" s="249">
        <v>150000000</v>
      </c>
      <c r="X1363" s="240">
        <v>150000000</v>
      </c>
      <c r="Y1363" s="201">
        <f t="shared" si="71"/>
        <v>0</v>
      </c>
      <c r="Z1363" s="254">
        <f t="shared" si="70"/>
        <v>150000000</v>
      </c>
      <c r="AA1363" s="90">
        <v>44073</v>
      </c>
      <c r="AB1363" s="503" t="s">
        <v>6055</v>
      </c>
      <c r="AC1363" s="222"/>
      <c r="AD1363" s="187">
        <v>1</v>
      </c>
      <c r="AE1363" s="187">
        <v>0</v>
      </c>
      <c r="AF1363" s="205">
        <f t="shared" si="69"/>
        <v>1</v>
      </c>
      <c r="AG1363" s="88">
        <v>8</v>
      </c>
      <c r="AH1363" s="146" t="s">
        <v>4503</v>
      </c>
      <c r="AI1363" s="200"/>
      <c r="AJ1363" s="146" t="s">
        <v>1188</v>
      </c>
      <c r="AK1363" s="37" t="s">
        <v>1185</v>
      </c>
      <c r="AL1363" s="146" t="s">
        <v>1178</v>
      </c>
    </row>
    <row r="1364" spans="1:38" ht="15" customHeight="1" x14ac:dyDescent="0.3">
      <c r="A1364" s="181" t="s">
        <v>22</v>
      </c>
      <c r="B1364" s="112" t="s">
        <v>142</v>
      </c>
      <c r="C1364" s="107">
        <v>3</v>
      </c>
      <c r="D1364" s="11" t="s">
        <v>143</v>
      </c>
      <c r="E1364" s="114">
        <v>42812</v>
      </c>
      <c r="F1364" s="142">
        <v>2017</v>
      </c>
      <c r="G1364" s="142" t="s">
        <v>4513</v>
      </c>
      <c r="H1364" s="204" t="s">
        <v>4514</v>
      </c>
      <c r="I1364" s="12" t="s">
        <v>38</v>
      </c>
      <c r="J1364" s="32" t="s">
        <v>26</v>
      </c>
      <c r="K1364" s="197" t="s">
        <v>111</v>
      </c>
      <c r="L1364" s="137" t="s">
        <v>171</v>
      </c>
      <c r="M1364" s="197" t="s">
        <v>42</v>
      </c>
      <c r="N1364" s="197"/>
      <c r="O1364" s="138" t="s">
        <v>4515</v>
      </c>
      <c r="P1364" s="138" t="s">
        <v>4516</v>
      </c>
      <c r="Q1364" s="15" t="s">
        <v>282</v>
      </c>
      <c r="R1364" s="179">
        <v>43031</v>
      </c>
      <c r="S1364" s="16" t="s">
        <v>44</v>
      </c>
      <c r="T1364" s="133">
        <v>43302</v>
      </c>
      <c r="U1364" s="623"/>
      <c r="V1364" s="623"/>
      <c r="W1364" s="276">
        <v>70000000</v>
      </c>
      <c r="X1364" s="240">
        <v>0</v>
      </c>
      <c r="Y1364" s="201">
        <f t="shared" si="71"/>
        <v>0</v>
      </c>
      <c r="Z1364" s="7">
        <f t="shared" si="70"/>
        <v>0</v>
      </c>
      <c r="AA1364" s="90"/>
      <c r="AB1364" s="467" t="s">
        <v>147</v>
      </c>
      <c r="AC1364" s="197"/>
      <c r="AD1364" s="187">
        <v>0</v>
      </c>
      <c r="AE1364" s="187">
        <v>0</v>
      </c>
      <c r="AF1364" s="205">
        <f t="shared" si="69"/>
        <v>0</v>
      </c>
      <c r="AG1364" s="88">
        <v>8</v>
      </c>
      <c r="AH1364" s="146"/>
      <c r="AI1364" s="200"/>
      <c r="AJ1364" s="146" t="s">
        <v>1188</v>
      </c>
      <c r="AK1364" s="37" t="s">
        <v>1185</v>
      </c>
      <c r="AL1364" s="146" t="s">
        <v>1178</v>
      </c>
    </row>
    <row r="1365" spans="1:38" ht="15" customHeight="1" x14ac:dyDescent="0.3">
      <c r="A1365" s="30" t="s">
        <v>22</v>
      </c>
      <c r="B1365" s="30" t="s">
        <v>23</v>
      </c>
      <c r="C1365" s="146">
        <v>13</v>
      </c>
      <c r="D1365" s="11" t="s">
        <v>24</v>
      </c>
      <c r="E1365" s="108">
        <v>42541</v>
      </c>
      <c r="F1365" s="37">
        <v>2016</v>
      </c>
      <c r="G1365" s="30" t="s">
        <v>4517</v>
      </c>
      <c r="H1365" s="162" t="s">
        <v>4518</v>
      </c>
      <c r="I1365" s="12" t="s">
        <v>80</v>
      </c>
      <c r="J1365" s="32" t="s">
        <v>26</v>
      </c>
      <c r="K1365" s="137" t="s">
        <v>4014</v>
      </c>
      <c r="L1365" s="137" t="s">
        <v>28</v>
      </c>
      <c r="M1365" s="660" t="s">
        <v>42</v>
      </c>
      <c r="N1365" s="709"/>
      <c r="O1365" s="146" t="s">
        <v>4519</v>
      </c>
      <c r="P1365" s="138" t="s">
        <v>6131</v>
      </c>
      <c r="Q1365" s="91"/>
      <c r="R1365" s="132"/>
      <c r="S1365" s="92"/>
      <c r="T1365" s="139"/>
      <c r="U1365" s="624"/>
      <c r="V1365" s="624"/>
      <c r="W1365" s="239">
        <v>173400000</v>
      </c>
      <c r="X1365" s="240">
        <v>0</v>
      </c>
      <c r="Y1365" s="201">
        <f t="shared" si="71"/>
        <v>0</v>
      </c>
      <c r="Z1365" s="7">
        <f t="shared" si="70"/>
        <v>0</v>
      </c>
      <c r="AA1365" s="108"/>
      <c r="AB1365" s="762" t="s">
        <v>3077</v>
      </c>
      <c r="AC1365" s="652"/>
      <c r="AD1365" s="187">
        <v>0</v>
      </c>
      <c r="AE1365" s="187">
        <v>0</v>
      </c>
      <c r="AF1365" s="205">
        <f t="shared" si="69"/>
        <v>0</v>
      </c>
      <c r="AG1365" s="30">
        <v>8</v>
      </c>
      <c r="AH1365" s="30" t="s">
        <v>4512</v>
      </c>
      <c r="AI1365" s="719" t="s">
        <v>4521</v>
      </c>
      <c r="AJ1365" s="30" t="s">
        <v>1188</v>
      </c>
      <c r="AK1365" s="30" t="s">
        <v>1177</v>
      </c>
      <c r="AL1365" s="93" t="s">
        <v>1178</v>
      </c>
    </row>
    <row r="1366" spans="1:38" ht="15" customHeight="1" x14ac:dyDescent="0.3">
      <c r="A1366" s="30" t="s">
        <v>22</v>
      </c>
      <c r="B1366" s="30" t="s">
        <v>23</v>
      </c>
      <c r="C1366" s="146">
        <v>5</v>
      </c>
      <c r="D1366" s="11" t="s">
        <v>24</v>
      </c>
      <c r="E1366" s="108">
        <v>42524</v>
      </c>
      <c r="F1366" s="37">
        <v>2016</v>
      </c>
      <c r="G1366" s="30" t="s">
        <v>4522</v>
      </c>
      <c r="H1366" s="162" t="s">
        <v>4523</v>
      </c>
      <c r="I1366" s="12" t="s">
        <v>38</v>
      </c>
      <c r="J1366" s="32" t="s">
        <v>26</v>
      </c>
      <c r="K1366" s="137" t="s">
        <v>50</v>
      </c>
      <c r="L1366" s="137" t="s">
        <v>28</v>
      </c>
      <c r="M1366" s="660" t="s">
        <v>42</v>
      </c>
      <c r="N1366" s="709"/>
      <c r="O1366" s="146" t="s">
        <v>4524</v>
      </c>
      <c r="P1366" s="138" t="s">
        <v>4525</v>
      </c>
      <c r="Q1366" s="15" t="s">
        <v>282</v>
      </c>
      <c r="R1366" s="132">
        <v>43140</v>
      </c>
      <c r="S1366" s="16" t="s">
        <v>44</v>
      </c>
      <c r="T1366" s="165">
        <v>43427</v>
      </c>
      <c r="U1366" s="624"/>
      <c r="V1366" s="624"/>
      <c r="W1366" s="239">
        <v>34200000</v>
      </c>
      <c r="X1366" s="240">
        <v>0</v>
      </c>
      <c r="Y1366" s="201">
        <f t="shared" si="71"/>
        <v>0</v>
      </c>
      <c r="Z1366" s="7">
        <f t="shared" si="70"/>
        <v>0</v>
      </c>
      <c r="AA1366" s="108"/>
      <c r="AB1366" s="479" t="s">
        <v>49</v>
      </c>
      <c r="AC1366" s="480"/>
      <c r="AD1366" s="187">
        <v>0</v>
      </c>
      <c r="AE1366" s="187">
        <v>0</v>
      </c>
      <c r="AF1366" s="205">
        <f t="shared" si="69"/>
        <v>0</v>
      </c>
      <c r="AG1366" s="30">
        <v>8</v>
      </c>
      <c r="AH1366" s="30" t="s">
        <v>58</v>
      </c>
      <c r="AI1366" s="138"/>
      <c r="AJ1366" s="30" t="s">
        <v>1188</v>
      </c>
      <c r="AK1366" s="30" t="s">
        <v>1185</v>
      </c>
      <c r="AL1366" s="93" t="s">
        <v>1178</v>
      </c>
    </row>
    <row r="1367" spans="1:38" ht="15" customHeight="1" x14ac:dyDescent="0.3">
      <c r="A1367" s="181" t="s">
        <v>22</v>
      </c>
      <c r="B1367" s="167" t="s">
        <v>193</v>
      </c>
      <c r="C1367" s="135">
        <v>3</v>
      </c>
      <c r="D1367" s="136" t="s">
        <v>190</v>
      </c>
      <c r="E1367" s="168">
        <v>42416</v>
      </c>
      <c r="F1367" s="136">
        <v>2016</v>
      </c>
      <c r="G1367" s="178" t="s">
        <v>4526</v>
      </c>
      <c r="H1367" s="178" t="s">
        <v>4527</v>
      </c>
      <c r="I1367" s="136" t="s">
        <v>38</v>
      </c>
      <c r="J1367" s="32" t="s">
        <v>26</v>
      </c>
      <c r="K1367" s="137" t="s">
        <v>4014</v>
      </c>
      <c r="L1367" s="197" t="s">
        <v>28</v>
      </c>
      <c r="M1367" s="197" t="s">
        <v>42</v>
      </c>
      <c r="N1367" s="197"/>
      <c r="O1367" s="783" t="s">
        <v>4528</v>
      </c>
      <c r="P1367" s="783" t="s">
        <v>4529</v>
      </c>
      <c r="Q1367" s="15" t="s">
        <v>282</v>
      </c>
      <c r="R1367" s="231">
        <v>42783</v>
      </c>
      <c r="S1367" s="16" t="s">
        <v>44</v>
      </c>
      <c r="T1367" s="268">
        <v>43404</v>
      </c>
      <c r="U1367" s="803"/>
      <c r="V1367" s="803"/>
      <c r="W1367" s="242">
        <v>39000000</v>
      </c>
      <c r="X1367" s="240">
        <v>0</v>
      </c>
      <c r="Y1367" s="201">
        <f t="shared" si="71"/>
        <v>0</v>
      </c>
      <c r="Z1367" s="185">
        <f t="shared" si="70"/>
        <v>0</v>
      </c>
      <c r="AA1367" s="229"/>
      <c r="AB1367" s="467" t="s">
        <v>3982</v>
      </c>
      <c r="AC1367" s="197"/>
      <c r="AD1367" s="196">
        <v>0</v>
      </c>
      <c r="AE1367" s="187">
        <v>0</v>
      </c>
      <c r="AF1367" s="205">
        <f t="shared" si="69"/>
        <v>0</v>
      </c>
      <c r="AG1367" s="197">
        <v>8</v>
      </c>
      <c r="AH1367" s="197" t="s">
        <v>4520</v>
      </c>
      <c r="AI1367" s="197"/>
      <c r="AJ1367" s="197" t="s">
        <v>1188</v>
      </c>
      <c r="AK1367" s="197" t="s">
        <v>1185</v>
      </c>
      <c r="AL1367" s="138" t="s">
        <v>1178</v>
      </c>
    </row>
    <row r="1368" spans="1:38" ht="15" customHeight="1" x14ac:dyDescent="0.3">
      <c r="A1368" s="181" t="s">
        <v>22</v>
      </c>
      <c r="B1368" s="265" t="s">
        <v>189</v>
      </c>
      <c r="C1368" s="245">
        <v>5</v>
      </c>
      <c r="D1368" s="246" t="s">
        <v>190</v>
      </c>
      <c r="E1368" s="247">
        <v>42720</v>
      </c>
      <c r="F1368" s="246">
        <v>2016</v>
      </c>
      <c r="G1368" s="792" t="s">
        <v>4530</v>
      </c>
      <c r="H1368" s="792" t="s">
        <v>4531</v>
      </c>
      <c r="I1368" s="33" t="s">
        <v>33</v>
      </c>
      <c r="J1368" s="32" t="s">
        <v>191</v>
      </c>
      <c r="K1368" s="264" t="s">
        <v>4532</v>
      </c>
      <c r="L1368" s="264" t="s">
        <v>28</v>
      </c>
      <c r="M1368" s="264" t="s">
        <v>42</v>
      </c>
      <c r="N1368" s="264"/>
      <c r="O1368" s="805" t="s">
        <v>4533</v>
      </c>
      <c r="P1368" s="794" t="s">
        <v>4534</v>
      </c>
      <c r="Q1368" s="15" t="s">
        <v>282</v>
      </c>
      <c r="R1368" s="231">
        <v>42950</v>
      </c>
      <c r="S1368" s="16" t="s">
        <v>44</v>
      </c>
      <c r="T1368" s="268">
        <v>43390</v>
      </c>
      <c r="U1368" s="803"/>
      <c r="V1368" s="803"/>
      <c r="W1368" s="242">
        <v>80000000</v>
      </c>
      <c r="X1368" s="240">
        <v>0</v>
      </c>
      <c r="Y1368" s="201">
        <f t="shared" si="71"/>
        <v>0</v>
      </c>
      <c r="Z1368" s="7">
        <f t="shared" si="70"/>
        <v>0</v>
      </c>
      <c r="AA1368" s="192"/>
      <c r="AB1368" s="604" t="s">
        <v>3744</v>
      </c>
      <c r="AC1368" s="163"/>
      <c r="AD1368" s="258">
        <v>0</v>
      </c>
      <c r="AE1368" s="187">
        <v>0</v>
      </c>
      <c r="AF1368" s="205">
        <f t="shared" si="69"/>
        <v>0</v>
      </c>
      <c r="AG1368" s="181">
        <v>8</v>
      </c>
      <c r="AH1368" s="264" t="s">
        <v>6158</v>
      </c>
      <c r="AI1368" s="181"/>
      <c r="AJ1368" s="197" t="s">
        <v>1188</v>
      </c>
      <c r="AK1368" s="197" t="s">
        <v>1185</v>
      </c>
      <c r="AL1368" s="138" t="s">
        <v>1178</v>
      </c>
    </row>
    <row r="1369" spans="1:38" ht="15" customHeight="1" x14ac:dyDescent="0.3">
      <c r="A1369" s="181" t="s">
        <v>22</v>
      </c>
      <c r="B1369" s="145" t="s">
        <v>227</v>
      </c>
      <c r="C1369" s="135">
        <v>13</v>
      </c>
      <c r="D1369" s="11" t="s">
        <v>225</v>
      </c>
      <c r="E1369" s="168">
        <v>40696</v>
      </c>
      <c r="F1369" s="136">
        <v>2011</v>
      </c>
      <c r="G1369" s="178" t="s">
        <v>4536</v>
      </c>
      <c r="H1369" s="204" t="s">
        <v>4537</v>
      </c>
      <c r="I1369" s="33" t="s">
        <v>33</v>
      </c>
      <c r="J1369" s="32" t="s">
        <v>26</v>
      </c>
      <c r="K1369" s="197" t="s">
        <v>1194</v>
      </c>
      <c r="L1369" s="765" t="s">
        <v>4538</v>
      </c>
      <c r="M1369" s="197" t="s">
        <v>42</v>
      </c>
      <c r="N1369" s="197"/>
      <c r="O1369" s="138" t="s">
        <v>4539</v>
      </c>
      <c r="P1369" s="718" t="s">
        <v>4540</v>
      </c>
      <c r="Q1369" s="15" t="s">
        <v>282</v>
      </c>
      <c r="R1369" s="132">
        <v>41058</v>
      </c>
      <c r="S1369" s="16" t="s">
        <v>44</v>
      </c>
      <c r="T1369" s="133">
        <v>41194</v>
      </c>
      <c r="U1369" s="623" t="s">
        <v>44</v>
      </c>
      <c r="V1369" s="721">
        <v>43502</v>
      </c>
      <c r="W1369" s="249">
        <v>90000000</v>
      </c>
      <c r="X1369" s="240">
        <v>0</v>
      </c>
      <c r="Y1369" s="201">
        <f t="shared" si="71"/>
        <v>0</v>
      </c>
      <c r="Z1369" s="7">
        <f t="shared" si="70"/>
        <v>0</v>
      </c>
      <c r="AA1369" s="108"/>
      <c r="AB1369" s="504" t="s">
        <v>6115</v>
      </c>
      <c r="AC1369" s="138"/>
      <c r="AD1369" s="187">
        <v>0</v>
      </c>
      <c r="AE1369" s="187">
        <v>0</v>
      </c>
      <c r="AF1369" s="205">
        <f t="shared" si="69"/>
        <v>0</v>
      </c>
      <c r="AG1369" s="163">
        <v>8</v>
      </c>
      <c r="AH1369" s="138"/>
      <c r="AI1369" s="718" t="s">
        <v>4541</v>
      </c>
      <c r="AJ1369" s="138" t="s">
        <v>1188</v>
      </c>
      <c r="AK1369" s="30" t="s">
        <v>99</v>
      </c>
      <c r="AL1369" s="93" t="s">
        <v>1178</v>
      </c>
    </row>
    <row r="1370" spans="1:38" ht="15" customHeight="1" x14ac:dyDescent="0.3">
      <c r="A1370" s="181" t="s">
        <v>22</v>
      </c>
      <c r="B1370" s="145" t="s">
        <v>199</v>
      </c>
      <c r="C1370" s="135">
        <v>2</v>
      </c>
      <c r="D1370" s="136" t="s">
        <v>190</v>
      </c>
      <c r="E1370" s="168">
        <v>40418</v>
      </c>
      <c r="F1370" s="136">
        <v>2010</v>
      </c>
      <c r="G1370" s="178" t="s">
        <v>4542</v>
      </c>
      <c r="H1370" s="204" t="s">
        <v>4543</v>
      </c>
      <c r="I1370" s="136" t="s">
        <v>38</v>
      </c>
      <c r="J1370" s="32" t="s">
        <v>26</v>
      </c>
      <c r="K1370" s="197" t="s">
        <v>1194</v>
      </c>
      <c r="L1370" s="138" t="s">
        <v>161</v>
      </c>
      <c r="M1370" s="197" t="s">
        <v>42</v>
      </c>
      <c r="N1370" s="197"/>
      <c r="O1370" s="138" t="s">
        <v>4544</v>
      </c>
      <c r="P1370" s="138" t="s">
        <v>4545</v>
      </c>
      <c r="Q1370" s="15" t="s">
        <v>282</v>
      </c>
      <c r="R1370" s="132">
        <v>41316</v>
      </c>
      <c r="S1370" s="16" t="s">
        <v>44</v>
      </c>
      <c r="T1370" s="133">
        <v>43420</v>
      </c>
      <c r="U1370" s="623"/>
      <c r="V1370" s="624"/>
      <c r="W1370" s="239">
        <v>69500000</v>
      </c>
      <c r="X1370" s="253">
        <v>0</v>
      </c>
      <c r="Y1370" s="201">
        <f t="shared" si="71"/>
        <v>0</v>
      </c>
      <c r="Z1370" s="185">
        <f t="shared" si="70"/>
        <v>0</v>
      </c>
      <c r="AA1370" s="90"/>
      <c r="AB1370" s="706" t="s">
        <v>6132</v>
      </c>
      <c r="AC1370" s="200"/>
      <c r="AD1370" s="187">
        <v>0</v>
      </c>
      <c r="AE1370" s="187">
        <v>0</v>
      </c>
      <c r="AF1370" s="205">
        <f t="shared" si="69"/>
        <v>0</v>
      </c>
      <c r="AG1370" s="200">
        <v>8</v>
      </c>
      <c r="AH1370" s="138" t="s">
        <v>4535</v>
      </c>
      <c r="AI1370" s="200"/>
      <c r="AJ1370" s="138" t="s">
        <v>1188</v>
      </c>
      <c r="AK1370" s="138" t="s">
        <v>1185</v>
      </c>
      <c r="AL1370" s="200" t="s">
        <v>1178</v>
      </c>
    </row>
    <row r="1371" spans="1:38" ht="15" customHeight="1" x14ac:dyDescent="0.3">
      <c r="A1371" s="181" t="s">
        <v>140</v>
      </c>
      <c r="B1371" s="265" t="s">
        <v>211</v>
      </c>
      <c r="C1371" s="245">
        <v>3</v>
      </c>
      <c r="D1371" s="246" t="s">
        <v>190</v>
      </c>
      <c r="E1371" s="247">
        <v>43318</v>
      </c>
      <c r="F1371" s="246">
        <v>2018</v>
      </c>
      <c r="G1371" s="792" t="s">
        <v>4546</v>
      </c>
      <c r="H1371" s="792" t="s">
        <v>4547</v>
      </c>
      <c r="I1371" s="246" t="s">
        <v>38</v>
      </c>
      <c r="J1371" s="248" t="s">
        <v>81</v>
      </c>
      <c r="K1371" s="264" t="s">
        <v>4305</v>
      </c>
      <c r="L1371" s="264" t="s">
        <v>28</v>
      </c>
      <c r="M1371" s="264" t="s">
        <v>42</v>
      </c>
      <c r="N1371" s="264" t="s">
        <v>43</v>
      </c>
      <c r="O1371" s="805" t="s">
        <v>4548</v>
      </c>
      <c r="P1371" s="794" t="s">
        <v>4549</v>
      </c>
      <c r="Q1371" s="15" t="s">
        <v>282</v>
      </c>
      <c r="R1371" s="231">
        <v>43507</v>
      </c>
      <c r="S1371" s="16" t="s">
        <v>35</v>
      </c>
      <c r="T1371" s="268">
        <v>43528</v>
      </c>
      <c r="U1371" s="803"/>
      <c r="V1371" s="803"/>
      <c r="W1371" s="242">
        <v>5000000</v>
      </c>
      <c r="X1371" s="240">
        <v>0</v>
      </c>
      <c r="Y1371" s="201">
        <f t="shared" si="71"/>
        <v>0</v>
      </c>
      <c r="Z1371" s="7">
        <f t="shared" si="70"/>
        <v>0</v>
      </c>
      <c r="AA1371" s="192"/>
      <c r="AB1371" s="503" t="s">
        <v>3960</v>
      </c>
      <c r="AC1371" s="222"/>
      <c r="AD1371" s="258">
        <v>0</v>
      </c>
      <c r="AE1371" s="187">
        <v>0</v>
      </c>
      <c r="AF1371" s="205">
        <f t="shared" si="69"/>
        <v>0</v>
      </c>
      <c r="AG1371" s="181">
        <v>8</v>
      </c>
      <c r="AH1371" s="264"/>
      <c r="AI1371" s="718" t="s">
        <v>3698</v>
      </c>
      <c r="AJ1371" s="197" t="s">
        <v>1188</v>
      </c>
      <c r="AK1371" s="197" t="s">
        <v>1185</v>
      </c>
      <c r="AL1371" s="138" t="s">
        <v>1178</v>
      </c>
    </row>
    <row r="1372" spans="1:38" ht="15" customHeight="1" x14ac:dyDescent="0.3">
      <c r="A1372" s="181" t="s">
        <v>22</v>
      </c>
      <c r="B1372" s="181" t="s">
        <v>23</v>
      </c>
      <c r="C1372" s="184">
        <v>11</v>
      </c>
      <c r="D1372" s="11" t="s">
        <v>24</v>
      </c>
      <c r="E1372" s="192">
        <v>42535</v>
      </c>
      <c r="F1372" s="181">
        <v>2016</v>
      </c>
      <c r="G1372" s="181" t="s">
        <v>4550</v>
      </c>
      <c r="H1372" s="217" t="s">
        <v>4551</v>
      </c>
      <c r="I1372" s="12" t="s">
        <v>38</v>
      </c>
      <c r="J1372" s="32" t="s">
        <v>26</v>
      </c>
      <c r="K1372" s="197" t="s">
        <v>4014</v>
      </c>
      <c r="L1372" s="138" t="s">
        <v>56</v>
      </c>
      <c r="M1372" s="279" t="s">
        <v>42</v>
      </c>
      <c r="N1372" s="799"/>
      <c r="O1372" s="146" t="s">
        <v>4552</v>
      </c>
      <c r="P1372" s="800" t="s">
        <v>4553</v>
      </c>
      <c r="Q1372" s="15" t="s">
        <v>282</v>
      </c>
      <c r="R1372" s="132">
        <v>43031</v>
      </c>
      <c r="S1372" s="16" t="s">
        <v>44</v>
      </c>
      <c r="T1372" s="165">
        <v>43243</v>
      </c>
      <c r="U1372" s="624"/>
      <c r="V1372" s="624"/>
      <c r="W1372" s="239">
        <v>14000000</v>
      </c>
      <c r="X1372" s="240">
        <v>0</v>
      </c>
      <c r="Y1372" s="201">
        <f t="shared" si="71"/>
        <v>0</v>
      </c>
      <c r="Z1372" s="7">
        <f t="shared" si="70"/>
        <v>0</v>
      </c>
      <c r="AA1372" s="192"/>
      <c r="AB1372" s="479" t="s">
        <v>49</v>
      </c>
      <c r="AC1372" s="480"/>
      <c r="AD1372" s="258">
        <v>0</v>
      </c>
      <c r="AE1372" s="187">
        <v>0</v>
      </c>
      <c r="AF1372" s="205">
        <f t="shared" si="69"/>
        <v>0</v>
      </c>
      <c r="AG1372" s="181">
        <v>8</v>
      </c>
      <c r="AH1372" s="181" t="s">
        <v>58</v>
      </c>
      <c r="AI1372" s="184"/>
      <c r="AJ1372" s="181" t="s">
        <v>1188</v>
      </c>
      <c r="AK1372" s="30" t="s">
        <v>1185</v>
      </c>
      <c r="AL1372" s="93" t="s">
        <v>1178</v>
      </c>
    </row>
    <row r="1373" spans="1:38" ht="15" customHeight="1" x14ac:dyDescent="0.3">
      <c r="A1373" s="181" t="s">
        <v>140</v>
      </c>
      <c r="B1373" s="153" t="s">
        <v>145</v>
      </c>
      <c r="C1373" s="107">
        <v>3</v>
      </c>
      <c r="D1373" s="11" t="s">
        <v>143</v>
      </c>
      <c r="E1373" s="108">
        <v>43007</v>
      </c>
      <c r="F1373" s="12">
        <v>2017</v>
      </c>
      <c r="G1373" s="178" t="s">
        <v>4554</v>
      </c>
      <c r="H1373" s="162" t="s">
        <v>4555</v>
      </c>
      <c r="I1373" s="12" t="s">
        <v>38</v>
      </c>
      <c r="J1373" s="32" t="s">
        <v>26</v>
      </c>
      <c r="K1373" s="197" t="s">
        <v>141</v>
      </c>
      <c r="L1373" s="137" t="s">
        <v>171</v>
      </c>
      <c r="M1373" s="137" t="s">
        <v>42</v>
      </c>
      <c r="N1373" s="553" t="s">
        <v>122</v>
      </c>
      <c r="O1373" s="197" t="s">
        <v>4556</v>
      </c>
      <c r="P1373" s="197" t="s">
        <v>4557</v>
      </c>
      <c r="Q1373" s="15" t="s">
        <v>35</v>
      </c>
      <c r="R1373" s="179">
        <v>43133</v>
      </c>
      <c r="S1373" s="16" t="s">
        <v>35</v>
      </c>
      <c r="T1373" s="191">
        <v>43143</v>
      </c>
      <c r="U1373" s="707"/>
      <c r="V1373" s="721"/>
      <c r="W1373" s="269">
        <v>25000000</v>
      </c>
      <c r="X1373" s="7">
        <v>0</v>
      </c>
      <c r="Y1373" s="201">
        <f t="shared" si="71"/>
        <v>0</v>
      </c>
      <c r="Z1373" s="7">
        <f t="shared" si="70"/>
        <v>0</v>
      </c>
      <c r="AA1373" s="192"/>
      <c r="AB1373" s="503" t="s">
        <v>98</v>
      </c>
      <c r="AC1373" s="222"/>
      <c r="AD1373" s="187">
        <v>0</v>
      </c>
      <c r="AE1373" s="187">
        <v>0</v>
      </c>
      <c r="AF1373" s="205">
        <f t="shared" si="69"/>
        <v>0</v>
      </c>
      <c r="AG1373" s="88">
        <v>8</v>
      </c>
      <c r="AH1373" s="93"/>
      <c r="AI1373" s="719" t="s">
        <v>4558</v>
      </c>
      <c r="AJ1373" s="146" t="s">
        <v>1188</v>
      </c>
      <c r="AK1373" s="30" t="s">
        <v>1185</v>
      </c>
      <c r="AL1373" s="146" t="s">
        <v>1178</v>
      </c>
    </row>
    <row r="1374" spans="1:38" ht="15" customHeight="1" x14ac:dyDescent="0.3">
      <c r="A1374" s="181" t="s">
        <v>22</v>
      </c>
      <c r="B1374" s="265" t="s">
        <v>105</v>
      </c>
      <c r="C1374" s="245">
        <v>6</v>
      </c>
      <c r="D1374" s="11" t="s">
        <v>5936</v>
      </c>
      <c r="E1374" s="247">
        <v>42747</v>
      </c>
      <c r="F1374" s="246">
        <v>2017</v>
      </c>
      <c r="G1374" s="792" t="s">
        <v>4559</v>
      </c>
      <c r="H1374" s="792" t="s">
        <v>4560</v>
      </c>
      <c r="I1374" s="246" t="s">
        <v>38</v>
      </c>
      <c r="J1374" s="32" t="s">
        <v>26</v>
      </c>
      <c r="K1374" s="264" t="s">
        <v>4561</v>
      </c>
      <c r="L1374" s="264" t="s">
        <v>28</v>
      </c>
      <c r="M1374" s="264" t="s">
        <v>42</v>
      </c>
      <c r="N1374" s="264"/>
      <c r="O1374" s="805" t="s">
        <v>4562</v>
      </c>
      <c r="P1374" s="794" t="s">
        <v>4563</v>
      </c>
      <c r="Q1374" s="15" t="s">
        <v>282</v>
      </c>
      <c r="R1374" s="218">
        <v>43412</v>
      </c>
      <c r="S1374" s="16" t="s">
        <v>44</v>
      </c>
      <c r="T1374" s="133">
        <v>43502</v>
      </c>
      <c r="U1374" s="802"/>
      <c r="V1374" s="624"/>
      <c r="W1374" s="242">
        <v>13000000</v>
      </c>
      <c r="X1374" s="243">
        <v>0</v>
      </c>
      <c r="Y1374" s="201">
        <f t="shared" si="71"/>
        <v>0</v>
      </c>
      <c r="Z1374" s="189">
        <f t="shared" si="70"/>
        <v>0</v>
      </c>
      <c r="AA1374" s="267"/>
      <c r="AB1374" s="564" t="s">
        <v>1073</v>
      </c>
      <c r="AC1374" s="693"/>
      <c r="AD1374" s="187">
        <v>0</v>
      </c>
      <c r="AE1374" s="187">
        <v>0</v>
      </c>
      <c r="AF1374" s="205">
        <f t="shared" si="69"/>
        <v>0</v>
      </c>
      <c r="AG1374" s="181">
        <v>8</v>
      </c>
      <c r="AH1374" s="264"/>
      <c r="AI1374" s="138"/>
      <c r="AJ1374" s="138" t="s">
        <v>1188</v>
      </c>
      <c r="AK1374" s="181" t="s">
        <v>1185</v>
      </c>
      <c r="AL1374" s="138" t="s">
        <v>1178</v>
      </c>
    </row>
    <row r="1375" spans="1:38" ht="15" customHeight="1" x14ac:dyDescent="0.3">
      <c r="A1375" s="181" t="s">
        <v>22</v>
      </c>
      <c r="B1375" s="255" t="s">
        <v>197</v>
      </c>
      <c r="C1375" s="135">
        <v>2</v>
      </c>
      <c r="D1375" s="136" t="s">
        <v>190</v>
      </c>
      <c r="E1375" s="168">
        <v>42802</v>
      </c>
      <c r="F1375" s="136">
        <v>2016</v>
      </c>
      <c r="G1375" s="178" t="s">
        <v>4565</v>
      </c>
      <c r="H1375" s="178" t="s">
        <v>4566</v>
      </c>
      <c r="I1375" s="136" t="s">
        <v>38</v>
      </c>
      <c r="J1375" s="181" t="s">
        <v>81</v>
      </c>
      <c r="K1375" s="197" t="s">
        <v>4567</v>
      </c>
      <c r="L1375" s="197" t="s">
        <v>28</v>
      </c>
      <c r="M1375" s="197" t="s">
        <v>42</v>
      </c>
      <c r="N1375" s="197"/>
      <c r="O1375" s="783" t="s">
        <v>4568</v>
      </c>
      <c r="P1375" s="783" t="s">
        <v>4569</v>
      </c>
      <c r="Q1375" s="15" t="s">
        <v>282</v>
      </c>
      <c r="R1375" s="231">
        <v>43269</v>
      </c>
      <c r="S1375" s="16" t="s">
        <v>35</v>
      </c>
      <c r="T1375" s="268">
        <v>43514</v>
      </c>
      <c r="U1375" s="803"/>
      <c r="V1375" s="803"/>
      <c r="W1375" s="256">
        <v>3000000</v>
      </c>
      <c r="X1375" s="189" t="s">
        <v>4570</v>
      </c>
      <c r="Y1375" s="201" t="str">
        <f t="shared" si="71"/>
        <v/>
      </c>
      <c r="Z1375" s="189" t="str">
        <f t="shared" si="70"/>
        <v>$ 0</v>
      </c>
      <c r="AA1375" s="229"/>
      <c r="AB1375" s="503" t="s">
        <v>3592</v>
      </c>
      <c r="AC1375" s="222"/>
      <c r="AD1375" s="196"/>
      <c r="AE1375" s="196"/>
      <c r="AF1375" s="205">
        <f t="shared" si="69"/>
        <v>0</v>
      </c>
      <c r="AG1375" s="197" t="s">
        <v>3604</v>
      </c>
      <c r="AH1375" s="197"/>
      <c r="AI1375" s="197"/>
      <c r="AJ1375" s="197" t="s">
        <v>1188</v>
      </c>
      <c r="AK1375" s="197" t="s">
        <v>3457</v>
      </c>
      <c r="AL1375" s="197" t="s">
        <v>1178</v>
      </c>
    </row>
    <row r="1376" spans="1:38" ht="15" customHeight="1" x14ac:dyDescent="0.3">
      <c r="A1376" s="181" t="s">
        <v>22</v>
      </c>
      <c r="B1376" s="265" t="s">
        <v>105</v>
      </c>
      <c r="C1376" s="245">
        <v>20</v>
      </c>
      <c r="D1376" s="11" t="s">
        <v>5936</v>
      </c>
      <c r="E1376" s="247">
        <v>42333</v>
      </c>
      <c r="F1376" s="246">
        <v>2015</v>
      </c>
      <c r="G1376" s="792" t="s">
        <v>4571</v>
      </c>
      <c r="H1376" s="792" t="s">
        <v>4572</v>
      </c>
      <c r="I1376" s="246" t="s">
        <v>38</v>
      </c>
      <c r="J1376" s="248" t="s">
        <v>81</v>
      </c>
      <c r="K1376" s="264" t="s">
        <v>113</v>
      </c>
      <c r="L1376" s="264" t="s">
        <v>28</v>
      </c>
      <c r="M1376" s="264" t="s">
        <v>42</v>
      </c>
      <c r="N1376" s="264"/>
      <c r="O1376" s="805" t="s">
        <v>4573</v>
      </c>
      <c r="P1376" s="794" t="s">
        <v>4574</v>
      </c>
      <c r="Q1376" s="15" t="s">
        <v>282</v>
      </c>
      <c r="R1376" s="218">
        <v>43300</v>
      </c>
      <c r="S1376" s="16" t="s">
        <v>44</v>
      </c>
      <c r="T1376" s="133">
        <v>43517</v>
      </c>
      <c r="U1376" s="623"/>
      <c r="V1376" s="624"/>
      <c r="W1376" s="239">
        <v>70000000</v>
      </c>
      <c r="X1376" s="243">
        <v>0</v>
      </c>
      <c r="Y1376" s="201">
        <f t="shared" si="71"/>
        <v>0</v>
      </c>
      <c r="Z1376" s="189">
        <f t="shared" si="70"/>
        <v>0</v>
      </c>
      <c r="AA1376" s="267"/>
      <c r="AB1376" s="564" t="s">
        <v>1073</v>
      </c>
      <c r="AC1376" s="693"/>
      <c r="AD1376" s="187">
        <v>0</v>
      </c>
      <c r="AE1376" s="187">
        <v>0</v>
      </c>
      <c r="AF1376" s="205">
        <f t="shared" si="69"/>
        <v>0</v>
      </c>
      <c r="AG1376" s="181">
        <v>8</v>
      </c>
      <c r="AH1376" s="264" t="s">
        <v>4564</v>
      </c>
      <c r="AI1376" s="138"/>
      <c r="AJ1376" s="138" t="s">
        <v>1188</v>
      </c>
      <c r="AK1376" s="181" t="s">
        <v>1185</v>
      </c>
      <c r="AL1376" s="138" t="s">
        <v>1178</v>
      </c>
    </row>
    <row r="1377" spans="1:38" ht="15" customHeight="1" x14ac:dyDescent="0.3">
      <c r="A1377" s="181" t="s">
        <v>140</v>
      </c>
      <c r="B1377" s="265" t="s">
        <v>228</v>
      </c>
      <c r="C1377" s="245">
        <v>2</v>
      </c>
      <c r="D1377" s="11" t="s">
        <v>225</v>
      </c>
      <c r="E1377" s="247">
        <v>43158</v>
      </c>
      <c r="F1377" s="246">
        <v>2018</v>
      </c>
      <c r="G1377" s="792" t="s">
        <v>4576</v>
      </c>
      <c r="H1377" s="792" t="s">
        <v>4577</v>
      </c>
      <c r="I1377" s="30" t="s">
        <v>38</v>
      </c>
      <c r="J1377" s="248" t="s">
        <v>81</v>
      </c>
      <c r="K1377" s="264" t="s">
        <v>163</v>
      </c>
      <c r="L1377" s="264" t="s">
        <v>209</v>
      </c>
      <c r="M1377" s="137" t="s">
        <v>804</v>
      </c>
      <c r="N1377" s="264" t="s">
        <v>43</v>
      </c>
      <c r="O1377" s="805" t="s">
        <v>4578</v>
      </c>
      <c r="P1377" s="794" t="s">
        <v>4579</v>
      </c>
      <c r="Q1377" s="15" t="s">
        <v>35</v>
      </c>
      <c r="R1377" s="231">
        <v>43480</v>
      </c>
      <c r="S1377" s="16" t="s">
        <v>35</v>
      </c>
      <c r="T1377" s="232">
        <v>43523</v>
      </c>
      <c r="U1377" s="776"/>
      <c r="V1377" s="776"/>
      <c r="W1377" s="256">
        <v>5000000</v>
      </c>
      <c r="X1377" s="185">
        <v>0</v>
      </c>
      <c r="Y1377" s="201">
        <f t="shared" si="71"/>
        <v>5000000</v>
      </c>
      <c r="Z1377" s="7">
        <f t="shared" si="70"/>
        <v>5000000</v>
      </c>
      <c r="AA1377" s="229">
        <v>43768</v>
      </c>
      <c r="AB1377" s="503" t="s">
        <v>3960</v>
      </c>
      <c r="AC1377" s="222"/>
      <c r="AD1377" s="196">
        <v>0</v>
      </c>
      <c r="AE1377" s="187">
        <v>1</v>
      </c>
      <c r="AF1377" s="205">
        <f t="shared" si="69"/>
        <v>1</v>
      </c>
      <c r="AG1377" s="197">
        <v>10</v>
      </c>
      <c r="AH1377" s="197"/>
      <c r="AI1377" s="736" t="s">
        <v>3698</v>
      </c>
      <c r="AJ1377" s="197" t="s">
        <v>1188</v>
      </c>
      <c r="AK1377" s="197" t="s">
        <v>1185</v>
      </c>
      <c r="AL1377" s="93" t="s">
        <v>1178</v>
      </c>
    </row>
    <row r="1378" spans="1:38" ht="15" customHeight="1" x14ac:dyDescent="0.3">
      <c r="A1378" s="30" t="s">
        <v>22</v>
      </c>
      <c r="B1378" s="120" t="s">
        <v>148</v>
      </c>
      <c r="C1378" s="107">
        <v>5</v>
      </c>
      <c r="D1378" s="11" t="s">
        <v>143</v>
      </c>
      <c r="E1378" s="114">
        <v>42633</v>
      </c>
      <c r="F1378" s="142">
        <v>2016</v>
      </c>
      <c r="G1378" s="30" t="s">
        <v>4580</v>
      </c>
      <c r="H1378" s="162" t="s">
        <v>4581</v>
      </c>
      <c r="I1378" s="33" t="s">
        <v>33</v>
      </c>
      <c r="J1378" s="32" t="s">
        <v>26</v>
      </c>
      <c r="K1378" s="137" t="s">
        <v>3979</v>
      </c>
      <c r="L1378" s="137" t="s">
        <v>40</v>
      </c>
      <c r="M1378" s="137" t="s">
        <v>804</v>
      </c>
      <c r="N1378" s="197"/>
      <c r="O1378" s="197" t="s">
        <v>4582</v>
      </c>
      <c r="P1378" s="197" t="s">
        <v>4583</v>
      </c>
      <c r="Q1378" s="15" t="s">
        <v>282</v>
      </c>
      <c r="R1378" s="179">
        <v>42773</v>
      </c>
      <c r="S1378" s="16" t="s">
        <v>35</v>
      </c>
      <c r="T1378" s="191">
        <v>43368</v>
      </c>
      <c r="U1378" s="707"/>
      <c r="V1378" s="707"/>
      <c r="W1378" s="260">
        <v>60000000</v>
      </c>
      <c r="X1378" s="253">
        <v>60000000</v>
      </c>
      <c r="Y1378" s="201">
        <v>-36885451</v>
      </c>
      <c r="Z1378" s="201">
        <f t="shared" si="70"/>
        <v>23114549</v>
      </c>
      <c r="AA1378" s="212">
        <v>43543</v>
      </c>
      <c r="AB1378" s="504" t="s">
        <v>147</v>
      </c>
      <c r="AC1378" s="138"/>
      <c r="AD1378" s="187">
        <v>1</v>
      </c>
      <c r="AE1378" s="187">
        <v>0</v>
      </c>
      <c r="AF1378" s="205">
        <f t="shared" si="69"/>
        <v>1</v>
      </c>
      <c r="AG1378" s="88">
        <v>8</v>
      </c>
      <c r="AH1378" s="146" t="s">
        <v>4575</v>
      </c>
      <c r="AI1378" s="719" t="s">
        <v>6133</v>
      </c>
      <c r="AJ1378" s="146" t="s">
        <v>1188</v>
      </c>
      <c r="AK1378" s="37" t="s">
        <v>1185</v>
      </c>
      <c r="AL1378" s="146" t="s">
        <v>1178</v>
      </c>
    </row>
    <row r="1379" spans="1:38" ht="15" customHeight="1" x14ac:dyDescent="0.3">
      <c r="A1379" s="30" t="s">
        <v>22</v>
      </c>
      <c r="B1379" s="120" t="s">
        <v>144</v>
      </c>
      <c r="C1379" s="107">
        <v>9</v>
      </c>
      <c r="D1379" s="11" t="s">
        <v>143</v>
      </c>
      <c r="E1379" s="114">
        <v>42598</v>
      </c>
      <c r="F1379" s="142">
        <v>2016</v>
      </c>
      <c r="G1379" s="142" t="s">
        <v>4585</v>
      </c>
      <c r="H1379" s="162" t="s">
        <v>4586</v>
      </c>
      <c r="I1379" s="30" t="s">
        <v>38</v>
      </c>
      <c r="J1379" s="30" t="s">
        <v>81</v>
      </c>
      <c r="K1379" s="137" t="s">
        <v>4057</v>
      </c>
      <c r="L1379" s="137" t="s">
        <v>40</v>
      </c>
      <c r="M1379" s="137" t="s">
        <v>804</v>
      </c>
      <c r="N1379" s="197"/>
      <c r="O1379" s="197" t="s">
        <v>4587</v>
      </c>
      <c r="P1379" s="197" t="s">
        <v>4588</v>
      </c>
      <c r="Q1379" s="15" t="s">
        <v>35</v>
      </c>
      <c r="R1379" s="179">
        <v>43341</v>
      </c>
      <c r="S1379" s="16" t="s">
        <v>35</v>
      </c>
      <c r="T1379" s="133">
        <v>43413</v>
      </c>
      <c r="U1379" s="623"/>
      <c r="V1379" s="623"/>
      <c r="W1379" s="249">
        <v>20000000</v>
      </c>
      <c r="X1379" s="253">
        <v>20000000</v>
      </c>
      <c r="Y1379" s="201">
        <v>-96667</v>
      </c>
      <c r="Z1379" s="201">
        <f t="shared" si="70"/>
        <v>19903333</v>
      </c>
      <c r="AA1379" s="192">
        <v>43536</v>
      </c>
      <c r="AB1379" s="504" t="s">
        <v>147</v>
      </c>
      <c r="AC1379" s="138"/>
      <c r="AD1379" s="187">
        <v>1</v>
      </c>
      <c r="AE1379" s="187">
        <v>0</v>
      </c>
      <c r="AF1379" s="205">
        <f t="shared" si="69"/>
        <v>1</v>
      </c>
      <c r="AG1379" s="277">
        <v>8</v>
      </c>
      <c r="AH1379" s="93" t="s">
        <v>6004</v>
      </c>
      <c r="AI1379" s="719" t="s">
        <v>4590</v>
      </c>
      <c r="AJ1379" s="146" t="s">
        <v>1188</v>
      </c>
      <c r="AK1379" s="37" t="s">
        <v>1185</v>
      </c>
      <c r="AL1379" s="146" t="s">
        <v>1178</v>
      </c>
    </row>
    <row r="1380" spans="1:38" ht="15" customHeight="1" x14ac:dyDescent="0.3">
      <c r="A1380" s="248" t="s">
        <v>140</v>
      </c>
      <c r="B1380" s="244" t="s">
        <v>2049</v>
      </c>
      <c r="C1380" s="245">
        <v>1</v>
      </c>
      <c r="D1380" s="11" t="s">
        <v>225</v>
      </c>
      <c r="E1380" s="247">
        <v>42426</v>
      </c>
      <c r="F1380" s="246">
        <v>2016</v>
      </c>
      <c r="G1380" s="792" t="s">
        <v>4591</v>
      </c>
      <c r="H1380" s="792" t="s">
        <v>4592</v>
      </c>
      <c r="I1380" s="246" t="s">
        <v>38</v>
      </c>
      <c r="J1380" s="248" t="s">
        <v>81</v>
      </c>
      <c r="K1380" s="264" t="s">
        <v>163</v>
      </c>
      <c r="L1380" s="264" t="s">
        <v>28</v>
      </c>
      <c r="M1380" s="264" t="s">
        <v>42</v>
      </c>
      <c r="N1380" s="264"/>
      <c r="O1380" s="264" t="s">
        <v>4593</v>
      </c>
      <c r="P1380" s="783" t="s">
        <v>6134</v>
      </c>
      <c r="Q1380" s="15" t="s">
        <v>35</v>
      </c>
      <c r="R1380" s="231">
        <v>43447</v>
      </c>
      <c r="S1380" s="16" t="s">
        <v>44</v>
      </c>
      <c r="T1380" s="232">
        <v>43544</v>
      </c>
      <c r="U1380" s="776"/>
      <c r="V1380" s="776"/>
      <c r="W1380" s="242">
        <v>5000000</v>
      </c>
      <c r="X1380" s="240">
        <v>0</v>
      </c>
      <c r="Y1380" s="201">
        <f t="shared" ref="Y1380:Y1392" si="72">IF(AE1380="","",W1380*AE1380)</f>
        <v>0</v>
      </c>
      <c r="Z1380" s="7">
        <f t="shared" si="70"/>
        <v>0</v>
      </c>
      <c r="AA1380" s="263"/>
      <c r="AB1380" s="504" t="s">
        <v>6115</v>
      </c>
      <c r="AC1380" s="138"/>
      <c r="AD1380" s="196">
        <v>0</v>
      </c>
      <c r="AE1380" s="187">
        <v>0</v>
      </c>
      <c r="AF1380" s="205">
        <f t="shared" si="69"/>
        <v>0</v>
      </c>
      <c r="AG1380" s="264">
        <v>8</v>
      </c>
      <c r="AH1380" s="264" t="s">
        <v>4584</v>
      </c>
      <c r="AI1380" s="736" t="s">
        <v>3698</v>
      </c>
      <c r="AJ1380" s="264" t="s">
        <v>1188</v>
      </c>
      <c r="AK1380" s="264" t="s">
        <v>1185</v>
      </c>
      <c r="AL1380" s="310" t="s">
        <v>1178</v>
      </c>
    </row>
    <row r="1381" spans="1:38" ht="15" customHeight="1" x14ac:dyDescent="0.3">
      <c r="A1381" s="30" t="s">
        <v>22</v>
      </c>
      <c r="B1381" s="30" t="s">
        <v>23</v>
      </c>
      <c r="C1381" s="37">
        <v>21</v>
      </c>
      <c r="D1381" s="11" t="s">
        <v>24</v>
      </c>
      <c r="E1381" s="108">
        <v>40947</v>
      </c>
      <c r="F1381" s="37">
        <v>2012</v>
      </c>
      <c r="G1381" s="30" t="s">
        <v>4594</v>
      </c>
      <c r="H1381" s="162" t="s">
        <v>4595</v>
      </c>
      <c r="I1381" s="12" t="s">
        <v>38</v>
      </c>
      <c r="J1381" s="32" t="s">
        <v>26</v>
      </c>
      <c r="K1381" s="197" t="s">
        <v>50</v>
      </c>
      <c r="L1381" s="137" t="s">
        <v>3423</v>
      </c>
      <c r="M1381" s="660" t="s">
        <v>42</v>
      </c>
      <c r="N1381" s="660"/>
      <c r="O1381" s="93" t="s">
        <v>4596</v>
      </c>
      <c r="P1381" s="718" t="s">
        <v>6135</v>
      </c>
      <c r="Q1381" s="15" t="s">
        <v>282</v>
      </c>
      <c r="R1381" s="132">
        <v>41583</v>
      </c>
      <c r="S1381" s="16" t="s">
        <v>44</v>
      </c>
      <c r="T1381" s="165">
        <v>41836</v>
      </c>
      <c r="U1381" s="624" t="s">
        <v>44</v>
      </c>
      <c r="V1381" s="180">
        <v>43522</v>
      </c>
      <c r="W1381" s="239">
        <v>68000000</v>
      </c>
      <c r="X1381" s="240">
        <v>0</v>
      </c>
      <c r="Y1381" s="7">
        <f t="shared" si="72"/>
        <v>0</v>
      </c>
      <c r="Z1381" s="7">
        <f t="shared" si="70"/>
        <v>0</v>
      </c>
      <c r="AA1381" s="108"/>
      <c r="AB1381" s="504" t="s">
        <v>6136</v>
      </c>
      <c r="AC1381" s="138"/>
      <c r="AD1381" s="187">
        <v>0</v>
      </c>
      <c r="AE1381" s="187">
        <v>0</v>
      </c>
      <c r="AF1381" s="205">
        <f t="shared" si="69"/>
        <v>0</v>
      </c>
      <c r="AG1381" s="30">
        <v>8</v>
      </c>
      <c r="AH1381" s="93" t="s">
        <v>4589</v>
      </c>
      <c r="AI1381" s="93"/>
      <c r="AJ1381" s="30" t="s">
        <v>1188</v>
      </c>
      <c r="AK1381" s="30" t="s">
        <v>99</v>
      </c>
      <c r="AL1381" s="93" t="s">
        <v>1178</v>
      </c>
    </row>
    <row r="1382" spans="1:38" ht="15" customHeight="1" x14ac:dyDescent="0.3">
      <c r="A1382" s="30" t="s">
        <v>22</v>
      </c>
      <c r="B1382" s="106" t="s">
        <v>144</v>
      </c>
      <c r="C1382" s="107">
        <v>8</v>
      </c>
      <c r="D1382" s="11" t="s">
        <v>143</v>
      </c>
      <c r="E1382" s="114">
        <v>37712</v>
      </c>
      <c r="F1382" s="12">
        <v>2003</v>
      </c>
      <c r="G1382" s="142" t="s">
        <v>4597</v>
      </c>
      <c r="H1382" s="162" t="s">
        <v>4598</v>
      </c>
      <c r="I1382" s="12" t="s">
        <v>80</v>
      </c>
      <c r="J1382" s="32" t="s">
        <v>26</v>
      </c>
      <c r="K1382" s="197" t="s">
        <v>50</v>
      </c>
      <c r="L1382" s="137" t="s">
        <v>161</v>
      </c>
      <c r="M1382" s="137" t="s">
        <v>42</v>
      </c>
      <c r="N1382" s="137"/>
      <c r="O1382" s="93" t="s">
        <v>4599</v>
      </c>
      <c r="P1382" s="718" t="s">
        <v>4600</v>
      </c>
      <c r="Q1382" s="15" t="s">
        <v>282</v>
      </c>
      <c r="R1382" s="132">
        <v>39171</v>
      </c>
      <c r="S1382" s="16" t="s">
        <v>35</v>
      </c>
      <c r="T1382" s="133">
        <v>40301</v>
      </c>
      <c r="U1382" s="623" t="s">
        <v>44</v>
      </c>
      <c r="V1382" s="180">
        <v>42830</v>
      </c>
      <c r="W1382" s="239">
        <v>65000000</v>
      </c>
      <c r="X1382" s="240">
        <v>0</v>
      </c>
      <c r="Y1382" s="201">
        <f t="shared" si="72"/>
        <v>0</v>
      </c>
      <c r="Z1382" s="7">
        <f t="shared" si="70"/>
        <v>0</v>
      </c>
      <c r="AA1382" s="108"/>
      <c r="AB1382" s="503" t="s">
        <v>6137</v>
      </c>
      <c r="AC1382" s="222"/>
      <c r="AD1382" s="187">
        <v>1</v>
      </c>
      <c r="AE1382" s="187">
        <v>0</v>
      </c>
      <c r="AF1382" s="205">
        <f t="shared" si="69"/>
        <v>1</v>
      </c>
      <c r="AG1382" s="163">
        <v>10</v>
      </c>
      <c r="AH1382" s="93"/>
      <c r="AI1382" s="718" t="s">
        <v>4601</v>
      </c>
      <c r="AJ1382" s="93" t="s">
        <v>1188</v>
      </c>
      <c r="AK1382" s="30" t="s">
        <v>99</v>
      </c>
      <c r="AL1382" s="93" t="s">
        <v>1178</v>
      </c>
    </row>
    <row r="1383" spans="1:38" ht="15" customHeight="1" x14ac:dyDescent="0.3">
      <c r="A1383" s="30" t="s">
        <v>22</v>
      </c>
      <c r="B1383" s="145" t="s">
        <v>105</v>
      </c>
      <c r="C1383" s="107">
        <v>15</v>
      </c>
      <c r="D1383" s="11" t="s">
        <v>5936</v>
      </c>
      <c r="E1383" s="108">
        <v>37288</v>
      </c>
      <c r="F1383" s="12">
        <v>2002</v>
      </c>
      <c r="G1383" s="142" t="s">
        <v>4602</v>
      </c>
      <c r="H1383" s="162" t="s">
        <v>4603</v>
      </c>
      <c r="I1383" s="33" t="s">
        <v>33</v>
      </c>
      <c r="J1383" s="32" t="s">
        <v>26</v>
      </c>
      <c r="K1383" s="137" t="s">
        <v>3979</v>
      </c>
      <c r="L1383" s="137" t="s">
        <v>161</v>
      </c>
      <c r="M1383" s="137" t="s">
        <v>42</v>
      </c>
      <c r="N1383" s="137"/>
      <c r="O1383" s="93" t="s">
        <v>4604</v>
      </c>
      <c r="P1383" s="647" t="s">
        <v>4605</v>
      </c>
      <c r="Q1383" s="15" t="s">
        <v>282</v>
      </c>
      <c r="R1383" s="132">
        <v>38758</v>
      </c>
      <c r="S1383" s="16" t="s">
        <v>44</v>
      </c>
      <c r="T1383" s="133">
        <v>39202</v>
      </c>
      <c r="U1383" s="623" t="s">
        <v>35</v>
      </c>
      <c r="V1383" s="180">
        <v>43173</v>
      </c>
      <c r="W1383" s="242">
        <v>85000000</v>
      </c>
      <c r="X1383" s="240">
        <v>0</v>
      </c>
      <c r="Y1383" s="201">
        <f t="shared" si="72"/>
        <v>0</v>
      </c>
      <c r="Z1383" s="7">
        <f t="shared" si="70"/>
        <v>0</v>
      </c>
      <c r="AA1383" s="108"/>
      <c r="AB1383" s="564" t="s">
        <v>1073</v>
      </c>
      <c r="AC1383" s="693"/>
      <c r="AD1383" s="196">
        <v>0</v>
      </c>
      <c r="AE1383" s="187">
        <v>0</v>
      </c>
      <c r="AF1383" s="205">
        <f t="shared" si="69"/>
        <v>0</v>
      </c>
      <c r="AG1383" s="183">
        <v>8</v>
      </c>
      <c r="AH1383" s="476" t="s">
        <v>851</v>
      </c>
      <c r="AI1383" s="718" t="s">
        <v>4607</v>
      </c>
      <c r="AJ1383" s="93" t="s">
        <v>1188</v>
      </c>
      <c r="AK1383" s="30" t="s">
        <v>99</v>
      </c>
      <c r="AL1383" s="93" t="s">
        <v>1175</v>
      </c>
    </row>
    <row r="1384" spans="1:38" ht="15" customHeight="1" x14ac:dyDescent="0.3">
      <c r="A1384" s="181" t="s">
        <v>160</v>
      </c>
      <c r="B1384" s="181" t="s">
        <v>227</v>
      </c>
      <c r="C1384" s="135">
        <v>17</v>
      </c>
      <c r="D1384" s="11" t="s">
        <v>225</v>
      </c>
      <c r="E1384" s="168">
        <v>42629</v>
      </c>
      <c r="F1384" s="136">
        <v>2016</v>
      </c>
      <c r="G1384" s="178" t="s">
        <v>4608</v>
      </c>
      <c r="H1384" s="178" t="s">
        <v>4609</v>
      </c>
      <c r="I1384" s="136" t="s">
        <v>38</v>
      </c>
      <c r="J1384" s="32" t="s">
        <v>26</v>
      </c>
      <c r="K1384" s="197" t="s">
        <v>111</v>
      </c>
      <c r="L1384" s="197" t="s">
        <v>28</v>
      </c>
      <c r="M1384" s="197" t="s">
        <v>42</v>
      </c>
      <c r="N1384" s="197"/>
      <c r="O1384" s="783" t="s">
        <v>4610</v>
      </c>
      <c r="P1384" s="794" t="s">
        <v>4611</v>
      </c>
      <c r="Q1384" s="15" t="s">
        <v>282</v>
      </c>
      <c r="R1384" s="231">
        <v>43062</v>
      </c>
      <c r="S1384" s="16" t="s">
        <v>44</v>
      </c>
      <c r="T1384" s="232">
        <v>43299</v>
      </c>
      <c r="U1384" s="776"/>
      <c r="V1384" s="776"/>
      <c r="W1384" s="256">
        <v>28000000</v>
      </c>
      <c r="X1384" s="185">
        <v>0</v>
      </c>
      <c r="Y1384" s="201">
        <f t="shared" si="72"/>
        <v>0</v>
      </c>
      <c r="Z1384" s="7">
        <f t="shared" si="70"/>
        <v>0</v>
      </c>
      <c r="AA1384" s="233"/>
      <c r="AB1384" s="504" t="s">
        <v>6115</v>
      </c>
      <c r="AC1384" s="138"/>
      <c r="AD1384" s="196">
        <v>0</v>
      </c>
      <c r="AE1384" s="187">
        <v>0</v>
      </c>
      <c r="AF1384" s="205">
        <f t="shared" si="69"/>
        <v>0</v>
      </c>
      <c r="AG1384" s="197">
        <v>8</v>
      </c>
      <c r="AH1384" s="264" t="s">
        <v>4355</v>
      </c>
      <c r="AI1384" s="197"/>
      <c r="AJ1384" s="197" t="s">
        <v>1188</v>
      </c>
      <c r="AK1384" s="197" t="s">
        <v>1185</v>
      </c>
      <c r="AL1384" s="93" t="s">
        <v>1178</v>
      </c>
    </row>
    <row r="1385" spans="1:38" ht="15" customHeight="1" x14ac:dyDescent="0.3">
      <c r="A1385" s="181" t="s">
        <v>22</v>
      </c>
      <c r="B1385" s="145" t="s">
        <v>105</v>
      </c>
      <c r="C1385" s="135">
        <v>20</v>
      </c>
      <c r="D1385" s="11" t="s">
        <v>5936</v>
      </c>
      <c r="E1385" s="168">
        <v>40464</v>
      </c>
      <c r="F1385" s="136">
        <v>2010</v>
      </c>
      <c r="G1385" s="178" t="s">
        <v>4613</v>
      </c>
      <c r="H1385" s="204" t="s">
        <v>4614</v>
      </c>
      <c r="I1385" s="136" t="s">
        <v>80</v>
      </c>
      <c r="J1385" s="32" t="s">
        <v>26</v>
      </c>
      <c r="K1385" s="197" t="s">
        <v>50</v>
      </c>
      <c r="L1385" s="138" t="s">
        <v>28</v>
      </c>
      <c r="M1385" s="197" t="s">
        <v>42</v>
      </c>
      <c r="N1385" s="197"/>
      <c r="O1385" s="138" t="s">
        <v>4615</v>
      </c>
      <c r="P1385" s="138" t="s">
        <v>4616</v>
      </c>
      <c r="Q1385" s="15" t="s">
        <v>282</v>
      </c>
      <c r="R1385" s="132">
        <v>41698</v>
      </c>
      <c r="S1385" s="16" t="s">
        <v>44</v>
      </c>
      <c r="T1385" s="133">
        <v>41817</v>
      </c>
      <c r="U1385" s="623"/>
      <c r="V1385" s="624"/>
      <c r="W1385" s="242">
        <v>31800000</v>
      </c>
      <c r="X1385" s="240">
        <v>0</v>
      </c>
      <c r="Y1385" s="201">
        <f t="shared" si="72"/>
        <v>0</v>
      </c>
      <c r="Z1385" s="7">
        <f t="shared" si="70"/>
        <v>0</v>
      </c>
      <c r="AA1385" s="108"/>
      <c r="AB1385" s="564" t="s">
        <v>1073</v>
      </c>
      <c r="AC1385" s="693"/>
      <c r="AD1385" s="196">
        <v>0</v>
      </c>
      <c r="AE1385" s="187">
        <v>0</v>
      </c>
      <c r="AF1385" s="205">
        <f t="shared" si="69"/>
        <v>0</v>
      </c>
      <c r="AG1385" s="138">
        <v>8</v>
      </c>
      <c r="AH1385" s="181" t="s">
        <v>4606</v>
      </c>
      <c r="AI1385" s="138"/>
      <c r="AJ1385" s="138" t="s">
        <v>1188</v>
      </c>
      <c r="AK1385" s="181" t="s">
        <v>1185</v>
      </c>
      <c r="AL1385" s="138" t="s">
        <v>1178</v>
      </c>
    </row>
    <row r="1386" spans="1:38" ht="15" customHeight="1" x14ac:dyDescent="0.3">
      <c r="A1386" s="181" t="s">
        <v>22</v>
      </c>
      <c r="B1386" s="2" t="s">
        <v>6172</v>
      </c>
      <c r="C1386" s="135" t="s">
        <v>196</v>
      </c>
      <c r="D1386" s="136" t="s">
        <v>190</v>
      </c>
      <c r="E1386" s="168">
        <v>40711</v>
      </c>
      <c r="F1386" s="136">
        <v>2011</v>
      </c>
      <c r="G1386" s="178" t="s">
        <v>4618</v>
      </c>
      <c r="H1386" s="204"/>
      <c r="I1386" s="136" t="s">
        <v>38</v>
      </c>
      <c r="J1386" s="181" t="s">
        <v>81</v>
      </c>
      <c r="K1386" s="138" t="s">
        <v>1194</v>
      </c>
      <c r="L1386" s="138" t="s">
        <v>28</v>
      </c>
      <c r="M1386" s="138" t="s">
        <v>42</v>
      </c>
      <c r="N1386" s="553" t="s">
        <v>122</v>
      </c>
      <c r="O1386" s="138" t="s">
        <v>4619</v>
      </c>
      <c r="P1386" s="138" t="s">
        <v>4620</v>
      </c>
      <c r="Q1386" s="15" t="s">
        <v>282</v>
      </c>
      <c r="R1386" s="179">
        <v>42646</v>
      </c>
      <c r="S1386" s="16" t="s">
        <v>44</v>
      </c>
      <c r="T1386" s="133">
        <v>42808</v>
      </c>
      <c r="U1386" s="623"/>
      <c r="V1386" s="624"/>
      <c r="W1386" s="239">
        <v>90000000</v>
      </c>
      <c r="X1386" s="240">
        <v>0</v>
      </c>
      <c r="Y1386" s="201">
        <f t="shared" si="72"/>
        <v>0</v>
      </c>
      <c r="Z1386" s="185">
        <f t="shared" si="70"/>
        <v>0</v>
      </c>
      <c r="AA1386" s="108"/>
      <c r="AB1386" s="564" t="s">
        <v>2595</v>
      </c>
      <c r="AC1386" s="693"/>
      <c r="AD1386" s="187">
        <v>0</v>
      </c>
      <c r="AE1386" s="187">
        <v>0</v>
      </c>
      <c r="AF1386" s="205">
        <f t="shared" si="69"/>
        <v>0</v>
      </c>
      <c r="AG1386" s="138">
        <v>8</v>
      </c>
      <c r="AH1386" s="138" t="s">
        <v>4612</v>
      </c>
      <c r="AI1386" s="200"/>
      <c r="AJ1386" s="200" t="s">
        <v>1188</v>
      </c>
      <c r="AK1386" s="200" t="s">
        <v>1185</v>
      </c>
      <c r="AL1386" s="200" t="s">
        <v>1178</v>
      </c>
    </row>
    <row r="1387" spans="1:38" ht="15" customHeight="1" x14ac:dyDescent="0.3">
      <c r="A1387" s="181" t="s">
        <v>22</v>
      </c>
      <c r="B1387" s="265" t="s">
        <v>228</v>
      </c>
      <c r="C1387" s="245">
        <v>1</v>
      </c>
      <c r="D1387" s="11" t="s">
        <v>225</v>
      </c>
      <c r="E1387" s="247">
        <v>42633</v>
      </c>
      <c r="F1387" s="246">
        <v>2016</v>
      </c>
      <c r="G1387" s="792" t="s">
        <v>4622</v>
      </c>
      <c r="H1387" s="792" t="s">
        <v>4623</v>
      </c>
      <c r="I1387" s="246" t="s">
        <v>38</v>
      </c>
      <c r="J1387" s="32" t="s">
        <v>26</v>
      </c>
      <c r="K1387" s="264" t="s">
        <v>4624</v>
      </c>
      <c r="L1387" s="264" t="s">
        <v>28</v>
      </c>
      <c r="M1387" s="264" t="s">
        <v>42</v>
      </c>
      <c r="N1387" s="264"/>
      <c r="O1387" s="805" t="s">
        <v>4625</v>
      </c>
      <c r="P1387" s="794" t="s">
        <v>4626</v>
      </c>
      <c r="Q1387" s="15" t="s">
        <v>282</v>
      </c>
      <c r="R1387" s="231">
        <v>42993</v>
      </c>
      <c r="S1387" s="16" t="s">
        <v>44</v>
      </c>
      <c r="T1387" s="232">
        <v>43399</v>
      </c>
      <c r="U1387" s="776"/>
      <c r="V1387" s="776"/>
      <c r="W1387" s="256">
        <v>40000000</v>
      </c>
      <c r="X1387" s="185">
        <v>0</v>
      </c>
      <c r="Y1387" s="201">
        <f t="shared" si="72"/>
        <v>0</v>
      </c>
      <c r="Z1387" s="7">
        <f t="shared" si="70"/>
        <v>0</v>
      </c>
      <c r="AA1387" s="233"/>
      <c r="AB1387" s="500" t="s">
        <v>5953</v>
      </c>
      <c r="AC1387" s="501"/>
      <c r="AD1387" s="196">
        <v>0</v>
      </c>
      <c r="AE1387" s="187">
        <v>0</v>
      </c>
      <c r="AF1387" s="205">
        <f t="shared" si="69"/>
        <v>0</v>
      </c>
      <c r="AG1387" s="197">
        <v>8</v>
      </c>
      <c r="AH1387" s="197" t="s">
        <v>4617</v>
      </c>
      <c r="AI1387" s="197"/>
      <c r="AJ1387" s="197" t="s">
        <v>1188</v>
      </c>
      <c r="AK1387" s="197" t="s">
        <v>1185</v>
      </c>
      <c r="AL1387" s="93" t="s">
        <v>1178</v>
      </c>
    </row>
    <row r="1388" spans="1:38" ht="15" customHeight="1" x14ac:dyDescent="0.3">
      <c r="A1388" s="181" t="s">
        <v>22</v>
      </c>
      <c r="B1388" s="145" t="s">
        <v>3545</v>
      </c>
      <c r="C1388" s="135" t="s">
        <v>196</v>
      </c>
      <c r="D1388" s="136" t="s">
        <v>190</v>
      </c>
      <c r="E1388" s="168">
        <v>40484</v>
      </c>
      <c r="F1388" s="136">
        <v>2010</v>
      </c>
      <c r="G1388" s="178" t="s">
        <v>4628</v>
      </c>
      <c r="H1388" s="204" t="s">
        <v>4629</v>
      </c>
      <c r="I1388" s="33" t="s">
        <v>33</v>
      </c>
      <c r="J1388" s="32" t="s">
        <v>26</v>
      </c>
      <c r="K1388" s="137" t="s">
        <v>4057</v>
      </c>
      <c r="L1388" s="138" t="s">
        <v>161</v>
      </c>
      <c r="M1388" s="197" t="s">
        <v>42</v>
      </c>
      <c r="N1388" s="197"/>
      <c r="O1388" s="138" t="s">
        <v>4630</v>
      </c>
      <c r="P1388" s="718" t="s">
        <v>4631</v>
      </c>
      <c r="Q1388" s="15" t="s">
        <v>282</v>
      </c>
      <c r="R1388" s="179">
        <v>40865</v>
      </c>
      <c r="S1388" s="16" t="s">
        <v>44</v>
      </c>
      <c r="T1388" s="191">
        <v>40981</v>
      </c>
      <c r="U1388" s="707" t="s">
        <v>44</v>
      </c>
      <c r="V1388" s="180">
        <v>43068</v>
      </c>
      <c r="W1388" s="239">
        <v>40000000</v>
      </c>
      <c r="X1388" s="240">
        <v>0</v>
      </c>
      <c r="Y1388" s="201">
        <f t="shared" si="72"/>
        <v>0</v>
      </c>
      <c r="Z1388" s="185">
        <f t="shared" si="70"/>
        <v>0</v>
      </c>
      <c r="AA1388" s="108"/>
      <c r="AB1388" s="504" t="s">
        <v>6138</v>
      </c>
      <c r="AC1388" s="138"/>
      <c r="AD1388" s="187">
        <v>0</v>
      </c>
      <c r="AE1388" s="187">
        <v>0</v>
      </c>
      <c r="AF1388" s="205">
        <f t="shared" si="69"/>
        <v>0</v>
      </c>
      <c r="AG1388" s="200">
        <v>8</v>
      </c>
      <c r="AH1388" s="200" t="s">
        <v>4621</v>
      </c>
      <c r="AI1388" s="200"/>
      <c r="AJ1388" s="200" t="s">
        <v>1188</v>
      </c>
      <c r="AK1388" s="30" t="s">
        <v>99</v>
      </c>
      <c r="AL1388" s="200" t="s">
        <v>1178</v>
      </c>
    </row>
    <row r="1389" spans="1:38" ht="15" customHeight="1" x14ac:dyDescent="0.3">
      <c r="A1389" s="181" t="s">
        <v>22</v>
      </c>
      <c r="B1389" s="145" t="s">
        <v>227</v>
      </c>
      <c r="C1389" s="135">
        <v>3</v>
      </c>
      <c r="D1389" s="11" t="s">
        <v>225</v>
      </c>
      <c r="E1389" s="168">
        <v>41709</v>
      </c>
      <c r="F1389" s="136">
        <v>2014</v>
      </c>
      <c r="G1389" s="178" t="s">
        <v>3819</v>
      </c>
      <c r="H1389" s="204" t="s">
        <v>4633</v>
      </c>
      <c r="I1389" s="33" t="s">
        <v>33</v>
      </c>
      <c r="J1389" s="32" t="s">
        <v>26</v>
      </c>
      <c r="K1389" s="197" t="s">
        <v>50</v>
      </c>
      <c r="L1389" s="746" t="s">
        <v>28</v>
      </c>
      <c r="M1389" s="138" t="s">
        <v>42</v>
      </c>
      <c r="N1389" s="138"/>
      <c r="O1389" s="138" t="s">
        <v>4634</v>
      </c>
      <c r="P1389" s="138" t="s">
        <v>4635</v>
      </c>
      <c r="Q1389" s="15" t="s">
        <v>282</v>
      </c>
      <c r="R1389" s="218">
        <v>42194</v>
      </c>
      <c r="S1389" s="16" t="s">
        <v>44</v>
      </c>
      <c r="T1389" s="228">
        <v>43181</v>
      </c>
      <c r="U1389" s="775"/>
      <c r="V1389" s="776"/>
      <c r="W1389" s="242">
        <v>91500000</v>
      </c>
      <c r="X1389" s="259">
        <v>0</v>
      </c>
      <c r="Y1389" s="201">
        <f t="shared" si="72"/>
        <v>0</v>
      </c>
      <c r="Z1389" s="7">
        <f t="shared" si="70"/>
        <v>0</v>
      </c>
      <c r="AA1389" s="229"/>
      <c r="AB1389" s="504" t="s">
        <v>6115</v>
      </c>
      <c r="AC1389" s="138"/>
      <c r="AD1389" s="196">
        <v>0</v>
      </c>
      <c r="AE1389" s="187">
        <v>0</v>
      </c>
      <c r="AF1389" s="205">
        <f t="shared" si="69"/>
        <v>0</v>
      </c>
      <c r="AG1389" s="163">
        <v>8</v>
      </c>
      <c r="AH1389" s="138" t="s">
        <v>4627</v>
      </c>
      <c r="AI1389" s="138"/>
      <c r="AJ1389" s="138" t="s">
        <v>1188</v>
      </c>
      <c r="AK1389" s="181" t="s">
        <v>1185</v>
      </c>
      <c r="AL1389" s="138" t="s">
        <v>1178</v>
      </c>
    </row>
    <row r="1390" spans="1:38" ht="15" customHeight="1" x14ac:dyDescent="0.3">
      <c r="A1390" s="181" t="s">
        <v>160</v>
      </c>
      <c r="B1390" s="167" t="s">
        <v>228</v>
      </c>
      <c r="C1390" s="135">
        <v>1</v>
      </c>
      <c r="D1390" s="11" t="s">
        <v>225</v>
      </c>
      <c r="E1390" s="168">
        <v>42269</v>
      </c>
      <c r="F1390" s="136">
        <v>2015</v>
      </c>
      <c r="G1390" s="178" t="s">
        <v>4637</v>
      </c>
      <c r="H1390" s="178" t="s">
        <v>4638</v>
      </c>
      <c r="I1390" s="33" t="s">
        <v>33</v>
      </c>
      <c r="J1390" s="32" t="s">
        <v>26</v>
      </c>
      <c r="K1390" s="137" t="s">
        <v>3979</v>
      </c>
      <c r="L1390" s="197" t="s">
        <v>85</v>
      </c>
      <c r="M1390" s="137" t="s">
        <v>804</v>
      </c>
      <c r="N1390" s="197"/>
      <c r="O1390" s="197" t="s">
        <v>4639</v>
      </c>
      <c r="P1390" s="197" t="s">
        <v>4640</v>
      </c>
      <c r="Q1390" s="15" t="s">
        <v>35</v>
      </c>
      <c r="R1390" s="231">
        <v>42559</v>
      </c>
      <c r="S1390" s="16" t="s">
        <v>44</v>
      </c>
      <c r="T1390" s="232">
        <v>42711</v>
      </c>
      <c r="U1390" s="776"/>
      <c r="V1390" s="776"/>
      <c r="W1390" s="242">
        <v>60000000</v>
      </c>
      <c r="X1390" s="243">
        <v>60000000</v>
      </c>
      <c r="Y1390" s="201">
        <f t="shared" si="72"/>
        <v>0</v>
      </c>
      <c r="Z1390" s="7">
        <f t="shared" si="70"/>
        <v>60000000</v>
      </c>
      <c r="AA1390" s="233">
        <v>44119</v>
      </c>
      <c r="AB1390" s="564" t="s">
        <v>1073</v>
      </c>
      <c r="AC1390" s="693"/>
      <c r="AD1390" s="196">
        <v>1</v>
      </c>
      <c r="AE1390" s="187">
        <v>0</v>
      </c>
      <c r="AF1390" s="205">
        <f t="shared" si="69"/>
        <v>1</v>
      </c>
      <c r="AG1390" s="197">
        <v>8</v>
      </c>
      <c r="AH1390" s="197" t="s">
        <v>4632</v>
      </c>
      <c r="AI1390" s="197"/>
      <c r="AJ1390" s="197" t="s">
        <v>1188</v>
      </c>
      <c r="AK1390" s="197" t="s">
        <v>1185</v>
      </c>
      <c r="AL1390" s="93" t="s">
        <v>1178</v>
      </c>
    </row>
    <row r="1391" spans="1:38" ht="15" customHeight="1" x14ac:dyDescent="0.3">
      <c r="A1391" s="181" t="s">
        <v>22</v>
      </c>
      <c r="B1391" s="167" t="s">
        <v>227</v>
      </c>
      <c r="C1391" s="135">
        <v>9</v>
      </c>
      <c r="D1391" s="11" t="s">
        <v>225</v>
      </c>
      <c r="E1391" s="168">
        <v>42172</v>
      </c>
      <c r="F1391" s="136">
        <v>2015</v>
      </c>
      <c r="G1391" s="178" t="s">
        <v>4641</v>
      </c>
      <c r="H1391" s="178" t="s">
        <v>4642</v>
      </c>
      <c r="I1391" s="33" t="s">
        <v>33</v>
      </c>
      <c r="J1391" s="32" t="s">
        <v>26</v>
      </c>
      <c r="K1391" s="197" t="s">
        <v>4643</v>
      </c>
      <c r="L1391" s="197" t="s">
        <v>28</v>
      </c>
      <c r="M1391" s="197" t="s">
        <v>42</v>
      </c>
      <c r="N1391" s="197"/>
      <c r="O1391" s="783" t="s">
        <v>4644</v>
      </c>
      <c r="P1391" s="197" t="s">
        <v>4645</v>
      </c>
      <c r="Q1391" s="15" t="s">
        <v>282</v>
      </c>
      <c r="R1391" s="231">
        <v>42593</v>
      </c>
      <c r="S1391" s="16" t="s">
        <v>44</v>
      </c>
      <c r="T1391" s="232">
        <v>43166</v>
      </c>
      <c r="U1391" s="776"/>
      <c r="V1391" s="776"/>
      <c r="W1391" s="242">
        <v>80000000</v>
      </c>
      <c r="X1391" s="243">
        <v>0</v>
      </c>
      <c r="Y1391" s="201">
        <f t="shared" si="72"/>
        <v>0</v>
      </c>
      <c r="Z1391" s="7">
        <f t="shared" si="70"/>
        <v>0</v>
      </c>
      <c r="AA1391" s="233"/>
      <c r="AB1391" s="504" t="s">
        <v>6115</v>
      </c>
      <c r="AC1391" s="138"/>
      <c r="AD1391" s="196">
        <v>0</v>
      </c>
      <c r="AE1391" s="187">
        <v>0</v>
      </c>
      <c r="AF1391" s="205">
        <f t="shared" si="69"/>
        <v>0</v>
      </c>
      <c r="AG1391" s="197">
        <v>8</v>
      </c>
      <c r="AH1391" s="197" t="s">
        <v>4636</v>
      </c>
      <c r="AI1391" s="197"/>
      <c r="AJ1391" s="197" t="s">
        <v>1188</v>
      </c>
      <c r="AK1391" s="197" t="s">
        <v>1185</v>
      </c>
      <c r="AL1391" s="93" t="s">
        <v>1178</v>
      </c>
    </row>
    <row r="1392" spans="1:38" ht="15" customHeight="1" x14ac:dyDescent="0.3">
      <c r="A1392" s="181" t="s">
        <v>22</v>
      </c>
      <c r="B1392" s="2" t="s">
        <v>6172</v>
      </c>
      <c r="C1392" s="135" t="s">
        <v>196</v>
      </c>
      <c r="D1392" s="136" t="s">
        <v>190</v>
      </c>
      <c r="E1392" s="168">
        <v>40815</v>
      </c>
      <c r="F1392" s="136">
        <v>2011</v>
      </c>
      <c r="G1392" s="178" t="s">
        <v>4646</v>
      </c>
      <c r="H1392" s="204"/>
      <c r="I1392" s="136" t="s">
        <v>38</v>
      </c>
      <c r="J1392" s="32" t="s">
        <v>26</v>
      </c>
      <c r="K1392" s="197" t="s">
        <v>50</v>
      </c>
      <c r="L1392" s="765" t="s">
        <v>28</v>
      </c>
      <c r="M1392" s="138" t="s">
        <v>42</v>
      </c>
      <c r="N1392" s="138"/>
      <c r="O1392" s="765" t="s">
        <v>4647</v>
      </c>
      <c r="P1392" s="765" t="s">
        <v>4648</v>
      </c>
      <c r="Q1392" s="15" t="s">
        <v>282</v>
      </c>
      <c r="R1392" s="179">
        <v>42643</v>
      </c>
      <c r="S1392" s="16" t="s">
        <v>44</v>
      </c>
      <c r="T1392" s="191">
        <v>42776</v>
      </c>
      <c r="U1392" s="707"/>
      <c r="V1392" s="624"/>
      <c r="W1392" s="239">
        <v>6000000</v>
      </c>
      <c r="X1392" s="240">
        <v>0</v>
      </c>
      <c r="Y1392" s="201">
        <f t="shared" si="72"/>
        <v>0</v>
      </c>
      <c r="Z1392" s="185">
        <f t="shared" si="70"/>
        <v>0</v>
      </c>
      <c r="AA1392" s="108"/>
      <c r="AB1392" s="564" t="s">
        <v>2595</v>
      </c>
      <c r="AC1392" s="693"/>
      <c r="AD1392" s="187">
        <v>0</v>
      </c>
      <c r="AE1392" s="187">
        <v>0</v>
      </c>
      <c r="AF1392" s="205">
        <f t="shared" si="69"/>
        <v>0</v>
      </c>
      <c r="AG1392" s="200">
        <v>8</v>
      </c>
      <c r="AH1392" s="138"/>
      <c r="AI1392" s="200"/>
      <c r="AJ1392" s="200" t="s">
        <v>1188</v>
      </c>
      <c r="AK1392" s="200" t="s">
        <v>1185</v>
      </c>
      <c r="AL1392" s="200" t="s">
        <v>1178</v>
      </c>
    </row>
    <row r="1393" spans="1:38" ht="15" customHeight="1" x14ac:dyDescent="0.3">
      <c r="A1393" s="181" t="s">
        <v>22</v>
      </c>
      <c r="B1393" s="153" t="s">
        <v>144</v>
      </c>
      <c r="C1393" s="107">
        <v>9</v>
      </c>
      <c r="D1393" s="11" t="s">
        <v>143</v>
      </c>
      <c r="E1393" s="108">
        <v>37803</v>
      </c>
      <c r="F1393" s="12">
        <v>2003</v>
      </c>
      <c r="G1393" s="178" t="s">
        <v>4649</v>
      </c>
      <c r="H1393" s="162" t="s">
        <v>4650</v>
      </c>
      <c r="I1393" s="33" t="s">
        <v>33</v>
      </c>
      <c r="J1393" s="32" t="s">
        <v>26</v>
      </c>
      <c r="K1393" s="197" t="s">
        <v>71</v>
      </c>
      <c r="L1393" s="137" t="s">
        <v>40</v>
      </c>
      <c r="M1393" s="137" t="s">
        <v>804</v>
      </c>
      <c r="N1393" s="137"/>
      <c r="O1393" s="138" t="s">
        <v>4651</v>
      </c>
      <c r="P1393" s="647" t="s">
        <v>4652</v>
      </c>
      <c r="Q1393" s="15" t="s">
        <v>35</v>
      </c>
      <c r="R1393" s="132">
        <v>38576</v>
      </c>
      <c r="S1393" s="16" t="s">
        <v>35</v>
      </c>
      <c r="T1393" s="133">
        <v>39780</v>
      </c>
      <c r="U1393" s="623" t="s">
        <v>35</v>
      </c>
      <c r="V1393" s="180">
        <v>41058</v>
      </c>
      <c r="W1393" s="269">
        <v>30000000</v>
      </c>
      <c r="X1393" s="7">
        <v>30000000</v>
      </c>
      <c r="Y1393" s="201">
        <f>IF(AE1393="","",W1393*AE1393)</f>
        <v>0</v>
      </c>
      <c r="Z1393" s="201">
        <f>IF(Y1393="",X1393,Y1393+X1393)-20064871</f>
        <v>9935129</v>
      </c>
      <c r="AA1393" s="192">
        <v>43575</v>
      </c>
      <c r="AB1393" s="503" t="s">
        <v>6055</v>
      </c>
      <c r="AC1393" s="222"/>
      <c r="AD1393" s="187">
        <v>1</v>
      </c>
      <c r="AE1393" s="187">
        <v>0</v>
      </c>
      <c r="AF1393" s="205">
        <f t="shared" si="69"/>
        <v>1</v>
      </c>
      <c r="AG1393" s="163">
        <v>10</v>
      </c>
      <c r="AH1393" s="93"/>
      <c r="AI1393" s="718" t="s">
        <v>6139</v>
      </c>
      <c r="AJ1393" s="93" t="s">
        <v>1188</v>
      </c>
      <c r="AK1393" s="30" t="s">
        <v>99</v>
      </c>
      <c r="AL1393" s="93" t="s">
        <v>1178</v>
      </c>
    </row>
    <row r="1394" spans="1:38" ht="15" customHeight="1" x14ac:dyDescent="0.3">
      <c r="A1394" s="30" t="s">
        <v>22</v>
      </c>
      <c r="B1394" s="120" t="s">
        <v>142</v>
      </c>
      <c r="C1394" s="107">
        <v>1</v>
      </c>
      <c r="D1394" s="11" t="s">
        <v>143</v>
      </c>
      <c r="E1394" s="114">
        <v>42066</v>
      </c>
      <c r="F1394" s="107">
        <v>2015</v>
      </c>
      <c r="G1394" s="142" t="s">
        <v>4653</v>
      </c>
      <c r="H1394" s="204" t="s">
        <v>4654</v>
      </c>
      <c r="I1394" s="12" t="s">
        <v>38</v>
      </c>
      <c r="J1394" s="32" t="s">
        <v>26</v>
      </c>
      <c r="K1394" s="137" t="s">
        <v>3979</v>
      </c>
      <c r="L1394" s="197" t="s">
        <v>28</v>
      </c>
      <c r="M1394" s="197" t="s">
        <v>42</v>
      </c>
      <c r="N1394" s="197"/>
      <c r="O1394" s="197" t="s">
        <v>4655</v>
      </c>
      <c r="P1394" s="197" t="s">
        <v>4656</v>
      </c>
      <c r="Q1394" s="15" t="s">
        <v>282</v>
      </c>
      <c r="R1394" s="179">
        <v>42214</v>
      </c>
      <c r="S1394" s="16" t="s">
        <v>44</v>
      </c>
      <c r="T1394" s="191">
        <v>42783</v>
      </c>
      <c r="U1394" s="707"/>
      <c r="V1394" s="623"/>
      <c r="W1394" s="249">
        <v>80000000</v>
      </c>
      <c r="X1394" s="253">
        <v>0</v>
      </c>
      <c r="Y1394" s="201">
        <f>IF(AE1394="","",W1394*AE1394)</f>
        <v>0</v>
      </c>
      <c r="Z1394" s="7">
        <f t="shared" ref="Z1394:Z1448" si="73">IF(Y1394="",X1394,Y1394+X1394)</f>
        <v>0</v>
      </c>
      <c r="AA1394" s="90"/>
      <c r="AB1394" s="503" t="s">
        <v>147</v>
      </c>
      <c r="AC1394" s="222"/>
      <c r="AD1394" s="187">
        <v>0</v>
      </c>
      <c r="AE1394" s="187">
        <v>0</v>
      </c>
      <c r="AF1394" s="205">
        <f t="shared" si="69"/>
        <v>0</v>
      </c>
      <c r="AG1394" s="88">
        <v>8</v>
      </c>
      <c r="AH1394" s="146"/>
      <c r="AI1394" s="719" t="s">
        <v>4657</v>
      </c>
      <c r="AJ1394" s="146" t="s">
        <v>1188</v>
      </c>
      <c r="AK1394" s="37" t="s">
        <v>1185</v>
      </c>
      <c r="AL1394" s="146" t="s">
        <v>1178</v>
      </c>
    </row>
    <row r="1395" spans="1:38" ht="15" customHeight="1" x14ac:dyDescent="0.3">
      <c r="A1395" s="30" t="s">
        <v>140</v>
      </c>
      <c r="B1395" s="120" t="s">
        <v>148</v>
      </c>
      <c r="C1395" s="107">
        <v>1</v>
      </c>
      <c r="D1395" s="11" t="s">
        <v>143</v>
      </c>
      <c r="E1395" s="114">
        <v>42356</v>
      </c>
      <c r="F1395" s="107">
        <v>2015</v>
      </c>
      <c r="G1395" s="142" t="s">
        <v>4658</v>
      </c>
      <c r="H1395" s="204" t="s">
        <v>4659</v>
      </c>
      <c r="I1395" s="12" t="s">
        <v>38</v>
      </c>
      <c r="J1395" s="30" t="s">
        <v>81</v>
      </c>
      <c r="K1395" s="813" t="s">
        <v>163</v>
      </c>
      <c r="L1395" s="197" t="s">
        <v>28</v>
      </c>
      <c r="M1395" s="197" t="s">
        <v>42</v>
      </c>
      <c r="N1395" s="197"/>
      <c r="O1395" s="814" t="s">
        <v>4660</v>
      </c>
      <c r="P1395" s="197" t="s">
        <v>6140</v>
      </c>
      <c r="Q1395" s="143"/>
      <c r="R1395" s="179"/>
      <c r="S1395" s="92"/>
      <c r="T1395" s="133"/>
      <c r="U1395" s="623"/>
      <c r="V1395" s="623"/>
      <c r="W1395" s="249">
        <v>5000000</v>
      </c>
      <c r="X1395" s="240">
        <v>0</v>
      </c>
      <c r="Y1395" s="201">
        <f>IF(AE1395="","",W1395*AE1395)</f>
        <v>0</v>
      </c>
      <c r="Z1395" s="7">
        <f t="shared" si="73"/>
        <v>0</v>
      </c>
      <c r="AA1395" s="108"/>
      <c r="AB1395" s="503" t="s">
        <v>98</v>
      </c>
      <c r="AC1395" s="222"/>
      <c r="AD1395" s="187">
        <v>0</v>
      </c>
      <c r="AE1395" s="187">
        <v>0</v>
      </c>
      <c r="AF1395" s="205">
        <f t="shared" si="69"/>
        <v>0</v>
      </c>
      <c r="AG1395" s="163">
        <v>10</v>
      </c>
      <c r="AH1395" s="93"/>
      <c r="AI1395" s="718" t="s">
        <v>4661</v>
      </c>
      <c r="AJ1395" s="93" t="s">
        <v>1188</v>
      </c>
      <c r="AK1395" s="30" t="s">
        <v>1177</v>
      </c>
      <c r="AL1395" s="146" t="s">
        <v>1178</v>
      </c>
    </row>
    <row r="1396" spans="1:38" ht="15" customHeight="1" x14ac:dyDescent="0.3">
      <c r="A1396" s="181" t="s">
        <v>140</v>
      </c>
      <c r="B1396" s="301" t="s">
        <v>819</v>
      </c>
      <c r="C1396" s="107">
        <v>3</v>
      </c>
      <c r="D1396" s="11" t="s">
        <v>225</v>
      </c>
      <c r="E1396" s="114">
        <v>43517</v>
      </c>
      <c r="F1396" s="12">
        <v>2019</v>
      </c>
      <c r="G1396" s="142" t="s">
        <v>4662</v>
      </c>
      <c r="H1396" s="162" t="s">
        <v>4663</v>
      </c>
      <c r="I1396" s="107" t="s">
        <v>38</v>
      </c>
      <c r="J1396" s="248" t="s">
        <v>81</v>
      </c>
      <c r="K1396" s="264" t="s">
        <v>4305</v>
      </c>
      <c r="L1396" s="264" t="s">
        <v>28</v>
      </c>
      <c r="M1396" s="264" t="s">
        <v>42</v>
      </c>
      <c r="N1396" s="264" t="s">
        <v>43</v>
      </c>
      <c r="O1396" s="783" t="s">
        <v>4664</v>
      </c>
      <c r="P1396" s="783" t="s">
        <v>6141</v>
      </c>
      <c r="Q1396" s="278"/>
      <c r="R1396" s="278"/>
      <c r="S1396" s="649"/>
      <c r="T1396" s="241"/>
      <c r="U1396" s="776"/>
      <c r="V1396" s="776"/>
      <c r="W1396" s="256">
        <v>5000000</v>
      </c>
      <c r="X1396" s="185"/>
      <c r="Y1396" s="189" t="str">
        <f>IF(AE1396="","",W1396*AE1396)</f>
        <v/>
      </c>
      <c r="Z1396" s="185">
        <f t="shared" si="73"/>
        <v>0</v>
      </c>
      <c r="AA1396" s="233"/>
      <c r="AB1396" s="503" t="s">
        <v>3960</v>
      </c>
      <c r="AC1396" s="222"/>
      <c r="AD1396" s="196"/>
      <c r="AE1396" s="187"/>
      <c r="AF1396" s="205">
        <f t="shared" si="69"/>
        <v>0</v>
      </c>
      <c r="AG1396" s="197">
        <v>8</v>
      </c>
      <c r="AH1396" s="197"/>
      <c r="AI1396" s="736" t="s">
        <v>4665</v>
      </c>
      <c r="AJ1396" s="197" t="s">
        <v>1188</v>
      </c>
      <c r="AK1396" s="197" t="s">
        <v>1177</v>
      </c>
      <c r="AL1396" s="93" t="s">
        <v>1178</v>
      </c>
    </row>
    <row r="1397" spans="1:38" ht="15" customHeight="1" x14ac:dyDescent="0.3">
      <c r="A1397" s="181" t="s">
        <v>22</v>
      </c>
      <c r="B1397" s="145" t="s">
        <v>105</v>
      </c>
      <c r="C1397" s="135">
        <v>34</v>
      </c>
      <c r="D1397" s="11" t="s">
        <v>5936</v>
      </c>
      <c r="E1397" s="168">
        <v>42158</v>
      </c>
      <c r="F1397" s="136">
        <v>2015</v>
      </c>
      <c r="G1397" s="178" t="s">
        <v>4666</v>
      </c>
      <c r="H1397" s="204" t="s">
        <v>4667</v>
      </c>
      <c r="I1397" s="136" t="s">
        <v>38</v>
      </c>
      <c r="J1397" s="32" t="s">
        <v>26</v>
      </c>
      <c r="K1397" s="197" t="s">
        <v>50</v>
      </c>
      <c r="L1397" s="197" t="s">
        <v>28</v>
      </c>
      <c r="M1397" s="197" t="s">
        <v>42</v>
      </c>
      <c r="N1397" s="197"/>
      <c r="O1397" s="197" t="s">
        <v>4668</v>
      </c>
      <c r="P1397" s="197" t="s">
        <v>6142</v>
      </c>
      <c r="Q1397" s="15" t="s">
        <v>282</v>
      </c>
      <c r="R1397" s="218">
        <v>42830</v>
      </c>
      <c r="S1397" s="16" t="s">
        <v>44</v>
      </c>
      <c r="T1397" s="133">
        <v>43531</v>
      </c>
      <c r="U1397" s="623"/>
      <c r="V1397" s="624"/>
      <c r="W1397" s="242">
        <v>28800000</v>
      </c>
      <c r="X1397" s="243">
        <v>0</v>
      </c>
      <c r="Y1397" s="201">
        <f>IF(AE1397="","",W1397*AE1397)</f>
        <v>0</v>
      </c>
      <c r="Z1397" s="185">
        <f t="shared" si="73"/>
        <v>0</v>
      </c>
      <c r="AA1397" s="233"/>
      <c r="AB1397" s="513" t="s">
        <v>3232</v>
      </c>
      <c r="AC1397" s="147"/>
      <c r="AD1397" s="196">
        <v>0</v>
      </c>
      <c r="AE1397" s="187">
        <v>0</v>
      </c>
      <c r="AF1397" s="205">
        <f t="shared" si="69"/>
        <v>0</v>
      </c>
      <c r="AG1397" s="138">
        <v>8</v>
      </c>
      <c r="AH1397" s="138"/>
      <c r="AI1397" s="138"/>
      <c r="AJ1397" s="138" t="s">
        <v>1188</v>
      </c>
      <c r="AK1397" s="181" t="s">
        <v>1185</v>
      </c>
      <c r="AL1397" s="138" t="s">
        <v>1178</v>
      </c>
    </row>
    <row r="1398" spans="1:38" ht="15" customHeight="1" x14ac:dyDescent="0.3">
      <c r="A1398" s="181" t="s">
        <v>22</v>
      </c>
      <c r="B1398" s="265" t="s">
        <v>105</v>
      </c>
      <c r="C1398" s="245">
        <v>26</v>
      </c>
      <c r="D1398" s="11" t="s">
        <v>5936</v>
      </c>
      <c r="E1398" s="247">
        <v>42612</v>
      </c>
      <c r="F1398" s="246">
        <v>2016</v>
      </c>
      <c r="G1398" s="792" t="s">
        <v>4670</v>
      </c>
      <c r="H1398" s="792" t="s">
        <v>4671</v>
      </c>
      <c r="I1398" s="30" t="s">
        <v>38</v>
      </c>
      <c r="J1398" s="32" t="s">
        <v>26</v>
      </c>
      <c r="K1398" s="264" t="s">
        <v>113</v>
      </c>
      <c r="L1398" s="264" t="s">
        <v>4672</v>
      </c>
      <c r="M1398" s="137" t="s">
        <v>804</v>
      </c>
      <c r="N1398" s="197"/>
      <c r="O1398" s="805" t="s">
        <v>4673</v>
      </c>
      <c r="P1398" s="811" t="s">
        <v>4674</v>
      </c>
      <c r="Q1398" s="15" t="s">
        <v>35</v>
      </c>
      <c r="R1398" s="218">
        <v>43081</v>
      </c>
      <c r="S1398" s="16" t="s">
        <v>35</v>
      </c>
      <c r="T1398" s="133">
        <v>43131</v>
      </c>
      <c r="U1398" s="623"/>
      <c r="V1398" s="624"/>
      <c r="W1398" s="239">
        <v>70000000</v>
      </c>
      <c r="X1398" s="243">
        <v>70000000</v>
      </c>
      <c r="Y1398" s="201">
        <v>-70000000</v>
      </c>
      <c r="Z1398" s="189">
        <f t="shared" si="73"/>
        <v>0</v>
      </c>
      <c r="AA1398" s="267">
        <v>43567</v>
      </c>
      <c r="AB1398" s="564" t="s">
        <v>1073</v>
      </c>
      <c r="AC1398" s="693"/>
      <c r="AD1398" s="187">
        <v>1</v>
      </c>
      <c r="AE1398" s="187">
        <v>0</v>
      </c>
      <c r="AF1398" s="205">
        <f t="shared" si="69"/>
        <v>1</v>
      </c>
      <c r="AG1398" s="181">
        <v>8</v>
      </c>
      <c r="AH1398" s="264" t="s">
        <v>6158</v>
      </c>
      <c r="AI1398" s="138"/>
      <c r="AJ1398" s="138" t="s">
        <v>1188</v>
      </c>
      <c r="AK1398" s="30" t="s">
        <v>99</v>
      </c>
      <c r="AL1398" s="138" t="s">
        <v>1178</v>
      </c>
    </row>
    <row r="1399" spans="1:38" ht="15" customHeight="1" x14ac:dyDescent="0.3">
      <c r="A1399" s="181" t="s">
        <v>22</v>
      </c>
      <c r="B1399" s="181" t="s">
        <v>39</v>
      </c>
      <c r="C1399" s="184">
        <v>1</v>
      </c>
      <c r="D1399" s="11" t="s">
        <v>24</v>
      </c>
      <c r="E1399" s="192">
        <v>42706</v>
      </c>
      <c r="F1399" s="181">
        <v>2016</v>
      </c>
      <c r="G1399" s="181" t="s">
        <v>4675</v>
      </c>
      <c r="H1399" s="217" t="s">
        <v>4676</v>
      </c>
      <c r="I1399" s="33" t="s">
        <v>33</v>
      </c>
      <c r="J1399" s="32" t="s">
        <v>26</v>
      </c>
      <c r="K1399" s="197" t="s">
        <v>4677</v>
      </c>
      <c r="L1399" s="137" t="s">
        <v>40</v>
      </c>
      <c r="M1399" s="137" t="s">
        <v>804</v>
      </c>
      <c r="N1399" s="799"/>
      <c r="O1399" s="146" t="s">
        <v>4678</v>
      </c>
      <c r="P1399" s="800" t="s">
        <v>4679</v>
      </c>
      <c r="Q1399" s="15" t="s">
        <v>35</v>
      </c>
      <c r="R1399" s="132">
        <v>43154</v>
      </c>
      <c r="S1399" s="16" t="s">
        <v>35</v>
      </c>
      <c r="T1399" s="165">
        <v>43231</v>
      </c>
      <c r="U1399" s="624"/>
      <c r="V1399" s="624"/>
      <c r="W1399" s="239">
        <v>40000000</v>
      </c>
      <c r="X1399" s="240">
        <v>36857032</v>
      </c>
      <c r="Y1399" s="201">
        <v>-8974526</v>
      </c>
      <c r="Z1399" s="201">
        <f t="shared" si="73"/>
        <v>27882506</v>
      </c>
      <c r="AA1399" s="192">
        <v>43560</v>
      </c>
      <c r="AB1399" s="762" t="s">
        <v>3077</v>
      </c>
      <c r="AC1399" s="652"/>
      <c r="AD1399" s="258">
        <v>1</v>
      </c>
      <c r="AE1399" s="187">
        <v>0</v>
      </c>
      <c r="AF1399" s="205">
        <f t="shared" si="69"/>
        <v>1</v>
      </c>
      <c r="AG1399" s="181">
        <v>8</v>
      </c>
      <c r="AH1399" s="181" t="s">
        <v>4669</v>
      </c>
      <c r="AI1399" s="787" t="s">
        <v>4681</v>
      </c>
      <c r="AJ1399" s="181" t="s">
        <v>1188</v>
      </c>
      <c r="AK1399" s="30" t="s">
        <v>1185</v>
      </c>
      <c r="AL1399" s="93" t="s">
        <v>1178</v>
      </c>
    </row>
    <row r="1400" spans="1:38" ht="15" customHeight="1" x14ac:dyDescent="0.3">
      <c r="A1400" s="181" t="s">
        <v>22</v>
      </c>
      <c r="B1400" s="145" t="s">
        <v>694</v>
      </c>
      <c r="C1400" s="135" t="s">
        <v>2192</v>
      </c>
      <c r="D1400" s="136" t="s">
        <v>190</v>
      </c>
      <c r="E1400" s="168">
        <v>40351</v>
      </c>
      <c r="F1400" s="136">
        <v>2010</v>
      </c>
      <c r="G1400" s="178" t="s">
        <v>4682</v>
      </c>
      <c r="H1400" s="204"/>
      <c r="I1400" s="33" t="s">
        <v>33</v>
      </c>
      <c r="J1400" s="32" t="s">
        <v>26</v>
      </c>
      <c r="K1400" s="197" t="s">
        <v>50</v>
      </c>
      <c r="L1400" s="197" t="s">
        <v>161</v>
      </c>
      <c r="M1400" s="197" t="s">
        <v>42</v>
      </c>
      <c r="N1400" s="197"/>
      <c r="O1400" s="138" t="s">
        <v>4683</v>
      </c>
      <c r="P1400" s="718" t="s">
        <v>4684</v>
      </c>
      <c r="Q1400" s="15" t="s">
        <v>282</v>
      </c>
      <c r="R1400" s="132">
        <v>40998</v>
      </c>
      <c r="S1400" s="16" t="s">
        <v>44</v>
      </c>
      <c r="T1400" s="133">
        <v>41417</v>
      </c>
      <c r="U1400" s="623" t="s">
        <v>44</v>
      </c>
      <c r="V1400" s="180">
        <v>43557</v>
      </c>
      <c r="W1400" s="242">
        <v>126000000</v>
      </c>
      <c r="X1400" s="259">
        <v>0</v>
      </c>
      <c r="Y1400" s="201">
        <f>IF(AE1400="","",W1400*AE1400)</f>
        <v>0</v>
      </c>
      <c r="Z1400" s="185">
        <f t="shared" si="73"/>
        <v>0</v>
      </c>
      <c r="AA1400" s="229"/>
      <c r="AB1400" s="564" t="s">
        <v>1073</v>
      </c>
      <c r="AC1400" s="693"/>
      <c r="AD1400" s="187">
        <v>0</v>
      </c>
      <c r="AE1400" s="187">
        <v>0</v>
      </c>
      <c r="AF1400" s="210">
        <f t="shared" si="69"/>
        <v>0</v>
      </c>
      <c r="AG1400" s="138">
        <v>8</v>
      </c>
      <c r="AH1400" s="138" t="s">
        <v>4606</v>
      </c>
      <c r="AI1400" s="138"/>
      <c r="AJ1400" s="138" t="s">
        <v>1188</v>
      </c>
      <c r="AK1400" s="30" t="s">
        <v>99</v>
      </c>
      <c r="AL1400" s="138" t="s">
        <v>1178</v>
      </c>
    </row>
    <row r="1401" spans="1:38" ht="15" customHeight="1" x14ac:dyDescent="0.3">
      <c r="A1401" s="181" t="s">
        <v>22</v>
      </c>
      <c r="B1401" s="167" t="s">
        <v>2777</v>
      </c>
      <c r="C1401" s="135" t="s">
        <v>240</v>
      </c>
      <c r="D1401" s="11" t="s">
        <v>225</v>
      </c>
      <c r="E1401" s="168">
        <v>42017</v>
      </c>
      <c r="F1401" s="136">
        <v>2014</v>
      </c>
      <c r="G1401" s="178" t="s">
        <v>4686</v>
      </c>
      <c r="H1401" s="178" t="s">
        <v>4687</v>
      </c>
      <c r="I1401" s="33" t="s">
        <v>33</v>
      </c>
      <c r="J1401" s="32" t="s">
        <v>26</v>
      </c>
      <c r="K1401" s="137" t="s">
        <v>3979</v>
      </c>
      <c r="L1401" s="197" t="s">
        <v>85</v>
      </c>
      <c r="M1401" s="137" t="s">
        <v>804</v>
      </c>
      <c r="N1401" s="197"/>
      <c r="O1401" s="783" t="s">
        <v>4688</v>
      </c>
      <c r="P1401" s="736" t="s">
        <v>4689</v>
      </c>
      <c r="Q1401" s="15" t="s">
        <v>282</v>
      </c>
      <c r="R1401" s="231">
        <v>42593</v>
      </c>
      <c r="S1401" s="16" t="s">
        <v>35</v>
      </c>
      <c r="T1401" s="232">
        <v>43179</v>
      </c>
      <c r="U1401" s="776"/>
      <c r="V1401" s="776"/>
      <c r="W1401" s="242">
        <v>40000000</v>
      </c>
      <c r="X1401" s="243">
        <v>40000000</v>
      </c>
      <c r="Y1401" s="201">
        <f>IF(AE1401="","",W1401*AE1401)</f>
        <v>0</v>
      </c>
      <c r="Z1401" s="201">
        <f t="shared" si="73"/>
        <v>40000000</v>
      </c>
      <c r="AA1401" s="233">
        <v>43881</v>
      </c>
      <c r="AB1401" s="504" t="s">
        <v>6115</v>
      </c>
      <c r="AC1401" s="138"/>
      <c r="AD1401" s="196">
        <v>1</v>
      </c>
      <c r="AE1401" s="187">
        <v>0</v>
      </c>
      <c r="AF1401" s="205">
        <f t="shared" si="69"/>
        <v>1</v>
      </c>
      <c r="AG1401" s="197">
        <v>8</v>
      </c>
      <c r="AH1401" s="197" t="s">
        <v>4680</v>
      </c>
      <c r="AI1401" s="736" t="s">
        <v>4691</v>
      </c>
      <c r="AJ1401" s="197" t="s">
        <v>1188</v>
      </c>
      <c r="AK1401" s="30" t="s">
        <v>99</v>
      </c>
      <c r="AL1401" s="93" t="s">
        <v>1178</v>
      </c>
    </row>
    <row r="1402" spans="1:38" ht="15" customHeight="1" x14ac:dyDescent="0.3">
      <c r="A1402" s="181" t="s">
        <v>22</v>
      </c>
      <c r="B1402" s="181" t="s">
        <v>2095</v>
      </c>
      <c r="C1402" s="184">
        <v>1</v>
      </c>
      <c r="D1402" s="11" t="s">
        <v>24</v>
      </c>
      <c r="E1402" s="192">
        <v>43256</v>
      </c>
      <c r="F1402" s="181">
        <v>2018</v>
      </c>
      <c r="G1402" s="181" t="s">
        <v>4692</v>
      </c>
      <c r="H1402" s="217" t="s">
        <v>4693</v>
      </c>
      <c r="I1402" s="12" t="s">
        <v>38</v>
      </c>
      <c r="J1402" s="32" t="s">
        <v>26</v>
      </c>
      <c r="K1402" s="197" t="s">
        <v>4014</v>
      </c>
      <c r="L1402" s="138" t="s">
        <v>56</v>
      </c>
      <c r="M1402" s="279" t="s">
        <v>42</v>
      </c>
      <c r="N1402" s="279"/>
      <c r="O1402" s="137" t="s">
        <v>4694</v>
      </c>
      <c r="P1402" s="815" t="s">
        <v>6143</v>
      </c>
      <c r="Q1402" s="152"/>
      <c r="R1402" s="164"/>
      <c r="S1402" s="139"/>
      <c r="T1402" s="165"/>
      <c r="U1402" s="624"/>
      <c r="V1402" s="624"/>
      <c r="W1402" s="239">
        <v>30000000</v>
      </c>
      <c r="X1402" s="240">
        <v>0</v>
      </c>
      <c r="Y1402" s="201">
        <f>IF(AE1402="","",W1402*AE1402)</f>
        <v>0</v>
      </c>
      <c r="Z1402" s="7">
        <f t="shared" si="73"/>
        <v>0</v>
      </c>
      <c r="AA1402" s="192"/>
      <c r="AB1402" s="479" t="s">
        <v>49</v>
      </c>
      <c r="AC1402" s="480"/>
      <c r="AD1402" s="258">
        <v>0</v>
      </c>
      <c r="AE1402" s="187">
        <v>0</v>
      </c>
      <c r="AF1402" s="205">
        <f t="shared" si="69"/>
        <v>0</v>
      </c>
      <c r="AG1402" s="279">
        <v>8</v>
      </c>
      <c r="AH1402" s="279" t="s">
        <v>4685</v>
      </c>
      <c r="AI1402" s="816" t="s">
        <v>4695</v>
      </c>
      <c r="AJ1402" s="279" t="s">
        <v>1188</v>
      </c>
      <c r="AK1402" s="30" t="s">
        <v>1177</v>
      </c>
      <c r="AL1402" s="93" t="s">
        <v>1178</v>
      </c>
    </row>
    <row r="1403" spans="1:38" ht="15" customHeight="1" x14ac:dyDescent="0.3">
      <c r="A1403" s="181" t="s">
        <v>22</v>
      </c>
      <c r="B1403" s="145" t="s">
        <v>1339</v>
      </c>
      <c r="C1403" s="135" t="s">
        <v>196</v>
      </c>
      <c r="D1403" s="136" t="s">
        <v>190</v>
      </c>
      <c r="E1403" s="168">
        <v>41183</v>
      </c>
      <c r="F1403" s="136">
        <v>2012</v>
      </c>
      <c r="G1403" s="178" t="s">
        <v>4696</v>
      </c>
      <c r="H1403" s="204" t="s">
        <v>4697</v>
      </c>
      <c r="I1403" s="57" t="s">
        <v>6176</v>
      </c>
      <c r="J1403" s="181" t="s">
        <v>67</v>
      </c>
      <c r="K1403" s="197" t="s">
        <v>259</v>
      </c>
      <c r="L1403" s="746" t="s">
        <v>40</v>
      </c>
      <c r="M1403" s="137" t="s">
        <v>804</v>
      </c>
      <c r="N1403" s="197"/>
      <c r="O1403" s="138" t="s">
        <v>4698</v>
      </c>
      <c r="P1403" s="138" t="s">
        <v>4699</v>
      </c>
      <c r="Q1403" s="15" t="s">
        <v>35</v>
      </c>
      <c r="R1403" s="179">
        <v>41415</v>
      </c>
      <c r="S1403" s="16" t="s">
        <v>35</v>
      </c>
      <c r="T1403" s="191">
        <v>43584</v>
      </c>
      <c r="U1403" s="707"/>
      <c r="V1403" s="624"/>
      <c r="W1403" s="239">
        <v>5000000</v>
      </c>
      <c r="X1403" s="253">
        <v>5000000</v>
      </c>
      <c r="Y1403" s="201">
        <v>-5000000</v>
      </c>
      <c r="Z1403" s="185">
        <f t="shared" si="73"/>
        <v>0</v>
      </c>
      <c r="AA1403" s="212">
        <v>43637</v>
      </c>
      <c r="AB1403" s="706" t="s">
        <v>2922</v>
      </c>
      <c r="AC1403" s="200"/>
      <c r="AD1403" s="187">
        <v>1</v>
      </c>
      <c r="AE1403" s="187">
        <v>0</v>
      </c>
      <c r="AF1403" s="205">
        <f t="shared" si="69"/>
        <v>1</v>
      </c>
      <c r="AG1403" s="200">
        <v>8</v>
      </c>
      <c r="AH1403" s="138" t="s">
        <v>4690</v>
      </c>
      <c r="AI1403" s="719" t="s">
        <v>4700</v>
      </c>
      <c r="AJ1403" s="200" t="s">
        <v>1188</v>
      </c>
      <c r="AK1403" s="200" t="s">
        <v>1185</v>
      </c>
      <c r="AL1403" s="200" t="s">
        <v>1178</v>
      </c>
    </row>
    <row r="1404" spans="1:38" ht="15" customHeight="1" x14ac:dyDescent="0.3">
      <c r="A1404" s="181" t="s">
        <v>22</v>
      </c>
      <c r="B1404" s="145" t="s">
        <v>422</v>
      </c>
      <c r="C1404" s="135">
        <v>3</v>
      </c>
      <c r="D1404" s="136" t="s">
        <v>190</v>
      </c>
      <c r="E1404" s="168">
        <v>41908</v>
      </c>
      <c r="F1404" s="136">
        <v>2014</v>
      </c>
      <c r="G1404" s="178" t="s">
        <v>4701</v>
      </c>
      <c r="H1404" s="204" t="s">
        <v>4702</v>
      </c>
      <c r="I1404" s="30" t="s">
        <v>38</v>
      </c>
      <c r="J1404" s="32" t="s">
        <v>26</v>
      </c>
      <c r="K1404" s="197" t="s">
        <v>50</v>
      </c>
      <c r="L1404" s="746" t="s">
        <v>4703</v>
      </c>
      <c r="M1404" s="137" t="s">
        <v>804</v>
      </c>
      <c r="N1404" s="138"/>
      <c r="O1404" s="138" t="s">
        <v>4704</v>
      </c>
      <c r="P1404" s="138" t="s">
        <v>4705</v>
      </c>
      <c r="Q1404" s="15" t="s">
        <v>35</v>
      </c>
      <c r="R1404" s="132">
        <v>42599</v>
      </c>
      <c r="S1404" s="16" t="s">
        <v>35</v>
      </c>
      <c r="T1404" s="133">
        <v>43536</v>
      </c>
      <c r="U1404" s="623"/>
      <c r="V1404" s="624"/>
      <c r="W1404" s="242">
        <v>9500000</v>
      </c>
      <c r="X1404" s="243">
        <v>9500000</v>
      </c>
      <c r="Y1404" s="201">
        <v>-6959215</v>
      </c>
      <c r="Z1404" s="189">
        <f t="shared" si="73"/>
        <v>2540785</v>
      </c>
      <c r="AA1404" s="229">
        <v>43641</v>
      </c>
      <c r="AB1404" s="503" t="s">
        <v>201</v>
      </c>
      <c r="AC1404" s="222"/>
      <c r="AD1404" s="196">
        <v>1</v>
      </c>
      <c r="AE1404" s="187">
        <v>0</v>
      </c>
      <c r="AF1404" s="205">
        <f t="shared" si="69"/>
        <v>1</v>
      </c>
      <c r="AG1404" s="138">
        <v>8</v>
      </c>
      <c r="AH1404" s="138" t="s">
        <v>192</v>
      </c>
      <c r="AI1404" s="718" t="s">
        <v>4707</v>
      </c>
      <c r="AJ1404" s="138" t="s">
        <v>1188</v>
      </c>
      <c r="AK1404" s="181" t="s">
        <v>1185</v>
      </c>
      <c r="AL1404" s="138" t="s">
        <v>1178</v>
      </c>
    </row>
    <row r="1405" spans="1:38" ht="15" customHeight="1" x14ac:dyDescent="0.3">
      <c r="A1405" s="181" t="s">
        <v>22</v>
      </c>
      <c r="B1405" s="145" t="s">
        <v>227</v>
      </c>
      <c r="C1405" s="135">
        <v>5</v>
      </c>
      <c r="D1405" s="11" t="s">
        <v>225</v>
      </c>
      <c r="E1405" s="168">
        <v>40400</v>
      </c>
      <c r="F1405" s="136">
        <v>2010</v>
      </c>
      <c r="G1405" s="178" t="s">
        <v>4708</v>
      </c>
      <c r="H1405" s="204" t="s">
        <v>4709</v>
      </c>
      <c r="I1405" s="33" t="s">
        <v>33</v>
      </c>
      <c r="J1405" s="32" t="s">
        <v>26</v>
      </c>
      <c r="K1405" s="197" t="s">
        <v>50</v>
      </c>
      <c r="L1405" s="138" t="s">
        <v>28</v>
      </c>
      <c r="M1405" s="197" t="s">
        <v>42</v>
      </c>
      <c r="N1405" s="197"/>
      <c r="O1405" s="138" t="s">
        <v>4710</v>
      </c>
      <c r="P1405" s="732" t="s">
        <v>4711</v>
      </c>
      <c r="Q1405" s="15" t="s">
        <v>282</v>
      </c>
      <c r="R1405" s="132">
        <v>41697</v>
      </c>
      <c r="S1405" s="16" t="s">
        <v>44</v>
      </c>
      <c r="T1405" s="133">
        <v>43343</v>
      </c>
      <c r="U1405" s="623"/>
      <c r="V1405" s="623"/>
      <c r="W1405" s="249">
        <v>86500000</v>
      </c>
      <c r="X1405" s="240">
        <v>0</v>
      </c>
      <c r="Y1405" s="201">
        <f t="shared" ref="Y1405:Y1412" si="74">IF(AE1405="","",W1405*AE1405)</f>
        <v>0</v>
      </c>
      <c r="Z1405" s="7">
        <f t="shared" si="73"/>
        <v>0</v>
      </c>
      <c r="AA1405" s="108"/>
      <c r="AB1405" s="500" t="s">
        <v>5953</v>
      </c>
      <c r="AC1405" s="501"/>
      <c r="AD1405" s="187">
        <v>0</v>
      </c>
      <c r="AE1405" s="187">
        <v>0</v>
      </c>
      <c r="AF1405" s="205">
        <f t="shared" si="69"/>
        <v>0</v>
      </c>
      <c r="AG1405" s="138">
        <v>8</v>
      </c>
      <c r="AH1405" s="138" t="s">
        <v>230</v>
      </c>
      <c r="AI1405" s="138"/>
      <c r="AJ1405" s="138" t="s">
        <v>1188</v>
      </c>
      <c r="AK1405" s="30" t="s">
        <v>99</v>
      </c>
      <c r="AL1405" s="93" t="s">
        <v>1178</v>
      </c>
    </row>
    <row r="1406" spans="1:38" ht="15" customHeight="1" x14ac:dyDescent="0.3">
      <c r="A1406" s="181" t="s">
        <v>22</v>
      </c>
      <c r="B1406" s="265" t="s">
        <v>105</v>
      </c>
      <c r="C1406" s="245">
        <v>29</v>
      </c>
      <c r="D1406" s="11" t="s">
        <v>5936</v>
      </c>
      <c r="E1406" s="247">
        <v>42710</v>
      </c>
      <c r="F1406" s="246">
        <v>2016</v>
      </c>
      <c r="G1406" s="792" t="s">
        <v>4712</v>
      </c>
      <c r="H1406" s="792" t="s">
        <v>4713</v>
      </c>
      <c r="I1406" s="246" t="s">
        <v>38</v>
      </c>
      <c r="J1406" s="32" t="s">
        <v>26</v>
      </c>
      <c r="K1406" s="264" t="s">
        <v>4714</v>
      </c>
      <c r="L1406" s="264" t="s">
        <v>28</v>
      </c>
      <c r="M1406" s="264" t="s">
        <v>42</v>
      </c>
      <c r="N1406" s="264"/>
      <c r="O1406" s="805" t="s">
        <v>4715</v>
      </c>
      <c r="P1406" s="794" t="s">
        <v>4716</v>
      </c>
      <c r="Q1406" s="15" t="s">
        <v>282</v>
      </c>
      <c r="R1406" s="218">
        <v>43217</v>
      </c>
      <c r="S1406" s="16" t="s">
        <v>44</v>
      </c>
      <c r="T1406" s="133">
        <v>43579</v>
      </c>
      <c r="U1406" s="623"/>
      <c r="V1406" s="624"/>
      <c r="W1406" s="239">
        <v>62000000</v>
      </c>
      <c r="X1406" s="243">
        <v>0</v>
      </c>
      <c r="Y1406" s="201">
        <f t="shared" si="74"/>
        <v>0</v>
      </c>
      <c r="Z1406" s="189">
        <f t="shared" si="73"/>
        <v>0</v>
      </c>
      <c r="AA1406" s="267"/>
      <c r="AB1406" s="513" t="s">
        <v>3232</v>
      </c>
      <c r="AC1406" s="147"/>
      <c r="AD1406" s="187">
        <v>0</v>
      </c>
      <c r="AE1406" s="187">
        <v>0</v>
      </c>
      <c r="AF1406" s="205">
        <f t="shared" si="69"/>
        <v>0</v>
      </c>
      <c r="AG1406" s="181">
        <v>8</v>
      </c>
      <c r="AH1406" s="264" t="s">
        <v>4706</v>
      </c>
      <c r="AI1406" s="138"/>
      <c r="AJ1406" s="138" t="s">
        <v>1188</v>
      </c>
      <c r="AK1406" s="181" t="s">
        <v>1185</v>
      </c>
      <c r="AL1406" s="138" t="s">
        <v>1178</v>
      </c>
    </row>
    <row r="1407" spans="1:38" ht="15" customHeight="1" x14ac:dyDescent="0.3">
      <c r="A1407" s="181" t="s">
        <v>22</v>
      </c>
      <c r="B1407" s="265" t="s">
        <v>105</v>
      </c>
      <c r="C1407" s="245">
        <v>21</v>
      </c>
      <c r="D1407" s="11" t="s">
        <v>5936</v>
      </c>
      <c r="E1407" s="247">
        <v>42815</v>
      </c>
      <c r="F1407" s="246">
        <v>2017</v>
      </c>
      <c r="G1407" s="792" t="s">
        <v>4717</v>
      </c>
      <c r="H1407" s="792" t="s">
        <v>4718</v>
      </c>
      <c r="I1407" s="246" t="s">
        <v>38</v>
      </c>
      <c r="J1407" s="32" t="s">
        <v>26</v>
      </c>
      <c r="K1407" s="264" t="s">
        <v>111</v>
      </c>
      <c r="L1407" s="264" t="s">
        <v>28</v>
      </c>
      <c r="M1407" s="264" t="s">
        <v>42</v>
      </c>
      <c r="N1407" s="264"/>
      <c r="O1407" s="805" t="s">
        <v>4719</v>
      </c>
      <c r="P1407" s="794" t="s">
        <v>4720</v>
      </c>
      <c r="Q1407" s="15" t="s">
        <v>282</v>
      </c>
      <c r="R1407" s="218">
        <v>43371</v>
      </c>
      <c r="S1407" s="16" t="s">
        <v>44</v>
      </c>
      <c r="T1407" s="133">
        <v>43397</v>
      </c>
      <c r="U1407" s="623"/>
      <c r="V1407" s="624"/>
      <c r="W1407" s="239">
        <v>79000000</v>
      </c>
      <c r="X1407" s="243">
        <v>0</v>
      </c>
      <c r="Y1407" s="201">
        <f t="shared" si="74"/>
        <v>0</v>
      </c>
      <c r="Z1407" s="189">
        <f t="shared" si="73"/>
        <v>0</v>
      </c>
      <c r="AA1407" s="267"/>
      <c r="AB1407" s="564" t="s">
        <v>1073</v>
      </c>
      <c r="AC1407" s="693"/>
      <c r="AD1407" s="187">
        <v>0</v>
      </c>
      <c r="AE1407" s="187">
        <v>0</v>
      </c>
      <c r="AF1407" s="205">
        <f t="shared" si="69"/>
        <v>0</v>
      </c>
      <c r="AG1407" s="181">
        <v>8</v>
      </c>
      <c r="AH1407" s="264" t="s">
        <v>4185</v>
      </c>
      <c r="AI1407" s="138"/>
      <c r="AJ1407" s="138" t="s">
        <v>1188</v>
      </c>
      <c r="AK1407" s="181" t="s">
        <v>1185</v>
      </c>
      <c r="AL1407" s="138" t="s">
        <v>1178</v>
      </c>
    </row>
    <row r="1408" spans="1:38" ht="15" customHeight="1" x14ac:dyDescent="0.3">
      <c r="A1408" s="181" t="s">
        <v>140</v>
      </c>
      <c r="B1408" s="255" t="s">
        <v>105</v>
      </c>
      <c r="C1408" s="135">
        <v>22</v>
      </c>
      <c r="D1408" s="11" t="s">
        <v>5936</v>
      </c>
      <c r="E1408" s="168">
        <v>42898</v>
      </c>
      <c r="F1408" s="136">
        <v>2017</v>
      </c>
      <c r="G1408" s="178" t="s">
        <v>4722</v>
      </c>
      <c r="H1408" s="178" t="s">
        <v>4723</v>
      </c>
      <c r="I1408" s="136" t="s">
        <v>38</v>
      </c>
      <c r="J1408" s="181" t="s">
        <v>81</v>
      </c>
      <c r="K1408" s="197" t="s">
        <v>163</v>
      </c>
      <c r="L1408" s="197" t="s">
        <v>28</v>
      </c>
      <c r="M1408" s="197" t="s">
        <v>42</v>
      </c>
      <c r="N1408" s="197" t="s">
        <v>122</v>
      </c>
      <c r="O1408" s="783" t="s">
        <v>4724</v>
      </c>
      <c r="P1408" s="794" t="s">
        <v>4725</v>
      </c>
      <c r="Q1408" s="15" t="s">
        <v>282</v>
      </c>
      <c r="R1408" s="218">
        <v>43550</v>
      </c>
      <c r="S1408" s="16" t="s">
        <v>44</v>
      </c>
      <c r="T1408" s="133">
        <v>43591</v>
      </c>
      <c r="U1408" s="623"/>
      <c r="V1408" s="624"/>
      <c r="W1408" s="239">
        <v>5000000</v>
      </c>
      <c r="X1408" s="243">
        <v>0</v>
      </c>
      <c r="Y1408" s="201">
        <f t="shared" si="74"/>
        <v>0</v>
      </c>
      <c r="Z1408" s="189">
        <f t="shared" si="73"/>
        <v>0</v>
      </c>
      <c r="AA1408" s="267"/>
      <c r="AB1408" s="513" t="s">
        <v>3232</v>
      </c>
      <c r="AC1408" s="147"/>
      <c r="AD1408" s="187">
        <v>0</v>
      </c>
      <c r="AE1408" s="187">
        <v>0</v>
      </c>
      <c r="AF1408" s="205">
        <f t="shared" ref="AF1408:AF1431" si="75">AE1408+AD1408</f>
        <v>0</v>
      </c>
      <c r="AG1408" s="181">
        <v>8</v>
      </c>
      <c r="AH1408" s="264"/>
      <c r="AI1408" s="718" t="s">
        <v>3698</v>
      </c>
      <c r="AJ1408" s="138" t="s">
        <v>1188</v>
      </c>
      <c r="AK1408" s="181" t="s">
        <v>1185</v>
      </c>
      <c r="AL1408" s="138" t="s">
        <v>1178</v>
      </c>
    </row>
    <row r="1409" spans="1:38" ht="15" customHeight="1" x14ac:dyDescent="0.3">
      <c r="A1409" s="181" t="s">
        <v>22</v>
      </c>
      <c r="B1409" s="265" t="s">
        <v>229</v>
      </c>
      <c r="C1409" s="245">
        <v>4</v>
      </c>
      <c r="D1409" s="11" t="s">
        <v>225</v>
      </c>
      <c r="E1409" s="247">
        <v>42850</v>
      </c>
      <c r="F1409" s="246">
        <v>2017</v>
      </c>
      <c r="G1409" s="792" t="s">
        <v>4726</v>
      </c>
      <c r="H1409" s="792" t="s">
        <v>4727</v>
      </c>
      <c r="I1409" s="246" t="s">
        <v>38</v>
      </c>
      <c r="J1409" s="32" t="s">
        <v>26</v>
      </c>
      <c r="K1409" s="264" t="s">
        <v>4714</v>
      </c>
      <c r="L1409" s="264" t="s">
        <v>28</v>
      </c>
      <c r="M1409" s="264" t="s">
        <v>42</v>
      </c>
      <c r="N1409" s="264"/>
      <c r="O1409" s="805" t="s">
        <v>4728</v>
      </c>
      <c r="P1409" s="794" t="s">
        <v>4729</v>
      </c>
      <c r="Q1409" s="15" t="s">
        <v>282</v>
      </c>
      <c r="R1409" s="231">
        <v>43210</v>
      </c>
      <c r="S1409" s="16" t="s">
        <v>44</v>
      </c>
      <c r="T1409" s="232">
        <v>43433</v>
      </c>
      <c r="U1409" s="776"/>
      <c r="V1409" s="776"/>
      <c r="W1409" s="256">
        <v>31000000</v>
      </c>
      <c r="X1409" s="185">
        <v>0</v>
      </c>
      <c r="Y1409" s="201">
        <f t="shared" si="74"/>
        <v>0</v>
      </c>
      <c r="Z1409" s="7">
        <f t="shared" si="73"/>
        <v>0</v>
      </c>
      <c r="AA1409" s="233"/>
      <c r="AB1409" s="604" t="s">
        <v>3744</v>
      </c>
      <c r="AC1409" s="163"/>
      <c r="AD1409" s="196">
        <v>0</v>
      </c>
      <c r="AE1409" s="187">
        <v>0</v>
      </c>
      <c r="AF1409" s="205">
        <f t="shared" si="75"/>
        <v>0</v>
      </c>
      <c r="AG1409" s="197">
        <v>8</v>
      </c>
      <c r="AH1409" s="197" t="s">
        <v>4721</v>
      </c>
      <c r="AI1409" s="197"/>
      <c r="AJ1409" s="197" t="s">
        <v>1188</v>
      </c>
      <c r="AK1409" s="197" t="s">
        <v>1185</v>
      </c>
      <c r="AL1409" s="93" t="s">
        <v>1178</v>
      </c>
    </row>
    <row r="1410" spans="1:38" ht="15" customHeight="1" x14ac:dyDescent="0.3">
      <c r="A1410" s="181" t="s">
        <v>22</v>
      </c>
      <c r="B1410" s="255" t="s">
        <v>229</v>
      </c>
      <c r="C1410" s="135">
        <v>2</v>
      </c>
      <c r="D1410" s="11" t="s">
        <v>225</v>
      </c>
      <c r="E1410" s="168">
        <v>42816</v>
      </c>
      <c r="F1410" s="136">
        <v>2017</v>
      </c>
      <c r="G1410" s="178" t="s">
        <v>4731</v>
      </c>
      <c r="H1410" s="178" t="s">
        <v>4732</v>
      </c>
      <c r="I1410" s="136" t="s">
        <v>38</v>
      </c>
      <c r="J1410" s="32" t="s">
        <v>26</v>
      </c>
      <c r="K1410" s="197" t="s">
        <v>4714</v>
      </c>
      <c r="L1410" s="197" t="s">
        <v>28</v>
      </c>
      <c r="M1410" s="197" t="s">
        <v>42</v>
      </c>
      <c r="N1410" s="197"/>
      <c r="O1410" s="783" t="s">
        <v>4733</v>
      </c>
      <c r="P1410" s="794" t="s">
        <v>4734</v>
      </c>
      <c r="Q1410" s="15" t="s">
        <v>282</v>
      </c>
      <c r="R1410" s="231">
        <v>43311</v>
      </c>
      <c r="S1410" s="16" t="s">
        <v>35</v>
      </c>
      <c r="T1410" s="232">
        <v>43601</v>
      </c>
      <c r="U1410" s="776"/>
      <c r="V1410" s="776"/>
      <c r="W1410" s="256">
        <v>33000000</v>
      </c>
      <c r="X1410" s="185">
        <v>0</v>
      </c>
      <c r="Y1410" s="201">
        <f t="shared" si="74"/>
        <v>0</v>
      </c>
      <c r="Z1410" s="7">
        <f t="shared" si="73"/>
        <v>0</v>
      </c>
      <c r="AA1410" s="233"/>
      <c r="AB1410" s="604" t="s">
        <v>3744</v>
      </c>
      <c r="AC1410" s="163"/>
      <c r="AD1410" s="196">
        <v>0</v>
      </c>
      <c r="AE1410" s="187">
        <v>0</v>
      </c>
      <c r="AF1410" s="205">
        <f t="shared" si="75"/>
        <v>0</v>
      </c>
      <c r="AG1410" s="197">
        <v>8</v>
      </c>
      <c r="AH1410" s="197" t="s">
        <v>4721</v>
      </c>
      <c r="AI1410" s="736" t="s">
        <v>4736</v>
      </c>
      <c r="AJ1410" s="197" t="s">
        <v>1188</v>
      </c>
      <c r="AK1410" s="197" t="s">
        <v>1185</v>
      </c>
      <c r="AL1410" s="93" t="s">
        <v>1178</v>
      </c>
    </row>
    <row r="1411" spans="1:38" ht="15" customHeight="1" x14ac:dyDescent="0.3">
      <c r="A1411" s="181" t="s">
        <v>22</v>
      </c>
      <c r="B1411" s="265" t="s">
        <v>197</v>
      </c>
      <c r="C1411" s="245">
        <v>3</v>
      </c>
      <c r="D1411" s="246" t="s">
        <v>190</v>
      </c>
      <c r="E1411" s="247">
        <v>43088</v>
      </c>
      <c r="F1411" s="246">
        <v>2017</v>
      </c>
      <c r="G1411" s="792" t="s">
        <v>4737</v>
      </c>
      <c r="H1411" s="792" t="s">
        <v>4738</v>
      </c>
      <c r="I1411" s="246" t="s">
        <v>38</v>
      </c>
      <c r="J1411" s="248" t="s">
        <v>81</v>
      </c>
      <c r="K1411" s="264" t="s">
        <v>4739</v>
      </c>
      <c r="L1411" s="264" t="s">
        <v>28</v>
      </c>
      <c r="M1411" s="264" t="s">
        <v>42</v>
      </c>
      <c r="N1411" s="264"/>
      <c r="O1411" s="805" t="s">
        <v>4740</v>
      </c>
      <c r="P1411" s="794" t="s">
        <v>4741</v>
      </c>
      <c r="Q1411" s="15" t="s">
        <v>282</v>
      </c>
      <c r="R1411" s="231">
        <v>43259</v>
      </c>
      <c r="S1411" s="16" t="s">
        <v>44</v>
      </c>
      <c r="T1411" s="268">
        <v>43558</v>
      </c>
      <c r="U1411" s="803"/>
      <c r="V1411" s="803"/>
      <c r="W1411" s="242">
        <v>498000000</v>
      </c>
      <c r="X1411" s="240">
        <v>0</v>
      </c>
      <c r="Y1411" s="201">
        <f t="shared" si="74"/>
        <v>0</v>
      </c>
      <c r="Z1411" s="7">
        <f t="shared" si="73"/>
        <v>0</v>
      </c>
      <c r="AA1411" s="192"/>
      <c r="AB1411" s="564" t="s">
        <v>2595</v>
      </c>
      <c r="AC1411" s="693"/>
      <c r="AD1411" s="258">
        <v>0</v>
      </c>
      <c r="AE1411" s="187">
        <v>0</v>
      </c>
      <c r="AF1411" s="205">
        <f t="shared" si="75"/>
        <v>0</v>
      </c>
      <c r="AG1411" s="181">
        <v>8</v>
      </c>
      <c r="AH1411" s="181" t="s">
        <v>4730</v>
      </c>
      <c r="AI1411" s="138"/>
      <c r="AJ1411" s="197" t="s">
        <v>1188</v>
      </c>
      <c r="AK1411" s="197" t="s">
        <v>1185</v>
      </c>
      <c r="AL1411" s="138" t="s">
        <v>1178</v>
      </c>
    </row>
    <row r="1412" spans="1:38" ht="15" customHeight="1" x14ac:dyDescent="0.3">
      <c r="A1412" s="181" t="s">
        <v>160</v>
      </c>
      <c r="B1412" s="112" t="s">
        <v>159</v>
      </c>
      <c r="C1412" s="107">
        <v>3</v>
      </c>
      <c r="D1412" s="11" t="s">
        <v>143</v>
      </c>
      <c r="E1412" s="114">
        <v>43229</v>
      </c>
      <c r="F1412" s="12">
        <v>2018</v>
      </c>
      <c r="G1412" s="142" t="s">
        <v>4743</v>
      </c>
      <c r="H1412" s="162" t="s">
        <v>4744</v>
      </c>
      <c r="I1412" s="107" t="s">
        <v>38</v>
      </c>
      <c r="J1412" s="32" t="s">
        <v>26</v>
      </c>
      <c r="K1412" s="197" t="s">
        <v>83</v>
      </c>
      <c r="L1412" s="264" t="s">
        <v>28</v>
      </c>
      <c r="M1412" s="264" t="s">
        <v>42</v>
      </c>
      <c r="N1412" s="264"/>
      <c r="O1412" s="138" t="s">
        <v>4745</v>
      </c>
      <c r="P1412" s="138" t="s">
        <v>6144</v>
      </c>
      <c r="Q1412" s="143"/>
      <c r="R1412" s="179"/>
      <c r="S1412" s="144"/>
      <c r="T1412" s="191"/>
      <c r="U1412" s="707"/>
      <c r="V1412" s="721"/>
      <c r="W1412" s="260">
        <v>21000000</v>
      </c>
      <c r="X1412" s="216">
        <v>0</v>
      </c>
      <c r="Y1412" s="201">
        <f t="shared" si="74"/>
        <v>0</v>
      </c>
      <c r="Z1412" s="7">
        <f t="shared" si="73"/>
        <v>0</v>
      </c>
      <c r="AA1412" s="212"/>
      <c r="AB1412" s="503" t="s">
        <v>98</v>
      </c>
      <c r="AC1412" s="222"/>
      <c r="AD1412" s="187">
        <v>0</v>
      </c>
      <c r="AE1412" s="187">
        <v>0</v>
      </c>
      <c r="AF1412" s="205">
        <f t="shared" si="75"/>
        <v>0</v>
      </c>
      <c r="AG1412" s="88">
        <v>8</v>
      </c>
      <c r="AH1412" s="138" t="s">
        <v>4735</v>
      </c>
      <c r="AI1412" s="200"/>
      <c r="AJ1412" s="146" t="s">
        <v>1188</v>
      </c>
      <c r="AK1412" s="30" t="s">
        <v>1177</v>
      </c>
      <c r="AL1412" s="146" t="s">
        <v>1178</v>
      </c>
    </row>
    <row r="1413" spans="1:38" ht="15" customHeight="1" x14ac:dyDescent="0.3">
      <c r="A1413" s="181" t="s">
        <v>22</v>
      </c>
      <c r="B1413" s="167" t="s">
        <v>227</v>
      </c>
      <c r="C1413" s="135">
        <v>4</v>
      </c>
      <c r="D1413" s="11" t="s">
        <v>225</v>
      </c>
      <c r="E1413" s="168">
        <v>40152</v>
      </c>
      <c r="F1413" s="136">
        <v>2009</v>
      </c>
      <c r="G1413" s="178" t="s">
        <v>4746</v>
      </c>
      <c r="H1413" s="204" t="s">
        <v>4747</v>
      </c>
      <c r="I1413" s="136" t="s">
        <v>38</v>
      </c>
      <c r="J1413" s="32" t="s">
        <v>26</v>
      </c>
      <c r="K1413" s="197" t="s">
        <v>50</v>
      </c>
      <c r="L1413" s="138" t="s">
        <v>161</v>
      </c>
      <c r="M1413" s="138" t="s">
        <v>42</v>
      </c>
      <c r="N1413" s="138"/>
      <c r="O1413" s="138" t="s">
        <v>4748</v>
      </c>
      <c r="P1413" s="718" t="s">
        <v>4749</v>
      </c>
      <c r="Q1413" s="15" t="s">
        <v>282</v>
      </c>
      <c r="R1413" s="132">
        <v>41313</v>
      </c>
      <c r="S1413" s="16" t="s">
        <v>44</v>
      </c>
      <c r="T1413" s="133">
        <v>41627</v>
      </c>
      <c r="U1413" s="623" t="s">
        <v>44</v>
      </c>
      <c r="V1413" s="721">
        <v>43642</v>
      </c>
      <c r="W1413" s="269">
        <v>116000000</v>
      </c>
      <c r="X1413" s="240">
        <v>0</v>
      </c>
      <c r="Y1413" s="201">
        <f>IF(AE1413="","",W1413*AE1413)</f>
        <v>0</v>
      </c>
      <c r="Z1413" s="7">
        <f t="shared" si="73"/>
        <v>0</v>
      </c>
      <c r="AA1413" s="108"/>
      <c r="AB1413" s="504" t="s">
        <v>6145</v>
      </c>
      <c r="AC1413" s="138"/>
      <c r="AD1413" s="187">
        <v>0</v>
      </c>
      <c r="AE1413" s="187">
        <v>0</v>
      </c>
      <c r="AF1413" s="205">
        <f t="shared" si="75"/>
        <v>0</v>
      </c>
      <c r="AG1413" s="138">
        <v>8</v>
      </c>
      <c r="AH1413" s="138" t="s">
        <v>4742</v>
      </c>
      <c r="AI1413" s="138"/>
      <c r="AJ1413" s="138" t="s">
        <v>1188</v>
      </c>
      <c r="AK1413" s="30" t="s">
        <v>99</v>
      </c>
      <c r="AL1413" s="138" t="s">
        <v>1178</v>
      </c>
    </row>
    <row r="1414" spans="1:38" ht="15" customHeight="1" x14ac:dyDescent="0.3">
      <c r="A1414" s="30" t="s">
        <v>140</v>
      </c>
      <c r="B1414" s="120" t="s">
        <v>144</v>
      </c>
      <c r="C1414" s="107">
        <v>5</v>
      </c>
      <c r="D1414" s="11" t="s">
        <v>143</v>
      </c>
      <c r="E1414" s="114">
        <v>40955</v>
      </c>
      <c r="F1414" s="107">
        <v>2012</v>
      </c>
      <c r="G1414" s="142" t="s">
        <v>4751</v>
      </c>
      <c r="H1414" s="204" t="s">
        <v>4752</v>
      </c>
      <c r="I1414" s="12" t="s">
        <v>38</v>
      </c>
      <c r="J1414" s="30" t="s">
        <v>81</v>
      </c>
      <c r="K1414" s="197" t="s">
        <v>163</v>
      </c>
      <c r="L1414" s="137" t="s">
        <v>28</v>
      </c>
      <c r="M1414" s="197" t="s">
        <v>42</v>
      </c>
      <c r="N1414" s="553" t="s">
        <v>122</v>
      </c>
      <c r="O1414" s="197" t="s">
        <v>4753</v>
      </c>
      <c r="P1414" s="197" t="s">
        <v>4754</v>
      </c>
      <c r="Q1414" s="15" t="s">
        <v>282</v>
      </c>
      <c r="R1414" s="164">
        <v>42807</v>
      </c>
      <c r="S1414" s="16" t="s">
        <v>35</v>
      </c>
      <c r="T1414" s="165">
        <v>43445</v>
      </c>
      <c r="U1414" s="624"/>
      <c r="V1414" s="624"/>
      <c r="W1414" s="239">
        <v>5000000</v>
      </c>
      <c r="X1414" s="240">
        <v>0</v>
      </c>
      <c r="Y1414" s="201">
        <f>IF(AE1414="","",W1414*AE1414)</f>
        <v>0</v>
      </c>
      <c r="Z1414" s="7">
        <f t="shared" si="73"/>
        <v>0</v>
      </c>
      <c r="AA1414" s="108"/>
      <c r="AB1414" s="504" t="s">
        <v>147</v>
      </c>
      <c r="AC1414" s="138"/>
      <c r="AD1414" s="187">
        <v>0</v>
      </c>
      <c r="AE1414" s="187">
        <v>0</v>
      </c>
      <c r="AF1414" s="205">
        <f t="shared" si="75"/>
        <v>0</v>
      </c>
      <c r="AG1414" s="138">
        <v>8</v>
      </c>
      <c r="AH1414" s="138"/>
      <c r="AI1414" s="718" t="s">
        <v>4755</v>
      </c>
      <c r="AJ1414" s="138" t="s">
        <v>1188</v>
      </c>
      <c r="AK1414" s="138" t="s">
        <v>1185</v>
      </c>
      <c r="AL1414" s="146" t="s">
        <v>1178</v>
      </c>
    </row>
    <row r="1415" spans="1:38" ht="15" customHeight="1" x14ac:dyDescent="0.3">
      <c r="A1415" s="817" t="s">
        <v>22</v>
      </c>
      <c r="B1415" s="280" t="s">
        <v>189</v>
      </c>
      <c r="C1415" s="281">
        <v>1</v>
      </c>
      <c r="D1415" s="282" t="s">
        <v>190</v>
      </c>
      <c r="E1415" s="283">
        <v>42240</v>
      </c>
      <c r="F1415" s="282">
        <v>2015</v>
      </c>
      <c r="G1415" s="818" t="s">
        <v>4756</v>
      </c>
      <c r="H1415" s="818" t="s">
        <v>4757</v>
      </c>
      <c r="I1415" s="33" t="s">
        <v>33</v>
      </c>
      <c r="J1415" s="32" t="s">
        <v>26</v>
      </c>
      <c r="K1415" s="291" t="s">
        <v>4758</v>
      </c>
      <c r="L1415" s="291" t="s">
        <v>179</v>
      </c>
      <c r="M1415" s="137" t="s">
        <v>804</v>
      </c>
      <c r="N1415" s="291"/>
      <c r="O1415" s="291" t="s">
        <v>4759</v>
      </c>
      <c r="P1415" s="819" t="s">
        <v>4760</v>
      </c>
      <c r="Q1415" s="15" t="s">
        <v>35</v>
      </c>
      <c r="R1415" s="284">
        <v>42647</v>
      </c>
      <c r="S1415" s="16" t="s">
        <v>35</v>
      </c>
      <c r="T1415" s="284">
        <v>43159</v>
      </c>
      <c r="U1415" s="291"/>
      <c r="V1415" s="291"/>
      <c r="W1415" s="285">
        <v>60000000</v>
      </c>
      <c r="X1415" s="285">
        <v>60000000</v>
      </c>
      <c r="Y1415" s="286">
        <v>-39480169</v>
      </c>
      <c r="Z1415" s="287">
        <f t="shared" si="73"/>
        <v>20519831</v>
      </c>
      <c r="AA1415" s="288">
        <v>43669</v>
      </c>
      <c r="AB1415" s="820" t="s">
        <v>6146</v>
      </c>
      <c r="AC1415" s="291"/>
      <c r="AD1415" s="289">
        <v>1</v>
      </c>
      <c r="AE1415" s="289">
        <v>0</v>
      </c>
      <c r="AF1415" s="290">
        <f t="shared" si="75"/>
        <v>1</v>
      </c>
      <c r="AG1415" s="291">
        <v>8</v>
      </c>
      <c r="AH1415" s="291" t="s">
        <v>4750</v>
      </c>
      <c r="AI1415" s="291" t="s">
        <v>4762</v>
      </c>
      <c r="AJ1415" s="291" t="s">
        <v>1188</v>
      </c>
      <c r="AK1415" s="30" t="s">
        <v>99</v>
      </c>
      <c r="AL1415" s="739" t="s">
        <v>1178</v>
      </c>
    </row>
    <row r="1416" spans="1:38" ht="15" customHeight="1" x14ac:dyDescent="0.3">
      <c r="A1416" s="181" t="s">
        <v>525</v>
      </c>
      <c r="B1416" s="112" t="s">
        <v>105</v>
      </c>
      <c r="C1416" s="109">
        <v>11</v>
      </c>
      <c r="D1416" s="11" t="s">
        <v>5936</v>
      </c>
      <c r="E1416" s="108">
        <v>42656</v>
      </c>
      <c r="F1416" s="146">
        <v>2016</v>
      </c>
      <c r="G1416" s="142" t="s">
        <v>4763</v>
      </c>
      <c r="H1416" s="162" t="s">
        <v>4764</v>
      </c>
      <c r="I1416" s="33" t="s">
        <v>33</v>
      </c>
      <c r="J1416" s="32" t="s">
        <v>26</v>
      </c>
      <c r="K1416" s="197" t="s">
        <v>162</v>
      </c>
      <c r="L1416" s="137" t="s">
        <v>3501</v>
      </c>
      <c r="M1416" s="137" t="s">
        <v>42</v>
      </c>
      <c r="N1416" s="137"/>
      <c r="O1416" s="93" t="s">
        <v>3858</v>
      </c>
      <c r="P1416" s="200" t="s">
        <v>4765</v>
      </c>
      <c r="Q1416" s="15" t="s">
        <v>282</v>
      </c>
      <c r="R1416" s="218">
        <v>43546</v>
      </c>
      <c r="S1416" s="92"/>
      <c r="T1416" s="133"/>
      <c r="U1416" s="623"/>
      <c r="V1416" s="624"/>
      <c r="W1416" s="239">
        <v>20000000</v>
      </c>
      <c r="X1416" s="243">
        <v>0</v>
      </c>
      <c r="Y1416" s="201">
        <f t="shared" ref="Y1416:Y1421" si="76">IF(AE1416="","",W1416*AE1416)</f>
        <v>0</v>
      </c>
      <c r="Z1416" s="185">
        <f t="shared" si="73"/>
        <v>0</v>
      </c>
      <c r="AA1416" s="270"/>
      <c r="AB1416" s="564" t="s">
        <v>1073</v>
      </c>
      <c r="AC1416" s="693"/>
      <c r="AD1416" s="187">
        <v>0</v>
      </c>
      <c r="AE1416" s="187">
        <v>0</v>
      </c>
      <c r="AF1416" s="205">
        <f t="shared" si="75"/>
        <v>0</v>
      </c>
      <c r="AG1416" s="181">
        <v>8</v>
      </c>
      <c r="AH1416" s="264"/>
      <c r="AI1416" s="138"/>
      <c r="AJ1416" s="138" t="s">
        <v>1188</v>
      </c>
      <c r="AK1416" s="181" t="s">
        <v>1185</v>
      </c>
      <c r="AL1416" s="138" t="s">
        <v>1178</v>
      </c>
    </row>
    <row r="1417" spans="1:38" ht="15" customHeight="1" x14ac:dyDescent="0.3">
      <c r="A1417" s="181" t="s">
        <v>22</v>
      </c>
      <c r="B1417" s="145" t="s">
        <v>105</v>
      </c>
      <c r="C1417" s="135">
        <v>6</v>
      </c>
      <c r="D1417" s="11" t="s">
        <v>5936</v>
      </c>
      <c r="E1417" s="168">
        <v>41835</v>
      </c>
      <c r="F1417" s="136">
        <v>2014</v>
      </c>
      <c r="G1417" s="178" t="s">
        <v>4766</v>
      </c>
      <c r="H1417" s="204" t="s">
        <v>4767</v>
      </c>
      <c r="I1417" s="136" t="s">
        <v>38</v>
      </c>
      <c r="J1417" s="32" t="s">
        <v>26</v>
      </c>
      <c r="K1417" s="197" t="s">
        <v>50</v>
      </c>
      <c r="L1417" s="746" t="s">
        <v>3501</v>
      </c>
      <c r="M1417" s="138" t="s">
        <v>42</v>
      </c>
      <c r="N1417" s="138"/>
      <c r="O1417" s="138" t="s">
        <v>4768</v>
      </c>
      <c r="P1417" s="138" t="s">
        <v>4769</v>
      </c>
      <c r="Q1417" s="15" t="s">
        <v>282</v>
      </c>
      <c r="R1417" s="132">
        <v>42866</v>
      </c>
      <c r="S1417" s="16" t="s">
        <v>44</v>
      </c>
      <c r="T1417" s="133">
        <v>43629</v>
      </c>
      <c r="U1417" s="623"/>
      <c r="V1417" s="624"/>
      <c r="W1417" s="242">
        <v>72000000</v>
      </c>
      <c r="X1417" s="243">
        <v>0</v>
      </c>
      <c r="Y1417" s="201">
        <f t="shared" si="76"/>
        <v>0</v>
      </c>
      <c r="Z1417" s="185">
        <f t="shared" si="73"/>
        <v>0</v>
      </c>
      <c r="AA1417" s="233"/>
      <c r="AB1417" s="513" t="s">
        <v>3232</v>
      </c>
      <c r="AC1417" s="147"/>
      <c r="AD1417" s="196">
        <v>0</v>
      </c>
      <c r="AE1417" s="187">
        <v>0</v>
      </c>
      <c r="AF1417" s="205">
        <f t="shared" si="75"/>
        <v>0</v>
      </c>
      <c r="AG1417" s="138">
        <v>8</v>
      </c>
      <c r="AH1417" s="138" t="s">
        <v>4761</v>
      </c>
      <c r="AI1417" s="138"/>
      <c r="AJ1417" s="138" t="s">
        <v>1188</v>
      </c>
      <c r="AK1417" s="181" t="s">
        <v>1185</v>
      </c>
      <c r="AL1417" s="138" t="s">
        <v>1178</v>
      </c>
    </row>
    <row r="1418" spans="1:38" ht="15" customHeight="1" x14ac:dyDescent="0.3">
      <c r="A1418" s="181" t="s">
        <v>140</v>
      </c>
      <c r="B1418" s="145" t="s">
        <v>199</v>
      </c>
      <c r="C1418" s="135">
        <v>1</v>
      </c>
      <c r="D1418" s="136" t="s">
        <v>190</v>
      </c>
      <c r="E1418" s="168">
        <v>41922</v>
      </c>
      <c r="F1418" s="136">
        <v>2014</v>
      </c>
      <c r="G1418" s="178" t="s">
        <v>4770</v>
      </c>
      <c r="H1418" s="204" t="s">
        <v>4771</v>
      </c>
      <c r="I1418" s="33" t="s">
        <v>33</v>
      </c>
      <c r="J1418" s="181" t="s">
        <v>81</v>
      </c>
      <c r="K1418" s="197" t="s">
        <v>163</v>
      </c>
      <c r="L1418" s="746" t="s">
        <v>87</v>
      </c>
      <c r="M1418" s="137" t="s">
        <v>804</v>
      </c>
      <c r="N1418" s="553" t="s">
        <v>122</v>
      </c>
      <c r="O1418" s="138" t="s">
        <v>4772</v>
      </c>
      <c r="P1418" s="138" t="s">
        <v>4773</v>
      </c>
      <c r="Q1418" s="15" t="s">
        <v>35</v>
      </c>
      <c r="R1418" s="132">
        <v>42850</v>
      </c>
      <c r="S1418" s="16" t="s">
        <v>35</v>
      </c>
      <c r="T1418" s="133">
        <v>43628</v>
      </c>
      <c r="U1418" s="623"/>
      <c r="V1418" s="624"/>
      <c r="W1418" s="242">
        <v>5000000</v>
      </c>
      <c r="X1418" s="243">
        <v>0</v>
      </c>
      <c r="Y1418" s="201">
        <f t="shared" si="76"/>
        <v>5000000</v>
      </c>
      <c r="Z1418" s="189">
        <f t="shared" si="73"/>
        <v>5000000</v>
      </c>
      <c r="AA1418" s="229">
        <v>44512</v>
      </c>
      <c r="AB1418" s="479" t="s">
        <v>200</v>
      </c>
      <c r="AC1418" s="480"/>
      <c r="AD1418" s="196">
        <v>0</v>
      </c>
      <c r="AE1418" s="187">
        <v>1</v>
      </c>
      <c r="AF1418" s="205">
        <f t="shared" si="75"/>
        <v>1</v>
      </c>
      <c r="AG1418" s="138">
        <v>8</v>
      </c>
      <c r="AH1418" s="138"/>
      <c r="AI1418" s="718" t="s">
        <v>3698</v>
      </c>
      <c r="AJ1418" s="138" t="s">
        <v>1188</v>
      </c>
      <c r="AK1418" s="181" t="s">
        <v>1185</v>
      </c>
      <c r="AL1418" s="138" t="s">
        <v>1178</v>
      </c>
    </row>
    <row r="1419" spans="1:38" ht="15" customHeight="1" x14ac:dyDescent="0.3">
      <c r="A1419" s="181" t="s">
        <v>140</v>
      </c>
      <c r="B1419" s="181" t="s">
        <v>2119</v>
      </c>
      <c r="C1419" s="184">
        <v>1</v>
      </c>
      <c r="D1419" s="11" t="s">
        <v>24</v>
      </c>
      <c r="E1419" s="192">
        <v>43622</v>
      </c>
      <c r="F1419" s="181">
        <v>2019</v>
      </c>
      <c r="G1419" s="181" t="s">
        <v>4774</v>
      </c>
      <c r="H1419" s="217" t="s">
        <v>4775</v>
      </c>
      <c r="I1419" s="12" t="s">
        <v>38</v>
      </c>
      <c r="J1419" s="184" t="s">
        <v>81</v>
      </c>
      <c r="K1419" s="197" t="s">
        <v>163</v>
      </c>
      <c r="L1419" s="765" t="s">
        <v>72</v>
      </c>
      <c r="M1419" s="279" t="s">
        <v>42</v>
      </c>
      <c r="N1419" s="264" t="s">
        <v>43</v>
      </c>
      <c r="O1419" s="197" t="s">
        <v>4776</v>
      </c>
      <c r="P1419" s="815" t="s">
        <v>6147</v>
      </c>
      <c r="Q1419" s="152"/>
      <c r="R1419" s="164"/>
      <c r="S1419" s="139"/>
      <c r="T1419" s="165"/>
      <c r="U1419" s="624"/>
      <c r="V1419" s="624"/>
      <c r="W1419" s="239">
        <v>5000000</v>
      </c>
      <c r="X1419" s="240"/>
      <c r="Y1419" s="201" t="str">
        <f t="shared" si="76"/>
        <v/>
      </c>
      <c r="Z1419" s="201">
        <f t="shared" si="73"/>
        <v>0</v>
      </c>
      <c r="AA1419" s="192"/>
      <c r="AB1419" s="479" t="s">
        <v>49</v>
      </c>
      <c r="AC1419" s="480"/>
      <c r="AD1419" s="258"/>
      <c r="AE1419" s="187"/>
      <c r="AF1419" s="205">
        <f t="shared" si="75"/>
        <v>0</v>
      </c>
      <c r="AG1419" s="279">
        <v>8</v>
      </c>
      <c r="AH1419" s="279" t="s">
        <v>58</v>
      </c>
      <c r="AI1419" s="718" t="s">
        <v>4665</v>
      </c>
      <c r="AJ1419" s="279" t="s">
        <v>1188</v>
      </c>
      <c r="AK1419" s="30" t="s">
        <v>1177</v>
      </c>
      <c r="AL1419" s="93" t="s">
        <v>1178</v>
      </c>
    </row>
    <row r="1420" spans="1:38" ht="15" customHeight="1" x14ac:dyDescent="0.3">
      <c r="A1420" s="181" t="s">
        <v>22</v>
      </c>
      <c r="B1420" s="145" t="s">
        <v>105</v>
      </c>
      <c r="C1420" s="135">
        <v>4</v>
      </c>
      <c r="D1420" s="11" t="s">
        <v>5936</v>
      </c>
      <c r="E1420" s="168">
        <v>40648</v>
      </c>
      <c r="F1420" s="136">
        <v>2011</v>
      </c>
      <c r="G1420" s="178" t="s">
        <v>4777</v>
      </c>
      <c r="H1420" s="204" t="s">
        <v>4778</v>
      </c>
      <c r="I1420" s="33" t="s">
        <v>33</v>
      </c>
      <c r="J1420" s="32" t="s">
        <v>26</v>
      </c>
      <c r="K1420" s="197" t="s">
        <v>50</v>
      </c>
      <c r="L1420" s="138" t="s">
        <v>161</v>
      </c>
      <c r="M1420" s="197" t="s">
        <v>42</v>
      </c>
      <c r="N1420" s="197"/>
      <c r="O1420" s="138" t="s">
        <v>4779</v>
      </c>
      <c r="P1420" s="718" t="s">
        <v>6148</v>
      </c>
      <c r="Q1420" s="15" t="s">
        <v>282</v>
      </c>
      <c r="R1420" s="132">
        <v>41180</v>
      </c>
      <c r="S1420" s="16" t="s">
        <v>44</v>
      </c>
      <c r="T1420" s="133">
        <v>41425</v>
      </c>
      <c r="U1420" s="623" t="s">
        <v>44</v>
      </c>
      <c r="V1420" s="180">
        <v>43682</v>
      </c>
      <c r="W1420" s="242">
        <v>260700000</v>
      </c>
      <c r="X1420" s="240">
        <v>0</v>
      </c>
      <c r="Y1420" s="201">
        <f t="shared" si="76"/>
        <v>0</v>
      </c>
      <c r="Z1420" s="7">
        <f t="shared" si="73"/>
        <v>0</v>
      </c>
      <c r="AA1420" s="108"/>
      <c r="AB1420" s="564" t="s">
        <v>1073</v>
      </c>
      <c r="AC1420" s="693"/>
      <c r="AD1420" s="196">
        <v>0</v>
      </c>
      <c r="AE1420" s="187">
        <v>0</v>
      </c>
      <c r="AF1420" s="205">
        <f t="shared" si="75"/>
        <v>0</v>
      </c>
      <c r="AG1420" s="138">
        <v>8</v>
      </c>
      <c r="AH1420" s="138" t="s">
        <v>123</v>
      </c>
      <c r="AI1420" s="138"/>
      <c r="AJ1420" s="138" t="s">
        <v>1188</v>
      </c>
      <c r="AK1420" s="30" t="s">
        <v>99</v>
      </c>
      <c r="AL1420" s="138" t="s">
        <v>1178</v>
      </c>
    </row>
    <row r="1421" spans="1:38" ht="15" customHeight="1" x14ac:dyDescent="0.3">
      <c r="A1421" s="30" t="s">
        <v>22</v>
      </c>
      <c r="B1421" s="30" t="s">
        <v>23</v>
      </c>
      <c r="C1421" s="37">
        <v>9</v>
      </c>
      <c r="D1421" s="11" t="s">
        <v>24</v>
      </c>
      <c r="E1421" s="108">
        <v>41933</v>
      </c>
      <c r="F1421" s="37">
        <v>2014</v>
      </c>
      <c r="G1421" s="30" t="s">
        <v>4780</v>
      </c>
      <c r="H1421" s="162" t="s">
        <v>4781</v>
      </c>
      <c r="I1421" s="12" t="s">
        <v>38</v>
      </c>
      <c r="J1421" s="32" t="s">
        <v>26</v>
      </c>
      <c r="K1421" s="137" t="s">
        <v>1194</v>
      </c>
      <c r="L1421" s="137" t="s">
        <v>3349</v>
      </c>
      <c r="M1421" s="660" t="s">
        <v>42</v>
      </c>
      <c r="N1421" s="709"/>
      <c r="O1421" s="146" t="s">
        <v>4782</v>
      </c>
      <c r="P1421" s="138" t="s">
        <v>4783</v>
      </c>
      <c r="Q1421" s="15" t="s">
        <v>282</v>
      </c>
      <c r="R1421" s="132">
        <v>43354</v>
      </c>
      <c r="S1421" s="16" t="s">
        <v>44</v>
      </c>
      <c r="T1421" s="165">
        <v>43720</v>
      </c>
      <c r="U1421" s="624"/>
      <c r="V1421" s="624"/>
      <c r="W1421" s="239">
        <v>10000000</v>
      </c>
      <c r="X1421" s="240">
        <v>0</v>
      </c>
      <c r="Y1421" s="7">
        <f t="shared" si="76"/>
        <v>0</v>
      </c>
      <c r="Z1421" s="7">
        <f t="shared" si="73"/>
        <v>0</v>
      </c>
      <c r="AA1421" s="108"/>
      <c r="AB1421" s="762" t="s">
        <v>3077</v>
      </c>
      <c r="AC1421" s="652"/>
      <c r="AD1421" s="187">
        <v>0</v>
      </c>
      <c r="AE1421" s="187">
        <v>0</v>
      </c>
      <c r="AF1421" s="205">
        <f t="shared" si="75"/>
        <v>0</v>
      </c>
      <c r="AG1421" s="30">
        <v>8</v>
      </c>
      <c r="AH1421" s="30" t="s">
        <v>58</v>
      </c>
      <c r="AI1421" s="719" t="s">
        <v>4784</v>
      </c>
      <c r="AJ1421" s="30" t="s">
        <v>1188</v>
      </c>
      <c r="AK1421" s="30" t="s">
        <v>1185</v>
      </c>
      <c r="AL1421" s="93" t="s">
        <v>1178</v>
      </c>
    </row>
    <row r="1422" spans="1:38" ht="15" customHeight="1" x14ac:dyDescent="0.3">
      <c r="A1422" s="30" t="s">
        <v>22</v>
      </c>
      <c r="B1422" s="153" t="s">
        <v>23</v>
      </c>
      <c r="C1422" s="109">
        <v>11</v>
      </c>
      <c r="D1422" s="11" t="s">
        <v>24</v>
      </c>
      <c r="E1422" s="114">
        <v>39800</v>
      </c>
      <c r="F1422" s="33">
        <v>2008</v>
      </c>
      <c r="G1422" s="142" t="s">
        <v>4785</v>
      </c>
      <c r="H1422" s="162" t="s">
        <v>4786</v>
      </c>
      <c r="I1422" s="33" t="s">
        <v>33</v>
      </c>
      <c r="J1422" s="32" t="s">
        <v>26</v>
      </c>
      <c r="K1422" s="197" t="s">
        <v>50</v>
      </c>
      <c r="L1422" s="137" t="s">
        <v>132</v>
      </c>
      <c r="M1422" s="137" t="s">
        <v>42</v>
      </c>
      <c r="N1422" s="238"/>
      <c r="O1422" s="146" t="s">
        <v>4787</v>
      </c>
      <c r="P1422" s="718" t="s">
        <v>6149</v>
      </c>
      <c r="Q1422" s="15" t="s">
        <v>282</v>
      </c>
      <c r="R1422" s="132">
        <v>40359</v>
      </c>
      <c r="S1422" s="16" t="s">
        <v>44</v>
      </c>
      <c r="T1422" s="165">
        <v>42124</v>
      </c>
      <c r="U1422" s="624" t="s">
        <v>44</v>
      </c>
      <c r="V1422" s="180">
        <v>43697</v>
      </c>
      <c r="W1422" s="239">
        <v>210000000</v>
      </c>
      <c r="X1422" s="240">
        <v>0</v>
      </c>
      <c r="Y1422" s="7">
        <f>IF(AE1422="","",W1422*AE1422)</f>
        <v>0</v>
      </c>
      <c r="Z1422" s="7">
        <f t="shared" si="73"/>
        <v>0</v>
      </c>
      <c r="AA1422" s="108"/>
      <c r="AB1422" s="479" t="s">
        <v>49</v>
      </c>
      <c r="AC1422" s="480"/>
      <c r="AD1422" s="187">
        <v>0</v>
      </c>
      <c r="AE1422" s="187">
        <v>0</v>
      </c>
      <c r="AF1422" s="205">
        <f t="shared" si="75"/>
        <v>0</v>
      </c>
      <c r="AG1422" s="163">
        <v>8</v>
      </c>
      <c r="AH1422" s="93" t="s">
        <v>2402</v>
      </c>
      <c r="AI1422" s="146"/>
      <c r="AJ1422" s="93" t="s">
        <v>1188</v>
      </c>
      <c r="AK1422" s="30" t="s">
        <v>99</v>
      </c>
      <c r="AL1422" s="93" t="s">
        <v>1178</v>
      </c>
    </row>
    <row r="1423" spans="1:38" ht="15" customHeight="1" x14ac:dyDescent="0.3">
      <c r="A1423" s="181" t="s">
        <v>22</v>
      </c>
      <c r="B1423" s="145" t="s">
        <v>227</v>
      </c>
      <c r="C1423" s="135">
        <v>4</v>
      </c>
      <c r="D1423" s="11" t="s">
        <v>225</v>
      </c>
      <c r="E1423" s="168">
        <v>41344</v>
      </c>
      <c r="F1423" s="136">
        <v>2013</v>
      </c>
      <c r="G1423" s="178" t="s">
        <v>4788</v>
      </c>
      <c r="H1423" s="204" t="s">
        <v>4789</v>
      </c>
      <c r="I1423" s="136" t="s">
        <v>25</v>
      </c>
      <c r="J1423" s="32" t="s">
        <v>26</v>
      </c>
      <c r="K1423" s="197" t="s">
        <v>50</v>
      </c>
      <c r="L1423" s="746" t="s">
        <v>28</v>
      </c>
      <c r="M1423" s="197" t="s">
        <v>42</v>
      </c>
      <c r="N1423" s="197"/>
      <c r="O1423" s="138" t="s">
        <v>4790</v>
      </c>
      <c r="P1423" s="718" t="s">
        <v>4791</v>
      </c>
      <c r="Q1423" s="15" t="s">
        <v>282</v>
      </c>
      <c r="R1423" s="218">
        <v>41603</v>
      </c>
      <c r="S1423" s="16" t="s">
        <v>44</v>
      </c>
      <c r="T1423" s="228">
        <v>41691</v>
      </c>
      <c r="U1423" s="775" t="s">
        <v>44</v>
      </c>
      <c r="V1423" s="821">
        <v>43690</v>
      </c>
      <c r="W1423" s="249">
        <v>101600000</v>
      </c>
      <c r="X1423" s="240">
        <v>0</v>
      </c>
      <c r="Y1423" s="201">
        <f>IF(AE1423="","",W1423*AE1423)</f>
        <v>0</v>
      </c>
      <c r="Z1423" s="7">
        <f t="shared" si="73"/>
        <v>0</v>
      </c>
      <c r="AA1423" s="108"/>
      <c r="AB1423" s="504" t="s">
        <v>6145</v>
      </c>
      <c r="AC1423" s="138"/>
      <c r="AD1423" s="187">
        <v>0</v>
      </c>
      <c r="AE1423" s="187">
        <v>0</v>
      </c>
      <c r="AF1423" s="205">
        <f t="shared" si="75"/>
        <v>0</v>
      </c>
      <c r="AG1423" s="138">
        <v>8</v>
      </c>
      <c r="AH1423" s="138" t="s">
        <v>2109</v>
      </c>
      <c r="AI1423" s="138"/>
      <c r="AJ1423" s="138" t="s">
        <v>1188</v>
      </c>
      <c r="AK1423" s="30" t="s">
        <v>99</v>
      </c>
      <c r="AL1423" s="93" t="s">
        <v>1178</v>
      </c>
    </row>
    <row r="1424" spans="1:38" ht="15" customHeight="1" x14ac:dyDescent="0.3">
      <c r="A1424" s="181" t="s">
        <v>22</v>
      </c>
      <c r="B1424" s="153" t="s">
        <v>105</v>
      </c>
      <c r="C1424" s="135">
        <v>3</v>
      </c>
      <c r="D1424" s="11" t="s">
        <v>5936</v>
      </c>
      <c r="E1424" s="168">
        <v>42037</v>
      </c>
      <c r="F1424" s="136">
        <v>2015</v>
      </c>
      <c r="G1424" s="178" t="s">
        <v>4792</v>
      </c>
      <c r="H1424" s="204" t="s">
        <v>4793</v>
      </c>
      <c r="I1424" s="136" t="s">
        <v>38</v>
      </c>
      <c r="J1424" s="32" t="s">
        <v>26</v>
      </c>
      <c r="K1424" s="197" t="s">
        <v>50</v>
      </c>
      <c r="L1424" s="746" t="s">
        <v>28</v>
      </c>
      <c r="M1424" s="138" t="s">
        <v>42</v>
      </c>
      <c r="N1424" s="197"/>
      <c r="O1424" s="197" t="s">
        <v>4794</v>
      </c>
      <c r="P1424" s="736" t="s">
        <v>4795</v>
      </c>
      <c r="Q1424" s="15" t="s">
        <v>282</v>
      </c>
      <c r="R1424" s="218">
        <v>42279</v>
      </c>
      <c r="S1424" s="16" t="s">
        <v>44</v>
      </c>
      <c r="T1424" s="133">
        <v>42472</v>
      </c>
      <c r="U1424" s="623" t="s">
        <v>44</v>
      </c>
      <c r="V1424" s="180">
        <v>43717</v>
      </c>
      <c r="W1424" s="242">
        <v>15000000</v>
      </c>
      <c r="X1424" s="243">
        <v>0</v>
      </c>
      <c r="Y1424" s="201">
        <f>IF(AE1424="","",W1424*AE1424)</f>
        <v>0</v>
      </c>
      <c r="Z1424" s="185">
        <f t="shared" si="73"/>
        <v>0</v>
      </c>
      <c r="AA1424" s="233"/>
      <c r="AB1424" s="513" t="s">
        <v>3232</v>
      </c>
      <c r="AC1424" s="147"/>
      <c r="AD1424" s="196">
        <v>0</v>
      </c>
      <c r="AE1424" s="187">
        <v>0</v>
      </c>
      <c r="AF1424" s="205">
        <f t="shared" si="75"/>
        <v>0</v>
      </c>
      <c r="AG1424" s="138">
        <v>8</v>
      </c>
      <c r="AH1424" s="200" t="s">
        <v>45</v>
      </c>
      <c r="AI1424" s="138"/>
      <c r="AJ1424" s="138" t="s">
        <v>1188</v>
      </c>
      <c r="AK1424" s="30" t="s">
        <v>99</v>
      </c>
      <c r="AL1424" s="138" t="s">
        <v>1178</v>
      </c>
    </row>
    <row r="1425" spans="1:38" ht="15" customHeight="1" x14ac:dyDescent="0.3">
      <c r="A1425" s="30" t="s">
        <v>22</v>
      </c>
      <c r="B1425" s="30" t="s">
        <v>23</v>
      </c>
      <c r="C1425" s="146">
        <v>11</v>
      </c>
      <c r="D1425" s="11" t="s">
        <v>24</v>
      </c>
      <c r="E1425" s="108">
        <v>42311</v>
      </c>
      <c r="F1425" s="37">
        <v>2015</v>
      </c>
      <c r="G1425" s="30" t="s">
        <v>4796</v>
      </c>
      <c r="H1425" s="162" t="s">
        <v>4797</v>
      </c>
      <c r="I1425" s="33" t="s">
        <v>33</v>
      </c>
      <c r="J1425" s="32" t="s">
        <v>26</v>
      </c>
      <c r="K1425" s="137" t="s">
        <v>3979</v>
      </c>
      <c r="L1425" s="137" t="s">
        <v>85</v>
      </c>
      <c r="M1425" s="137" t="s">
        <v>804</v>
      </c>
      <c r="N1425" s="660"/>
      <c r="O1425" s="93" t="s">
        <v>4798</v>
      </c>
      <c r="P1425" s="138" t="s">
        <v>4799</v>
      </c>
      <c r="Q1425" s="15" t="s">
        <v>35</v>
      </c>
      <c r="R1425" s="132">
        <v>42941</v>
      </c>
      <c r="S1425" s="16" t="s">
        <v>35</v>
      </c>
      <c r="T1425" s="165">
        <v>43342</v>
      </c>
      <c r="U1425" s="624"/>
      <c r="V1425" s="624"/>
      <c r="W1425" s="239">
        <v>70000000</v>
      </c>
      <c r="X1425" s="240">
        <v>67743324</v>
      </c>
      <c r="Y1425" s="201">
        <v>-44424373</v>
      </c>
      <c r="Z1425" s="201">
        <f t="shared" si="73"/>
        <v>23318951</v>
      </c>
      <c r="AA1425" s="192">
        <v>43757</v>
      </c>
      <c r="AB1425" s="479" t="s">
        <v>49</v>
      </c>
      <c r="AC1425" s="480"/>
      <c r="AD1425" s="187">
        <v>1</v>
      </c>
      <c r="AE1425" s="187">
        <v>0</v>
      </c>
      <c r="AF1425" s="205">
        <f t="shared" si="75"/>
        <v>1</v>
      </c>
      <c r="AG1425" s="30">
        <v>8</v>
      </c>
      <c r="AH1425" s="93" t="s">
        <v>2755</v>
      </c>
      <c r="AI1425" s="719" t="s">
        <v>6150</v>
      </c>
      <c r="AJ1425" s="30" t="s">
        <v>1188</v>
      </c>
      <c r="AK1425" s="30" t="s">
        <v>1185</v>
      </c>
      <c r="AL1425" s="93" t="s">
        <v>1178</v>
      </c>
    </row>
    <row r="1426" spans="1:38" ht="15" customHeight="1" x14ac:dyDescent="0.3">
      <c r="A1426" s="181" t="s">
        <v>22</v>
      </c>
      <c r="B1426" s="248" t="s">
        <v>105</v>
      </c>
      <c r="C1426" s="245">
        <v>39</v>
      </c>
      <c r="D1426" s="11" t="s">
        <v>5936</v>
      </c>
      <c r="E1426" s="247">
        <v>42716</v>
      </c>
      <c r="F1426" s="246">
        <v>2016</v>
      </c>
      <c r="G1426" s="792" t="s">
        <v>4801</v>
      </c>
      <c r="H1426" s="792" t="s">
        <v>4802</v>
      </c>
      <c r="I1426" s="30" t="s">
        <v>38</v>
      </c>
      <c r="J1426" s="32" t="s">
        <v>26</v>
      </c>
      <c r="K1426" s="805" t="s">
        <v>4803</v>
      </c>
      <c r="L1426" s="264" t="s">
        <v>137</v>
      </c>
      <c r="M1426" s="137" t="s">
        <v>804</v>
      </c>
      <c r="N1426" s="197"/>
      <c r="O1426" s="805" t="s">
        <v>4804</v>
      </c>
      <c r="P1426" s="822" t="s">
        <v>6151</v>
      </c>
      <c r="Q1426" s="15" t="s">
        <v>35</v>
      </c>
      <c r="R1426" s="218">
        <v>43543</v>
      </c>
      <c r="S1426" s="16" t="s">
        <v>35</v>
      </c>
      <c r="T1426" s="133">
        <v>43606</v>
      </c>
      <c r="U1426" s="623"/>
      <c r="V1426" s="624"/>
      <c r="W1426" s="239">
        <v>30000000</v>
      </c>
      <c r="X1426" s="243">
        <v>0</v>
      </c>
      <c r="Y1426" s="201">
        <f>IF(AE1426="","",W1426*AE1426)-22003134</f>
        <v>7996866</v>
      </c>
      <c r="Z1426" s="189">
        <f t="shared" si="73"/>
        <v>7996866</v>
      </c>
      <c r="AA1426" s="267">
        <v>43771</v>
      </c>
      <c r="AB1426" s="564" t="s">
        <v>1073</v>
      </c>
      <c r="AC1426" s="693"/>
      <c r="AD1426" s="187">
        <v>0</v>
      </c>
      <c r="AE1426" s="187">
        <v>1</v>
      </c>
      <c r="AF1426" s="205">
        <f t="shared" si="75"/>
        <v>1</v>
      </c>
      <c r="AG1426" s="181">
        <v>8</v>
      </c>
      <c r="AH1426" s="200" t="s">
        <v>45</v>
      </c>
      <c r="AI1426" s="718" t="s">
        <v>4806</v>
      </c>
      <c r="AJ1426" s="138" t="s">
        <v>1188</v>
      </c>
      <c r="AK1426" s="181" t="s">
        <v>1185</v>
      </c>
      <c r="AL1426" s="138" t="s">
        <v>1178</v>
      </c>
    </row>
    <row r="1427" spans="1:38" ht="15" customHeight="1" x14ac:dyDescent="0.3">
      <c r="A1427" s="30" t="s">
        <v>22</v>
      </c>
      <c r="B1427" s="30" t="s">
        <v>23</v>
      </c>
      <c r="C1427" s="37">
        <v>18</v>
      </c>
      <c r="D1427" s="11" t="s">
        <v>24</v>
      </c>
      <c r="E1427" s="108">
        <v>42017</v>
      </c>
      <c r="F1427" s="37">
        <v>2015</v>
      </c>
      <c r="G1427" s="30" t="s">
        <v>4807</v>
      </c>
      <c r="H1427" s="162" t="s">
        <v>4808</v>
      </c>
      <c r="I1427" s="12" t="s">
        <v>80</v>
      </c>
      <c r="J1427" s="32" t="s">
        <v>26</v>
      </c>
      <c r="K1427" s="197" t="s">
        <v>50</v>
      </c>
      <c r="L1427" s="137" t="s">
        <v>28</v>
      </c>
      <c r="M1427" s="660" t="s">
        <v>42</v>
      </c>
      <c r="N1427" s="660"/>
      <c r="O1427" s="93" t="s">
        <v>4809</v>
      </c>
      <c r="P1427" s="718" t="s">
        <v>4810</v>
      </c>
      <c r="Q1427" s="15" t="s">
        <v>282</v>
      </c>
      <c r="R1427" s="132">
        <v>42550</v>
      </c>
      <c r="S1427" s="16" t="s">
        <v>44</v>
      </c>
      <c r="T1427" s="165">
        <v>43327</v>
      </c>
      <c r="U1427" s="624"/>
      <c r="V1427" s="624"/>
      <c r="W1427" s="239">
        <v>21600000</v>
      </c>
      <c r="X1427" s="240">
        <v>0</v>
      </c>
      <c r="Y1427" s="7">
        <f t="shared" ref="Y1427:Y1432" si="77">IF(AE1427="","",W1427*AE1427)</f>
        <v>0</v>
      </c>
      <c r="Z1427" s="7">
        <f t="shared" si="73"/>
        <v>0</v>
      </c>
      <c r="AA1427" s="108"/>
      <c r="AB1427" s="503" t="s">
        <v>6152</v>
      </c>
      <c r="AC1427" s="222"/>
      <c r="AD1427" s="187">
        <v>0</v>
      </c>
      <c r="AE1427" s="187">
        <v>0</v>
      </c>
      <c r="AF1427" s="205">
        <f t="shared" si="75"/>
        <v>0</v>
      </c>
      <c r="AG1427" s="30">
        <v>8</v>
      </c>
      <c r="AH1427" s="30" t="s">
        <v>4800</v>
      </c>
      <c r="AI1427" s="200"/>
      <c r="AJ1427" s="30" t="s">
        <v>1188</v>
      </c>
      <c r="AK1427" s="30" t="s">
        <v>99</v>
      </c>
      <c r="AL1427" s="93" t="s">
        <v>1178</v>
      </c>
    </row>
    <row r="1428" spans="1:38" ht="15" customHeight="1" x14ac:dyDescent="0.3">
      <c r="A1428" s="181" t="s">
        <v>22</v>
      </c>
      <c r="B1428" s="145" t="s">
        <v>105</v>
      </c>
      <c r="C1428" s="135">
        <v>21</v>
      </c>
      <c r="D1428" s="11" t="s">
        <v>5936</v>
      </c>
      <c r="E1428" s="168">
        <v>41046</v>
      </c>
      <c r="F1428" s="136">
        <v>2012</v>
      </c>
      <c r="G1428" s="178" t="s">
        <v>4812</v>
      </c>
      <c r="H1428" s="204" t="s">
        <v>4813</v>
      </c>
      <c r="I1428" s="136" t="s">
        <v>80</v>
      </c>
      <c r="J1428" s="32" t="s">
        <v>26</v>
      </c>
      <c r="K1428" s="197" t="s">
        <v>50</v>
      </c>
      <c r="L1428" s="746" t="s">
        <v>40</v>
      </c>
      <c r="M1428" s="137" t="s">
        <v>804</v>
      </c>
      <c r="N1428" s="197"/>
      <c r="O1428" s="138" t="s">
        <v>4814</v>
      </c>
      <c r="P1428" s="718" t="s">
        <v>4815</v>
      </c>
      <c r="Q1428" s="15" t="s">
        <v>35</v>
      </c>
      <c r="R1428" s="132">
        <v>41578</v>
      </c>
      <c r="S1428" s="16" t="s">
        <v>44</v>
      </c>
      <c r="T1428" s="133">
        <v>41717</v>
      </c>
      <c r="U1428" s="623" t="s">
        <v>44</v>
      </c>
      <c r="V1428" s="180">
        <v>43726</v>
      </c>
      <c r="W1428" s="242">
        <v>30000000</v>
      </c>
      <c r="X1428" s="240">
        <v>30000000</v>
      </c>
      <c r="Y1428" s="201">
        <f t="shared" si="77"/>
        <v>0</v>
      </c>
      <c r="Z1428" s="7">
        <f t="shared" si="73"/>
        <v>30000000</v>
      </c>
      <c r="AA1428" s="108">
        <v>44134</v>
      </c>
      <c r="AB1428" s="513" t="s">
        <v>3232</v>
      </c>
      <c r="AC1428" s="147"/>
      <c r="AD1428" s="196">
        <v>1</v>
      </c>
      <c r="AE1428" s="187">
        <v>0</v>
      </c>
      <c r="AF1428" s="205">
        <f t="shared" si="75"/>
        <v>1</v>
      </c>
      <c r="AG1428" s="138">
        <v>8</v>
      </c>
      <c r="AH1428" s="138" t="s">
        <v>4805</v>
      </c>
      <c r="AI1428" s="138"/>
      <c r="AJ1428" s="138" t="s">
        <v>1188</v>
      </c>
      <c r="AK1428" s="30" t="s">
        <v>99</v>
      </c>
      <c r="AL1428" s="138" t="s">
        <v>1178</v>
      </c>
    </row>
    <row r="1429" spans="1:38" ht="15" customHeight="1" x14ac:dyDescent="0.3">
      <c r="A1429" s="181" t="s">
        <v>22</v>
      </c>
      <c r="B1429" s="181" t="s">
        <v>202</v>
      </c>
      <c r="C1429" s="245">
        <v>1</v>
      </c>
      <c r="D1429" s="246" t="s">
        <v>190</v>
      </c>
      <c r="E1429" s="247">
        <v>42591</v>
      </c>
      <c r="F1429" s="246">
        <v>2016</v>
      </c>
      <c r="G1429" s="792" t="s">
        <v>4817</v>
      </c>
      <c r="H1429" s="792" t="s">
        <v>4818</v>
      </c>
      <c r="I1429" s="30" t="s">
        <v>38</v>
      </c>
      <c r="J1429" s="32" t="s">
        <v>26</v>
      </c>
      <c r="K1429" s="137" t="s">
        <v>4014</v>
      </c>
      <c r="L1429" s="264" t="s">
        <v>4819</v>
      </c>
      <c r="M1429" s="137" t="s">
        <v>804</v>
      </c>
      <c r="N1429" s="264"/>
      <c r="O1429" s="805" t="s">
        <v>4820</v>
      </c>
      <c r="P1429" s="732" t="s">
        <v>4821</v>
      </c>
      <c r="Q1429" s="15" t="s">
        <v>35</v>
      </c>
      <c r="R1429" s="231">
        <v>42908</v>
      </c>
      <c r="S1429" s="16" t="s">
        <v>44</v>
      </c>
      <c r="T1429" s="268">
        <v>43718</v>
      </c>
      <c r="U1429" s="803"/>
      <c r="V1429" s="803"/>
      <c r="W1429" s="242">
        <v>65000000</v>
      </c>
      <c r="X1429" s="240">
        <v>65000000</v>
      </c>
      <c r="Y1429" s="201">
        <f t="shared" si="77"/>
        <v>0</v>
      </c>
      <c r="Z1429" s="201">
        <f t="shared" si="73"/>
        <v>65000000</v>
      </c>
      <c r="AA1429" s="192">
        <v>44402</v>
      </c>
      <c r="AB1429" s="503" t="s">
        <v>3960</v>
      </c>
      <c r="AC1429" s="222"/>
      <c r="AD1429" s="258">
        <v>1</v>
      </c>
      <c r="AE1429" s="187">
        <v>0</v>
      </c>
      <c r="AF1429" s="205">
        <f t="shared" si="75"/>
        <v>1</v>
      </c>
      <c r="AG1429" s="181">
        <v>8</v>
      </c>
      <c r="AH1429" s="181" t="s">
        <v>4811</v>
      </c>
      <c r="AI1429" s="718" t="s">
        <v>4822</v>
      </c>
      <c r="AJ1429" s="197" t="s">
        <v>1188</v>
      </c>
      <c r="AK1429" s="30" t="s">
        <v>99</v>
      </c>
      <c r="AL1429" s="138" t="s">
        <v>1178</v>
      </c>
    </row>
    <row r="1430" spans="1:38" ht="15" customHeight="1" x14ac:dyDescent="0.3">
      <c r="A1430" s="181" t="s">
        <v>160</v>
      </c>
      <c r="B1430" s="265" t="s">
        <v>1127</v>
      </c>
      <c r="C1430" s="245" t="s">
        <v>4823</v>
      </c>
      <c r="D1430" s="246" t="s">
        <v>190</v>
      </c>
      <c r="E1430" s="247">
        <v>42811</v>
      </c>
      <c r="F1430" s="246">
        <v>2017</v>
      </c>
      <c r="G1430" s="792" t="s">
        <v>4824</v>
      </c>
      <c r="H1430" s="792" t="s">
        <v>4825</v>
      </c>
      <c r="I1430" s="30" t="s">
        <v>38</v>
      </c>
      <c r="J1430" s="32" t="s">
        <v>26</v>
      </c>
      <c r="K1430" s="264" t="s">
        <v>4826</v>
      </c>
      <c r="L1430" s="264" t="s">
        <v>133</v>
      </c>
      <c r="M1430" s="137" t="s">
        <v>804</v>
      </c>
      <c r="N1430" s="197"/>
      <c r="O1430" s="805" t="s">
        <v>4827</v>
      </c>
      <c r="P1430" s="794" t="s">
        <v>4828</v>
      </c>
      <c r="Q1430" s="15" t="s">
        <v>35</v>
      </c>
      <c r="R1430" s="231">
        <v>42887</v>
      </c>
      <c r="S1430" s="16" t="s">
        <v>44</v>
      </c>
      <c r="T1430" s="268">
        <v>43718</v>
      </c>
      <c r="U1430" s="803"/>
      <c r="V1430" s="803"/>
      <c r="W1430" s="242">
        <v>6000000</v>
      </c>
      <c r="X1430" s="240">
        <v>6000000</v>
      </c>
      <c r="Y1430" s="201">
        <f t="shared" si="77"/>
        <v>0</v>
      </c>
      <c r="Z1430" s="201">
        <f t="shared" si="73"/>
        <v>6000000</v>
      </c>
      <c r="AA1430" s="192">
        <v>43997</v>
      </c>
      <c r="AB1430" s="604" t="s">
        <v>3744</v>
      </c>
      <c r="AC1430" s="163"/>
      <c r="AD1430" s="258">
        <v>1</v>
      </c>
      <c r="AE1430" s="187">
        <v>0</v>
      </c>
      <c r="AF1430" s="205">
        <f t="shared" si="75"/>
        <v>1</v>
      </c>
      <c r="AG1430" s="181">
        <v>8</v>
      </c>
      <c r="AH1430" s="138" t="s">
        <v>2509</v>
      </c>
      <c r="AI1430" s="181"/>
      <c r="AJ1430" s="197" t="s">
        <v>1188</v>
      </c>
      <c r="AK1430" s="197" t="s">
        <v>1185</v>
      </c>
      <c r="AL1430" s="138" t="s">
        <v>1178</v>
      </c>
    </row>
    <row r="1431" spans="1:38" ht="15" customHeight="1" x14ac:dyDescent="0.3">
      <c r="A1431" s="181" t="s">
        <v>4829</v>
      </c>
      <c r="B1431" s="255" t="s">
        <v>4816</v>
      </c>
      <c r="C1431" s="135" t="s">
        <v>240</v>
      </c>
      <c r="D1431" s="136" t="s">
        <v>190</v>
      </c>
      <c r="E1431" s="168">
        <v>42890</v>
      </c>
      <c r="F1431" s="136">
        <v>2017</v>
      </c>
      <c r="G1431" s="178" t="s">
        <v>4830</v>
      </c>
      <c r="H1431" s="181" t="s">
        <v>4831</v>
      </c>
      <c r="I1431" s="136" t="s">
        <v>38</v>
      </c>
      <c r="J1431" s="181" t="s">
        <v>81</v>
      </c>
      <c r="K1431" s="197" t="s">
        <v>163</v>
      </c>
      <c r="L1431" s="197" t="s">
        <v>28</v>
      </c>
      <c r="M1431" s="197" t="s">
        <v>42</v>
      </c>
      <c r="N1431" s="197"/>
      <c r="O1431" s="783" t="s">
        <v>4832</v>
      </c>
      <c r="P1431" s="794" t="s">
        <v>4833</v>
      </c>
      <c r="Q1431" s="230"/>
      <c r="R1431" s="231"/>
      <c r="S1431" s="272"/>
      <c r="T1431" s="268"/>
      <c r="U1431" s="803"/>
      <c r="V1431" s="803"/>
      <c r="W1431" s="242">
        <v>5000000</v>
      </c>
      <c r="X1431" s="240">
        <v>0</v>
      </c>
      <c r="Y1431" s="201">
        <f t="shared" si="77"/>
        <v>0</v>
      </c>
      <c r="Z1431" s="7">
        <f t="shared" si="73"/>
        <v>0</v>
      </c>
      <c r="AA1431" s="192"/>
      <c r="AB1431" s="503" t="s">
        <v>3960</v>
      </c>
      <c r="AC1431" s="222"/>
      <c r="AD1431" s="258">
        <v>0</v>
      </c>
      <c r="AE1431" s="187">
        <v>0</v>
      </c>
      <c r="AF1431" s="205">
        <f t="shared" si="75"/>
        <v>0</v>
      </c>
      <c r="AG1431" s="181">
        <v>8</v>
      </c>
      <c r="AH1431" s="264"/>
      <c r="AI1431" s="718" t="s">
        <v>3698</v>
      </c>
      <c r="AJ1431" s="197" t="s">
        <v>1188</v>
      </c>
      <c r="AK1431" s="197" t="s">
        <v>1177</v>
      </c>
      <c r="AL1431" s="138" t="s">
        <v>1178</v>
      </c>
    </row>
    <row r="1432" spans="1:38" ht="15" customHeight="1" x14ac:dyDescent="0.3">
      <c r="A1432" s="181" t="s">
        <v>22</v>
      </c>
      <c r="B1432" s="145" t="s">
        <v>197</v>
      </c>
      <c r="C1432" s="135">
        <v>4</v>
      </c>
      <c r="D1432" s="136" t="s">
        <v>190</v>
      </c>
      <c r="E1432" s="192">
        <v>39252</v>
      </c>
      <c r="F1432" s="138">
        <v>2007</v>
      </c>
      <c r="G1432" s="744" t="s">
        <v>4835</v>
      </c>
      <c r="H1432" s="204" t="s">
        <v>4836</v>
      </c>
      <c r="I1432" s="33" t="s">
        <v>33</v>
      </c>
      <c r="J1432" s="32" t="s">
        <v>26</v>
      </c>
      <c r="K1432" s="137" t="s">
        <v>3979</v>
      </c>
      <c r="L1432" s="197" t="s">
        <v>40</v>
      </c>
      <c r="M1432" s="137" t="s">
        <v>804</v>
      </c>
      <c r="N1432" s="137"/>
      <c r="O1432" s="138" t="s">
        <v>4837</v>
      </c>
      <c r="P1432" s="718" t="s">
        <v>4838</v>
      </c>
      <c r="Q1432" s="15" t="s">
        <v>35</v>
      </c>
      <c r="R1432" s="132">
        <v>40528</v>
      </c>
      <c r="S1432" s="16" t="s">
        <v>35</v>
      </c>
      <c r="T1432" s="133">
        <v>41382</v>
      </c>
      <c r="U1432" s="802" t="s">
        <v>44</v>
      </c>
      <c r="V1432" s="807">
        <v>43643</v>
      </c>
      <c r="W1432" s="249">
        <v>80000000</v>
      </c>
      <c r="X1432" s="240">
        <v>80000000</v>
      </c>
      <c r="Y1432" s="201">
        <f t="shared" si="77"/>
        <v>0</v>
      </c>
      <c r="Z1432" s="185">
        <f t="shared" si="73"/>
        <v>80000000</v>
      </c>
      <c r="AA1432" s="192">
        <v>43880</v>
      </c>
      <c r="AB1432" s="604" t="s">
        <v>6138</v>
      </c>
      <c r="AC1432" s="163"/>
      <c r="AD1432" s="187">
        <v>1</v>
      </c>
      <c r="AE1432" s="187">
        <v>0</v>
      </c>
      <c r="AF1432" s="205">
        <f>AE1432+AD1432</f>
        <v>1</v>
      </c>
      <c r="AG1432" s="163">
        <v>8</v>
      </c>
      <c r="AH1432" s="138"/>
      <c r="AI1432" s="718" t="s">
        <v>4839</v>
      </c>
      <c r="AJ1432" s="138" t="s">
        <v>1188</v>
      </c>
      <c r="AK1432" s="30" t="s">
        <v>99</v>
      </c>
      <c r="AL1432" s="138" t="s">
        <v>1178</v>
      </c>
    </row>
    <row r="1433" spans="1:38" ht="15" customHeight="1" x14ac:dyDescent="0.3">
      <c r="A1433" s="181" t="s">
        <v>140</v>
      </c>
      <c r="B1433" s="265" t="s">
        <v>1339</v>
      </c>
      <c r="C1433" s="107" t="s">
        <v>196</v>
      </c>
      <c r="D1433" s="12" t="s">
        <v>190</v>
      </c>
      <c r="E1433" s="114">
        <v>43446</v>
      </c>
      <c r="F1433" s="12">
        <v>2018</v>
      </c>
      <c r="G1433" s="142" t="s">
        <v>4840</v>
      </c>
      <c r="H1433" s="162" t="s">
        <v>4841</v>
      </c>
      <c r="I1433" s="30" t="s">
        <v>38</v>
      </c>
      <c r="J1433" s="248" t="s">
        <v>81</v>
      </c>
      <c r="K1433" s="264" t="s">
        <v>4305</v>
      </c>
      <c r="L1433" s="264" t="s">
        <v>4842</v>
      </c>
      <c r="M1433" s="137" t="s">
        <v>804</v>
      </c>
      <c r="N1433" s="264" t="s">
        <v>43</v>
      </c>
      <c r="O1433" s="783" t="s">
        <v>4843</v>
      </c>
      <c r="P1433" s="783" t="s">
        <v>4844</v>
      </c>
      <c r="Q1433" s="15" t="s">
        <v>35</v>
      </c>
      <c r="R1433" s="231">
        <v>43683</v>
      </c>
      <c r="S1433" s="16" t="s">
        <v>44</v>
      </c>
      <c r="T1433" s="268">
        <v>43808</v>
      </c>
      <c r="U1433" s="803"/>
      <c r="V1433" s="803"/>
      <c r="W1433" s="242">
        <v>5000000</v>
      </c>
      <c r="X1433" s="240"/>
      <c r="Y1433" s="201">
        <f>IF(AE1433="","",W1433*AE1433)</f>
        <v>5000000</v>
      </c>
      <c r="Z1433" s="201">
        <f t="shared" si="73"/>
        <v>5000000</v>
      </c>
      <c r="AA1433" s="192">
        <v>44058</v>
      </c>
      <c r="AB1433" s="503" t="s">
        <v>3960</v>
      </c>
      <c r="AC1433" s="222"/>
      <c r="AD1433" s="258"/>
      <c r="AE1433" s="187">
        <v>1</v>
      </c>
      <c r="AF1433" s="205">
        <f>AE1433+AD1433</f>
        <v>1</v>
      </c>
      <c r="AG1433" s="181">
        <v>10</v>
      </c>
      <c r="AH1433" s="264" t="s">
        <v>4834</v>
      </c>
      <c r="AI1433" s="138"/>
      <c r="AJ1433" s="197" t="s">
        <v>1188</v>
      </c>
      <c r="AK1433" s="197" t="s">
        <v>1185</v>
      </c>
      <c r="AL1433" s="138" t="s">
        <v>1178</v>
      </c>
    </row>
    <row r="1434" spans="1:38" ht="15" customHeight="1" x14ac:dyDescent="0.3">
      <c r="A1434" s="248" t="s">
        <v>4829</v>
      </c>
      <c r="B1434" s="265" t="s">
        <v>4816</v>
      </c>
      <c r="C1434" s="245" t="s">
        <v>240</v>
      </c>
      <c r="D1434" s="246" t="s">
        <v>190</v>
      </c>
      <c r="E1434" s="247">
        <v>42890</v>
      </c>
      <c r="F1434" s="246">
        <v>2017</v>
      </c>
      <c r="G1434" s="792" t="s">
        <v>4830</v>
      </c>
      <c r="H1434" s="792" t="s">
        <v>4831</v>
      </c>
      <c r="I1434" s="246" t="s">
        <v>38</v>
      </c>
      <c r="J1434" s="248" t="s">
        <v>81</v>
      </c>
      <c r="K1434" s="264" t="s">
        <v>163</v>
      </c>
      <c r="L1434" s="264" t="s">
        <v>28</v>
      </c>
      <c r="M1434" s="264" t="s">
        <v>42</v>
      </c>
      <c r="N1434" s="264"/>
      <c r="O1434" s="805" t="s">
        <v>4846</v>
      </c>
      <c r="P1434" s="794" t="s">
        <v>4847</v>
      </c>
      <c r="Q1434" s="230"/>
      <c r="R1434" s="231"/>
      <c r="S1434" s="272"/>
      <c r="T1434" s="272"/>
      <c r="U1434" s="803"/>
      <c r="V1434" s="803"/>
      <c r="W1434" s="242">
        <v>5000000</v>
      </c>
      <c r="X1434" s="292"/>
      <c r="Y1434" s="201">
        <f>IF(AE1434="","",W1434*AE1434)</f>
        <v>0</v>
      </c>
      <c r="Z1434" s="201">
        <f t="shared" si="73"/>
        <v>0</v>
      </c>
      <c r="AA1434" s="263"/>
      <c r="AB1434" s="503" t="s">
        <v>3960</v>
      </c>
      <c r="AC1434" s="222"/>
      <c r="AD1434" s="196"/>
      <c r="AE1434" s="187">
        <v>0</v>
      </c>
      <c r="AF1434" s="205">
        <v>0</v>
      </c>
      <c r="AG1434" s="264">
        <v>12</v>
      </c>
      <c r="AH1434" s="264"/>
      <c r="AI1434" s="736" t="s">
        <v>4665</v>
      </c>
      <c r="AJ1434" s="264" t="s">
        <v>1188</v>
      </c>
      <c r="AK1434" s="264" t="s">
        <v>1177</v>
      </c>
      <c r="AL1434" s="264" t="s">
        <v>1178</v>
      </c>
    </row>
    <row r="1435" spans="1:38" ht="15" customHeight="1" x14ac:dyDescent="0.3">
      <c r="A1435" s="181" t="s">
        <v>160</v>
      </c>
      <c r="B1435" s="265" t="s">
        <v>780</v>
      </c>
      <c r="C1435" s="245">
        <v>2</v>
      </c>
      <c r="D1435" s="246" t="s">
        <v>190</v>
      </c>
      <c r="E1435" s="247">
        <v>43154</v>
      </c>
      <c r="F1435" s="246">
        <v>2018</v>
      </c>
      <c r="G1435" s="792" t="s">
        <v>4848</v>
      </c>
      <c r="H1435" s="792" t="s">
        <v>4849</v>
      </c>
      <c r="I1435" s="33" t="s">
        <v>33</v>
      </c>
      <c r="J1435" s="32" t="s">
        <v>26</v>
      </c>
      <c r="K1435" s="264" t="s">
        <v>103</v>
      </c>
      <c r="L1435" s="264" t="s">
        <v>109</v>
      </c>
      <c r="M1435" s="137" t="s">
        <v>804</v>
      </c>
      <c r="N1435" s="197"/>
      <c r="O1435" s="805" t="s">
        <v>4850</v>
      </c>
      <c r="P1435" s="822" t="s">
        <v>4851</v>
      </c>
      <c r="Q1435" s="15" t="s">
        <v>35</v>
      </c>
      <c r="R1435" s="231">
        <v>43543</v>
      </c>
      <c r="S1435" s="16" t="s">
        <v>35</v>
      </c>
      <c r="T1435" s="268">
        <v>43585</v>
      </c>
      <c r="U1435" s="803"/>
      <c r="V1435" s="803"/>
      <c r="W1435" s="242">
        <v>180000000</v>
      </c>
      <c r="X1435" s="240">
        <v>180000000</v>
      </c>
      <c r="Y1435" s="201">
        <f>-85109869-1656232</f>
        <v>-86766101</v>
      </c>
      <c r="Z1435" s="7">
        <f t="shared" si="73"/>
        <v>93233899</v>
      </c>
      <c r="AA1435" s="192">
        <v>43809</v>
      </c>
      <c r="AB1435" s="503" t="s">
        <v>3960</v>
      </c>
      <c r="AC1435" s="222"/>
      <c r="AD1435" s="258">
        <v>1</v>
      </c>
      <c r="AE1435" s="187">
        <v>0</v>
      </c>
      <c r="AF1435" s="205">
        <f t="shared" ref="AF1435:AF1451" si="78">AE1435+AD1435</f>
        <v>1</v>
      </c>
      <c r="AG1435" s="181">
        <v>8</v>
      </c>
      <c r="AH1435" s="264" t="s">
        <v>4845</v>
      </c>
      <c r="AI1435" s="718" t="s">
        <v>4852</v>
      </c>
      <c r="AJ1435" s="197" t="s">
        <v>1188</v>
      </c>
      <c r="AK1435" s="197" t="s">
        <v>1185</v>
      </c>
      <c r="AL1435" s="138" t="s">
        <v>1178</v>
      </c>
    </row>
    <row r="1436" spans="1:38" ht="15" customHeight="1" x14ac:dyDescent="0.3">
      <c r="A1436" s="181" t="s">
        <v>22</v>
      </c>
      <c r="B1436" s="265" t="s">
        <v>3242</v>
      </c>
      <c r="C1436" s="245" t="s">
        <v>4853</v>
      </c>
      <c r="D1436" s="246" t="s">
        <v>190</v>
      </c>
      <c r="E1436" s="247">
        <v>42691</v>
      </c>
      <c r="F1436" s="246">
        <v>2016</v>
      </c>
      <c r="G1436" s="792" t="s">
        <v>4854</v>
      </c>
      <c r="H1436" s="792" t="s">
        <v>4855</v>
      </c>
      <c r="I1436" s="33" t="s">
        <v>33</v>
      </c>
      <c r="J1436" s="32" t="s">
        <v>26</v>
      </c>
      <c r="K1436" s="264" t="s">
        <v>103</v>
      </c>
      <c r="L1436" s="264" t="s">
        <v>109</v>
      </c>
      <c r="M1436" s="137" t="s">
        <v>804</v>
      </c>
      <c r="N1436" s="197"/>
      <c r="O1436" s="805" t="s">
        <v>4856</v>
      </c>
      <c r="P1436" s="794" t="s">
        <v>4857</v>
      </c>
      <c r="Q1436" s="15" t="s">
        <v>35</v>
      </c>
      <c r="R1436" s="231">
        <v>42906</v>
      </c>
      <c r="S1436" s="16" t="s">
        <v>35</v>
      </c>
      <c r="T1436" s="268">
        <v>43362</v>
      </c>
      <c r="U1436" s="803"/>
      <c r="V1436" s="803"/>
      <c r="W1436" s="242">
        <v>40000000</v>
      </c>
      <c r="X1436" s="240">
        <v>24009540</v>
      </c>
      <c r="Y1436" s="201">
        <f>IF(AE1436="","",W1436*AE1436)</f>
        <v>0</v>
      </c>
      <c r="Z1436" s="201">
        <f t="shared" si="73"/>
        <v>24009540</v>
      </c>
      <c r="AA1436" s="192">
        <v>43850</v>
      </c>
      <c r="AB1436" s="604" t="s">
        <v>3744</v>
      </c>
      <c r="AC1436" s="163"/>
      <c r="AD1436" s="258">
        <v>1</v>
      </c>
      <c r="AE1436" s="187">
        <v>0</v>
      </c>
      <c r="AF1436" s="205">
        <f t="shared" si="78"/>
        <v>1</v>
      </c>
      <c r="AG1436" s="181">
        <v>8</v>
      </c>
      <c r="AH1436" s="264" t="s">
        <v>3745</v>
      </c>
      <c r="AI1436" s="718" t="s">
        <v>4859</v>
      </c>
      <c r="AJ1436" s="197" t="s">
        <v>1188</v>
      </c>
      <c r="AK1436" s="197" t="s">
        <v>1185</v>
      </c>
      <c r="AL1436" s="138" t="s">
        <v>1178</v>
      </c>
    </row>
    <row r="1437" spans="1:38" ht="15" customHeight="1" x14ac:dyDescent="0.3">
      <c r="A1437" s="181" t="s">
        <v>22</v>
      </c>
      <c r="B1437" s="265" t="s">
        <v>3708</v>
      </c>
      <c r="C1437" s="245" t="s">
        <v>4860</v>
      </c>
      <c r="D1437" s="246" t="s">
        <v>190</v>
      </c>
      <c r="E1437" s="247">
        <v>42790</v>
      </c>
      <c r="F1437" s="246">
        <v>2017</v>
      </c>
      <c r="G1437" s="792" t="s">
        <v>4861</v>
      </c>
      <c r="H1437" s="792" t="s">
        <v>4861</v>
      </c>
      <c r="I1437" s="33" t="s">
        <v>33</v>
      </c>
      <c r="J1437" s="248" t="s">
        <v>81</v>
      </c>
      <c r="K1437" s="264" t="s">
        <v>103</v>
      </c>
      <c r="L1437" s="264" t="s">
        <v>85</v>
      </c>
      <c r="M1437" s="137" t="s">
        <v>804</v>
      </c>
      <c r="N1437" s="197"/>
      <c r="O1437" s="805" t="s">
        <v>4862</v>
      </c>
      <c r="P1437" s="811" t="s">
        <v>4863</v>
      </c>
      <c r="Q1437" s="15" t="s">
        <v>35</v>
      </c>
      <c r="R1437" s="231">
        <v>43248</v>
      </c>
      <c r="S1437" s="16" t="s">
        <v>35</v>
      </c>
      <c r="T1437" s="268">
        <v>43517</v>
      </c>
      <c r="U1437" s="803"/>
      <c r="V1437" s="803"/>
      <c r="W1437" s="242">
        <v>120000000</v>
      </c>
      <c r="X1437" s="240">
        <v>85184353</v>
      </c>
      <c r="Y1437" s="201">
        <f>IF(AE1437="","",W1437*AE1437)</f>
        <v>0</v>
      </c>
      <c r="Z1437" s="201">
        <f t="shared" si="73"/>
        <v>85184353</v>
      </c>
      <c r="AA1437" s="192">
        <v>43855</v>
      </c>
      <c r="AB1437" s="604" t="s">
        <v>3744</v>
      </c>
      <c r="AC1437" s="163"/>
      <c r="AD1437" s="258">
        <v>1</v>
      </c>
      <c r="AE1437" s="187">
        <v>0</v>
      </c>
      <c r="AF1437" s="205">
        <f t="shared" si="78"/>
        <v>1</v>
      </c>
      <c r="AG1437" s="181">
        <v>8</v>
      </c>
      <c r="AH1437" s="264" t="s">
        <v>3745</v>
      </c>
      <c r="AI1437" s="718" t="s">
        <v>4864</v>
      </c>
      <c r="AJ1437" s="197" t="s">
        <v>1188</v>
      </c>
      <c r="AK1437" s="30" t="s">
        <v>99</v>
      </c>
      <c r="AL1437" s="138" t="s">
        <v>1178</v>
      </c>
    </row>
    <row r="1438" spans="1:38" ht="15" customHeight="1" x14ac:dyDescent="0.3">
      <c r="A1438" s="30" t="s">
        <v>22</v>
      </c>
      <c r="B1438" s="120" t="s">
        <v>148</v>
      </c>
      <c r="C1438" s="107">
        <v>3</v>
      </c>
      <c r="D1438" s="11" t="s">
        <v>143</v>
      </c>
      <c r="E1438" s="114">
        <v>42165</v>
      </c>
      <c r="F1438" s="107">
        <v>2015</v>
      </c>
      <c r="G1438" s="142" t="s">
        <v>4865</v>
      </c>
      <c r="H1438" s="204" t="s">
        <v>4866</v>
      </c>
      <c r="I1438" s="33" t="s">
        <v>33</v>
      </c>
      <c r="J1438" s="32" t="s">
        <v>26</v>
      </c>
      <c r="K1438" s="137" t="s">
        <v>3979</v>
      </c>
      <c r="L1438" s="137" t="s">
        <v>40</v>
      </c>
      <c r="M1438" s="137" t="s">
        <v>804</v>
      </c>
      <c r="N1438" s="197"/>
      <c r="O1438" s="197" t="s">
        <v>4867</v>
      </c>
      <c r="P1438" s="197" t="s">
        <v>4868</v>
      </c>
      <c r="Q1438" s="15" t="s">
        <v>35</v>
      </c>
      <c r="R1438" s="132">
        <v>42695</v>
      </c>
      <c r="S1438" s="16" t="s">
        <v>35</v>
      </c>
      <c r="T1438" s="133">
        <v>43249</v>
      </c>
      <c r="U1438" s="623"/>
      <c r="V1438" s="623"/>
      <c r="W1438" s="249">
        <v>250000000</v>
      </c>
      <c r="X1438" s="240">
        <v>204986666</v>
      </c>
      <c r="Y1438" s="201">
        <f>IF(AE1438="","",W1438*AE1438)</f>
        <v>0</v>
      </c>
      <c r="Z1438" s="201">
        <f t="shared" si="73"/>
        <v>204986666</v>
      </c>
      <c r="AA1438" s="192">
        <v>43851</v>
      </c>
      <c r="AB1438" s="467" t="s">
        <v>2910</v>
      </c>
      <c r="AC1438" s="197"/>
      <c r="AD1438" s="187">
        <v>1</v>
      </c>
      <c r="AE1438" s="187">
        <v>0</v>
      </c>
      <c r="AF1438" s="205">
        <f t="shared" si="78"/>
        <v>1</v>
      </c>
      <c r="AG1438" s="163">
        <v>8</v>
      </c>
      <c r="AH1438" s="93" t="s">
        <v>4858</v>
      </c>
      <c r="AI1438" s="718" t="s">
        <v>4869</v>
      </c>
      <c r="AJ1438" s="93" t="s">
        <v>1188</v>
      </c>
      <c r="AK1438" s="30" t="s">
        <v>1185</v>
      </c>
      <c r="AL1438" s="146" t="s">
        <v>1178</v>
      </c>
    </row>
    <row r="1439" spans="1:38" ht="15" customHeight="1" x14ac:dyDescent="0.3">
      <c r="A1439" s="181" t="s">
        <v>140</v>
      </c>
      <c r="B1439" s="301" t="s">
        <v>819</v>
      </c>
      <c r="C1439" s="135" t="s">
        <v>240</v>
      </c>
      <c r="D1439" s="11" t="s">
        <v>225</v>
      </c>
      <c r="E1439" s="168">
        <v>43630</v>
      </c>
      <c r="F1439" s="136">
        <v>2019</v>
      </c>
      <c r="G1439" s="178" t="s">
        <v>4871</v>
      </c>
      <c r="H1439" s="178" t="s">
        <v>4872</v>
      </c>
      <c r="I1439" s="30" t="s">
        <v>38</v>
      </c>
      <c r="J1439" s="181" t="s">
        <v>81</v>
      </c>
      <c r="K1439" s="197" t="s">
        <v>4305</v>
      </c>
      <c r="L1439" s="197" t="s">
        <v>4842</v>
      </c>
      <c r="M1439" s="137" t="s">
        <v>804</v>
      </c>
      <c r="N1439" s="264" t="s">
        <v>43</v>
      </c>
      <c r="O1439" s="783" t="s">
        <v>4873</v>
      </c>
      <c r="P1439" s="783" t="s">
        <v>4874</v>
      </c>
      <c r="Q1439" s="15" t="s">
        <v>35</v>
      </c>
      <c r="R1439" s="218">
        <v>43710</v>
      </c>
      <c r="S1439" s="16" t="s">
        <v>35</v>
      </c>
      <c r="T1439" s="228">
        <v>43747</v>
      </c>
      <c r="U1439" s="775"/>
      <c r="V1439" s="776"/>
      <c r="W1439" s="256">
        <v>5000000</v>
      </c>
      <c r="X1439" s="292">
        <v>2515652</v>
      </c>
      <c r="Y1439" s="189"/>
      <c r="Z1439" s="189">
        <f t="shared" si="73"/>
        <v>2515652</v>
      </c>
      <c r="AA1439" s="229">
        <v>43860</v>
      </c>
      <c r="AB1439" s="503" t="s">
        <v>3960</v>
      </c>
      <c r="AC1439" s="222"/>
      <c r="AD1439" s="196">
        <v>1</v>
      </c>
      <c r="AE1439" s="196">
        <v>0</v>
      </c>
      <c r="AF1439" s="205">
        <f t="shared" si="78"/>
        <v>1</v>
      </c>
      <c r="AG1439" s="163">
        <v>10</v>
      </c>
      <c r="AH1439" s="138"/>
      <c r="AI1439" s="718" t="s">
        <v>4875</v>
      </c>
      <c r="AJ1439" s="138" t="s">
        <v>1188</v>
      </c>
      <c r="AK1439" s="181" t="s">
        <v>1185</v>
      </c>
      <c r="AL1439" s="138" t="s">
        <v>1178</v>
      </c>
    </row>
    <row r="1440" spans="1:38" ht="15" customHeight="1" x14ac:dyDescent="0.3">
      <c r="A1440" s="248" t="s">
        <v>22</v>
      </c>
      <c r="B1440" s="145" t="s">
        <v>189</v>
      </c>
      <c r="C1440" s="135">
        <v>4</v>
      </c>
      <c r="D1440" s="136" t="s">
        <v>190</v>
      </c>
      <c r="E1440" s="168">
        <v>41864</v>
      </c>
      <c r="F1440" s="136">
        <v>2014</v>
      </c>
      <c r="G1440" s="178" t="s">
        <v>4876</v>
      </c>
      <c r="H1440" s="204" t="s">
        <v>4877</v>
      </c>
      <c r="I1440" s="136" t="s">
        <v>25</v>
      </c>
      <c r="J1440" s="32" t="s">
        <v>26</v>
      </c>
      <c r="K1440" s="197" t="s">
        <v>50</v>
      </c>
      <c r="L1440" s="746" t="s">
        <v>209</v>
      </c>
      <c r="M1440" s="137" t="s">
        <v>804</v>
      </c>
      <c r="N1440" s="138"/>
      <c r="O1440" s="138" t="s">
        <v>4878</v>
      </c>
      <c r="P1440" s="718" t="s">
        <v>4879</v>
      </c>
      <c r="Q1440" s="15" t="s">
        <v>35</v>
      </c>
      <c r="R1440" s="132">
        <v>42850</v>
      </c>
      <c r="S1440" s="16" t="s">
        <v>35</v>
      </c>
      <c r="T1440" s="133">
        <v>43760</v>
      </c>
      <c r="U1440" s="623"/>
      <c r="V1440" s="624"/>
      <c r="W1440" s="242">
        <v>240000000</v>
      </c>
      <c r="X1440" s="243">
        <v>240000000</v>
      </c>
      <c r="Y1440" s="294">
        <v>-58713426</v>
      </c>
      <c r="Z1440" s="189">
        <f t="shared" si="73"/>
        <v>181286574</v>
      </c>
      <c r="AA1440" s="229">
        <v>44341</v>
      </c>
      <c r="AB1440" s="604" t="s">
        <v>3744</v>
      </c>
      <c r="AC1440" s="163"/>
      <c r="AD1440" s="196">
        <v>1</v>
      </c>
      <c r="AE1440" s="187">
        <v>0</v>
      </c>
      <c r="AF1440" s="205">
        <f t="shared" si="78"/>
        <v>1</v>
      </c>
      <c r="AG1440" s="138">
        <v>8</v>
      </c>
      <c r="AH1440" s="138"/>
      <c r="AI1440" s="718" t="s">
        <v>4880</v>
      </c>
      <c r="AJ1440" s="138" t="s">
        <v>1188</v>
      </c>
      <c r="AK1440" s="30" t="s">
        <v>99</v>
      </c>
      <c r="AL1440" s="138" t="s">
        <v>1178</v>
      </c>
    </row>
    <row r="1441" spans="1:38" ht="15" customHeight="1" x14ac:dyDescent="0.3">
      <c r="A1441" s="248" t="s">
        <v>140</v>
      </c>
      <c r="B1441" s="255" t="s">
        <v>4870</v>
      </c>
      <c r="C1441" s="135">
        <v>2</v>
      </c>
      <c r="D1441" s="136" t="s">
        <v>190</v>
      </c>
      <c r="E1441" s="168">
        <v>43613</v>
      </c>
      <c r="F1441" s="136">
        <v>2019</v>
      </c>
      <c r="G1441" s="178" t="s">
        <v>4881</v>
      </c>
      <c r="H1441" s="204" t="s">
        <v>4881</v>
      </c>
      <c r="I1441" s="30" t="s">
        <v>38</v>
      </c>
      <c r="J1441" s="181" t="s">
        <v>81</v>
      </c>
      <c r="K1441" s="197" t="s">
        <v>4305</v>
      </c>
      <c r="L1441" s="197" t="s">
        <v>4882</v>
      </c>
      <c r="M1441" s="137" t="s">
        <v>804</v>
      </c>
      <c r="N1441" s="264" t="s">
        <v>43</v>
      </c>
      <c r="O1441" s="783" t="s">
        <v>4883</v>
      </c>
      <c r="P1441" s="783" t="s">
        <v>4884</v>
      </c>
      <c r="Q1441" s="15" t="s">
        <v>35</v>
      </c>
      <c r="R1441" s="231">
        <v>43705</v>
      </c>
      <c r="S1441" s="272"/>
      <c r="T1441" s="268"/>
      <c r="U1441" s="803"/>
      <c r="V1441" s="803"/>
      <c r="W1441" s="242">
        <v>5000000</v>
      </c>
      <c r="X1441" s="240">
        <v>5000000</v>
      </c>
      <c r="Y1441" s="294">
        <v>-1656232</v>
      </c>
      <c r="Z1441" s="201">
        <f t="shared" si="73"/>
        <v>3343768</v>
      </c>
      <c r="AA1441" s="192">
        <v>43881</v>
      </c>
      <c r="AB1441" s="503" t="s">
        <v>3960</v>
      </c>
      <c r="AC1441" s="222"/>
      <c r="AD1441" s="258">
        <v>1</v>
      </c>
      <c r="AE1441" s="187">
        <v>0</v>
      </c>
      <c r="AF1441" s="205">
        <f t="shared" si="78"/>
        <v>1</v>
      </c>
      <c r="AG1441" s="181">
        <v>10</v>
      </c>
      <c r="AH1441" s="264"/>
      <c r="AI1441" s="138"/>
      <c r="AJ1441" s="197" t="s">
        <v>1188</v>
      </c>
      <c r="AK1441" s="197" t="s">
        <v>1185</v>
      </c>
      <c r="AL1441" s="200" t="s">
        <v>1178</v>
      </c>
    </row>
    <row r="1442" spans="1:38" ht="15" customHeight="1" x14ac:dyDescent="0.3">
      <c r="A1442" s="248" t="s">
        <v>22</v>
      </c>
      <c r="B1442" s="153" t="s">
        <v>23</v>
      </c>
      <c r="C1442" s="109">
        <v>19</v>
      </c>
      <c r="D1442" s="11" t="s">
        <v>24</v>
      </c>
      <c r="E1442" s="114">
        <v>40442</v>
      </c>
      <c r="F1442" s="33">
        <v>2010</v>
      </c>
      <c r="G1442" s="142" t="s">
        <v>4885</v>
      </c>
      <c r="H1442" s="162" t="s">
        <v>4886</v>
      </c>
      <c r="I1442" s="12" t="s">
        <v>25</v>
      </c>
      <c r="J1442" s="32" t="s">
        <v>26</v>
      </c>
      <c r="K1442" s="197" t="s">
        <v>3205</v>
      </c>
      <c r="L1442" s="137" t="s">
        <v>4340</v>
      </c>
      <c r="M1442" s="137" t="s">
        <v>953</v>
      </c>
      <c r="N1442" s="238"/>
      <c r="O1442" s="146" t="s">
        <v>3206</v>
      </c>
      <c r="P1442" s="718" t="s">
        <v>6153</v>
      </c>
      <c r="Q1442" s="15" t="s">
        <v>35</v>
      </c>
      <c r="R1442" s="132">
        <v>41253</v>
      </c>
      <c r="S1442" s="16" t="s">
        <v>44</v>
      </c>
      <c r="T1442" s="165">
        <v>41451</v>
      </c>
      <c r="U1442" s="624" t="s">
        <v>44</v>
      </c>
      <c r="V1442" s="180">
        <v>43879</v>
      </c>
      <c r="W1442" s="239">
        <v>250000000</v>
      </c>
      <c r="X1442" s="240">
        <v>0</v>
      </c>
      <c r="Y1442" s="7">
        <f>IF(AE1442="","",W1442*AE1442)</f>
        <v>0</v>
      </c>
      <c r="Z1442" s="7">
        <f t="shared" si="73"/>
        <v>0</v>
      </c>
      <c r="AA1442" s="108"/>
      <c r="AB1442" s="479" t="s">
        <v>49</v>
      </c>
      <c r="AC1442" s="480"/>
      <c r="AD1442" s="187">
        <v>0</v>
      </c>
      <c r="AE1442" s="187">
        <v>0</v>
      </c>
      <c r="AF1442" s="205">
        <f t="shared" si="78"/>
        <v>0</v>
      </c>
      <c r="AG1442" s="163">
        <v>8</v>
      </c>
      <c r="AH1442" s="93" t="s">
        <v>4332</v>
      </c>
      <c r="AI1442" s="146"/>
      <c r="AJ1442" s="93" t="s">
        <v>1188</v>
      </c>
      <c r="AK1442" s="30" t="s">
        <v>99</v>
      </c>
      <c r="AL1442" s="93" t="s">
        <v>1178</v>
      </c>
    </row>
    <row r="1443" spans="1:38" ht="15" customHeight="1" x14ac:dyDescent="0.3">
      <c r="A1443" s="823" t="s">
        <v>22</v>
      </c>
      <c r="B1443" s="120" t="s">
        <v>144</v>
      </c>
      <c r="C1443" s="107">
        <v>8</v>
      </c>
      <c r="D1443" s="11" t="s">
        <v>143</v>
      </c>
      <c r="E1443" s="114">
        <v>41920</v>
      </c>
      <c r="F1443" s="107">
        <v>2014</v>
      </c>
      <c r="G1443" s="142" t="s">
        <v>4887</v>
      </c>
      <c r="H1443" s="204" t="s">
        <v>4888</v>
      </c>
      <c r="I1443" s="30" t="s">
        <v>38</v>
      </c>
      <c r="J1443" s="32" t="s">
        <v>26</v>
      </c>
      <c r="K1443" s="197" t="s">
        <v>50</v>
      </c>
      <c r="L1443" s="197" t="s">
        <v>4889</v>
      </c>
      <c r="M1443" s="137" t="s">
        <v>804</v>
      </c>
      <c r="N1443" s="197"/>
      <c r="O1443" s="197" t="s">
        <v>4890</v>
      </c>
      <c r="P1443" s="736" t="s">
        <v>4891</v>
      </c>
      <c r="Q1443" s="15" t="s">
        <v>282</v>
      </c>
      <c r="R1443" s="179">
        <v>43026</v>
      </c>
      <c r="S1443" s="16" t="s">
        <v>35</v>
      </c>
      <c r="T1443" s="191">
        <v>43794</v>
      </c>
      <c r="U1443" s="707"/>
      <c r="V1443" s="623"/>
      <c r="W1443" s="249">
        <v>63000000</v>
      </c>
      <c r="X1443" s="253">
        <v>63000000</v>
      </c>
      <c r="Y1443" s="294">
        <v>-63000000</v>
      </c>
      <c r="Z1443" s="201">
        <f t="shared" si="73"/>
        <v>0</v>
      </c>
      <c r="AA1443" s="212">
        <v>44280</v>
      </c>
      <c r="AB1443" s="503" t="s">
        <v>6055</v>
      </c>
      <c r="AC1443" s="222"/>
      <c r="AD1443" s="187">
        <v>1</v>
      </c>
      <c r="AE1443" s="187">
        <v>0</v>
      </c>
      <c r="AF1443" s="205">
        <f t="shared" si="78"/>
        <v>1</v>
      </c>
      <c r="AG1443" s="200">
        <v>8</v>
      </c>
      <c r="AH1443" s="200" t="s">
        <v>45</v>
      </c>
      <c r="AI1443" s="200"/>
      <c r="AJ1443" s="200" t="s">
        <v>1188</v>
      </c>
      <c r="AK1443" s="30" t="s">
        <v>99</v>
      </c>
      <c r="AL1443" s="146" t="s">
        <v>1178</v>
      </c>
    </row>
    <row r="1444" spans="1:38" ht="15" customHeight="1" x14ac:dyDescent="0.3">
      <c r="A1444" s="824" t="s">
        <v>160</v>
      </c>
      <c r="B1444" s="167" t="s">
        <v>227</v>
      </c>
      <c r="C1444" s="135">
        <v>17</v>
      </c>
      <c r="D1444" s="11" t="s">
        <v>225</v>
      </c>
      <c r="E1444" s="168">
        <v>42382</v>
      </c>
      <c r="F1444" s="136">
        <v>2016</v>
      </c>
      <c r="G1444" s="178" t="s">
        <v>4893</v>
      </c>
      <c r="H1444" s="178" t="s">
        <v>4894</v>
      </c>
      <c r="I1444" s="33" t="s">
        <v>33</v>
      </c>
      <c r="J1444" s="32" t="s">
        <v>26</v>
      </c>
      <c r="K1444" s="137" t="s">
        <v>3979</v>
      </c>
      <c r="L1444" s="197" t="s">
        <v>85</v>
      </c>
      <c r="M1444" s="137" t="s">
        <v>804</v>
      </c>
      <c r="N1444" s="197"/>
      <c r="O1444" s="783" t="s">
        <v>4895</v>
      </c>
      <c r="P1444" s="197" t="s">
        <v>4896</v>
      </c>
      <c r="Q1444" s="15" t="s">
        <v>35</v>
      </c>
      <c r="R1444" s="231">
        <v>42662</v>
      </c>
      <c r="S1444" s="16" t="s">
        <v>35</v>
      </c>
      <c r="T1444" s="232">
        <v>43138</v>
      </c>
      <c r="U1444" s="776"/>
      <c r="V1444" s="776"/>
      <c r="W1444" s="242">
        <v>140000000</v>
      </c>
      <c r="X1444" s="295">
        <v>113263154</v>
      </c>
      <c r="Y1444" s="296">
        <v>-6718696</v>
      </c>
      <c r="Z1444" s="201">
        <f t="shared" si="73"/>
        <v>106544458</v>
      </c>
      <c r="AA1444" s="229">
        <v>43971</v>
      </c>
      <c r="AB1444" s="500" t="s">
        <v>5953</v>
      </c>
      <c r="AC1444" s="501"/>
      <c r="AD1444" s="196">
        <v>1</v>
      </c>
      <c r="AE1444" s="187">
        <v>0</v>
      </c>
      <c r="AF1444" s="205">
        <f t="shared" si="78"/>
        <v>1</v>
      </c>
      <c r="AG1444" s="197">
        <v>8</v>
      </c>
      <c r="AH1444" s="197"/>
      <c r="AI1444" s="736" t="s">
        <v>4898</v>
      </c>
      <c r="AJ1444" s="197" t="s">
        <v>1188</v>
      </c>
      <c r="AK1444" s="197" t="s">
        <v>1185</v>
      </c>
      <c r="AL1444" s="93" t="s">
        <v>1178</v>
      </c>
    </row>
    <row r="1445" spans="1:38" ht="15" customHeight="1" x14ac:dyDescent="0.3">
      <c r="A1445" s="30" t="s">
        <v>22</v>
      </c>
      <c r="B1445" s="153" t="s">
        <v>23</v>
      </c>
      <c r="C1445" s="109">
        <v>1</v>
      </c>
      <c r="D1445" s="11" t="s">
        <v>24</v>
      </c>
      <c r="E1445" s="114">
        <v>40120</v>
      </c>
      <c r="F1445" s="33">
        <v>2009</v>
      </c>
      <c r="G1445" s="142" t="s">
        <v>4899</v>
      </c>
      <c r="H1445" s="162" t="s">
        <v>4900</v>
      </c>
      <c r="I1445" s="12" t="s">
        <v>25</v>
      </c>
      <c r="J1445" s="32" t="s">
        <v>26</v>
      </c>
      <c r="K1445" s="197" t="s">
        <v>3205</v>
      </c>
      <c r="L1445" s="137" t="s">
        <v>4340</v>
      </c>
      <c r="M1445" s="137" t="s">
        <v>953</v>
      </c>
      <c r="N1445" s="238"/>
      <c r="O1445" s="146" t="s">
        <v>3206</v>
      </c>
      <c r="P1445" s="718" t="s">
        <v>6154</v>
      </c>
      <c r="Q1445" s="15" t="s">
        <v>35</v>
      </c>
      <c r="R1445" s="132">
        <v>40662</v>
      </c>
      <c r="S1445" s="16" t="s">
        <v>44</v>
      </c>
      <c r="T1445" s="165">
        <v>41425</v>
      </c>
      <c r="U1445" s="736" t="s">
        <v>44</v>
      </c>
      <c r="V1445" s="180">
        <v>44006</v>
      </c>
      <c r="W1445" s="239">
        <v>1000000000</v>
      </c>
      <c r="X1445" s="240">
        <v>0</v>
      </c>
      <c r="Y1445" s="7">
        <f>IF(AE1445="","",W1445*AE1445)</f>
        <v>0</v>
      </c>
      <c r="Z1445" s="7">
        <f t="shared" si="73"/>
        <v>0</v>
      </c>
      <c r="AA1445" s="108"/>
      <c r="AB1445" s="479" t="s">
        <v>49</v>
      </c>
      <c r="AC1445" s="480"/>
      <c r="AD1445" s="187">
        <v>0</v>
      </c>
      <c r="AE1445" s="187">
        <v>0</v>
      </c>
      <c r="AF1445" s="205">
        <f t="shared" si="78"/>
        <v>0</v>
      </c>
      <c r="AG1445" s="163">
        <v>8</v>
      </c>
      <c r="AH1445" s="93" t="s">
        <v>4332</v>
      </c>
      <c r="AI1445" s="719" t="s">
        <v>4902</v>
      </c>
      <c r="AJ1445" s="93" t="s">
        <v>1188</v>
      </c>
      <c r="AK1445" s="30" t="s">
        <v>99</v>
      </c>
      <c r="AL1445" s="93" t="s">
        <v>1178</v>
      </c>
    </row>
    <row r="1446" spans="1:38" ht="15" customHeight="1" x14ac:dyDescent="0.3">
      <c r="A1446" s="181" t="s">
        <v>22</v>
      </c>
      <c r="B1446" s="181" t="s">
        <v>23</v>
      </c>
      <c r="C1446" s="181">
        <v>10</v>
      </c>
      <c r="D1446" s="11" t="s">
        <v>24</v>
      </c>
      <c r="E1446" s="192">
        <v>42145</v>
      </c>
      <c r="F1446" s="181">
        <v>2015</v>
      </c>
      <c r="G1446" s="181" t="s">
        <v>4903</v>
      </c>
      <c r="H1446" s="217" t="s">
        <v>4904</v>
      </c>
      <c r="I1446" s="12" t="s">
        <v>3964</v>
      </c>
      <c r="J1446" s="32" t="s">
        <v>26</v>
      </c>
      <c r="K1446" s="197" t="s">
        <v>50</v>
      </c>
      <c r="L1446" s="138" t="s">
        <v>4905</v>
      </c>
      <c r="M1446" s="137" t="s">
        <v>804</v>
      </c>
      <c r="N1446" s="181"/>
      <c r="O1446" s="138" t="s">
        <v>4906</v>
      </c>
      <c r="P1446" s="825" t="s">
        <v>4907</v>
      </c>
      <c r="Q1446" s="15" t="s">
        <v>35</v>
      </c>
      <c r="R1446" s="132">
        <v>43181</v>
      </c>
      <c r="S1446" s="16" t="s">
        <v>44</v>
      </c>
      <c r="T1446" s="165">
        <v>44055</v>
      </c>
      <c r="U1446" s="624"/>
      <c r="V1446" s="624"/>
      <c r="W1446" s="249">
        <v>42700000</v>
      </c>
      <c r="X1446" s="240">
        <v>42700000</v>
      </c>
      <c r="Y1446" s="201">
        <f>IF(AE1446="","",W1446*AE1446)</f>
        <v>0</v>
      </c>
      <c r="Z1446" s="7">
        <f t="shared" si="73"/>
        <v>42700000</v>
      </c>
      <c r="AA1446" s="192">
        <v>44094</v>
      </c>
      <c r="AB1446" s="479" t="s">
        <v>49</v>
      </c>
      <c r="AC1446" s="480"/>
      <c r="AD1446" s="258">
        <v>1</v>
      </c>
      <c r="AE1446" s="187">
        <v>0</v>
      </c>
      <c r="AF1446" s="205">
        <f t="shared" si="78"/>
        <v>1</v>
      </c>
      <c r="AG1446" s="181">
        <v>8</v>
      </c>
      <c r="AH1446" s="181" t="s">
        <v>4892</v>
      </c>
      <c r="AI1446" s="719" t="s">
        <v>4908</v>
      </c>
      <c r="AJ1446" s="181" t="s">
        <v>1188</v>
      </c>
      <c r="AK1446" s="30" t="s">
        <v>1185</v>
      </c>
      <c r="AL1446" s="93" t="s">
        <v>1178</v>
      </c>
    </row>
    <row r="1447" spans="1:38" ht="15" customHeight="1" x14ac:dyDescent="0.3">
      <c r="A1447" s="181" t="s">
        <v>22</v>
      </c>
      <c r="B1447" s="181" t="s">
        <v>23</v>
      </c>
      <c r="C1447" s="184">
        <v>2</v>
      </c>
      <c r="D1447" s="11" t="s">
        <v>24</v>
      </c>
      <c r="E1447" s="192">
        <v>42556</v>
      </c>
      <c r="F1447" s="181">
        <v>2016</v>
      </c>
      <c r="G1447" s="181" t="s">
        <v>4909</v>
      </c>
      <c r="H1447" s="217" t="s">
        <v>4910</v>
      </c>
      <c r="I1447" s="12" t="s">
        <v>38</v>
      </c>
      <c r="J1447" s="32" t="s">
        <v>26</v>
      </c>
      <c r="K1447" s="197" t="s">
        <v>50</v>
      </c>
      <c r="L1447" s="138" t="s">
        <v>56</v>
      </c>
      <c r="M1447" s="279" t="s">
        <v>42</v>
      </c>
      <c r="N1447" s="799"/>
      <c r="O1447" s="146" t="s">
        <v>4911</v>
      </c>
      <c r="P1447" s="800" t="s">
        <v>4912</v>
      </c>
      <c r="Q1447" s="15" t="s">
        <v>282</v>
      </c>
      <c r="R1447" s="132">
        <v>43194</v>
      </c>
      <c r="S1447" s="16" t="s">
        <v>44</v>
      </c>
      <c r="T1447" s="165">
        <v>44041</v>
      </c>
      <c r="U1447" s="624"/>
      <c r="V1447" s="624"/>
      <c r="W1447" s="239">
        <v>36000000</v>
      </c>
      <c r="X1447" s="240">
        <v>0</v>
      </c>
      <c r="Y1447" s="201">
        <f>IF(AE1447="","",W1447*AE1447)</f>
        <v>0</v>
      </c>
      <c r="Z1447" s="7">
        <f t="shared" si="73"/>
        <v>0</v>
      </c>
      <c r="AA1447" s="192"/>
      <c r="AB1447" s="479" t="s">
        <v>49</v>
      </c>
      <c r="AC1447" s="480"/>
      <c r="AD1447" s="258">
        <v>0</v>
      </c>
      <c r="AE1447" s="187">
        <v>0</v>
      </c>
      <c r="AF1447" s="205">
        <f t="shared" si="78"/>
        <v>0</v>
      </c>
      <c r="AG1447" s="181">
        <v>8</v>
      </c>
      <c r="AH1447" s="181" t="s">
        <v>4897</v>
      </c>
      <c r="AI1447" s="184"/>
      <c r="AJ1447" s="181" t="s">
        <v>1188</v>
      </c>
      <c r="AK1447" s="30" t="s">
        <v>1185</v>
      </c>
      <c r="AL1447" s="93" t="s">
        <v>1178</v>
      </c>
    </row>
    <row r="1448" spans="1:38" ht="15" customHeight="1" x14ac:dyDescent="0.3">
      <c r="A1448" s="181" t="s">
        <v>22</v>
      </c>
      <c r="B1448" s="181" t="s">
        <v>23</v>
      </c>
      <c r="C1448" s="184">
        <v>1</v>
      </c>
      <c r="D1448" s="11" t="s">
        <v>24</v>
      </c>
      <c r="E1448" s="192">
        <v>42502</v>
      </c>
      <c r="F1448" s="181">
        <v>2016</v>
      </c>
      <c r="G1448" s="181" t="s">
        <v>4913</v>
      </c>
      <c r="H1448" s="217" t="s">
        <v>4914</v>
      </c>
      <c r="I1448" s="12" t="s">
        <v>38</v>
      </c>
      <c r="J1448" s="32" t="s">
        <v>26</v>
      </c>
      <c r="K1448" s="197" t="s">
        <v>50</v>
      </c>
      <c r="L1448" s="138" t="s">
        <v>56</v>
      </c>
      <c r="M1448" s="279" t="s">
        <v>42</v>
      </c>
      <c r="N1448" s="799"/>
      <c r="O1448" s="146" t="s">
        <v>4915</v>
      </c>
      <c r="P1448" s="800" t="s">
        <v>4916</v>
      </c>
      <c r="Q1448" s="15" t="s">
        <v>282</v>
      </c>
      <c r="R1448" s="132">
        <v>43441</v>
      </c>
      <c r="S1448" s="16" t="s">
        <v>44</v>
      </c>
      <c r="T1448" s="165">
        <v>44042</v>
      </c>
      <c r="U1448" s="624"/>
      <c r="V1448" s="624"/>
      <c r="W1448" s="239">
        <v>36000000</v>
      </c>
      <c r="X1448" s="240">
        <v>0</v>
      </c>
      <c r="Y1448" s="201">
        <f>IF(AE1448="","",W1448*AE1448)</f>
        <v>0</v>
      </c>
      <c r="Z1448" s="7">
        <f t="shared" si="73"/>
        <v>0</v>
      </c>
      <c r="AA1448" s="192"/>
      <c r="AB1448" s="479" t="s">
        <v>49</v>
      </c>
      <c r="AC1448" s="480"/>
      <c r="AD1448" s="258">
        <v>0</v>
      </c>
      <c r="AE1448" s="187">
        <v>0</v>
      </c>
      <c r="AF1448" s="205">
        <f t="shared" si="78"/>
        <v>0</v>
      </c>
      <c r="AG1448" s="181">
        <v>8</v>
      </c>
      <c r="AH1448" s="181" t="s">
        <v>4901</v>
      </c>
      <c r="AI1448" s="184"/>
      <c r="AJ1448" s="181" t="s">
        <v>1188</v>
      </c>
      <c r="AK1448" s="30" t="s">
        <v>1185</v>
      </c>
      <c r="AL1448" s="93" t="s">
        <v>1178</v>
      </c>
    </row>
    <row r="1449" spans="1:38" ht="15" customHeight="1" x14ac:dyDescent="0.3">
      <c r="A1449" s="181" t="s">
        <v>22</v>
      </c>
      <c r="B1449" s="145" t="s">
        <v>105</v>
      </c>
      <c r="C1449" s="135">
        <v>31</v>
      </c>
      <c r="D1449" s="11" t="s">
        <v>5936</v>
      </c>
      <c r="E1449" s="168">
        <v>40505</v>
      </c>
      <c r="F1449" s="136">
        <v>2010</v>
      </c>
      <c r="G1449" s="178" t="s">
        <v>4918</v>
      </c>
      <c r="H1449" s="204" t="s">
        <v>4919</v>
      </c>
      <c r="I1449" s="33" t="s">
        <v>33</v>
      </c>
      <c r="J1449" s="32" t="s">
        <v>26</v>
      </c>
      <c r="K1449" s="197" t="s">
        <v>162</v>
      </c>
      <c r="L1449" s="138" t="s">
        <v>1319</v>
      </c>
      <c r="M1449" s="137" t="s">
        <v>804</v>
      </c>
      <c r="N1449" s="197"/>
      <c r="O1449" s="138" t="s">
        <v>4920</v>
      </c>
      <c r="P1449" s="718" t="s">
        <v>4921</v>
      </c>
      <c r="Q1449" s="15" t="s">
        <v>282</v>
      </c>
      <c r="R1449" s="132">
        <v>41114</v>
      </c>
      <c r="S1449" s="16" t="s">
        <v>35</v>
      </c>
      <c r="T1449" s="133">
        <v>41253</v>
      </c>
      <c r="U1449" s="623" t="s">
        <v>35</v>
      </c>
      <c r="V1449" s="180">
        <v>43758</v>
      </c>
      <c r="W1449" s="242">
        <v>150000000</v>
      </c>
      <c r="X1449" s="240">
        <v>150000000</v>
      </c>
      <c r="Y1449" s="294">
        <f>-141000000-8600000</f>
        <v>-149600000</v>
      </c>
      <c r="Z1449" s="7">
        <f>IF(Y1449="",X1449,Y1449+X1449)</f>
        <v>400000</v>
      </c>
      <c r="AA1449" s="192">
        <v>44099</v>
      </c>
      <c r="AB1449" s="564" t="s">
        <v>1073</v>
      </c>
      <c r="AC1449" s="693"/>
      <c r="AD1449" s="196">
        <v>1</v>
      </c>
      <c r="AE1449" s="187">
        <v>0</v>
      </c>
      <c r="AF1449" s="205">
        <f t="shared" si="78"/>
        <v>1</v>
      </c>
      <c r="AG1449" s="163">
        <v>8</v>
      </c>
      <c r="AH1449" s="93"/>
      <c r="AI1449" s="138"/>
      <c r="AJ1449" s="93" t="s">
        <v>1188</v>
      </c>
      <c r="AK1449" s="30" t="s">
        <v>99</v>
      </c>
      <c r="AL1449" s="93" t="s">
        <v>1178</v>
      </c>
    </row>
    <row r="1450" spans="1:38" ht="15" customHeight="1" x14ac:dyDescent="0.3">
      <c r="A1450" s="181" t="s">
        <v>22</v>
      </c>
      <c r="B1450" s="297" t="s">
        <v>105</v>
      </c>
      <c r="C1450" s="245">
        <v>37</v>
      </c>
      <c r="D1450" s="11" t="s">
        <v>5936</v>
      </c>
      <c r="E1450" s="247">
        <v>43164</v>
      </c>
      <c r="F1450" s="246">
        <v>2018</v>
      </c>
      <c r="G1450" s="792" t="s">
        <v>4922</v>
      </c>
      <c r="H1450" s="792" t="s">
        <v>4923</v>
      </c>
      <c r="I1450" s="30" t="s">
        <v>38</v>
      </c>
      <c r="J1450" s="32" t="s">
        <v>26</v>
      </c>
      <c r="K1450" s="264" t="s">
        <v>111</v>
      </c>
      <c r="L1450" s="264" t="s">
        <v>137</v>
      </c>
      <c r="M1450" s="137" t="s">
        <v>804</v>
      </c>
      <c r="N1450" s="197"/>
      <c r="O1450" s="805" t="s">
        <v>4924</v>
      </c>
      <c r="P1450" s="822" t="s">
        <v>4925</v>
      </c>
      <c r="Q1450" s="15" t="s">
        <v>35</v>
      </c>
      <c r="R1450" s="218">
        <v>43510</v>
      </c>
      <c r="S1450" s="16" t="s">
        <v>35</v>
      </c>
      <c r="T1450" s="133">
        <v>43627</v>
      </c>
      <c r="U1450" s="623"/>
      <c r="V1450" s="624"/>
      <c r="W1450" s="242">
        <v>15000000</v>
      </c>
      <c r="X1450" s="243">
        <v>15000000</v>
      </c>
      <c r="Y1450" s="201">
        <v>-15000000</v>
      </c>
      <c r="Z1450" s="185">
        <f>IF(Y1450="",X1450,Y1450+X1450)</f>
        <v>0</v>
      </c>
      <c r="AA1450" s="229">
        <v>44185</v>
      </c>
      <c r="AB1450" s="564" t="s">
        <v>1073</v>
      </c>
      <c r="AC1450" s="693"/>
      <c r="AD1450" s="196">
        <v>1</v>
      </c>
      <c r="AE1450" s="187">
        <v>0</v>
      </c>
      <c r="AF1450" s="205">
        <f t="shared" si="78"/>
        <v>1</v>
      </c>
      <c r="AG1450" s="138">
        <v>8</v>
      </c>
      <c r="AH1450" s="264" t="s">
        <v>59</v>
      </c>
      <c r="AI1450" s="138"/>
      <c r="AJ1450" s="138" t="s">
        <v>1188</v>
      </c>
      <c r="AK1450" s="181" t="s">
        <v>1185</v>
      </c>
      <c r="AL1450" s="138" t="s">
        <v>1178</v>
      </c>
    </row>
    <row r="1451" spans="1:38" ht="15" customHeight="1" x14ac:dyDescent="0.3">
      <c r="A1451" s="30" t="s">
        <v>22</v>
      </c>
      <c r="B1451" s="153" t="s">
        <v>23</v>
      </c>
      <c r="C1451" s="107">
        <v>7</v>
      </c>
      <c r="D1451" s="11" t="s">
        <v>24</v>
      </c>
      <c r="E1451" s="114">
        <v>39217</v>
      </c>
      <c r="F1451" s="12">
        <v>2007</v>
      </c>
      <c r="G1451" s="142" t="s">
        <v>4926</v>
      </c>
      <c r="H1451" s="162" t="s">
        <v>4927</v>
      </c>
      <c r="I1451" s="12" t="s">
        <v>80</v>
      </c>
      <c r="J1451" s="32" t="s">
        <v>26</v>
      </c>
      <c r="K1451" s="197" t="s">
        <v>1194</v>
      </c>
      <c r="L1451" s="137" t="s">
        <v>4928</v>
      </c>
      <c r="M1451" s="137" t="s">
        <v>804</v>
      </c>
      <c r="N1451" s="137"/>
      <c r="O1451" s="93" t="s">
        <v>4929</v>
      </c>
      <c r="P1451" s="718" t="s">
        <v>4930</v>
      </c>
      <c r="Q1451" s="15" t="s">
        <v>35</v>
      </c>
      <c r="R1451" s="132">
        <v>40056</v>
      </c>
      <c r="S1451" s="16" t="s">
        <v>35</v>
      </c>
      <c r="T1451" s="165">
        <v>40591</v>
      </c>
      <c r="U1451" s="624" t="s">
        <v>35</v>
      </c>
      <c r="V1451" s="180">
        <v>43992</v>
      </c>
      <c r="W1451" s="239">
        <v>1833700000</v>
      </c>
      <c r="X1451" s="295">
        <v>166300000</v>
      </c>
      <c r="Y1451" s="7">
        <f>-999213892-12448253-68561228-148083500</f>
        <v>-1228306873</v>
      </c>
      <c r="Z1451" s="7">
        <f>IF(Y1451="",X1451,Y1451+X1451+W1451)</f>
        <v>771693127</v>
      </c>
      <c r="AA1451" s="192">
        <v>44195</v>
      </c>
      <c r="AB1451" s="479" t="s">
        <v>49</v>
      </c>
      <c r="AC1451" s="480"/>
      <c r="AD1451" s="187">
        <v>0</v>
      </c>
      <c r="AE1451" s="187">
        <v>1</v>
      </c>
      <c r="AF1451" s="205">
        <f t="shared" si="78"/>
        <v>1</v>
      </c>
      <c r="AG1451" s="163">
        <v>8</v>
      </c>
      <c r="AH1451" s="93" t="s">
        <v>4917</v>
      </c>
      <c r="AI1451" s="718" t="s">
        <v>4931</v>
      </c>
      <c r="AJ1451" s="93" t="s">
        <v>1188</v>
      </c>
      <c r="AK1451" s="30" t="s">
        <v>99</v>
      </c>
      <c r="AL1451" s="93" t="s">
        <v>1178</v>
      </c>
    </row>
    <row r="1452" spans="1:38" ht="15" customHeight="1" x14ac:dyDescent="0.3">
      <c r="A1452" s="248" t="s">
        <v>140</v>
      </c>
      <c r="B1452" s="181" t="s">
        <v>23</v>
      </c>
      <c r="C1452" s="138">
        <v>19</v>
      </c>
      <c r="D1452" s="11" t="s">
        <v>24</v>
      </c>
      <c r="E1452" s="192">
        <v>43861</v>
      </c>
      <c r="F1452" s="181">
        <v>2020</v>
      </c>
      <c r="G1452" s="181" t="s">
        <v>4932</v>
      </c>
      <c r="H1452" s="217" t="s">
        <v>4933</v>
      </c>
      <c r="I1452" s="33" t="s">
        <v>33</v>
      </c>
      <c r="J1452" s="184" t="s">
        <v>81</v>
      </c>
      <c r="K1452" s="197" t="s">
        <v>163</v>
      </c>
      <c r="L1452" s="138" t="s">
        <v>4934</v>
      </c>
      <c r="M1452" s="137" t="s">
        <v>804</v>
      </c>
      <c r="N1452" s="279" t="s">
        <v>122</v>
      </c>
      <c r="O1452" s="197" t="s">
        <v>4935</v>
      </c>
      <c r="P1452" s="815" t="s">
        <v>4936</v>
      </c>
      <c r="Q1452" s="15" t="s">
        <v>35</v>
      </c>
      <c r="R1452" s="164">
        <v>43893</v>
      </c>
      <c r="S1452" s="16" t="s">
        <v>35</v>
      </c>
      <c r="T1452" s="165">
        <v>44114</v>
      </c>
      <c r="U1452" s="624"/>
      <c r="V1452" s="624"/>
      <c r="W1452" s="239">
        <v>5000000</v>
      </c>
      <c r="X1452" s="240">
        <v>5000000</v>
      </c>
      <c r="Y1452" s="298">
        <v>-1755606</v>
      </c>
      <c r="Z1452" s="201">
        <f>IF(Y1452="",X1452,Y1452+X1452)</f>
        <v>3244394</v>
      </c>
      <c r="AA1452" s="192">
        <v>44140</v>
      </c>
      <c r="AB1452" s="479" t="s">
        <v>49</v>
      </c>
      <c r="AC1452" s="480"/>
      <c r="AD1452" s="258"/>
      <c r="AE1452" s="187">
        <v>1</v>
      </c>
      <c r="AF1452" s="205">
        <v>0</v>
      </c>
      <c r="AG1452" s="279">
        <v>8</v>
      </c>
      <c r="AH1452" s="279"/>
      <c r="AI1452" s="197"/>
      <c r="AJ1452" s="279" t="s">
        <v>1188</v>
      </c>
      <c r="AK1452" s="30" t="s">
        <v>1177</v>
      </c>
      <c r="AL1452" s="93" t="s">
        <v>1178</v>
      </c>
    </row>
    <row r="1453" spans="1:38" ht="15" customHeight="1" x14ac:dyDescent="0.3">
      <c r="A1453" s="181" t="s">
        <v>22</v>
      </c>
      <c r="B1453" s="181" t="s">
        <v>23</v>
      </c>
      <c r="C1453" s="138">
        <v>19</v>
      </c>
      <c r="D1453" s="11" t="s">
        <v>24</v>
      </c>
      <c r="E1453" s="192">
        <v>43595</v>
      </c>
      <c r="F1453" s="181">
        <v>2019</v>
      </c>
      <c r="G1453" s="181" t="s">
        <v>4937</v>
      </c>
      <c r="H1453" s="217" t="s">
        <v>4938</v>
      </c>
      <c r="I1453" s="12" t="s">
        <v>38</v>
      </c>
      <c r="J1453" s="32" t="s">
        <v>26</v>
      </c>
      <c r="K1453" s="197" t="s">
        <v>4939</v>
      </c>
      <c r="L1453" s="765" t="s">
        <v>72</v>
      </c>
      <c r="M1453" s="279" t="s">
        <v>42</v>
      </c>
      <c r="N1453" s="279"/>
      <c r="O1453" s="197" t="s">
        <v>4940</v>
      </c>
      <c r="P1453" s="815" t="s">
        <v>4941</v>
      </c>
      <c r="Q1453" s="152"/>
      <c r="R1453" s="164"/>
      <c r="S1453" s="139"/>
      <c r="T1453" s="165"/>
      <c r="U1453" s="624"/>
      <c r="V1453" s="624"/>
      <c r="W1453" s="239">
        <v>110000000</v>
      </c>
      <c r="X1453" s="240"/>
      <c r="Y1453" s="201">
        <f>IF(AE1453="","",W1453*AE1453)</f>
        <v>0</v>
      </c>
      <c r="Z1453" s="201">
        <f>IF(Y1453="",X1453,Y1453+X1453)</f>
        <v>0</v>
      </c>
      <c r="AA1453" s="192"/>
      <c r="AB1453" s="762" t="s">
        <v>3077</v>
      </c>
      <c r="AC1453" s="652"/>
      <c r="AD1453" s="258"/>
      <c r="AE1453" s="187">
        <v>0</v>
      </c>
      <c r="AF1453" s="205">
        <f>AE1453+AD1453</f>
        <v>0</v>
      </c>
      <c r="AG1453" s="279">
        <v>8</v>
      </c>
      <c r="AH1453" s="279" t="s">
        <v>2284</v>
      </c>
      <c r="AI1453" s="197"/>
      <c r="AJ1453" s="279" t="s">
        <v>1188</v>
      </c>
      <c r="AK1453" s="30" t="s">
        <v>1177</v>
      </c>
      <c r="AL1453" s="93" t="s">
        <v>1178</v>
      </c>
    </row>
    <row r="1454" spans="1:38" ht="15" customHeight="1" x14ac:dyDescent="0.3">
      <c r="A1454" s="181" t="s">
        <v>22</v>
      </c>
      <c r="B1454" s="265" t="s">
        <v>239</v>
      </c>
      <c r="C1454" s="245" t="s">
        <v>240</v>
      </c>
      <c r="D1454" s="11" t="s">
        <v>225</v>
      </c>
      <c r="E1454" s="247">
        <v>43069</v>
      </c>
      <c r="F1454" s="246">
        <v>2017</v>
      </c>
      <c r="G1454" s="792" t="s">
        <v>4942</v>
      </c>
      <c r="H1454" s="792" t="s">
        <v>4942</v>
      </c>
      <c r="I1454" s="30" t="s">
        <v>38</v>
      </c>
      <c r="J1454" s="32" t="s">
        <v>26</v>
      </c>
      <c r="K1454" s="264" t="s">
        <v>4943</v>
      </c>
      <c r="L1454" s="264" t="s">
        <v>4944</v>
      </c>
      <c r="M1454" s="137" t="s">
        <v>804</v>
      </c>
      <c r="N1454" s="197"/>
      <c r="O1454" s="805" t="s">
        <v>4945</v>
      </c>
      <c r="P1454" s="794" t="s">
        <v>4946</v>
      </c>
      <c r="Q1454" s="15" t="s">
        <v>282</v>
      </c>
      <c r="R1454" s="231">
        <v>43272</v>
      </c>
      <c r="S1454" s="16" t="s">
        <v>35</v>
      </c>
      <c r="T1454" s="232">
        <v>43774</v>
      </c>
      <c r="U1454" s="776"/>
      <c r="V1454" s="776"/>
      <c r="W1454" s="256">
        <v>39000000</v>
      </c>
      <c r="X1454" s="201">
        <v>39000000</v>
      </c>
      <c r="Y1454" s="294">
        <v>-14762923</v>
      </c>
      <c r="Z1454" s="201">
        <f>IF(Y1454="",X1454,Y1454+X1454)</f>
        <v>24237077</v>
      </c>
      <c r="AA1454" s="192">
        <v>44195</v>
      </c>
      <c r="AB1454" s="504" t="s">
        <v>6115</v>
      </c>
      <c r="AC1454" s="138"/>
      <c r="AD1454" s="196">
        <v>1</v>
      </c>
      <c r="AE1454" s="187">
        <v>0</v>
      </c>
      <c r="AF1454" s="205">
        <f>AE1454+AD1454</f>
        <v>1</v>
      </c>
      <c r="AG1454" s="197">
        <v>8</v>
      </c>
      <c r="AH1454" s="197" t="s">
        <v>232</v>
      </c>
      <c r="AI1454" s="197"/>
      <c r="AJ1454" s="197" t="s">
        <v>1188</v>
      </c>
      <c r="AK1454" s="197" t="s">
        <v>1185</v>
      </c>
      <c r="AL1454" s="93" t="s">
        <v>1178</v>
      </c>
    </row>
    <row r="1455" spans="1:38" ht="15" customHeight="1" x14ac:dyDescent="0.3">
      <c r="A1455" s="181" t="s">
        <v>22</v>
      </c>
      <c r="B1455" s="181" t="s">
        <v>23</v>
      </c>
      <c r="C1455" s="184">
        <v>12</v>
      </c>
      <c r="D1455" s="11" t="s">
        <v>24</v>
      </c>
      <c r="E1455" s="192">
        <v>42535</v>
      </c>
      <c r="F1455" s="181">
        <v>2016</v>
      </c>
      <c r="G1455" s="181" t="s">
        <v>4948</v>
      </c>
      <c r="H1455" s="217" t="s">
        <v>4949</v>
      </c>
      <c r="I1455" s="12" t="s">
        <v>38</v>
      </c>
      <c r="J1455" s="32" t="s">
        <v>26</v>
      </c>
      <c r="K1455" s="197" t="s">
        <v>4014</v>
      </c>
      <c r="L1455" s="138" t="s">
        <v>56</v>
      </c>
      <c r="M1455" s="279" t="s">
        <v>42</v>
      </c>
      <c r="N1455" s="799"/>
      <c r="O1455" s="146" t="s">
        <v>4950</v>
      </c>
      <c r="P1455" s="800" t="s">
        <v>4951</v>
      </c>
      <c r="Q1455" s="15" t="s">
        <v>282</v>
      </c>
      <c r="R1455" s="132">
        <v>43041</v>
      </c>
      <c r="S1455" s="16" t="s">
        <v>44</v>
      </c>
      <c r="T1455" s="165">
        <v>43796</v>
      </c>
      <c r="U1455" s="624"/>
      <c r="V1455" s="624"/>
      <c r="W1455" s="239">
        <v>218000000</v>
      </c>
      <c r="X1455" s="240">
        <v>0</v>
      </c>
      <c r="Y1455" s="201">
        <f>IF(AE1455="","",W1455*AE1455)</f>
        <v>0</v>
      </c>
      <c r="Z1455" s="7">
        <f>IF(Y1455="",X1455,Y1455+X1455)</f>
        <v>0</v>
      </c>
      <c r="AA1455" s="192"/>
      <c r="AB1455" s="479" t="s">
        <v>49</v>
      </c>
      <c r="AC1455" s="480"/>
      <c r="AD1455" s="258">
        <v>0</v>
      </c>
      <c r="AE1455" s="187">
        <v>0</v>
      </c>
      <c r="AF1455" s="205">
        <f>AE1455+AD1455</f>
        <v>0</v>
      </c>
      <c r="AG1455" s="181">
        <v>8</v>
      </c>
      <c r="AH1455" s="181" t="s">
        <v>58</v>
      </c>
      <c r="AI1455" s="184"/>
      <c r="AJ1455" s="181" t="s">
        <v>1188</v>
      </c>
      <c r="AK1455" s="30" t="s">
        <v>1185</v>
      </c>
      <c r="AL1455" s="93" t="s">
        <v>1178</v>
      </c>
    </row>
    <row r="1456" spans="1:38" ht="15" customHeight="1" x14ac:dyDescent="0.3">
      <c r="A1456" s="30" t="s">
        <v>22</v>
      </c>
      <c r="B1456" s="30" t="s">
        <v>23</v>
      </c>
      <c r="C1456" s="37">
        <v>6</v>
      </c>
      <c r="D1456" s="11" t="s">
        <v>24</v>
      </c>
      <c r="E1456" s="108">
        <v>40735</v>
      </c>
      <c r="F1456" s="37">
        <v>2011</v>
      </c>
      <c r="G1456" s="30" t="s">
        <v>4952</v>
      </c>
      <c r="H1456" s="162" t="s">
        <v>4953</v>
      </c>
      <c r="I1456" s="12" t="s">
        <v>25</v>
      </c>
      <c r="J1456" s="32" t="s">
        <v>26</v>
      </c>
      <c r="K1456" s="660" t="s">
        <v>3205</v>
      </c>
      <c r="L1456" s="137" t="s">
        <v>4954</v>
      </c>
      <c r="M1456" s="137" t="s">
        <v>953</v>
      </c>
      <c r="N1456" s="660"/>
      <c r="O1456" s="93" t="s">
        <v>3206</v>
      </c>
      <c r="P1456" s="718" t="s">
        <v>6155</v>
      </c>
      <c r="Q1456" s="15" t="s">
        <v>282</v>
      </c>
      <c r="R1456" s="132">
        <v>41152</v>
      </c>
      <c r="S1456" s="16" t="s">
        <v>44</v>
      </c>
      <c r="T1456" s="165">
        <v>42216</v>
      </c>
      <c r="U1456" s="624" t="s">
        <v>44</v>
      </c>
      <c r="V1456" s="180">
        <v>44243</v>
      </c>
      <c r="W1456" s="239">
        <v>300000000</v>
      </c>
      <c r="X1456" s="240">
        <v>0</v>
      </c>
      <c r="Y1456" s="7">
        <f>IF(AE1456="","",W1456*AE1456)</f>
        <v>0</v>
      </c>
      <c r="Z1456" s="7">
        <f>IF(Y1456="",X1456,Y1456+X1456)</f>
        <v>0</v>
      </c>
      <c r="AA1456" s="108"/>
      <c r="AB1456" s="479" t="s">
        <v>49</v>
      </c>
      <c r="AC1456" s="480"/>
      <c r="AD1456" s="187">
        <v>0</v>
      </c>
      <c r="AE1456" s="187">
        <v>0</v>
      </c>
      <c r="AF1456" s="205">
        <f>AE1456+AD1456</f>
        <v>0</v>
      </c>
      <c r="AG1456" s="163">
        <v>8</v>
      </c>
      <c r="AH1456" s="30" t="s">
        <v>4332</v>
      </c>
      <c r="AI1456" s="37"/>
      <c r="AJ1456" s="30" t="s">
        <v>1188</v>
      </c>
      <c r="AK1456" s="30" t="s">
        <v>99</v>
      </c>
      <c r="AL1456" s="93" t="s">
        <v>1178</v>
      </c>
    </row>
    <row r="1457" spans="1:38" ht="15" customHeight="1" x14ac:dyDescent="0.3">
      <c r="A1457" s="181" t="s">
        <v>22</v>
      </c>
      <c r="B1457" s="181" t="s">
        <v>23</v>
      </c>
      <c r="C1457" s="184">
        <v>16</v>
      </c>
      <c r="D1457" s="11" t="s">
        <v>24</v>
      </c>
      <c r="E1457" s="192">
        <v>42641</v>
      </c>
      <c r="F1457" s="181">
        <v>2016</v>
      </c>
      <c r="G1457" s="181" t="s">
        <v>4956</v>
      </c>
      <c r="H1457" s="217" t="s">
        <v>4957</v>
      </c>
      <c r="I1457" s="12" t="s">
        <v>80</v>
      </c>
      <c r="J1457" s="32" t="s">
        <v>26</v>
      </c>
      <c r="K1457" s="197" t="s">
        <v>169</v>
      </c>
      <c r="L1457" s="138" t="s">
        <v>56</v>
      </c>
      <c r="M1457" s="279" t="s">
        <v>42</v>
      </c>
      <c r="N1457" s="799"/>
      <c r="O1457" s="146" t="s">
        <v>4958</v>
      </c>
      <c r="P1457" s="800" t="s">
        <v>4959</v>
      </c>
      <c r="Q1457" s="15" t="s">
        <v>282</v>
      </c>
      <c r="R1457" s="132">
        <v>43405</v>
      </c>
      <c r="S1457" s="92"/>
      <c r="T1457" s="165"/>
      <c r="U1457" s="624"/>
      <c r="V1457" s="624"/>
      <c r="W1457" s="239">
        <v>24000000</v>
      </c>
      <c r="X1457" s="240">
        <v>0</v>
      </c>
      <c r="Y1457" s="201">
        <f t="shared" ref="Y1457:Y1470" si="79">IF(AE1457="","",W1457*AE1457)</f>
        <v>0</v>
      </c>
      <c r="Z1457" s="7">
        <f t="shared" ref="Z1457:Z1489" si="80">IF(Y1457="",X1457,Y1457+X1457)</f>
        <v>0</v>
      </c>
      <c r="AA1457" s="192"/>
      <c r="AB1457" s="801" t="s">
        <v>36</v>
      </c>
      <c r="AC1457" s="192"/>
      <c r="AD1457" s="258">
        <v>0</v>
      </c>
      <c r="AE1457" s="187">
        <v>0</v>
      </c>
      <c r="AF1457" s="205">
        <f t="shared" ref="AF1457:AF1466" si="81">AE1457+AD1457</f>
        <v>0</v>
      </c>
      <c r="AG1457" s="181">
        <v>8</v>
      </c>
      <c r="AH1457" s="181" t="s">
        <v>4947</v>
      </c>
      <c r="AI1457" s="184"/>
      <c r="AJ1457" s="181" t="s">
        <v>1188</v>
      </c>
      <c r="AK1457" s="30" t="s">
        <v>1185</v>
      </c>
      <c r="AL1457" s="93" t="s">
        <v>1178</v>
      </c>
    </row>
    <row r="1458" spans="1:38" ht="15" customHeight="1" x14ac:dyDescent="0.3">
      <c r="A1458" s="248" t="s">
        <v>22</v>
      </c>
      <c r="B1458" s="145" t="s">
        <v>105</v>
      </c>
      <c r="C1458" s="135">
        <v>13</v>
      </c>
      <c r="D1458" s="11" t="s">
        <v>5936</v>
      </c>
      <c r="E1458" s="168">
        <v>40995</v>
      </c>
      <c r="F1458" s="136">
        <v>2012</v>
      </c>
      <c r="G1458" s="178" t="s">
        <v>4961</v>
      </c>
      <c r="H1458" s="204" t="s">
        <v>4962</v>
      </c>
      <c r="I1458" s="33" t="s">
        <v>33</v>
      </c>
      <c r="J1458" s="32" t="s">
        <v>26</v>
      </c>
      <c r="K1458" s="137" t="s">
        <v>3979</v>
      </c>
      <c r="L1458" s="765" t="s">
        <v>4963</v>
      </c>
      <c r="M1458" s="137" t="s">
        <v>804</v>
      </c>
      <c r="N1458" s="197"/>
      <c r="O1458" s="138" t="s">
        <v>4964</v>
      </c>
      <c r="P1458" s="718" t="s">
        <v>4965</v>
      </c>
      <c r="Q1458" s="15" t="s">
        <v>282</v>
      </c>
      <c r="R1458" s="132">
        <v>41487</v>
      </c>
      <c r="S1458" s="16" t="s">
        <v>35</v>
      </c>
      <c r="T1458" s="133">
        <v>41507</v>
      </c>
      <c r="U1458" s="623" t="s">
        <v>35</v>
      </c>
      <c r="V1458" s="180">
        <v>43770</v>
      </c>
      <c r="W1458" s="242">
        <v>85000000</v>
      </c>
      <c r="X1458" s="240">
        <v>0</v>
      </c>
      <c r="Y1458" s="201">
        <f t="shared" si="79"/>
        <v>0</v>
      </c>
      <c r="Z1458" s="201">
        <f t="shared" si="80"/>
        <v>0</v>
      </c>
      <c r="AA1458" s="192" t="s">
        <v>4966</v>
      </c>
      <c r="AB1458" s="503" t="s">
        <v>6156</v>
      </c>
      <c r="AC1458" s="222"/>
      <c r="AD1458" s="196">
        <v>1</v>
      </c>
      <c r="AE1458" s="187">
        <v>0</v>
      </c>
      <c r="AF1458" s="205">
        <f t="shared" si="81"/>
        <v>1</v>
      </c>
      <c r="AG1458" s="138">
        <v>8</v>
      </c>
      <c r="AH1458" s="138"/>
      <c r="AI1458" s="138" t="s">
        <v>4967</v>
      </c>
      <c r="AJ1458" s="138" t="s">
        <v>1188</v>
      </c>
      <c r="AK1458" s="30" t="s">
        <v>99</v>
      </c>
      <c r="AL1458" s="138" t="s">
        <v>1178</v>
      </c>
    </row>
    <row r="1459" spans="1:38" ht="15" customHeight="1" x14ac:dyDescent="0.3">
      <c r="A1459" s="181" t="s">
        <v>160</v>
      </c>
      <c r="B1459" s="297" t="s">
        <v>105</v>
      </c>
      <c r="C1459" s="245">
        <v>23</v>
      </c>
      <c r="D1459" s="11" t="s">
        <v>5936</v>
      </c>
      <c r="E1459" s="247">
        <v>43139</v>
      </c>
      <c r="F1459" s="246">
        <v>2018</v>
      </c>
      <c r="G1459" s="792" t="s">
        <v>4968</v>
      </c>
      <c r="H1459" s="792" t="s">
        <v>4969</v>
      </c>
      <c r="I1459" s="30" t="s">
        <v>38</v>
      </c>
      <c r="J1459" s="32" t="s">
        <v>26</v>
      </c>
      <c r="K1459" s="264" t="s">
        <v>139</v>
      </c>
      <c r="L1459" s="264" t="s">
        <v>4970</v>
      </c>
      <c r="M1459" s="137" t="s">
        <v>804</v>
      </c>
      <c r="N1459" s="197"/>
      <c r="O1459" s="805" t="s">
        <v>4971</v>
      </c>
      <c r="P1459" s="822" t="s">
        <v>4972</v>
      </c>
      <c r="Q1459" s="15" t="s">
        <v>35</v>
      </c>
      <c r="R1459" s="218">
        <v>43494</v>
      </c>
      <c r="S1459" s="400"/>
      <c r="T1459" s="133"/>
      <c r="U1459" s="623"/>
      <c r="V1459" s="624"/>
      <c r="W1459" s="242">
        <v>70000000</v>
      </c>
      <c r="X1459" s="243">
        <v>0</v>
      </c>
      <c r="Y1459" s="201">
        <f t="shared" si="79"/>
        <v>0</v>
      </c>
      <c r="Z1459" s="185">
        <f t="shared" si="80"/>
        <v>0</v>
      </c>
      <c r="AA1459" s="229">
        <v>44252</v>
      </c>
      <c r="AB1459" s="513" t="s">
        <v>3232</v>
      </c>
      <c r="AC1459" s="147"/>
      <c r="AD1459" s="196">
        <v>1</v>
      </c>
      <c r="AE1459" s="187">
        <v>0</v>
      </c>
      <c r="AF1459" s="205">
        <f t="shared" si="81"/>
        <v>1</v>
      </c>
      <c r="AG1459" s="138">
        <v>8</v>
      </c>
      <c r="AH1459" s="200" t="s">
        <v>45</v>
      </c>
      <c r="AI1459" s="718" t="s">
        <v>4973</v>
      </c>
      <c r="AJ1459" s="138" t="s">
        <v>1188</v>
      </c>
      <c r="AK1459" s="181" t="s">
        <v>1185</v>
      </c>
      <c r="AL1459" s="138" t="s">
        <v>1178</v>
      </c>
    </row>
    <row r="1460" spans="1:38" ht="15" customHeight="1" x14ac:dyDescent="0.3">
      <c r="A1460" s="181" t="s">
        <v>22</v>
      </c>
      <c r="B1460" s="145" t="s">
        <v>4870</v>
      </c>
      <c r="C1460" s="135">
        <v>1</v>
      </c>
      <c r="D1460" s="136" t="s">
        <v>190</v>
      </c>
      <c r="E1460" s="168">
        <v>43797</v>
      </c>
      <c r="F1460" s="136">
        <v>2019</v>
      </c>
      <c r="G1460" s="168" t="s">
        <v>4974</v>
      </c>
      <c r="H1460" s="168" t="s">
        <v>4975</v>
      </c>
      <c r="I1460" s="135" t="s">
        <v>38</v>
      </c>
      <c r="J1460" s="181" t="s">
        <v>81</v>
      </c>
      <c r="K1460" s="279" t="s">
        <v>4567</v>
      </c>
      <c r="L1460" s="197" t="s">
        <v>28</v>
      </c>
      <c r="M1460" s="197" t="s">
        <v>42</v>
      </c>
      <c r="N1460" s="197"/>
      <c r="O1460" s="783" t="s">
        <v>4976</v>
      </c>
      <c r="P1460" s="826" t="s">
        <v>4977</v>
      </c>
      <c r="Q1460" s="15" t="s">
        <v>35</v>
      </c>
      <c r="R1460" s="231"/>
      <c r="S1460" s="272"/>
      <c r="T1460" s="268"/>
      <c r="U1460" s="803"/>
      <c r="V1460" s="803"/>
      <c r="W1460" s="242">
        <v>1000000</v>
      </c>
      <c r="X1460" s="240">
        <v>0</v>
      </c>
      <c r="Y1460" s="201">
        <f t="shared" si="79"/>
        <v>0</v>
      </c>
      <c r="Z1460" s="7">
        <f t="shared" si="80"/>
        <v>0</v>
      </c>
      <c r="AA1460" s="192"/>
      <c r="AB1460" s="503" t="s">
        <v>3592</v>
      </c>
      <c r="AC1460" s="222"/>
      <c r="AD1460" s="258"/>
      <c r="AE1460" s="195">
        <v>0</v>
      </c>
      <c r="AF1460" s="205">
        <f t="shared" si="81"/>
        <v>0</v>
      </c>
      <c r="AG1460" s="181">
        <v>8</v>
      </c>
      <c r="AH1460" s="197" t="s">
        <v>4955</v>
      </c>
      <c r="AI1460" s="138"/>
      <c r="AJ1460" s="197" t="s">
        <v>1188</v>
      </c>
      <c r="AK1460" s="197" t="s">
        <v>3457</v>
      </c>
      <c r="AL1460" s="200" t="s">
        <v>1178</v>
      </c>
    </row>
    <row r="1461" spans="1:38" ht="15" customHeight="1" x14ac:dyDescent="0.3">
      <c r="A1461" s="181" t="s">
        <v>22</v>
      </c>
      <c r="B1461" s="265" t="s">
        <v>229</v>
      </c>
      <c r="C1461" s="245">
        <v>3</v>
      </c>
      <c r="D1461" s="11" t="s">
        <v>225</v>
      </c>
      <c r="E1461" s="247">
        <v>43217</v>
      </c>
      <c r="F1461" s="246">
        <v>2018</v>
      </c>
      <c r="G1461" s="792" t="s">
        <v>4978</v>
      </c>
      <c r="H1461" s="792" t="s">
        <v>4979</v>
      </c>
      <c r="I1461" s="246" t="s">
        <v>38</v>
      </c>
      <c r="J1461" s="32" t="s">
        <v>26</v>
      </c>
      <c r="K1461" s="264" t="s">
        <v>70</v>
      </c>
      <c r="L1461" s="264" t="s">
        <v>28</v>
      </c>
      <c r="M1461" s="264" t="s">
        <v>42</v>
      </c>
      <c r="N1461" s="264"/>
      <c r="O1461" s="805" t="s">
        <v>4980</v>
      </c>
      <c r="P1461" s="794" t="s">
        <v>4981</v>
      </c>
      <c r="Q1461" s="15" t="s">
        <v>282</v>
      </c>
      <c r="R1461" s="231">
        <v>43523</v>
      </c>
      <c r="S1461" s="241"/>
      <c r="T1461" s="241"/>
      <c r="U1461" s="776"/>
      <c r="V1461" s="776"/>
      <c r="W1461" s="256">
        <v>14000000</v>
      </c>
      <c r="X1461" s="185">
        <v>0</v>
      </c>
      <c r="Y1461" s="201">
        <f t="shared" si="79"/>
        <v>0</v>
      </c>
      <c r="Z1461" s="185">
        <f t="shared" si="80"/>
        <v>0</v>
      </c>
      <c r="AA1461" s="233"/>
      <c r="AB1461" s="604" t="s">
        <v>3744</v>
      </c>
      <c r="AC1461" s="163"/>
      <c r="AD1461" s="196">
        <v>0</v>
      </c>
      <c r="AE1461" s="187">
        <v>0</v>
      </c>
      <c r="AF1461" s="210">
        <f t="shared" si="81"/>
        <v>0</v>
      </c>
      <c r="AG1461" s="197">
        <v>8</v>
      </c>
      <c r="AH1461" s="197" t="s">
        <v>4960</v>
      </c>
      <c r="AI1461" s="197"/>
      <c r="AJ1461" s="197" t="s">
        <v>1188</v>
      </c>
      <c r="AK1461" s="197" t="s">
        <v>1185</v>
      </c>
      <c r="AL1461" s="93" t="s">
        <v>1178</v>
      </c>
    </row>
    <row r="1462" spans="1:38" ht="15" customHeight="1" x14ac:dyDescent="0.3">
      <c r="A1462" s="181" t="s">
        <v>22</v>
      </c>
      <c r="B1462" s="265" t="s">
        <v>105</v>
      </c>
      <c r="C1462" s="107">
        <v>8</v>
      </c>
      <c r="D1462" s="11" t="s">
        <v>5936</v>
      </c>
      <c r="E1462" s="114">
        <v>43628</v>
      </c>
      <c r="F1462" s="12">
        <v>2019</v>
      </c>
      <c r="G1462" s="142" t="s">
        <v>4982</v>
      </c>
      <c r="H1462" s="162" t="s">
        <v>4983</v>
      </c>
      <c r="I1462" s="33" t="s">
        <v>33</v>
      </c>
      <c r="J1462" s="32" t="s">
        <v>26</v>
      </c>
      <c r="K1462" s="264" t="s">
        <v>118</v>
      </c>
      <c r="L1462" s="264" t="s">
        <v>28</v>
      </c>
      <c r="M1462" s="264" t="s">
        <v>42</v>
      </c>
      <c r="N1462" s="264"/>
      <c r="O1462" s="783" t="s">
        <v>4984</v>
      </c>
      <c r="P1462" s="783" t="s">
        <v>4985</v>
      </c>
      <c r="Q1462" s="15" t="s">
        <v>282</v>
      </c>
      <c r="R1462" s="218">
        <v>44069</v>
      </c>
      <c r="S1462" s="400"/>
      <c r="T1462" s="133"/>
      <c r="U1462" s="623"/>
      <c r="V1462" s="624"/>
      <c r="W1462" s="242">
        <v>90000000</v>
      </c>
      <c r="X1462" s="243">
        <v>0</v>
      </c>
      <c r="Y1462" s="201">
        <f t="shared" si="79"/>
        <v>0</v>
      </c>
      <c r="Z1462" s="189">
        <f t="shared" si="80"/>
        <v>0</v>
      </c>
      <c r="AA1462" s="229"/>
      <c r="AB1462" s="564" t="s">
        <v>1073</v>
      </c>
      <c r="AC1462" s="693"/>
      <c r="AD1462" s="196"/>
      <c r="AE1462" s="187">
        <v>0</v>
      </c>
      <c r="AF1462" s="205">
        <f t="shared" si="81"/>
        <v>0</v>
      </c>
      <c r="AG1462" s="138">
        <v>8</v>
      </c>
      <c r="AH1462" s="197" t="s">
        <v>120</v>
      </c>
      <c r="AI1462" s="138"/>
      <c r="AJ1462" s="138" t="s">
        <v>1188</v>
      </c>
      <c r="AK1462" s="181" t="s">
        <v>1177</v>
      </c>
      <c r="AL1462" s="138" t="s">
        <v>1178</v>
      </c>
    </row>
    <row r="1463" spans="1:38" ht="15" customHeight="1" x14ac:dyDescent="0.3">
      <c r="A1463" s="181" t="s">
        <v>22</v>
      </c>
      <c r="B1463" s="265" t="s">
        <v>197</v>
      </c>
      <c r="C1463" s="245">
        <v>3</v>
      </c>
      <c r="D1463" s="246" t="s">
        <v>190</v>
      </c>
      <c r="E1463" s="247">
        <v>43173</v>
      </c>
      <c r="F1463" s="246">
        <v>2018</v>
      </c>
      <c r="G1463" s="792" t="s">
        <v>4987</v>
      </c>
      <c r="H1463" s="792" t="s">
        <v>4988</v>
      </c>
      <c r="I1463" s="246" t="s">
        <v>38</v>
      </c>
      <c r="J1463" s="32" t="s">
        <v>26</v>
      </c>
      <c r="K1463" s="264" t="s">
        <v>4624</v>
      </c>
      <c r="L1463" s="264" t="s">
        <v>28</v>
      </c>
      <c r="M1463" s="197" t="s">
        <v>42</v>
      </c>
      <c r="N1463" s="197"/>
      <c r="O1463" s="805" t="s">
        <v>4989</v>
      </c>
      <c r="P1463" s="794" t="s">
        <v>4990</v>
      </c>
      <c r="Q1463" s="15" t="s">
        <v>282</v>
      </c>
      <c r="R1463" s="231">
        <v>43440</v>
      </c>
      <c r="S1463" s="272"/>
      <c r="T1463" s="268"/>
      <c r="U1463" s="803"/>
      <c r="V1463" s="803"/>
      <c r="W1463" s="242">
        <v>250000000</v>
      </c>
      <c r="X1463" s="240">
        <v>0</v>
      </c>
      <c r="Y1463" s="201">
        <f t="shared" si="79"/>
        <v>0</v>
      </c>
      <c r="Z1463" s="7">
        <f t="shared" si="80"/>
        <v>0</v>
      </c>
      <c r="AA1463" s="192"/>
      <c r="AB1463" s="564" t="s">
        <v>2595</v>
      </c>
      <c r="AC1463" s="693"/>
      <c r="AD1463" s="258">
        <v>0</v>
      </c>
      <c r="AE1463" s="187">
        <v>0</v>
      </c>
      <c r="AF1463" s="205">
        <f t="shared" si="81"/>
        <v>0</v>
      </c>
      <c r="AG1463" s="181">
        <v>8</v>
      </c>
      <c r="AH1463" s="264" t="s">
        <v>4730</v>
      </c>
      <c r="AI1463" s="138"/>
      <c r="AJ1463" s="197" t="s">
        <v>1188</v>
      </c>
      <c r="AK1463" s="197" t="s">
        <v>1185</v>
      </c>
      <c r="AL1463" s="138" t="s">
        <v>1178</v>
      </c>
    </row>
    <row r="1464" spans="1:38" ht="15" customHeight="1" x14ac:dyDescent="0.3">
      <c r="A1464" s="181" t="s">
        <v>22</v>
      </c>
      <c r="B1464" s="265" t="s">
        <v>227</v>
      </c>
      <c r="C1464" s="245">
        <v>13</v>
      </c>
      <c r="D1464" s="11" t="s">
        <v>225</v>
      </c>
      <c r="E1464" s="247">
        <v>43143</v>
      </c>
      <c r="F1464" s="246">
        <v>2018</v>
      </c>
      <c r="G1464" s="792" t="s">
        <v>4991</v>
      </c>
      <c r="H1464" s="792" t="s">
        <v>4992</v>
      </c>
      <c r="I1464" s="246" t="s">
        <v>38</v>
      </c>
      <c r="J1464" s="32" t="s">
        <v>26</v>
      </c>
      <c r="K1464" s="264" t="s">
        <v>111</v>
      </c>
      <c r="L1464" s="264" t="s">
        <v>28</v>
      </c>
      <c r="M1464" s="264" t="s">
        <v>42</v>
      </c>
      <c r="N1464" s="264"/>
      <c r="O1464" s="805" t="s">
        <v>4993</v>
      </c>
      <c r="P1464" s="822" t="s">
        <v>4994</v>
      </c>
      <c r="Q1464" s="15" t="s">
        <v>282</v>
      </c>
      <c r="R1464" s="230"/>
      <c r="S1464" s="241"/>
      <c r="T1464" s="241"/>
      <c r="U1464" s="776"/>
      <c r="V1464" s="776"/>
      <c r="W1464" s="256">
        <v>70000000</v>
      </c>
      <c r="X1464" s="185">
        <v>0</v>
      </c>
      <c r="Y1464" s="201">
        <f t="shared" si="79"/>
        <v>0</v>
      </c>
      <c r="Z1464" s="185">
        <f t="shared" si="80"/>
        <v>0</v>
      </c>
      <c r="AA1464" s="233"/>
      <c r="AB1464" s="504" t="s">
        <v>6115</v>
      </c>
      <c r="AC1464" s="138"/>
      <c r="AD1464" s="196">
        <v>0</v>
      </c>
      <c r="AE1464" s="187">
        <v>0</v>
      </c>
      <c r="AF1464" s="210">
        <f t="shared" si="81"/>
        <v>0</v>
      </c>
      <c r="AG1464" s="197">
        <v>8</v>
      </c>
      <c r="AH1464" s="264" t="s">
        <v>1721</v>
      </c>
      <c r="AI1464" s="197"/>
      <c r="AJ1464" s="197" t="s">
        <v>1188</v>
      </c>
      <c r="AK1464" s="197" t="s">
        <v>1177</v>
      </c>
      <c r="AL1464" s="93" t="s">
        <v>1178</v>
      </c>
    </row>
    <row r="1465" spans="1:38" ht="15" customHeight="1" x14ac:dyDescent="0.3">
      <c r="A1465" s="181" t="s">
        <v>22</v>
      </c>
      <c r="B1465" s="301" t="s">
        <v>819</v>
      </c>
      <c r="C1465" s="135">
        <v>1</v>
      </c>
      <c r="D1465" s="11" t="s">
        <v>225</v>
      </c>
      <c r="E1465" s="168">
        <v>41488</v>
      </c>
      <c r="F1465" s="136">
        <v>2013</v>
      </c>
      <c r="G1465" s="178" t="s">
        <v>4995</v>
      </c>
      <c r="H1465" s="204"/>
      <c r="I1465" s="33" t="s">
        <v>33</v>
      </c>
      <c r="J1465" s="32" t="s">
        <v>26</v>
      </c>
      <c r="K1465" s="197" t="s">
        <v>50</v>
      </c>
      <c r="L1465" s="746" t="s">
        <v>28</v>
      </c>
      <c r="M1465" s="197" t="s">
        <v>42</v>
      </c>
      <c r="N1465" s="553" t="s">
        <v>122</v>
      </c>
      <c r="O1465" s="138" t="s">
        <v>4996</v>
      </c>
      <c r="P1465" s="718" t="s">
        <v>4997</v>
      </c>
      <c r="Q1465" s="15" t="s">
        <v>282</v>
      </c>
      <c r="R1465" s="218">
        <v>41759</v>
      </c>
      <c r="S1465" s="16" t="s">
        <v>44</v>
      </c>
      <c r="T1465" s="228">
        <v>42662</v>
      </c>
      <c r="U1465" s="775"/>
      <c r="V1465" s="776"/>
      <c r="W1465" s="242">
        <v>175000000</v>
      </c>
      <c r="X1465" s="243">
        <v>0</v>
      </c>
      <c r="Y1465" s="201">
        <f t="shared" si="79"/>
        <v>0</v>
      </c>
      <c r="Z1465" s="201">
        <f t="shared" si="80"/>
        <v>0</v>
      </c>
      <c r="AA1465" s="233"/>
      <c r="AB1465" s="504" t="s">
        <v>6115</v>
      </c>
      <c r="AC1465" s="138"/>
      <c r="AD1465" s="196">
        <v>0</v>
      </c>
      <c r="AE1465" s="187">
        <v>0</v>
      </c>
      <c r="AF1465" s="210">
        <f t="shared" si="81"/>
        <v>0</v>
      </c>
      <c r="AG1465" s="163">
        <v>8</v>
      </c>
      <c r="AH1465" s="274"/>
      <c r="AI1465" s="138"/>
      <c r="AJ1465" s="138" t="s">
        <v>1188</v>
      </c>
      <c r="AK1465" s="30" t="s">
        <v>99</v>
      </c>
      <c r="AL1465" s="138" t="s">
        <v>1178</v>
      </c>
    </row>
    <row r="1466" spans="1:38" ht="15" customHeight="1" x14ac:dyDescent="0.3">
      <c r="A1466" s="181" t="s">
        <v>22</v>
      </c>
      <c r="B1466" s="145" t="s">
        <v>193</v>
      </c>
      <c r="C1466" s="135">
        <v>3</v>
      </c>
      <c r="D1466" s="136" t="s">
        <v>190</v>
      </c>
      <c r="E1466" s="168">
        <v>41652</v>
      </c>
      <c r="F1466" s="136">
        <v>2014</v>
      </c>
      <c r="G1466" s="178" t="s">
        <v>4999</v>
      </c>
      <c r="H1466" s="217" t="s">
        <v>5000</v>
      </c>
      <c r="I1466" s="33" t="s">
        <v>33</v>
      </c>
      <c r="J1466" s="32" t="s">
        <v>26</v>
      </c>
      <c r="K1466" s="197" t="s">
        <v>162</v>
      </c>
      <c r="L1466" s="746" t="s">
        <v>28</v>
      </c>
      <c r="M1466" s="197" t="s">
        <v>42</v>
      </c>
      <c r="N1466" s="197"/>
      <c r="O1466" s="138" t="s">
        <v>5001</v>
      </c>
      <c r="P1466" s="718" t="s">
        <v>5002</v>
      </c>
      <c r="Q1466" s="15" t="s">
        <v>282</v>
      </c>
      <c r="R1466" s="218">
        <v>41782</v>
      </c>
      <c r="S1466" s="16" t="s">
        <v>44</v>
      </c>
      <c r="T1466" s="191">
        <v>42528</v>
      </c>
      <c r="U1466" s="236"/>
      <c r="V1466" s="237"/>
      <c r="W1466" s="242">
        <v>70000000</v>
      </c>
      <c r="X1466" s="240">
        <v>0</v>
      </c>
      <c r="Y1466" s="201">
        <f t="shared" si="79"/>
        <v>0</v>
      </c>
      <c r="Z1466" s="7">
        <f t="shared" si="80"/>
        <v>0</v>
      </c>
      <c r="AA1466" s="235"/>
      <c r="AB1466" s="604" t="s">
        <v>6157</v>
      </c>
      <c r="AC1466" s="163"/>
      <c r="AD1466" s="187">
        <v>0</v>
      </c>
      <c r="AE1466" s="187">
        <v>0</v>
      </c>
      <c r="AF1466" s="205">
        <f t="shared" si="81"/>
        <v>0</v>
      </c>
      <c r="AG1466" s="200">
        <v>8</v>
      </c>
      <c r="AH1466" s="138" t="s">
        <v>210</v>
      </c>
      <c r="AI1466" s="138"/>
      <c r="AJ1466" s="200" t="s">
        <v>1188</v>
      </c>
      <c r="AK1466" s="30" t="s">
        <v>99</v>
      </c>
      <c r="AL1466" s="181" t="s">
        <v>1178</v>
      </c>
    </row>
    <row r="1467" spans="1:38" ht="15" customHeight="1" x14ac:dyDescent="0.3">
      <c r="A1467" s="248" t="s">
        <v>22</v>
      </c>
      <c r="B1467" s="261" t="s">
        <v>4986</v>
      </c>
      <c r="C1467" s="245" t="s">
        <v>247</v>
      </c>
      <c r="D1467" s="246" t="s">
        <v>190</v>
      </c>
      <c r="E1467" s="247">
        <v>44018</v>
      </c>
      <c r="F1467" s="246">
        <v>2020</v>
      </c>
      <c r="G1467" s="247" t="s">
        <v>5003</v>
      </c>
      <c r="H1467" s="247" t="s">
        <v>5004</v>
      </c>
      <c r="I1467" s="30" t="s">
        <v>38</v>
      </c>
      <c r="J1467" s="245" t="s">
        <v>81</v>
      </c>
      <c r="K1467" s="264" t="s">
        <v>4567</v>
      </c>
      <c r="L1467" s="264" t="s">
        <v>28</v>
      </c>
      <c r="M1467" s="137" t="s">
        <v>804</v>
      </c>
      <c r="N1467" s="264"/>
      <c r="O1467" s="805" t="s">
        <v>5005</v>
      </c>
      <c r="P1467" s="827" t="s">
        <v>5006</v>
      </c>
      <c r="Q1467" s="15" t="s">
        <v>35</v>
      </c>
      <c r="R1467" s="231">
        <v>44123</v>
      </c>
      <c r="S1467" s="272"/>
      <c r="T1467" s="268"/>
      <c r="U1467" s="803"/>
      <c r="V1467" s="803"/>
      <c r="W1467" s="242">
        <v>2000000</v>
      </c>
      <c r="X1467" s="299">
        <v>2000000</v>
      </c>
      <c r="Y1467" s="201">
        <f t="shared" si="79"/>
        <v>0</v>
      </c>
      <c r="Z1467" s="7">
        <f t="shared" si="80"/>
        <v>2000000</v>
      </c>
      <c r="AA1467" s="192" t="s">
        <v>4966</v>
      </c>
      <c r="AB1467" s="503" t="s">
        <v>3592</v>
      </c>
      <c r="AC1467" s="222"/>
      <c r="AD1467" s="258">
        <v>1</v>
      </c>
      <c r="AE1467" s="195">
        <v>0</v>
      </c>
      <c r="AF1467" s="205">
        <v>1</v>
      </c>
      <c r="AG1467" s="181">
        <v>0</v>
      </c>
      <c r="AH1467" s="197" t="s">
        <v>4955</v>
      </c>
      <c r="AI1467" s="138"/>
      <c r="AJ1467" s="138" t="s">
        <v>1188</v>
      </c>
      <c r="AK1467" s="138" t="s">
        <v>1177</v>
      </c>
      <c r="AL1467" s="146" t="s">
        <v>1178</v>
      </c>
    </row>
    <row r="1468" spans="1:38" ht="15" customHeight="1" x14ac:dyDescent="0.3">
      <c r="A1468" s="181" t="s">
        <v>22</v>
      </c>
      <c r="B1468" s="265" t="s">
        <v>105</v>
      </c>
      <c r="C1468" s="245">
        <v>28</v>
      </c>
      <c r="D1468" s="11" t="s">
        <v>5936</v>
      </c>
      <c r="E1468" s="247">
        <v>43081</v>
      </c>
      <c r="F1468" s="246">
        <v>2017</v>
      </c>
      <c r="G1468" s="792" t="s">
        <v>5007</v>
      </c>
      <c r="H1468" s="792" t="s">
        <v>5008</v>
      </c>
      <c r="I1468" s="246" t="s">
        <v>38</v>
      </c>
      <c r="J1468" s="32" t="s">
        <v>26</v>
      </c>
      <c r="K1468" s="264" t="s">
        <v>111</v>
      </c>
      <c r="L1468" s="264" t="s">
        <v>28</v>
      </c>
      <c r="M1468" s="264" t="s">
        <v>42</v>
      </c>
      <c r="N1468" s="264"/>
      <c r="O1468" s="805" t="s">
        <v>5009</v>
      </c>
      <c r="P1468" s="811" t="s">
        <v>5010</v>
      </c>
      <c r="Q1468" s="15" t="s">
        <v>282</v>
      </c>
      <c r="R1468" s="218">
        <v>43502</v>
      </c>
      <c r="S1468" s="16" t="s">
        <v>44</v>
      </c>
      <c r="T1468" s="133">
        <v>43719</v>
      </c>
      <c r="U1468" s="623"/>
      <c r="V1468" s="624"/>
      <c r="W1468" s="242">
        <v>5000000</v>
      </c>
      <c r="X1468" s="243">
        <v>0</v>
      </c>
      <c r="Y1468" s="201">
        <f t="shared" si="79"/>
        <v>0</v>
      </c>
      <c r="Z1468" s="7">
        <f t="shared" si="80"/>
        <v>0</v>
      </c>
      <c r="AA1468" s="267"/>
      <c r="AB1468" s="564" t="s">
        <v>1073</v>
      </c>
      <c r="AC1468" s="693"/>
      <c r="AD1468" s="187">
        <v>0</v>
      </c>
      <c r="AE1468" s="187">
        <v>0</v>
      </c>
      <c r="AF1468" s="205">
        <f t="shared" ref="AF1468:AF1482" si="82">AE1468+AD1468</f>
        <v>0</v>
      </c>
      <c r="AG1468" s="181">
        <v>8</v>
      </c>
      <c r="AH1468" s="264" t="s">
        <v>59</v>
      </c>
      <c r="AI1468" s="138"/>
      <c r="AJ1468" s="138" t="s">
        <v>1188</v>
      </c>
      <c r="AK1468" s="30" t="s">
        <v>99</v>
      </c>
      <c r="AL1468" s="138" t="s">
        <v>1178</v>
      </c>
    </row>
    <row r="1469" spans="1:38" ht="15" customHeight="1" x14ac:dyDescent="0.3">
      <c r="A1469" s="181" t="s">
        <v>22</v>
      </c>
      <c r="B1469" s="181" t="s">
        <v>23</v>
      </c>
      <c r="C1469" s="184">
        <v>15</v>
      </c>
      <c r="D1469" s="11" t="s">
        <v>24</v>
      </c>
      <c r="E1469" s="192">
        <v>43143</v>
      </c>
      <c r="F1469" s="181">
        <v>2018</v>
      </c>
      <c r="G1469" s="181" t="s">
        <v>5011</v>
      </c>
      <c r="H1469" s="217" t="s">
        <v>5012</v>
      </c>
      <c r="I1469" s="12" t="s">
        <v>38</v>
      </c>
      <c r="J1469" s="32" t="s">
        <v>26</v>
      </c>
      <c r="K1469" s="197" t="s">
        <v>113</v>
      </c>
      <c r="L1469" s="138" t="s">
        <v>56</v>
      </c>
      <c r="M1469" s="279" t="s">
        <v>42</v>
      </c>
      <c r="N1469" s="279"/>
      <c r="O1469" s="137" t="s">
        <v>5013</v>
      </c>
      <c r="P1469" s="815" t="s">
        <v>5014</v>
      </c>
      <c r="Q1469" s="15" t="s">
        <v>282</v>
      </c>
      <c r="R1469" s="164">
        <v>43446</v>
      </c>
      <c r="S1469" s="16" t="s">
        <v>44</v>
      </c>
      <c r="T1469" s="165">
        <v>43859</v>
      </c>
      <c r="U1469" s="624"/>
      <c r="V1469" s="624"/>
      <c r="W1469" s="239">
        <v>48000000</v>
      </c>
      <c r="X1469" s="240">
        <v>0</v>
      </c>
      <c r="Y1469" s="201">
        <f t="shared" si="79"/>
        <v>0</v>
      </c>
      <c r="Z1469" s="7">
        <f t="shared" si="80"/>
        <v>0</v>
      </c>
      <c r="AA1469" s="192"/>
      <c r="AB1469" s="801" t="s">
        <v>36</v>
      </c>
      <c r="AC1469" s="192"/>
      <c r="AD1469" s="258">
        <v>0</v>
      </c>
      <c r="AE1469" s="187">
        <v>0</v>
      </c>
      <c r="AF1469" s="205">
        <f t="shared" si="82"/>
        <v>0</v>
      </c>
      <c r="AG1469" s="279">
        <v>8</v>
      </c>
      <c r="AH1469" s="279" t="s">
        <v>4998</v>
      </c>
      <c r="AI1469" s="279"/>
      <c r="AJ1469" s="279" t="s">
        <v>1188</v>
      </c>
      <c r="AK1469" s="30" t="s">
        <v>1185</v>
      </c>
      <c r="AL1469" s="93" t="s">
        <v>1178</v>
      </c>
    </row>
    <row r="1470" spans="1:38" ht="15" customHeight="1" x14ac:dyDescent="0.3">
      <c r="A1470" s="181" t="s">
        <v>22</v>
      </c>
      <c r="B1470" s="120" t="s">
        <v>144</v>
      </c>
      <c r="C1470" s="107" t="s">
        <v>5016</v>
      </c>
      <c r="D1470" s="11" t="s">
        <v>143</v>
      </c>
      <c r="E1470" s="114">
        <v>43064</v>
      </c>
      <c r="F1470" s="142">
        <v>2017</v>
      </c>
      <c r="G1470" s="142" t="s">
        <v>5017</v>
      </c>
      <c r="H1470" s="162" t="s">
        <v>5018</v>
      </c>
      <c r="I1470" s="12" t="s">
        <v>38</v>
      </c>
      <c r="J1470" s="30" t="s">
        <v>81</v>
      </c>
      <c r="K1470" s="137" t="s">
        <v>4567</v>
      </c>
      <c r="L1470" s="197" t="s">
        <v>28</v>
      </c>
      <c r="M1470" s="197" t="s">
        <v>42</v>
      </c>
      <c r="N1470" s="553" t="s">
        <v>122</v>
      </c>
      <c r="O1470" s="197" t="s">
        <v>5019</v>
      </c>
      <c r="P1470" s="197" t="s">
        <v>5020</v>
      </c>
      <c r="Q1470" s="143"/>
      <c r="R1470" s="179"/>
      <c r="S1470" s="144"/>
      <c r="T1470" s="191"/>
      <c r="U1470" s="707"/>
      <c r="V1470" s="707"/>
      <c r="W1470" s="252">
        <v>3000000</v>
      </c>
      <c r="X1470" s="253">
        <v>0</v>
      </c>
      <c r="Y1470" s="201">
        <f t="shared" si="79"/>
        <v>0</v>
      </c>
      <c r="Z1470" s="7">
        <f t="shared" si="80"/>
        <v>0</v>
      </c>
      <c r="AA1470" s="90"/>
      <c r="AB1470" s="467" t="s">
        <v>147</v>
      </c>
      <c r="AC1470" s="197"/>
      <c r="AD1470" s="187"/>
      <c r="AE1470" s="187">
        <v>0</v>
      </c>
      <c r="AF1470" s="205">
        <f t="shared" si="82"/>
        <v>0</v>
      </c>
      <c r="AG1470" s="88">
        <v>8</v>
      </c>
      <c r="AH1470" s="200" t="s">
        <v>45</v>
      </c>
      <c r="AI1470" s="200"/>
      <c r="AJ1470" s="146" t="s">
        <v>1188</v>
      </c>
      <c r="AK1470" s="37" t="s">
        <v>1177</v>
      </c>
      <c r="AL1470" s="146" t="s">
        <v>1178</v>
      </c>
    </row>
    <row r="1471" spans="1:38" ht="15" customHeight="1" x14ac:dyDescent="0.3">
      <c r="A1471" s="181" t="s">
        <v>22</v>
      </c>
      <c r="B1471" s="265" t="s">
        <v>229</v>
      </c>
      <c r="C1471" s="245">
        <v>1</v>
      </c>
      <c r="D1471" s="11" t="s">
        <v>225</v>
      </c>
      <c r="E1471" s="247">
        <v>42802</v>
      </c>
      <c r="F1471" s="246">
        <v>2017</v>
      </c>
      <c r="G1471" s="792" t="s">
        <v>5022</v>
      </c>
      <c r="H1471" s="792" t="s">
        <v>5023</v>
      </c>
      <c r="I1471" s="30" t="s">
        <v>38</v>
      </c>
      <c r="J1471" s="32" t="s">
        <v>26</v>
      </c>
      <c r="K1471" s="264" t="s">
        <v>4714</v>
      </c>
      <c r="L1471" s="264" t="s">
        <v>179</v>
      </c>
      <c r="M1471" s="137" t="s">
        <v>804</v>
      </c>
      <c r="N1471" s="197"/>
      <c r="O1471" s="805" t="s">
        <v>5024</v>
      </c>
      <c r="P1471" s="794" t="s">
        <v>5025</v>
      </c>
      <c r="Q1471" s="15" t="s">
        <v>35</v>
      </c>
      <c r="R1471" s="231">
        <v>43738</v>
      </c>
      <c r="S1471" s="16" t="s">
        <v>35</v>
      </c>
      <c r="T1471" s="232">
        <v>44077</v>
      </c>
      <c r="U1471" s="776"/>
      <c r="V1471" s="776"/>
      <c r="W1471" s="242">
        <v>133000000</v>
      </c>
      <c r="X1471" s="185">
        <v>133000000</v>
      </c>
      <c r="Y1471" s="294">
        <v>-448224</v>
      </c>
      <c r="Z1471" s="7">
        <f t="shared" si="80"/>
        <v>132551776</v>
      </c>
      <c r="AA1471" s="300">
        <v>44464</v>
      </c>
      <c r="AB1471" s="604" t="s">
        <v>3744</v>
      </c>
      <c r="AC1471" s="163"/>
      <c r="AD1471" s="196">
        <v>1</v>
      </c>
      <c r="AE1471" s="187">
        <v>0</v>
      </c>
      <c r="AF1471" s="210">
        <f t="shared" si="82"/>
        <v>1</v>
      </c>
      <c r="AG1471" s="197">
        <v>8</v>
      </c>
      <c r="AH1471" s="197" t="s">
        <v>4721</v>
      </c>
      <c r="AI1471" s="736" t="s">
        <v>5026</v>
      </c>
      <c r="AJ1471" s="197" t="s">
        <v>1188</v>
      </c>
      <c r="AK1471" s="197" t="s">
        <v>1185</v>
      </c>
      <c r="AL1471" s="93" t="s">
        <v>1178</v>
      </c>
    </row>
    <row r="1472" spans="1:38" ht="15" customHeight="1" x14ac:dyDescent="0.3">
      <c r="A1472" s="181" t="s">
        <v>22</v>
      </c>
      <c r="B1472" s="181" t="s">
        <v>1127</v>
      </c>
      <c r="C1472" s="135" t="s">
        <v>2192</v>
      </c>
      <c r="D1472" s="136" t="s">
        <v>190</v>
      </c>
      <c r="E1472" s="168">
        <v>42677</v>
      </c>
      <c r="F1472" s="136">
        <v>2016</v>
      </c>
      <c r="G1472" s="178" t="s">
        <v>3604</v>
      </c>
      <c r="H1472" s="178"/>
      <c r="I1472" s="30" t="s">
        <v>38</v>
      </c>
      <c r="J1472" s="32" t="s">
        <v>26</v>
      </c>
      <c r="K1472" s="197" t="s">
        <v>4803</v>
      </c>
      <c r="L1472" s="197" t="s">
        <v>133</v>
      </c>
      <c r="M1472" s="137" t="s">
        <v>804</v>
      </c>
      <c r="N1472" s="197"/>
      <c r="O1472" s="783" t="s">
        <v>5027</v>
      </c>
      <c r="P1472" s="794" t="s">
        <v>5028</v>
      </c>
      <c r="Q1472" s="15" t="s">
        <v>35</v>
      </c>
      <c r="R1472" s="231">
        <v>42809</v>
      </c>
      <c r="S1472" s="16" t="s">
        <v>35</v>
      </c>
      <c r="T1472" s="268">
        <v>44077</v>
      </c>
      <c r="U1472" s="803"/>
      <c r="V1472" s="803"/>
      <c r="W1472" s="242">
        <v>201000000</v>
      </c>
      <c r="X1472" s="240">
        <v>201000000</v>
      </c>
      <c r="Y1472" s="294">
        <v>-59065692</v>
      </c>
      <c r="Z1472" s="7">
        <f t="shared" si="80"/>
        <v>141934308</v>
      </c>
      <c r="AA1472" s="192">
        <v>44316</v>
      </c>
      <c r="AB1472" s="604" t="s">
        <v>3744</v>
      </c>
      <c r="AC1472" s="163"/>
      <c r="AD1472" s="258">
        <v>1</v>
      </c>
      <c r="AE1472" s="187">
        <v>0</v>
      </c>
      <c r="AF1472" s="205">
        <f t="shared" si="82"/>
        <v>1</v>
      </c>
      <c r="AG1472" s="181">
        <v>8</v>
      </c>
      <c r="AH1472" s="138" t="s">
        <v>2509</v>
      </c>
      <c r="AI1472" s="181"/>
      <c r="AJ1472" s="197" t="s">
        <v>1188</v>
      </c>
      <c r="AK1472" s="197" t="s">
        <v>1185</v>
      </c>
      <c r="AL1472" s="138" t="s">
        <v>1178</v>
      </c>
    </row>
    <row r="1473" spans="1:38" ht="15" customHeight="1" x14ac:dyDescent="0.3">
      <c r="A1473" s="248" t="s">
        <v>140</v>
      </c>
      <c r="B1473" s="301" t="s">
        <v>819</v>
      </c>
      <c r="C1473" s="245">
        <v>2</v>
      </c>
      <c r="D1473" s="11" t="s">
        <v>225</v>
      </c>
      <c r="E1473" s="247">
        <v>44104</v>
      </c>
      <c r="F1473" s="246">
        <v>2020</v>
      </c>
      <c r="G1473" s="247" t="s">
        <v>115</v>
      </c>
      <c r="H1473" s="247" t="s">
        <v>5029</v>
      </c>
      <c r="I1473" s="245" t="s">
        <v>38</v>
      </c>
      <c r="J1473" s="245" t="s">
        <v>81</v>
      </c>
      <c r="K1473" s="264" t="s">
        <v>163</v>
      </c>
      <c r="L1473" s="264" t="s">
        <v>28</v>
      </c>
      <c r="M1473" s="264" t="s">
        <v>42</v>
      </c>
      <c r="N1473" s="553" t="s">
        <v>122</v>
      </c>
      <c r="O1473" s="805" t="s">
        <v>5030</v>
      </c>
      <c r="P1473" s="827" t="s">
        <v>5031</v>
      </c>
      <c r="Q1473" s="15" t="s">
        <v>282</v>
      </c>
      <c r="R1473" s="218">
        <v>44239</v>
      </c>
      <c r="S1473" s="649"/>
      <c r="T1473" s="241"/>
      <c r="U1473" s="776"/>
      <c r="V1473" s="776"/>
      <c r="W1473" s="242">
        <v>4000000</v>
      </c>
      <c r="X1473" s="185">
        <v>0</v>
      </c>
      <c r="Y1473" s="201">
        <f>IF(AE1473="","",W1473*AE1473)</f>
        <v>0</v>
      </c>
      <c r="Z1473" s="7">
        <f t="shared" si="80"/>
        <v>0</v>
      </c>
      <c r="AA1473" s="233"/>
      <c r="AB1473" s="503" t="s">
        <v>3960</v>
      </c>
      <c r="AC1473" s="222"/>
      <c r="AD1473" s="196"/>
      <c r="AE1473" s="187">
        <v>0</v>
      </c>
      <c r="AF1473" s="210">
        <f t="shared" si="82"/>
        <v>0</v>
      </c>
      <c r="AG1473" s="197">
        <v>10</v>
      </c>
      <c r="AH1473" s="264" t="s">
        <v>5015</v>
      </c>
      <c r="AI1473" s="197"/>
      <c r="AJ1473" s="197" t="s">
        <v>1188</v>
      </c>
      <c r="AK1473" s="197" t="s">
        <v>1177</v>
      </c>
      <c r="AL1473" s="93" t="s">
        <v>1178</v>
      </c>
    </row>
    <row r="1474" spans="1:38" ht="15" customHeight="1" x14ac:dyDescent="0.3">
      <c r="A1474" s="248" t="s">
        <v>22</v>
      </c>
      <c r="B1474" s="181" t="s">
        <v>23</v>
      </c>
      <c r="C1474" s="138">
        <v>19</v>
      </c>
      <c r="D1474" s="11" t="s">
        <v>24</v>
      </c>
      <c r="E1474" s="192">
        <v>43721</v>
      </c>
      <c r="F1474" s="181">
        <v>2019</v>
      </c>
      <c r="G1474" s="181" t="s">
        <v>5033</v>
      </c>
      <c r="H1474" s="217" t="s">
        <v>5034</v>
      </c>
      <c r="I1474" s="30" t="s">
        <v>38</v>
      </c>
      <c r="J1474" s="32" t="s">
        <v>26</v>
      </c>
      <c r="K1474" s="197" t="s">
        <v>50</v>
      </c>
      <c r="L1474" s="765" t="s">
        <v>72</v>
      </c>
      <c r="M1474" s="137" t="s">
        <v>804</v>
      </c>
      <c r="N1474" s="279"/>
      <c r="O1474" s="197" t="s">
        <v>5035</v>
      </c>
      <c r="P1474" s="815" t="s">
        <v>5036</v>
      </c>
      <c r="Q1474" s="220" t="s">
        <v>92</v>
      </c>
      <c r="R1474" s="164"/>
      <c r="S1474" s="139"/>
      <c r="T1474" s="165"/>
      <c r="U1474" s="624"/>
      <c r="V1474" s="624"/>
      <c r="W1474" s="239">
        <v>56000000</v>
      </c>
      <c r="X1474" s="240">
        <v>-35000000</v>
      </c>
      <c r="Y1474" s="201">
        <f>IF(AE1474="","",W1474*AE1474)</f>
        <v>56000000</v>
      </c>
      <c r="Z1474" s="296">
        <f t="shared" si="80"/>
        <v>21000000</v>
      </c>
      <c r="AA1474" s="192">
        <v>44284</v>
      </c>
      <c r="AB1474" s="479" t="s">
        <v>49</v>
      </c>
      <c r="AC1474" s="480"/>
      <c r="AD1474" s="258"/>
      <c r="AE1474" s="187">
        <v>1</v>
      </c>
      <c r="AF1474" s="205">
        <f t="shared" si="82"/>
        <v>1</v>
      </c>
      <c r="AG1474" s="279">
        <v>8</v>
      </c>
      <c r="AH1474" s="279" t="s">
        <v>4897</v>
      </c>
      <c r="AI1474" s="197"/>
      <c r="AJ1474" s="279" t="s">
        <v>1188</v>
      </c>
      <c r="AK1474" s="30" t="s">
        <v>1177</v>
      </c>
      <c r="AL1474" s="93" t="s">
        <v>1178</v>
      </c>
    </row>
    <row r="1475" spans="1:38" ht="15" customHeight="1" x14ac:dyDescent="0.3">
      <c r="A1475" s="248" t="s">
        <v>140</v>
      </c>
      <c r="B1475" s="261" t="s">
        <v>5021</v>
      </c>
      <c r="C1475" s="245" t="s">
        <v>196</v>
      </c>
      <c r="D1475" s="246" t="s">
        <v>190</v>
      </c>
      <c r="E1475" s="247">
        <v>44036</v>
      </c>
      <c r="F1475" s="246">
        <v>2020</v>
      </c>
      <c r="G1475" s="247" t="s">
        <v>5037</v>
      </c>
      <c r="H1475" s="247" t="s">
        <v>5038</v>
      </c>
      <c r="I1475" s="30" t="s">
        <v>38</v>
      </c>
      <c r="J1475" s="245" t="s">
        <v>81</v>
      </c>
      <c r="K1475" s="264" t="s">
        <v>163</v>
      </c>
      <c r="L1475" s="264" t="s">
        <v>28</v>
      </c>
      <c r="M1475" s="137" t="s">
        <v>804</v>
      </c>
      <c r="N1475" s="553" t="s">
        <v>122</v>
      </c>
      <c r="O1475" s="805" t="s">
        <v>5039</v>
      </c>
      <c r="P1475" s="827" t="s">
        <v>5040</v>
      </c>
      <c r="Q1475" s="15" t="s">
        <v>282</v>
      </c>
      <c r="R1475" s="231">
        <v>44118</v>
      </c>
      <c r="S1475" s="16" t="s">
        <v>35</v>
      </c>
      <c r="T1475" s="268"/>
      <c r="U1475" s="803"/>
      <c r="V1475" s="803"/>
      <c r="W1475" s="242">
        <v>10000000</v>
      </c>
      <c r="X1475" s="240">
        <v>-1755606</v>
      </c>
      <c r="Y1475" s="201">
        <f>IF(AE1475="","",W1475*AE1475)</f>
        <v>10000000</v>
      </c>
      <c r="Z1475" s="7">
        <f t="shared" si="80"/>
        <v>8244394</v>
      </c>
      <c r="AA1475" s="192">
        <v>44284</v>
      </c>
      <c r="AB1475" s="503" t="s">
        <v>3960</v>
      </c>
      <c r="AC1475" s="222"/>
      <c r="AD1475" s="258"/>
      <c r="AE1475" s="195">
        <v>1</v>
      </c>
      <c r="AF1475" s="205">
        <f t="shared" si="82"/>
        <v>1</v>
      </c>
      <c r="AG1475" s="181">
        <v>10</v>
      </c>
      <c r="AH1475" s="264" t="s">
        <v>59</v>
      </c>
      <c r="AI1475" s="138"/>
      <c r="AJ1475" s="138" t="s">
        <v>1188</v>
      </c>
      <c r="AK1475" s="138" t="s">
        <v>1177</v>
      </c>
      <c r="AL1475" s="146" t="s">
        <v>1178</v>
      </c>
    </row>
    <row r="1476" spans="1:38" ht="15" customHeight="1" x14ac:dyDescent="0.3">
      <c r="A1476" s="30" t="s">
        <v>22</v>
      </c>
      <c r="B1476" s="120" t="s">
        <v>144</v>
      </c>
      <c r="C1476" s="107">
        <v>4</v>
      </c>
      <c r="D1476" s="11" t="s">
        <v>143</v>
      </c>
      <c r="E1476" s="114">
        <v>42591</v>
      </c>
      <c r="F1476" s="142">
        <v>2016</v>
      </c>
      <c r="G1476" s="142" t="s">
        <v>5042</v>
      </c>
      <c r="H1476" s="162" t="s">
        <v>5043</v>
      </c>
      <c r="I1476" s="30" t="s">
        <v>38</v>
      </c>
      <c r="J1476" s="32" t="s">
        <v>26</v>
      </c>
      <c r="K1476" s="197" t="s">
        <v>50</v>
      </c>
      <c r="L1476" s="197" t="s">
        <v>4970</v>
      </c>
      <c r="M1476" s="137" t="s">
        <v>804</v>
      </c>
      <c r="N1476" s="197"/>
      <c r="O1476" s="197" t="s">
        <v>5044</v>
      </c>
      <c r="P1476" s="736" t="s">
        <v>5045</v>
      </c>
      <c r="Q1476" s="15" t="s">
        <v>35</v>
      </c>
      <c r="R1476" s="179">
        <v>42969</v>
      </c>
      <c r="S1476" s="16" t="s">
        <v>35</v>
      </c>
      <c r="T1476" s="191">
        <v>43347</v>
      </c>
      <c r="U1476" s="707"/>
      <c r="V1476" s="707"/>
      <c r="W1476" s="260">
        <v>50000000</v>
      </c>
      <c r="X1476" s="253">
        <v>35544931</v>
      </c>
      <c r="Y1476" s="201">
        <v>-1405406</v>
      </c>
      <c r="Z1476" s="7">
        <f t="shared" si="80"/>
        <v>34139525</v>
      </c>
      <c r="AA1476" s="192">
        <v>44260</v>
      </c>
      <c r="AB1476" s="504" t="s">
        <v>147</v>
      </c>
      <c r="AC1476" s="138"/>
      <c r="AD1476" s="187">
        <v>1</v>
      </c>
      <c r="AE1476" s="187">
        <v>0</v>
      </c>
      <c r="AF1476" s="205">
        <f t="shared" si="82"/>
        <v>1</v>
      </c>
      <c r="AG1476" s="88">
        <v>8</v>
      </c>
      <c r="AH1476" s="200" t="s">
        <v>45</v>
      </c>
      <c r="AI1476" s="719" t="s">
        <v>5047</v>
      </c>
      <c r="AJ1476" s="146" t="s">
        <v>1188</v>
      </c>
      <c r="AK1476" s="30" t="s">
        <v>99</v>
      </c>
      <c r="AL1476" s="146" t="s">
        <v>1178</v>
      </c>
    </row>
    <row r="1477" spans="1:38" ht="15" customHeight="1" x14ac:dyDescent="0.3">
      <c r="A1477" s="181" t="s">
        <v>22</v>
      </c>
      <c r="B1477" s="181" t="s">
        <v>39</v>
      </c>
      <c r="C1477" s="184">
        <v>1</v>
      </c>
      <c r="D1477" s="11" t="s">
        <v>24</v>
      </c>
      <c r="E1477" s="192">
        <v>43488</v>
      </c>
      <c r="F1477" s="181">
        <v>2019</v>
      </c>
      <c r="G1477" s="181" t="s">
        <v>5048</v>
      </c>
      <c r="H1477" s="217" t="s">
        <v>5049</v>
      </c>
      <c r="I1477" s="33" t="s">
        <v>33</v>
      </c>
      <c r="J1477" s="32" t="s">
        <v>26</v>
      </c>
      <c r="K1477" s="197" t="s">
        <v>3979</v>
      </c>
      <c r="L1477" s="138" t="s">
        <v>34</v>
      </c>
      <c r="M1477" s="137" t="s">
        <v>804</v>
      </c>
      <c r="N1477" s="279"/>
      <c r="O1477" s="197" t="s">
        <v>5050</v>
      </c>
      <c r="P1477" s="815" t="s">
        <v>5051</v>
      </c>
      <c r="Q1477" s="15" t="s">
        <v>35</v>
      </c>
      <c r="R1477" s="164">
        <v>43760</v>
      </c>
      <c r="S1477" s="16" t="s">
        <v>35</v>
      </c>
      <c r="T1477" s="165">
        <v>43872</v>
      </c>
      <c r="U1477" s="624"/>
      <c r="V1477" s="624"/>
      <c r="W1477" s="239">
        <v>150000000</v>
      </c>
      <c r="X1477" s="240">
        <v>150000000</v>
      </c>
      <c r="Y1477" s="294">
        <f>-53923589-4371644</f>
        <v>-58295233</v>
      </c>
      <c r="Z1477" s="7">
        <f t="shared" si="80"/>
        <v>91704767</v>
      </c>
      <c r="AA1477" s="192">
        <v>44436</v>
      </c>
      <c r="AB1477" s="762" t="s">
        <v>3077</v>
      </c>
      <c r="AC1477" s="652"/>
      <c r="AD1477" s="258">
        <v>1</v>
      </c>
      <c r="AE1477" s="187">
        <v>0</v>
      </c>
      <c r="AF1477" s="205">
        <f t="shared" si="82"/>
        <v>1</v>
      </c>
      <c r="AG1477" s="279">
        <v>8</v>
      </c>
      <c r="AH1477" s="279" t="s">
        <v>5032</v>
      </c>
      <c r="AI1477" s="718" t="s">
        <v>5053</v>
      </c>
      <c r="AJ1477" s="279" t="s">
        <v>1188</v>
      </c>
      <c r="AK1477" s="30" t="s">
        <v>1185</v>
      </c>
      <c r="AL1477" s="93" t="s">
        <v>1178</v>
      </c>
    </row>
    <row r="1478" spans="1:38" ht="15" customHeight="1" x14ac:dyDescent="0.3">
      <c r="A1478" s="181" t="s">
        <v>22</v>
      </c>
      <c r="B1478" s="145" t="s">
        <v>105</v>
      </c>
      <c r="C1478" s="135">
        <v>15</v>
      </c>
      <c r="D1478" s="11" t="s">
        <v>5936</v>
      </c>
      <c r="E1478" s="168">
        <v>43661</v>
      </c>
      <c r="F1478" s="136">
        <v>2019</v>
      </c>
      <c r="G1478" s="168" t="s">
        <v>5054</v>
      </c>
      <c r="H1478" s="168" t="s">
        <v>5055</v>
      </c>
      <c r="I1478" s="30" t="s">
        <v>38</v>
      </c>
      <c r="J1478" s="32" t="s">
        <v>26</v>
      </c>
      <c r="K1478" s="197" t="s">
        <v>113</v>
      </c>
      <c r="L1478" s="197" t="s">
        <v>28</v>
      </c>
      <c r="M1478" s="137" t="s">
        <v>804</v>
      </c>
      <c r="N1478" s="828"/>
      <c r="O1478" s="783" t="s">
        <v>5056</v>
      </c>
      <c r="P1478" s="826" t="s">
        <v>5057</v>
      </c>
      <c r="Q1478" s="220" t="s">
        <v>92</v>
      </c>
      <c r="R1478" s="218">
        <v>44313</v>
      </c>
      <c r="S1478" s="400"/>
      <c r="T1478" s="133"/>
      <c r="U1478" s="623"/>
      <c r="V1478" s="624"/>
      <c r="W1478" s="242">
        <v>200000000</v>
      </c>
      <c r="X1478" s="243">
        <v>200000000</v>
      </c>
      <c r="Y1478" s="294">
        <v>-100000000</v>
      </c>
      <c r="Z1478" s="7">
        <f t="shared" si="80"/>
        <v>100000000</v>
      </c>
      <c r="AA1478" s="229"/>
      <c r="AB1478" s="564" t="s">
        <v>1073</v>
      </c>
      <c r="AC1478" s="693"/>
      <c r="AD1478" s="196"/>
      <c r="AE1478" s="187">
        <v>1</v>
      </c>
      <c r="AF1478" s="205">
        <f t="shared" si="82"/>
        <v>1</v>
      </c>
      <c r="AG1478" s="138">
        <v>8</v>
      </c>
      <c r="AH1478" s="264" t="s">
        <v>6158</v>
      </c>
      <c r="AI1478" s="138"/>
      <c r="AJ1478" s="138" t="s">
        <v>1188</v>
      </c>
      <c r="AK1478" s="181" t="s">
        <v>1177</v>
      </c>
      <c r="AL1478" s="138" t="s">
        <v>1178</v>
      </c>
    </row>
    <row r="1479" spans="1:38" ht="15" customHeight="1" x14ac:dyDescent="0.3">
      <c r="A1479" s="181" t="s">
        <v>22</v>
      </c>
      <c r="B1479" s="145" t="s">
        <v>193</v>
      </c>
      <c r="C1479" s="135">
        <v>3</v>
      </c>
      <c r="D1479" s="136" t="s">
        <v>190</v>
      </c>
      <c r="E1479" s="168">
        <v>42122</v>
      </c>
      <c r="F1479" s="136">
        <v>2015</v>
      </c>
      <c r="G1479" s="178" t="s">
        <v>5058</v>
      </c>
      <c r="H1479" s="178" t="s">
        <v>5059</v>
      </c>
      <c r="I1479" s="30" t="s">
        <v>38</v>
      </c>
      <c r="J1479" s="32" t="s">
        <v>26</v>
      </c>
      <c r="K1479" s="137" t="s">
        <v>3979</v>
      </c>
      <c r="L1479" s="197" t="s">
        <v>85</v>
      </c>
      <c r="M1479" s="137" t="s">
        <v>804</v>
      </c>
      <c r="N1479" s="197"/>
      <c r="O1479" s="197" t="s">
        <v>5060</v>
      </c>
      <c r="P1479" s="797" t="s">
        <v>5061</v>
      </c>
      <c r="Q1479" s="15" t="s">
        <v>35</v>
      </c>
      <c r="R1479" s="132">
        <v>42429</v>
      </c>
      <c r="S1479" s="16" t="s">
        <v>35</v>
      </c>
      <c r="T1479" s="133">
        <v>43355</v>
      </c>
      <c r="U1479" s="802"/>
      <c r="V1479" s="624"/>
      <c r="W1479" s="242">
        <v>60000000</v>
      </c>
      <c r="X1479" s="295">
        <v>55109379</v>
      </c>
      <c r="Y1479" s="294">
        <v>-55109379</v>
      </c>
      <c r="Z1479" s="7">
        <f t="shared" si="80"/>
        <v>0</v>
      </c>
      <c r="AA1479" s="192">
        <v>44407</v>
      </c>
      <c r="AB1479" s="604" t="s">
        <v>3982</v>
      </c>
      <c r="AC1479" s="163"/>
      <c r="AD1479" s="196">
        <v>1</v>
      </c>
      <c r="AE1479" s="187">
        <v>0</v>
      </c>
      <c r="AF1479" s="205">
        <f t="shared" si="82"/>
        <v>1</v>
      </c>
      <c r="AG1479" s="138">
        <v>8</v>
      </c>
      <c r="AH1479" s="197" t="s">
        <v>5041</v>
      </c>
      <c r="AI1479" s="718" t="s">
        <v>5062</v>
      </c>
      <c r="AJ1479" s="138" t="s">
        <v>1188</v>
      </c>
      <c r="AK1479" s="30" t="s">
        <v>99</v>
      </c>
      <c r="AL1479" s="138" t="s">
        <v>1178</v>
      </c>
    </row>
    <row r="1480" spans="1:38" ht="15" customHeight="1" x14ac:dyDescent="0.3">
      <c r="A1480" s="181" t="s">
        <v>22</v>
      </c>
      <c r="B1480" s="255" t="s">
        <v>197</v>
      </c>
      <c r="C1480" s="135">
        <v>2</v>
      </c>
      <c r="D1480" s="136" t="s">
        <v>190</v>
      </c>
      <c r="E1480" s="168">
        <v>42816</v>
      </c>
      <c r="F1480" s="136">
        <v>2017</v>
      </c>
      <c r="G1480" s="178" t="s">
        <v>5063</v>
      </c>
      <c r="H1480" s="178" t="s">
        <v>5064</v>
      </c>
      <c r="I1480" s="30" t="s">
        <v>38</v>
      </c>
      <c r="J1480" s="181" t="s">
        <v>81</v>
      </c>
      <c r="K1480" s="197" t="s">
        <v>111</v>
      </c>
      <c r="L1480" s="197" t="s">
        <v>137</v>
      </c>
      <c r="M1480" s="137" t="s">
        <v>804</v>
      </c>
      <c r="N1480" s="197"/>
      <c r="O1480" s="783" t="s">
        <v>5065</v>
      </c>
      <c r="P1480" s="794" t="s">
        <v>5066</v>
      </c>
      <c r="Q1480" s="15" t="s">
        <v>35</v>
      </c>
      <c r="R1480" s="231">
        <v>43606</v>
      </c>
      <c r="S1480" s="272"/>
      <c r="T1480" s="268"/>
      <c r="U1480" s="803"/>
      <c r="V1480" s="803"/>
      <c r="W1480" s="242">
        <v>42000000</v>
      </c>
      <c r="X1480" s="240">
        <v>42000000</v>
      </c>
      <c r="Y1480" s="294">
        <v>-33835581</v>
      </c>
      <c r="Z1480" s="7">
        <f t="shared" si="80"/>
        <v>8164419</v>
      </c>
      <c r="AA1480" s="192">
        <v>44402</v>
      </c>
      <c r="AB1480" s="564" t="s">
        <v>2595</v>
      </c>
      <c r="AC1480" s="693"/>
      <c r="AD1480" s="258">
        <v>1</v>
      </c>
      <c r="AE1480" s="187">
        <v>0</v>
      </c>
      <c r="AF1480" s="205">
        <f t="shared" si="82"/>
        <v>1</v>
      </c>
      <c r="AG1480" s="181">
        <v>8</v>
      </c>
      <c r="AH1480" s="181" t="s">
        <v>5046</v>
      </c>
      <c r="AI1480" s="138"/>
      <c r="AJ1480" s="197" t="s">
        <v>1188</v>
      </c>
      <c r="AK1480" s="197" t="s">
        <v>1185</v>
      </c>
      <c r="AL1480" s="138" t="s">
        <v>1178</v>
      </c>
    </row>
    <row r="1481" spans="1:38" ht="15" customHeight="1" x14ac:dyDescent="0.3">
      <c r="A1481" s="181" t="s">
        <v>140</v>
      </c>
      <c r="B1481" s="153" t="s">
        <v>148</v>
      </c>
      <c r="C1481" s="135">
        <v>4</v>
      </c>
      <c r="D1481" s="11" t="s">
        <v>143</v>
      </c>
      <c r="E1481" s="168">
        <v>43256</v>
      </c>
      <c r="F1481" s="136">
        <v>2018</v>
      </c>
      <c r="G1481" s="178" t="s">
        <v>5067</v>
      </c>
      <c r="H1481" s="204" t="s">
        <v>5068</v>
      </c>
      <c r="I1481" s="30" t="s">
        <v>38</v>
      </c>
      <c r="J1481" s="32" t="s">
        <v>26</v>
      </c>
      <c r="K1481" s="197" t="s">
        <v>113</v>
      </c>
      <c r="L1481" s="197" t="s">
        <v>28</v>
      </c>
      <c r="M1481" s="137" t="s">
        <v>804</v>
      </c>
      <c r="N1481" s="553" t="s">
        <v>122</v>
      </c>
      <c r="O1481" s="783" t="s">
        <v>5069</v>
      </c>
      <c r="P1481" s="197" t="s">
        <v>5070</v>
      </c>
      <c r="Q1481" s="15" t="s">
        <v>35</v>
      </c>
      <c r="R1481" s="179">
        <v>43903</v>
      </c>
      <c r="S1481" s="16" t="s">
        <v>35</v>
      </c>
      <c r="T1481" s="191">
        <v>44076</v>
      </c>
      <c r="U1481" s="707"/>
      <c r="V1481" s="721"/>
      <c r="W1481" s="269">
        <v>5000000</v>
      </c>
      <c r="X1481" s="216">
        <v>8523679</v>
      </c>
      <c r="Y1481" s="294">
        <v>-7873187</v>
      </c>
      <c r="Z1481" s="7">
        <f t="shared" si="80"/>
        <v>650492</v>
      </c>
      <c r="AA1481" s="212">
        <v>44423</v>
      </c>
      <c r="AB1481" s="503" t="s">
        <v>98</v>
      </c>
      <c r="AC1481" s="222"/>
      <c r="AD1481" s="187">
        <v>1</v>
      </c>
      <c r="AE1481" s="187">
        <v>0</v>
      </c>
      <c r="AF1481" s="205">
        <f t="shared" si="82"/>
        <v>1</v>
      </c>
      <c r="AG1481" s="88">
        <v>8</v>
      </c>
      <c r="AH1481" s="197" t="s">
        <v>5052</v>
      </c>
      <c r="AI1481" s="719" t="s">
        <v>4665</v>
      </c>
      <c r="AJ1481" s="146" t="s">
        <v>1188</v>
      </c>
      <c r="AK1481" s="30" t="s">
        <v>1177</v>
      </c>
      <c r="AL1481" s="146" t="s">
        <v>1178</v>
      </c>
    </row>
    <row r="1482" spans="1:38" ht="15" customHeight="1" x14ac:dyDescent="0.3">
      <c r="A1482" s="181" t="s">
        <v>22</v>
      </c>
      <c r="B1482" s="181" t="s">
        <v>23</v>
      </c>
      <c r="C1482" s="184">
        <v>19</v>
      </c>
      <c r="D1482" s="11" t="s">
        <v>24</v>
      </c>
      <c r="E1482" s="192">
        <v>42709</v>
      </c>
      <c r="F1482" s="181">
        <v>2016</v>
      </c>
      <c r="G1482" s="181" t="s">
        <v>5072</v>
      </c>
      <c r="H1482" s="217" t="s">
        <v>5073</v>
      </c>
      <c r="I1482" s="33" t="s">
        <v>33</v>
      </c>
      <c r="J1482" s="32" t="s">
        <v>26</v>
      </c>
      <c r="K1482" s="197" t="s">
        <v>3979</v>
      </c>
      <c r="L1482" s="138" t="s">
        <v>34</v>
      </c>
      <c r="M1482" s="137" t="s">
        <v>804</v>
      </c>
      <c r="N1482" s="799"/>
      <c r="O1482" s="146" t="s">
        <v>5074</v>
      </c>
      <c r="P1482" s="800" t="s">
        <v>5075</v>
      </c>
      <c r="Q1482" s="15" t="s">
        <v>35</v>
      </c>
      <c r="R1482" s="132">
        <v>42962</v>
      </c>
      <c r="S1482" s="92"/>
      <c r="T1482" s="165"/>
      <c r="U1482" s="624"/>
      <c r="V1482" s="624"/>
      <c r="W1482" s="239">
        <v>50000000</v>
      </c>
      <c r="X1482" s="240">
        <v>50000000</v>
      </c>
      <c r="Y1482" s="201">
        <f>-3221529 -20344095</f>
        <v>-23565624</v>
      </c>
      <c r="Z1482" s="7">
        <f t="shared" si="80"/>
        <v>26434376</v>
      </c>
      <c r="AA1482" s="192">
        <v>44402</v>
      </c>
      <c r="AB1482" s="762" t="s">
        <v>3077</v>
      </c>
      <c r="AC1482" s="652"/>
      <c r="AD1482" s="258">
        <v>1</v>
      </c>
      <c r="AE1482" s="187">
        <v>0</v>
      </c>
      <c r="AF1482" s="205">
        <f t="shared" si="82"/>
        <v>1</v>
      </c>
      <c r="AG1482" s="181">
        <v>8</v>
      </c>
      <c r="AH1482" s="181" t="s">
        <v>37</v>
      </c>
      <c r="AI1482" s="184"/>
      <c r="AJ1482" s="181" t="s">
        <v>1188</v>
      </c>
      <c r="AK1482" s="30" t="s">
        <v>1185</v>
      </c>
      <c r="AL1482" s="93" t="s">
        <v>1178</v>
      </c>
    </row>
    <row r="1483" spans="1:38" ht="15" customHeight="1" x14ac:dyDescent="0.3">
      <c r="A1483" s="248" t="s">
        <v>140</v>
      </c>
      <c r="B1483" s="145" t="s">
        <v>105</v>
      </c>
      <c r="C1483" s="135">
        <v>23</v>
      </c>
      <c r="D1483" s="11" t="s">
        <v>5936</v>
      </c>
      <c r="E1483" s="247">
        <v>44020</v>
      </c>
      <c r="F1483" s="246">
        <v>2020</v>
      </c>
      <c r="G1483" s="247" t="s">
        <v>5076</v>
      </c>
      <c r="H1483" s="247" t="s">
        <v>5077</v>
      </c>
      <c r="I1483" s="245" t="s">
        <v>38</v>
      </c>
      <c r="J1483" s="245" t="s">
        <v>81</v>
      </c>
      <c r="K1483" s="264" t="s">
        <v>163</v>
      </c>
      <c r="L1483" s="264" t="s">
        <v>28</v>
      </c>
      <c r="M1483" s="264" t="s">
        <v>42</v>
      </c>
      <c r="N1483" s="553" t="s">
        <v>122</v>
      </c>
      <c r="O1483" s="805" t="s">
        <v>5078</v>
      </c>
      <c r="P1483" s="827" t="s">
        <v>5079</v>
      </c>
      <c r="Q1483" s="15" t="s">
        <v>282</v>
      </c>
      <c r="R1483" s="218">
        <v>44125</v>
      </c>
      <c r="S1483" s="16" t="s">
        <v>44</v>
      </c>
      <c r="T1483" s="133">
        <v>44221</v>
      </c>
      <c r="U1483" s="623"/>
      <c r="V1483" s="624"/>
      <c r="W1483" s="242">
        <v>5000000</v>
      </c>
      <c r="X1483" s="243"/>
      <c r="Y1483" s="201">
        <f>IF(AE1483="","",W1483*AE1483)</f>
        <v>0</v>
      </c>
      <c r="Z1483" s="7">
        <f t="shared" si="80"/>
        <v>0</v>
      </c>
      <c r="AA1483" s="229"/>
      <c r="AB1483" s="804" t="s">
        <v>52</v>
      </c>
      <c r="AC1483" s="264"/>
      <c r="AD1483" s="196"/>
      <c r="AE1483" s="187">
        <v>0</v>
      </c>
      <c r="AF1483" s="205"/>
      <c r="AG1483" s="138">
        <v>8</v>
      </c>
      <c r="AH1483" s="264" t="s">
        <v>6158</v>
      </c>
      <c r="AI1483" s="138"/>
      <c r="AJ1483" s="138" t="s">
        <v>1188</v>
      </c>
      <c r="AK1483" s="181" t="s">
        <v>1177</v>
      </c>
      <c r="AL1483" s="138" t="s">
        <v>1178</v>
      </c>
    </row>
    <row r="1484" spans="1:38" ht="15" customHeight="1" x14ac:dyDescent="0.3">
      <c r="A1484" s="181" t="s">
        <v>160</v>
      </c>
      <c r="B1484" s="265" t="s">
        <v>197</v>
      </c>
      <c r="C1484" s="107">
        <v>5</v>
      </c>
      <c r="D1484" s="12" t="s">
        <v>190</v>
      </c>
      <c r="E1484" s="302">
        <v>43432</v>
      </c>
      <c r="F1484" s="12">
        <v>2018</v>
      </c>
      <c r="G1484" s="138" t="s">
        <v>5080</v>
      </c>
      <c r="H1484" s="138" t="s">
        <v>5081</v>
      </c>
      <c r="I1484" s="33" t="s">
        <v>33</v>
      </c>
      <c r="J1484" s="32" t="s">
        <v>26</v>
      </c>
      <c r="K1484" s="264" t="s">
        <v>70</v>
      </c>
      <c r="L1484" s="264" t="s">
        <v>28</v>
      </c>
      <c r="M1484" s="310" t="s">
        <v>42</v>
      </c>
      <c r="N1484" s="310"/>
      <c r="O1484" s="138" t="s">
        <v>5082</v>
      </c>
      <c r="P1484" s="138" t="s">
        <v>5083</v>
      </c>
      <c r="Q1484" s="15" t="s">
        <v>282</v>
      </c>
      <c r="R1484" s="218">
        <v>43621</v>
      </c>
      <c r="S1484" s="16" t="s">
        <v>44</v>
      </c>
      <c r="T1484" s="133">
        <v>44435</v>
      </c>
      <c r="U1484" s="623"/>
      <c r="V1484" s="624"/>
      <c r="W1484" s="242">
        <v>100000000</v>
      </c>
      <c r="X1484" s="243">
        <v>0</v>
      </c>
      <c r="Y1484" s="201">
        <v>0</v>
      </c>
      <c r="Z1484" s="7">
        <f t="shared" si="80"/>
        <v>0</v>
      </c>
      <c r="AA1484" s="229"/>
      <c r="AB1484" s="564" t="s">
        <v>2595</v>
      </c>
      <c r="AC1484" s="693"/>
      <c r="AD1484" s="196">
        <v>0</v>
      </c>
      <c r="AE1484" s="187">
        <v>0</v>
      </c>
      <c r="AF1484" s="205">
        <f t="shared" ref="AF1484:AF1489" si="83">AE1484+AD1484</f>
        <v>0</v>
      </c>
      <c r="AG1484" s="138">
        <v>8</v>
      </c>
      <c r="AH1484" s="197" t="s">
        <v>4955</v>
      </c>
      <c r="AI1484" s="138"/>
      <c r="AJ1484" s="138" t="s">
        <v>1188</v>
      </c>
      <c r="AK1484" s="181" t="s">
        <v>1185</v>
      </c>
      <c r="AL1484" s="138" t="s">
        <v>1178</v>
      </c>
    </row>
    <row r="1485" spans="1:38" ht="15" customHeight="1" x14ac:dyDescent="0.3">
      <c r="A1485" s="181" t="s">
        <v>22</v>
      </c>
      <c r="B1485" s="265" t="s">
        <v>222</v>
      </c>
      <c r="C1485" s="245" t="s">
        <v>240</v>
      </c>
      <c r="D1485" s="246" t="s">
        <v>190</v>
      </c>
      <c r="E1485" s="247">
        <v>43139</v>
      </c>
      <c r="F1485" s="246">
        <v>2017</v>
      </c>
      <c r="G1485" s="792" t="s">
        <v>5085</v>
      </c>
      <c r="H1485" s="792" t="s">
        <v>5086</v>
      </c>
      <c r="I1485" s="246" t="s">
        <v>38</v>
      </c>
      <c r="J1485" s="32" t="s">
        <v>26</v>
      </c>
      <c r="K1485" s="264" t="s">
        <v>5087</v>
      </c>
      <c r="L1485" s="264" t="s">
        <v>28</v>
      </c>
      <c r="M1485" s="264" t="s">
        <v>42</v>
      </c>
      <c r="N1485" s="264"/>
      <c r="O1485" s="805" t="s">
        <v>5088</v>
      </c>
      <c r="P1485" s="794" t="s">
        <v>5089</v>
      </c>
      <c r="Q1485" s="15" t="s">
        <v>282</v>
      </c>
      <c r="R1485" s="231">
        <v>43504</v>
      </c>
      <c r="S1485" s="16" t="s">
        <v>44</v>
      </c>
      <c r="T1485" s="268">
        <v>44169</v>
      </c>
      <c r="U1485" s="803"/>
      <c r="V1485" s="803"/>
      <c r="W1485" s="242">
        <v>276000000</v>
      </c>
      <c r="X1485" s="240">
        <v>0</v>
      </c>
      <c r="Y1485" s="201">
        <f>IF(AE1485="","",W1485*AE1485)</f>
        <v>0</v>
      </c>
      <c r="Z1485" s="7">
        <f t="shared" si="80"/>
        <v>0</v>
      </c>
      <c r="AA1485" s="192"/>
      <c r="AB1485" s="503" t="s">
        <v>3960</v>
      </c>
      <c r="AC1485" s="222"/>
      <c r="AD1485" s="258">
        <v>0</v>
      </c>
      <c r="AE1485" s="187">
        <v>0</v>
      </c>
      <c r="AF1485" s="205">
        <f t="shared" si="83"/>
        <v>0</v>
      </c>
      <c r="AG1485" s="181">
        <v>8</v>
      </c>
      <c r="AH1485" s="264" t="s">
        <v>5071</v>
      </c>
      <c r="AI1485" s="138"/>
      <c r="AJ1485" s="197" t="s">
        <v>1188</v>
      </c>
      <c r="AK1485" s="197" t="s">
        <v>1185</v>
      </c>
      <c r="AL1485" s="138" t="s">
        <v>1178</v>
      </c>
    </row>
    <row r="1486" spans="1:38" ht="15" customHeight="1" x14ac:dyDescent="0.3">
      <c r="A1486" s="181" t="s">
        <v>22</v>
      </c>
      <c r="B1486" s="167" t="s">
        <v>105</v>
      </c>
      <c r="C1486" s="135">
        <v>2</v>
      </c>
      <c r="D1486" s="11" t="s">
        <v>5936</v>
      </c>
      <c r="E1486" s="168">
        <v>42227</v>
      </c>
      <c r="F1486" s="136">
        <v>2015</v>
      </c>
      <c r="G1486" s="178" t="s">
        <v>5091</v>
      </c>
      <c r="H1486" s="204" t="s">
        <v>5092</v>
      </c>
      <c r="I1486" s="33" t="s">
        <v>33</v>
      </c>
      <c r="J1486" s="32" t="s">
        <v>26</v>
      </c>
      <c r="K1486" s="197" t="s">
        <v>5093</v>
      </c>
      <c r="L1486" s="197" t="s">
        <v>28</v>
      </c>
      <c r="M1486" s="197" t="s">
        <v>42</v>
      </c>
      <c r="N1486" s="197"/>
      <c r="O1486" s="197" t="s">
        <v>5094</v>
      </c>
      <c r="P1486" s="736" t="s">
        <v>5095</v>
      </c>
      <c r="Q1486" s="15" t="s">
        <v>282</v>
      </c>
      <c r="R1486" s="218">
        <v>42566</v>
      </c>
      <c r="S1486" s="16" t="s">
        <v>44</v>
      </c>
      <c r="T1486" s="133">
        <v>42585</v>
      </c>
      <c r="U1486" s="802"/>
      <c r="V1486" s="624"/>
      <c r="W1486" s="242">
        <v>20000000</v>
      </c>
      <c r="X1486" s="243">
        <v>0</v>
      </c>
      <c r="Y1486" s="201">
        <f>IF(AE1486="","",W1486*AE1486)</f>
        <v>0</v>
      </c>
      <c r="Z1486" s="7">
        <f t="shared" si="80"/>
        <v>0</v>
      </c>
      <c r="AA1486" s="233"/>
      <c r="AB1486" s="503" t="s">
        <v>3960</v>
      </c>
      <c r="AC1486" s="222"/>
      <c r="AD1486" s="196">
        <v>0</v>
      </c>
      <c r="AE1486" s="187">
        <v>0</v>
      </c>
      <c r="AF1486" s="205">
        <f t="shared" si="83"/>
        <v>0</v>
      </c>
      <c r="AG1486" s="138">
        <v>8</v>
      </c>
      <c r="AH1486" s="138"/>
      <c r="AI1486" s="718" t="s">
        <v>3698</v>
      </c>
      <c r="AJ1486" s="138" t="s">
        <v>1188</v>
      </c>
      <c r="AK1486" s="30" t="s">
        <v>99</v>
      </c>
      <c r="AL1486" s="138" t="s">
        <v>1178</v>
      </c>
    </row>
    <row r="1487" spans="1:38" ht="15" customHeight="1" x14ac:dyDescent="0.3">
      <c r="A1487" s="181" t="s">
        <v>22</v>
      </c>
      <c r="B1487" s="153" t="s">
        <v>212</v>
      </c>
      <c r="C1487" s="135" t="s">
        <v>5098</v>
      </c>
      <c r="D1487" s="136" t="s">
        <v>190</v>
      </c>
      <c r="E1487" s="168">
        <v>42045</v>
      </c>
      <c r="F1487" s="136">
        <v>2015</v>
      </c>
      <c r="G1487" s="178" t="s">
        <v>5099</v>
      </c>
      <c r="H1487" s="204"/>
      <c r="I1487" s="30" t="s">
        <v>38</v>
      </c>
      <c r="J1487" s="32" t="s">
        <v>26</v>
      </c>
      <c r="K1487" s="197" t="s">
        <v>50</v>
      </c>
      <c r="L1487" s="746" t="s">
        <v>3439</v>
      </c>
      <c r="M1487" s="137" t="s">
        <v>804</v>
      </c>
      <c r="N1487" s="197"/>
      <c r="O1487" s="197" t="s">
        <v>5100</v>
      </c>
      <c r="P1487" s="197" t="s">
        <v>5101</v>
      </c>
      <c r="Q1487" s="15" t="s">
        <v>35</v>
      </c>
      <c r="R1487" s="132">
        <v>42299</v>
      </c>
      <c r="S1487" s="16" t="s">
        <v>44</v>
      </c>
      <c r="T1487" s="133">
        <v>44125</v>
      </c>
      <c r="U1487" s="623"/>
      <c r="V1487" s="624"/>
      <c r="W1487" s="242">
        <v>55000000</v>
      </c>
      <c r="X1487" s="243">
        <v>55000000</v>
      </c>
      <c r="Y1487" s="201">
        <f>IF(AE1487="","",W1487*AE1487)</f>
        <v>0</v>
      </c>
      <c r="Z1487" s="7">
        <f t="shared" si="80"/>
        <v>55000000</v>
      </c>
      <c r="AA1487" s="192">
        <v>44515</v>
      </c>
      <c r="AB1487" s="564" t="s">
        <v>2595</v>
      </c>
      <c r="AC1487" s="693"/>
      <c r="AD1487" s="196">
        <v>1</v>
      </c>
      <c r="AE1487" s="187">
        <v>0</v>
      </c>
      <c r="AF1487" s="205">
        <f t="shared" si="83"/>
        <v>1</v>
      </c>
      <c r="AG1487" s="138">
        <v>8</v>
      </c>
      <c r="AH1487" s="138"/>
      <c r="AI1487" s="718" t="s">
        <v>5103</v>
      </c>
      <c r="AJ1487" s="138" t="s">
        <v>1188</v>
      </c>
      <c r="AK1487" s="181" t="s">
        <v>1185</v>
      </c>
      <c r="AL1487" s="138" t="s">
        <v>1178</v>
      </c>
    </row>
    <row r="1488" spans="1:38" ht="15" customHeight="1" x14ac:dyDescent="0.3">
      <c r="A1488" s="181" t="s">
        <v>22</v>
      </c>
      <c r="B1488" s="265" t="s">
        <v>197</v>
      </c>
      <c r="C1488" s="245">
        <v>4</v>
      </c>
      <c r="D1488" s="246" t="s">
        <v>190</v>
      </c>
      <c r="E1488" s="247">
        <v>43025</v>
      </c>
      <c r="F1488" s="246">
        <v>2017</v>
      </c>
      <c r="G1488" s="792" t="s">
        <v>5104</v>
      </c>
      <c r="H1488" s="792" t="s">
        <v>5105</v>
      </c>
      <c r="I1488" s="246" t="s">
        <v>38</v>
      </c>
      <c r="J1488" s="32" t="s">
        <v>26</v>
      </c>
      <c r="K1488" s="264" t="s">
        <v>111</v>
      </c>
      <c r="L1488" s="264" t="s">
        <v>28</v>
      </c>
      <c r="M1488" s="264" t="s">
        <v>42</v>
      </c>
      <c r="N1488" s="264"/>
      <c r="O1488" s="805" t="s">
        <v>5106</v>
      </c>
      <c r="P1488" s="822" t="s">
        <v>5107</v>
      </c>
      <c r="Q1488" s="15" t="s">
        <v>282</v>
      </c>
      <c r="R1488" s="231">
        <v>43663</v>
      </c>
      <c r="S1488" s="16" t="s">
        <v>44</v>
      </c>
      <c r="T1488" s="268">
        <v>44449</v>
      </c>
      <c r="U1488" s="803"/>
      <c r="V1488" s="803"/>
      <c r="W1488" s="242">
        <v>30000000</v>
      </c>
      <c r="X1488" s="240">
        <v>0</v>
      </c>
      <c r="Y1488" s="201">
        <f>IF(AE1488="","",W1488*AE1488)</f>
        <v>0</v>
      </c>
      <c r="Z1488" s="7">
        <f t="shared" si="80"/>
        <v>0</v>
      </c>
      <c r="AA1488" s="192"/>
      <c r="AB1488" s="564" t="s">
        <v>2595</v>
      </c>
      <c r="AC1488" s="693"/>
      <c r="AD1488" s="258">
        <v>0</v>
      </c>
      <c r="AE1488" s="187">
        <v>0</v>
      </c>
      <c r="AF1488" s="205">
        <f t="shared" si="83"/>
        <v>0</v>
      </c>
      <c r="AG1488" s="181">
        <v>8</v>
      </c>
      <c r="AH1488" s="264" t="s">
        <v>5084</v>
      </c>
      <c r="AI1488" s="138"/>
      <c r="AJ1488" s="197" t="s">
        <v>1188</v>
      </c>
      <c r="AK1488" s="197" t="s">
        <v>1185</v>
      </c>
      <c r="AL1488" s="138" t="s">
        <v>1178</v>
      </c>
    </row>
    <row r="1489" spans="1:38" ht="15" customHeight="1" x14ac:dyDescent="0.3">
      <c r="A1489" s="181" t="s">
        <v>22</v>
      </c>
      <c r="B1489" s="265" t="s">
        <v>105</v>
      </c>
      <c r="C1489" s="245">
        <v>2</v>
      </c>
      <c r="D1489" s="11" t="s">
        <v>5936</v>
      </c>
      <c r="E1489" s="247">
        <v>43175</v>
      </c>
      <c r="F1489" s="246">
        <v>2018</v>
      </c>
      <c r="G1489" s="792" t="s">
        <v>5109</v>
      </c>
      <c r="H1489" s="792" t="s">
        <v>5110</v>
      </c>
      <c r="I1489" s="246" t="s">
        <v>38</v>
      </c>
      <c r="J1489" s="32" t="s">
        <v>26</v>
      </c>
      <c r="K1489" s="264" t="s">
        <v>111</v>
      </c>
      <c r="L1489" s="264" t="s">
        <v>28</v>
      </c>
      <c r="M1489" s="264" t="s">
        <v>42</v>
      </c>
      <c r="N1489" s="264"/>
      <c r="O1489" s="805" t="s">
        <v>5111</v>
      </c>
      <c r="P1489" s="822" t="s">
        <v>5112</v>
      </c>
      <c r="Q1489" s="15" t="s">
        <v>282</v>
      </c>
      <c r="R1489" s="218">
        <v>43663</v>
      </c>
      <c r="S1489" s="16" t="s">
        <v>44</v>
      </c>
      <c r="T1489" s="133">
        <v>44225</v>
      </c>
      <c r="U1489" s="623"/>
      <c r="V1489" s="624"/>
      <c r="W1489" s="242">
        <v>40000000</v>
      </c>
      <c r="X1489" s="243">
        <v>0</v>
      </c>
      <c r="Y1489" s="201">
        <f>IF(AE1489="","",W1489*AE1489)</f>
        <v>0</v>
      </c>
      <c r="Z1489" s="7">
        <f t="shared" si="80"/>
        <v>0</v>
      </c>
      <c r="AA1489" s="229"/>
      <c r="AB1489" s="564" t="s">
        <v>1073</v>
      </c>
      <c r="AC1489" s="693"/>
      <c r="AD1489" s="196">
        <v>0</v>
      </c>
      <c r="AE1489" s="187">
        <v>0</v>
      </c>
      <c r="AF1489" s="205">
        <f t="shared" si="83"/>
        <v>0</v>
      </c>
      <c r="AG1489" s="138">
        <v>8</v>
      </c>
      <c r="AH1489" s="264" t="s">
        <v>5090</v>
      </c>
      <c r="AI1489" s="138"/>
      <c r="AJ1489" s="138" t="s">
        <v>1188</v>
      </c>
      <c r="AK1489" s="181" t="s">
        <v>1185</v>
      </c>
      <c r="AL1489" s="138" t="s">
        <v>1178</v>
      </c>
    </row>
    <row r="1490" spans="1:38" ht="15" customHeight="1" x14ac:dyDescent="0.3">
      <c r="A1490" s="181" t="s">
        <v>22</v>
      </c>
      <c r="B1490" s="145" t="s">
        <v>105</v>
      </c>
      <c r="C1490" s="135">
        <v>12</v>
      </c>
      <c r="D1490" s="11" t="s">
        <v>5936</v>
      </c>
      <c r="E1490" s="168">
        <v>43712</v>
      </c>
      <c r="F1490" s="136">
        <v>2019</v>
      </c>
      <c r="G1490" s="168" t="s">
        <v>5114</v>
      </c>
      <c r="H1490" s="168" t="s">
        <v>5115</v>
      </c>
      <c r="I1490" s="30" t="s">
        <v>38</v>
      </c>
      <c r="J1490" s="32" t="s">
        <v>26</v>
      </c>
      <c r="K1490" s="197" t="s">
        <v>70</v>
      </c>
      <c r="L1490" s="197" t="s">
        <v>28</v>
      </c>
      <c r="M1490" s="137" t="s">
        <v>804</v>
      </c>
      <c r="N1490" s="829"/>
      <c r="O1490" s="783" t="s">
        <v>5116</v>
      </c>
      <c r="P1490" s="826" t="s">
        <v>5117</v>
      </c>
      <c r="Q1490" s="15" t="s">
        <v>35</v>
      </c>
      <c r="R1490" s="231"/>
      <c r="S1490" s="16" t="s">
        <v>35</v>
      </c>
      <c r="T1490" s="268"/>
      <c r="U1490" s="803"/>
      <c r="V1490" s="803"/>
      <c r="W1490" s="242">
        <v>90000000</v>
      </c>
      <c r="X1490" s="240">
        <v>90000000</v>
      </c>
      <c r="Y1490" s="303">
        <f>-38344631 -2362950</f>
        <v>-40707581</v>
      </c>
      <c r="Z1490" s="303">
        <f>IF(Y1490="",X1490,Y1490+X1490)</f>
        <v>49292419</v>
      </c>
      <c r="AA1490" s="192"/>
      <c r="AB1490" s="513" t="s">
        <v>3232</v>
      </c>
      <c r="AC1490" s="147"/>
      <c r="AD1490" s="258"/>
      <c r="AE1490" s="187">
        <v>1</v>
      </c>
      <c r="AF1490" s="205">
        <f>AE1490+AD1490</f>
        <v>1</v>
      </c>
      <c r="AG1490" s="181">
        <v>8</v>
      </c>
      <c r="AH1490" s="264" t="s">
        <v>5096</v>
      </c>
      <c r="AI1490" s="138"/>
      <c r="AJ1490" s="197" t="s">
        <v>1188</v>
      </c>
      <c r="AK1490" s="197" t="s">
        <v>1177</v>
      </c>
      <c r="AL1490" s="200" t="s">
        <v>1178</v>
      </c>
    </row>
    <row r="1491" spans="1:38" ht="15" customHeight="1" x14ac:dyDescent="0.3">
      <c r="A1491" s="181" t="s">
        <v>22</v>
      </c>
      <c r="B1491" s="145" t="s">
        <v>5097</v>
      </c>
      <c r="C1491" s="135" t="s">
        <v>2962</v>
      </c>
      <c r="D1491" s="136" t="s">
        <v>190</v>
      </c>
      <c r="E1491" s="168">
        <v>41547</v>
      </c>
      <c r="F1491" s="136">
        <v>2013</v>
      </c>
      <c r="G1491" s="178" t="s">
        <v>5119</v>
      </c>
      <c r="H1491" s="204"/>
      <c r="I1491" s="33" t="s">
        <v>33</v>
      </c>
      <c r="J1491" s="32" t="s">
        <v>26</v>
      </c>
      <c r="K1491" s="197" t="s">
        <v>1194</v>
      </c>
      <c r="L1491" s="746" t="s">
        <v>28</v>
      </c>
      <c r="M1491" s="137" t="s">
        <v>804</v>
      </c>
      <c r="N1491" s="830"/>
      <c r="O1491" s="138" t="s">
        <v>5120</v>
      </c>
      <c r="P1491" s="718" t="s">
        <v>5121</v>
      </c>
      <c r="Q1491" s="15" t="s">
        <v>282</v>
      </c>
      <c r="R1491" s="218">
        <v>42272</v>
      </c>
      <c r="S1491" s="16" t="s">
        <v>44</v>
      </c>
      <c r="T1491" s="191">
        <v>42426</v>
      </c>
      <c r="U1491" s="236"/>
      <c r="V1491" s="237"/>
      <c r="W1491" s="242">
        <v>450000000</v>
      </c>
      <c r="X1491" s="299">
        <f>-450000000+450000000</f>
        <v>0</v>
      </c>
      <c r="Y1491" s="298">
        <v>0</v>
      </c>
      <c r="Z1491" s="7">
        <f t="shared" ref="Z1491:Z1541" si="84">IF(Y1491="",X1491,Y1491+X1491)</f>
        <v>0</v>
      </c>
      <c r="AA1491" s="192">
        <v>44515</v>
      </c>
      <c r="AB1491" s="604" t="s">
        <v>6138</v>
      </c>
      <c r="AC1491" s="163"/>
      <c r="AD1491" s="187">
        <v>1</v>
      </c>
      <c r="AE1491" s="187">
        <v>0</v>
      </c>
      <c r="AF1491" s="205">
        <f>AE1491+AD1491</f>
        <v>1</v>
      </c>
      <c r="AG1491" s="200">
        <v>8</v>
      </c>
      <c r="AH1491" s="138" t="s">
        <v>5102</v>
      </c>
      <c r="AI1491" s="138"/>
      <c r="AJ1491" s="200" t="s">
        <v>1188</v>
      </c>
      <c r="AK1491" s="30" t="s">
        <v>99</v>
      </c>
      <c r="AL1491" s="181" t="s">
        <v>1178</v>
      </c>
    </row>
    <row r="1492" spans="1:38" ht="15" customHeight="1" x14ac:dyDescent="0.3">
      <c r="A1492" s="181" t="s">
        <v>22</v>
      </c>
      <c r="B1492" s="112" t="s">
        <v>144</v>
      </c>
      <c r="C1492" s="107">
        <v>11</v>
      </c>
      <c r="D1492" s="11" t="s">
        <v>143</v>
      </c>
      <c r="E1492" s="114">
        <v>43292</v>
      </c>
      <c r="F1492" s="12">
        <v>2018</v>
      </c>
      <c r="G1492" s="142" t="s">
        <v>5122</v>
      </c>
      <c r="H1492" s="162" t="s">
        <v>5123</v>
      </c>
      <c r="I1492" s="33" t="s">
        <v>33</v>
      </c>
      <c r="J1492" s="32" t="s">
        <v>26</v>
      </c>
      <c r="K1492" s="197" t="s">
        <v>103</v>
      </c>
      <c r="L1492" s="264" t="s">
        <v>85</v>
      </c>
      <c r="M1492" s="137" t="s">
        <v>804</v>
      </c>
      <c r="N1492" s="197"/>
      <c r="O1492" s="197" t="s">
        <v>5124</v>
      </c>
      <c r="P1492" s="197" t="s">
        <v>5125</v>
      </c>
      <c r="Q1492" s="143"/>
      <c r="R1492" s="179"/>
      <c r="S1492" s="144"/>
      <c r="T1492" s="191"/>
      <c r="U1492" s="707"/>
      <c r="V1492" s="721"/>
      <c r="W1492" s="260">
        <v>200000000</v>
      </c>
      <c r="X1492" s="216">
        <v>200000000</v>
      </c>
      <c r="Y1492" s="201">
        <f>IF(AE1492="","",W1492*AE1492)</f>
        <v>0</v>
      </c>
      <c r="Z1492" s="7">
        <f t="shared" si="84"/>
        <v>200000000</v>
      </c>
      <c r="AA1492" s="212">
        <v>44829</v>
      </c>
      <c r="AB1492" s="503" t="s">
        <v>98</v>
      </c>
      <c r="AC1492" s="222"/>
      <c r="AD1492" s="187">
        <v>1</v>
      </c>
      <c r="AE1492" s="187">
        <v>0</v>
      </c>
      <c r="AF1492" s="205">
        <f>AE1492+AD1492</f>
        <v>1</v>
      </c>
      <c r="AG1492" s="88">
        <v>8</v>
      </c>
      <c r="AH1492" s="738" t="s">
        <v>5108</v>
      </c>
      <c r="AI1492" s="200"/>
      <c r="AJ1492" s="146" t="s">
        <v>1188</v>
      </c>
      <c r="AK1492" s="30" t="s">
        <v>1177</v>
      </c>
      <c r="AL1492" s="146" t="s">
        <v>1178</v>
      </c>
    </row>
    <row r="1493" spans="1:38" ht="15" customHeight="1" x14ac:dyDescent="0.3">
      <c r="A1493" s="181" t="s">
        <v>22</v>
      </c>
      <c r="B1493" s="181" t="s">
        <v>23</v>
      </c>
      <c r="C1493" s="184">
        <v>7</v>
      </c>
      <c r="D1493" s="11" t="s">
        <v>24</v>
      </c>
      <c r="E1493" s="192">
        <v>43202</v>
      </c>
      <c r="F1493" s="181">
        <v>2018</v>
      </c>
      <c r="G1493" s="181" t="s">
        <v>5128</v>
      </c>
      <c r="H1493" s="217" t="s">
        <v>5129</v>
      </c>
      <c r="I1493" s="30" t="s">
        <v>38</v>
      </c>
      <c r="J1493" s="32" t="s">
        <v>26</v>
      </c>
      <c r="K1493" s="197" t="s">
        <v>4014</v>
      </c>
      <c r="L1493" s="138" t="s">
        <v>5130</v>
      </c>
      <c r="M1493" s="137" t="s">
        <v>804</v>
      </c>
      <c r="N1493" s="279"/>
      <c r="O1493" s="137" t="s">
        <v>5131</v>
      </c>
      <c r="P1493" s="815" t="s">
        <v>5132</v>
      </c>
      <c r="Q1493" s="15" t="s">
        <v>35</v>
      </c>
      <c r="R1493" s="164">
        <v>43496</v>
      </c>
      <c r="S1493" s="16" t="s">
        <v>35</v>
      </c>
      <c r="T1493" s="165">
        <v>43768</v>
      </c>
      <c r="U1493" s="624"/>
      <c r="V1493" s="624"/>
      <c r="W1493" s="239">
        <v>6000000</v>
      </c>
      <c r="X1493" s="304">
        <f>6000000-3554221</f>
        <v>2445779</v>
      </c>
      <c r="Y1493" s="294">
        <v>0</v>
      </c>
      <c r="Z1493" s="294">
        <f t="shared" si="84"/>
        <v>2445779</v>
      </c>
      <c r="AA1493" s="192">
        <v>44400</v>
      </c>
      <c r="AB1493" s="762" t="s">
        <v>3077</v>
      </c>
      <c r="AC1493" s="652"/>
      <c r="AD1493" s="258">
        <v>1</v>
      </c>
      <c r="AE1493" s="187">
        <v>0</v>
      </c>
      <c r="AF1493" s="205">
        <f>AE1493+AD1493</f>
        <v>1</v>
      </c>
      <c r="AG1493" s="279">
        <v>8</v>
      </c>
      <c r="AH1493" s="279" t="s">
        <v>5113</v>
      </c>
      <c r="AI1493" s="718" t="s">
        <v>5134</v>
      </c>
      <c r="AJ1493" s="279" t="s">
        <v>1188</v>
      </c>
      <c r="AK1493" s="30" t="s">
        <v>1185</v>
      </c>
      <c r="AL1493" s="93" t="s">
        <v>1178</v>
      </c>
    </row>
    <row r="1494" spans="1:38" ht="15" customHeight="1" x14ac:dyDescent="0.3">
      <c r="A1494" s="248" t="s">
        <v>140</v>
      </c>
      <c r="B1494" s="261" t="s">
        <v>2049</v>
      </c>
      <c r="C1494" s="245">
        <v>3</v>
      </c>
      <c r="D1494" s="11" t="s">
        <v>225</v>
      </c>
      <c r="E1494" s="247">
        <v>44046</v>
      </c>
      <c r="F1494" s="246">
        <v>2020</v>
      </c>
      <c r="G1494" s="247" t="s">
        <v>5135</v>
      </c>
      <c r="H1494" s="247" t="s">
        <v>5136</v>
      </c>
      <c r="I1494" s="305" t="s">
        <v>38</v>
      </c>
      <c r="J1494" s="245" t="s">
        <v>81</v>
      </c>
      <c r="K1494" s="264" t="s">
        <v>163</v>
      </c>
      <c r="L1494" s="264" t="s">
        <v>28</v>
      </c>
      <c r="M1494" s="264" t="s">
        <v>42</v>
      </c>
      <c r="N1494" s="553" t="s">
        <v>122</v>
      </c>
      <c r="O1494" s="805" t="s">
        <v>5137</v>
      </c>
      <c r="P1494" s="827" t="s">
        <v>5138</v>
      </c>
      <c r="Q1494" s="220"/>
      <c r="R1494" s="218"/>
      <c r="S1494" s="16" t="s">
        <v>44</v>
      </c>
      <c r="T1494" s="262">
        <v>44357</v>
      </c>
      <c r="U1494" s="776"/>
      <c r="V1494" s="776"/>
      <c r="W1494" s="242">
        <v>10000000</v>
      </c>
      <c r="X1494" s="185">
        <v>0</v>
      </c>
      <c r="Y1494" s="201">
        <f t="shared" ref="Y1494:Y1541" si="85">IF(AE1494="","",W1494*AE1494)</f>
        <v>0</v>
      </c>
      <c r="Z1494" s="7">
        <f t="shared" si="84"/>
        <v>0</v>
      </c>
      <c r="AA1494" s="233"/>
      <c r="AB1494" s="503" t="s">
        <v>3960</v>
      </c>
      <c r="AC1494" s="222"/>
      <c r="AD1494" s="196"/>
      <c r="AE1494" s="187">
        <v>0</v>
      </c>
      <c r="AF1494" s="210">
        <f>AE1494+AD1494</f>
        <v>0</v>
      </c>
      <c r="AG1494" s="197">
        <v>10</v>
      </c>
      <c r="AH1494" s="197"/>
      <c r="AI1494" s="197"/>
      <c r="AJ1494" s="197" t="s">
        <v>1188</v>
      </c>
      <c r="AK1494" s="197" t="s">
        <v>1177</v>
      </c>
      <c r="AL1494" s="93" t="s">
        <v>1178</v>
      </c>
    </row>
    <row r="1495" spans="1:38" ht="15" customHeight="1" x14ac:dyDescent="0.3">
      <c r="A1495" s="248" t="s">
        <v>140</v>
      </c>
      <c r="B1495" s="153" t="s">
        <v>23</v>
      </c>
      <c r="C1495" s="135"/>
      <c r="D1495" s="11" t="s">
        <v>24</v>
      </c>
      <c r="E1495" s="168">
        <v>44257</v>
      </c>
      <c r="F1495" s="12">
        <v>2021</v>
      </c>
      <c r="G1495" s="178" t="s">
        <v>5139</v>
      </c>
      <c r="H1495" s="204"/>
      <c r="I1495" s="107" t="s">
        <v>38</v>
      </c>
      <c r="J1495" s="248" t="s">
        <v>81</v>
      </c>
      <c r="K1495" s="197" t="s">
        <v>141</v>
      </c>
      <c r="L1495" s="264" t="s">
        <v>28</v>
      </c>
      <c r="M1495" s="264" t="s">
        <v>42</v>
      </c>
      <c r="N1495" s="553" t="s">
        <v>122</v>
      </c>
      <c r="O1495" s="197" t="s">
        <v>5140</v>
      </c>
      <c r="P1495" s="783" t="s">
        <v>5141</v>
      </c>
      <c r="Q1495" s="220" t="s">
        <v>92</v>
      </c>
      <c r="R1495" s="164"/>
      <c r="S1495" s="139"/>
      <c r="T1495" s="165"/>
      <c r="U1495" s="624"/>
      <c r="V1495" s="624"/>
      <c r="W1495" s="242">
        <v>5000000</v>
      </c>
      <c r="X1495" s="299">
        <v>0</v>
      </c>
      <c r="Y1495" s="201">
        <f t="shared" si="85"/>
        <v>0</v>
      </c>
      <c r="Z1495" s="7">
        <f t="shared" si="84"/>
        <v>0</v>
      </c>
      <c r="AA1495" s="192"/>
      <c r="AB1495" s="762" t="s">
        <v>3077</v>
      </c>
      <c r="AC1495" s="652"/>
      <c r="AD1495" s="187">
        <v>0</v>
      </c>
      <c r="AE1495" s="187">
        <v>0</v>
      </c>
      <c r="AF1495" s="205">
        <v>0</v>
      </c>
      <c r="AG1495" s="197">
        <v>8</v>
      </c>
      <c r="AH1495" s="197" t="s">
        <v>5118</v>
      </c>
      <c r="AI1495" s="197"/>
      <c r="AJ1495" s="197" t="s">
        <v>1188</v>
      </c>
      <c r="AK1495" s="197" t="s">
        <v>1177</v>
      </c>
      <c r="AL1495" s="93" t="s">
        <v>1178</v>
      </c>
    </row>
    <row r="1496" spans="1:38" ht="15" customHeight="1" x14ac:dyDescent="0.3">
      <c r="A1496" s="30" t="s">
        <v>22</v>
      </c>
      <c r="B1496" s="153" t="s">
        <v>23</v>
      </c>
      <c r="C1496" s="109">
        <v>10</v>
      </c>
      <c r="D1496" s="11" t="s">
        <v>24</v>
      </c>
      <c r="E1496" s="114">
        <v>40686</v>
      </c>
      <c r="F1496" s="33">
        <v>2011</v>
      </c>
      <c r="G1496" s="142" t="s">
        <v>5142</v>
      </c>
      <c r="H1496" s="162" t="s">
        <v>5143</v>
      </c>
      <c r="I1496" s="12" t="s">
        <v>25</v>
      </c>
      <c r="J1496" s="32" t="s">
        <v>26</v>
      </c>
      <c r="K1496" s="197" t="s">
        <v>3205</v>
      </c>
      <c r="L1496" s="137" t="s">
        <v>4954</v>
      </c>
      <c r="M1496" s="137" t="s">
        <v>953</v>
      </c>
      <c r="N1496" s="238"/>
      <c r="O1496" s="146" t="s">
        <v>3206</v>
      </c>
      <c r="P1496" s="718" t="s">
        <v>6159</v>
      </c>
      <c r="Q1496" s="15" t="s">
        <v>282</v>
      </c>
      <c r="R1496" s="132">
        <v>41152</v>
      </c>
      <c r="S1496" s="16" t="s">
        <v>44</v>
      </c>
      <c r="T1496" s="165">
        <v>42268</v>
      </c>
      <c r="U1496" s="624" t="s">
        <v>44</v>
      </c>
      <c r="V1496" s="624" t="s">
        <v>5144</v>
      </c>
      <c r="W1496" s="239">
        <v>250000000</v>
      </c>
      <c r="X1496" s="240">
        <v>0</v>
      </c>
      <c r="Y1496" s="7">
        <f t="shared" si="85"/>
        <v>0</v>
      </c>
      <c r="Z1496" s="7">
        <f t="shared" si="84"/>
        <v>0</v>
      </c>
      <c r="AA1496" s="108"/>
      <c r="AB1496" s="479" t="s">
        <v>49</v>
      </c>
      <c r="AC1496" s="480"/>
      <c r="AD1496" s="187">
        <v>0</v>
      </c>
      <c r="AE1496" s="187">
        <v>0</v>
      </c>
      <c r="AF1496" s="205">
        <f>AE1496+AD1496</f>
        <v>0</v>
      </c>
      <c r="AG1496" s="163">
        <v>8</v>
      </c>
      <c r="AH1496" s="93" t="s">
        <v>4332</v>
      </c>
      <c r="AI1496" s="200"/>
      <c r="AJ1496" s="93" t="s">
        <v>1188</v>
      </c>
      <c r="AK1496" s="30" t="s">
        <v>99</v>
      </c>
      <c r="AL1496" s="93" t="s">
        <v>1178</v>
      </c>
    </row>
    <row r="1497" spans="1:38" ht="15" customHeight="1" x14ac:dyDescent="0.3">
      <c r="A1497" s="248" t="s">
        <v>22</v>
      </c>
      <c r="B1497" s="181" t="s">
        <v>39</v>
      </c>
      <c r="C1497" s="135">
        <v>2</v>
      </c>
      <c r="D1497" s="11" t="s">
        <v>24</v>
      </c>
      <c r="E1497" s="168">
        <v>44478</v>
      </c>
      <c r="F1497" s="12">
        <v>2021</v>
      </c>
      <c r="G1497" s="178" t="s">
        <v>5146</v>
      </c>
      <c r="H1497" s="217" t="s">
        <v>5147</v>
      </c>
      <c r="I1497" s="30" t="s">
        <v>38</v>
      </c>
      <c r="J1497" s="32" t="s">
        <v>26</v>
      </c>
      <c r="K1497" s="197" t="s">
        <v>57</v>
      </c>
      <c r="L1497" s="138" t="s">
        <v>34</v>
      </c>
      <c r="M1497" s="137" t="s">
        <v>804</v>
      </c>
      <c r="N1497" s="310" t="s">
        <v>43</v>
      </c>
      <c r="O1497" s="831" t="s">
        <v>5148</v>
      </c>
      <c r="P1497" s="783" t="s">
        <v>30</v>
      </c>
      <c r="Q1497" s="220" t="s">
        <v>92</v>
      </c>
      <c r="R1497" s="164"/>
      <c r="S1497" s="139"/>
      <c r="T1497" s="165"/>
      <c r="U1497" s="624"/>
      <c r="V1497" s="624"/>
      <c r="W1497" s="242">
        <v>143000000</v>
      </c>
      <c r="X1497" s="299">
        <f>143000000-89000000</f>
        <v>54000000</v>
      </c>
      <c r="Y1497" s="7">
        <f t="shared" si="85"/>
        <v>0</v>
      </c>
      <c r="Z1497" s="7">
        <f t="shared" si="84"/>
        <v>54000000</v>
      </c>
      <c r="AA1497" s="192">
        <v>44681</v>
      </c>
      <c r="AB1497" s="762" t="s">
        <v>3077</v>
      </c>
      <c r="AC1497" s="652"/>
      <c r="AD1497" s="187">
        <v>1</v>
      </c>
      <c r="AE1497" s="187">
        <v>0</v>
      </c>
      <c r="AF1497" s="205">
        <v>1</v>
      </c>
      <c r="AG1497" s="197">
        <v>8</v>
      </c>
      <c r="AH1497" s="197" t="s">
        <v>5126</v>
      </c>
      <c r="AI1497" s="197"/>
      <c r="AJ1497" s="197" t="s">
        <v>1188</v>
      </c>
      <c r="AK1497" s="197" t="s">
        <v>1177</v>
      </c>
      <c r="AL1497" s="310" t="s">
        <v>1178</v>
      </c>
    </row>
    <row r="1498" spans="1:38" ht="15" customHeight="1" x14ac:dyDescent="0.3">
      <c r="A1498" s="181" t="s">
        <v>22</v>
      </c>
      <c r="B1498" s="145" t="s">
        <v>5127</v>
      </c>
      <c r="C1498" s="135"/>
      <c r="D1498" s="11" t="s">
        <v>5936</v>
      </c>
      <c r="E1498" s="168">
        <v>41522</v>
      </c>
      <c r="F1498" s="136">
        <v>2013</v>
      </c>
      <c r="G1498" s="178" t="s">
        <v>5150</v>
      </c>
      <c r="H1498" s="204"/>
      <c r="I1498" s="33" t="s">
        <v>33</v>
      </c>
      <c r="J1498" s="32" t="s">
        <v>26</v>
      </c>
      <c r="K1498" s="197" t="s">
        <v>27</v>
      </c>
      <c r="L1498" s="746" t="s">
        <v>109</v>
      </c>
      <c r="M1498" s="137" t="s">
        <v>804</v>
      </c>
      <c r="N1498" s="30" t="s">
        <v>29</v>
      </c>
      <c r="O1498" s="693" t="s">
        <v>5151</v>
      </c>
      <c r="P1498" s="718" t="s">
        <v>5152</v>
      </c>
      <c r="Q1498" s="15" t="s">
        <v>35</v>
      </c>
      <c r="R1498" s="132">
        <v>42291</v>
      </c>
      <c r="S1498" s="16" t="s">
        <v>35</v>
      </c>
      <c r="T1498" s="133">
        <v>42509</v>
      </c>
      <c r="U1498" s="623"/>
      <c r="V1498" s="624"/>
      <c r="W1498" s="242">
        <v>190000000</v>
      </c>
      <c r="X1498" s="243">
        <f>190000000-157819301-206300</f>
        <v>31974399</v>
      </c>
      <c r="Y1498" s="7">
        <f t="shared" si="85"/>
        <v>0</v>
      </c>
      <c r="Z1498" s="7">
        <f t="shared" si="84"/>
        <v>31974399</v>
      </c>
      <c r="AA1498" s="192">
        <v>44540</v>
      </c>
      <c r="AB1498" s="503" t="s">
        <v>6160</v>
      </c>
      <c r="AC1498" s="222"/>
      <c r="AD1498" s="196">
        <v>1</v>
      </c>
      <c r="AE1498" s="187">
        <v>0</v>
      </c>
      <c r="AF1498" s="210">
        <f t="shared" ref="AF1498:AF1511" si="86">AE1498+AD1498</f>
        <v>1</v>
      </c>
      <c r="AG1498" s="138">
        <v>8</v>
      </c>
      <c r="AH1498" s="138" t="s">
        <v>5133</v>
      </c>
      <c r="AI1498" s="138"/>
      <c r="AJ1498" s="138" t="s">
        <v>1188</v>
      </c>
      <c r="AK1498" s="30" t="s">
        <v>99</v>
      </c>
      <c r="AL1498" s="138" t="s">
        <v>1178</v>
      </c>
    </row>
    <row r="1499" spans="1:38" ht="15" customHeight="1" x14ac:dyDescent="0.3">
      <c r="A1499" s="181" t="s">
        <v>22</v>
      </c>
      <c r="B1499" s="167" t="s">
        <v>780</v>
      </c>
      <c r="C1499" s="135">
        <v>1</v>
      </c>
      <c r="D1499" s="136" t="s">
        <v>190</v>
      </c>
      <c r="E1499" s="168">
        <v>42487</v>
      </c>
      <c r="F1499" s="136">
        <v>2016</v>
      </c>
      <c r="G1499" s="178" t="s">
        <v>5153</v>
      </c>
      <c r="H1499" s="178" t="s">
        <v>5154</v>
      </c>
      <c r="I1499" s="30" t="s">
        <v>38</v>
      </c>
      <c r="J1499" s="32" t="s">
        <v>26</v>
      </c>
      <c r="K1499" s="197" t="s">
        <v>138</v>
      </c>
      <c r="L1499" s="197" t="s">
        <v>3996</v>
      </c>
      <c r="M1499" s="137" t="s">
        <v>804</v>
      </c>
      <c r="N1499" s="138" t="s">
        <v>82</v>
      </c>
      <c r="O1499" s="831" t="s">
        <v>5155</v>
      </c>
      <c r="P1499" s="797" t="s">
        <v>5156</v>
      </c>
      <c r="Q1499" s="15" t="s">
        <v>35</v>
      </c>
      <c r="R1499" s="231">
        <v>42801</v>
      </c>
      <c r="S1499" s="16" t="s">
        <v>35</v>
      </c>
      <c r="T1499" s="268">
        <v>43306</v>
      </c>
      <c r="U1499" s="803"/>
      <c r="V1499" s="803"/>
      <c r="W1499" s="242">
        <v>49000000</v>
      </c>
      <c r="X1499" s="240">
        <f>49000000-45166061.63</f>
        <v>3833938.3699999973</v>
      </c>
      <c r="Y1499" s="7">
        <f t="shared" si="85"/>
        <v>0</v>
      </c>
      <c r="Z1499" s="7">
        <f t="shared" si="84"/>
        <v>3833938.3699999973</v>
      </c>
      <c r="AA1499" s="192">
        <v>44515</v>
      </c>
      <c r="AB1499" s="467" t="s">
        <v>6093</v>
      </c>
      <c r="AC1499" s="197"/>
      <c r="AD1499" s="196">
        <v>1</v>
      </c>
      <c r="AE1499" s="187">
        <v>0</v>
      </c>
      <c r="AF1499" s="205">
        <f t="shared" si="86"/>
        <v>1</v>
      </c>
      <c r="AG1499" s="197">
        <v>8</v>
      </c>
      <c r="AH1499" s="200" t="s">
        <v>45</v>
      </c>
      <c r="AI1499" s="736" t="s">
        <v>5157</v>
      </c>
      <c r="AJ1499" s="197" t="s">
        <v>1188</v>
      </c>
      <c r="AK1499" s="30" t="s">
        <v>99</v>
      </c>
      <c r="AL1499" s="138" t="s">
        <v>1178</v>
      </c>
    </row>
    <row r="1500" spans="1:38" ht="15" customHeight="1" x14ac:dyDescent="0.3">
      <c r="A1500" s="181" t="s">
        <v>22</v>
      </c>
      <c r="B1500" s="181" t="s">
        <v>1127</v>
      </c>
      <c r="C1500" s="135" t="s">
        <v>837</v>
      </c>
      <c r="D1500" s="136" t="s">
        <v>190</v>
      </c>
      <c r="E1500" s="168">
        <v>42758</v>
      </c>
      <c r="F1500" s="136">
        <v>2016</v>
      </c>
      <c r="G1500" s="178" t="s">
        <v>5158</v>
      </c>
      <c r="H1500" s="178" t="s">
        <v>5159</v>
      </c>
      <c r="I1500" s="136" t="s">
        <v>38</v>
      </c>
      <c r="J1500" s="32" t="s">
        <v>26</v>
      </c>
      <c r="K1500" s="783" t="s">
        <v>5160</v>
      </c>
      <c r="L1500" s="197" t="s">
        <v>28</v>
      </c>
      <c r="M1500" s="197" t="s">
        <v>42</v>
      </c>
      <c r="N1500" s="138" t="s">
        <v>82</v>
      </c>
      <c r="O1500" s="831" t="s">
        <v>5161</v>
      </c>
      <c r="P1500" s="794" t="s">
        <v>5162</v>
      </c>
      <c r="Q1500" s="15" t="s">
        <v>282</v>
      </c>
      <c r="R1500" s="231">
        <v>42828</v>
      </c>
      <c r="S1500" s="16" t="s">
        <v>44</v>
      </c>
      <c r="T1500" s="268">
        <v>43683</v>
      </c>
      <c r="U1500" s="803"/>
      <c r="V1500" s="803"/>
      <c r="W1500" s="242">
        <v>14800000</v>
      </c>
      <c r="X1500" s="240">
        <v>0</v>
      </c>
      <c r="Y1500" s="7">
        <f t="shared" si="85"/>
        <v>0</v>
      </c>
      <c r="Z1500" s="7">
        <f t="shared" si="84"/>
        <v>0</v>
      </c>
      <c r="AA1500" s="192"/>
      <c r="AB1500" s="604" t="s">
        <v>3744</v>
      </c>
      <c r="AC1500" s="163"/>
      <c r="AD1500" s="258">
        <v>0</v>
      </c>
      <c r="AE1500" s="187">
        <v>0</v>
      </c>
      <c r="AF1500" s="205">
        <f t="shared" si="86"/>
        <v>0</v>
      </c>
      <c r="AG1500" s="181">
        <v>8</v>
      </c>
      <c r="AH1500" s="138" t="s">
        <v>2509</v>
      </c>
      <c r="AI1500" s="181"/>
      <c r="AJ1500" s="197" t="s">
        <v>1188</v>
      </c>
      <c r="AK1500" s="197" t="s">
        <v>1185</v>
      </c>
      <c r="AL1500" s="138" t="s">
        <v>1178</v>
      </c>
    </row>
    <row r="1501" spans="1:38" ht="15" customHeight="1" x14ac:dyDescent="0.3">
      <c r="A1501" s="181" t="s">
        <v>22</v>
      </c>
      <c r="B1501" s="255" t="s">
        <v>961</v>
      </c>
      <c r="C1501" s="135" t="s">
        <v>247</v>
      </c>
      <c r="D1501" s="11" t="s">
        <v>5936</v>
      </c>
      <c r="E1501" s="168">
        <v>42878</v>
      </c>
      <c r="F1501" s="136">
        <v>2017</v>
      </c>
      <c r="G1501" s="178" t="s">
        <v>5164</v>
      </c>
      <c r="H1501" s="178" t="s">
        <v>5164</v>
      </c>
      <c r="I1501" s="136" t="s">
        <v>38</v>
      </c>
      <c r="J1501" s="32" t="s">
        <v>26</v>
      </c>
      <c r="K1501" s="197" t="s">
        <v>57</v>
      </c>
      <c r="L1501" s="197" t="s">
        <v>28</v>
      </c>
      <c r="M1501" s="197" t="s">
        <v>42</v>
      </c>
      <c r="N1501" s="138" t="s">
        <v>43</v>
      </c>
      <c r="O1501" s="831" t="s">
        <v>5165</v>
      </c>
      <c r="P1501" s="794" t="s">
        <v>5166</v>
      </c>
      <c r="Q1501" s="15" t="s">
        <v>282</v>
      </c>
      <c r="R1501" s="218">
        <v>43558</v>
      </c>
      <c r="S1501" s="16" t="s">
        <v>44</v>
      </c>
      <c r="T1501" s="133">
        <v>43621</v>
      </c>
      <c r="U1501" s="623"/>
      <c r="V1501" s="624"/>
      <c r="W1501" s="239">
        <v>200000000</v>
      </c>
      <c r="X1501" s="243">
        <v>0</v>
      </c>
      <c r="Y1501" s="7">
        <f t="shared" si="85"/>
        <v>0</v>
      </c>
      <c r="Z1501" s="7">
        <f t="shared" si="84"/>
        <v>0</v>
      </c>
      <c r="AA1501" s="192">
        <v>44540</v>
      </c>
      <c r="AB1501" s="503" t="s">
        <v>3960</v>
      </c>
      <c r="AC1501" s="222"/>
      <c r="AD1501" s="187">
        <v>0</v>
      </c>
      <c r="AE1501" s="187">
        <v>0</v>
      </c>
      <c r="AF1501" s="205">
        <f t="shared" si="86"/>
        <v>0</v>
      </c>
      <c r="AG1501" s="181">
        <v>8</v>
      </c>
      <c r="AH1501" s="264" t="s">
        <v>5145</v>
      </c>
      <c r="AI1501" s="476"/>
      <c r="AJ1501" s="197" t="s">
        <v>1188</v>
      </c>
      <c r="AK1501" s="197" t="s">
        <v>1185</v>
      </c>
      <c r="AL1501" s="138" t="s">
        <v>1178</v>
      </c>
    </row>
    <row r="1502" spans="1:38" ht="15" customHeight="1" x14ac:dyDescent="0.3">
      <c r="A1502" s="181" t="s">
        <v>22</v>
      </c>
      <c r="B1502" s="265" t="s">
        <v>2083</v>
      </c>
      <c r="C1502" s="107">
        <v>1</v>
      </c>
      <c r="D1502" s="11" t="s">
        <v>5936</v>
      </c>
      <c r="E1502" s="114">
        <v>43486</v>
      </c>
      <c r="F1502" s="12">
        <v>2018</v>
      </c>
      <c r="G1502" s="142" t="s">
        <v>5168</v>
      </c>
      <c r="H1502" s="162" t="s">
        <v>5169</v>
      </c>
      <c r="I1502" s="107" t="s">
        <v>38</v>
      </c>
      <c r="J1502" s="32" t="s">
        <v>26</v>
      </c>
      <c r="K1502" s="197" t="s">
        <v>57</v>
      </c>
      <c r="L1502" s="264" t="s">
        <v>28</v>
      </c>
      <c r="M1502" s="264" t="s">
        <v>42</v>
      </c>
      <c r="N1502" s="310" t="s">
        <v>43</v>
      </c>
      <c r="O1502" s="831" t="s">
        <v>5170</v>
      </c>
      <c r="P1502" s="805" t="s">
        <v>5171</v>
      </c>
      <c r="Q1502" s="15" t="s">
        <v>282</v>
      </c>
      <c r="R1502" s="218"/>
      <c r="S1502" s="16" t="s">
        <v>44</v>
      </c>
      <c r="T1502" s="133"/>
      <c r="U1502" s="623"/>
      <c r="V1502" s="624"/>
      <c r="W1502" s="242">
        <v>39000000</v>
      </c>
      <c r="X1502" s="243">
        <v>0</v>
      </c>
      <c r="Y1502" s="7">
        <f t="shared" si="85"/>
        <v>0</v>
      </c>
      <c r="Z1502" s="7">
        <f t="shared" si="84"/>
        <v>0</v>
      </c>
      <c r="AA1502" s="229"/>
      <c r="AB1502" s="503" t="s">
        <v>3960</v>
      </c>
      <c r="AC1502" s="222"/>
      <c r="AD1502" s="196"/>
      <c r="AE1502" s="187">
        <v>0</v>
      </c>
      <c r="AF1502" s="205">
        <f t="shared" si="86"/>
        <v>0</v>
      </c>
      <c r="AG1502" s="138">
        <v>8</v>
      </c>
      <c r="AH1502" s="197" t="s">
        <v>5149</v>
      </c>
      <c r="AI1502" s="138"/>
      <c r="AJ1502" s="138" t="s">
        <v>1188</v>
      </c>
      <c r="AK1502" s="181" t="s">
        <v>1177</v>
      </c>
      <c r="AL1502" s="138" t="s">
        <v>1178</v>
      </c>
    </row>
    <row r="1503" spans="1:38" ht="15" customHeight="1" x14ac:dyDescent="0.3">
      <c r="A1503" s="181" t="s">
        <v>22</v>
      </c>
      <c r="B1503" s="181" t="s">
        <v>39</v>
      </c>
      <c r="C1503" s="184">
        <v>1</v>
      </c>
      <c r="D1503" s="11" t="s">
        <v>24</v>
      </c>
      <c r="E1503" s="192">
        <v>43437</v>
      </c>
      <c r="F1503" s="181">
        <v>2018</v>
      </c>
      <c r="G1503" s="181" t="s">
        <v>5173</v>
      </c>
      <c r="H1503" s="217" t="s">
        <v>5174</v>
      </c>
      <c r="I1503" s="33" t="s">
        <v>33</v>
      </c>
      <c r="J1503" s="32" t="s">
        <v>26</v>
      </c>
      <c r="K1503" s="264" t="s">
        <v>27</v>
      </c>
      <c r="L1503" s="138" t="s">
        <v>34</v>
      </c>
      <c r="M1503" s="137" t="s">
        <v>804</v>
      </c>
      <c r="N1503" s="30" t="s">
        <v>29</v>
      </c>
      <c r="O1503" s="694" t="s">
        <v>5175</v>
      </c>
      <c r="P1503" s="815" t="s">
        <v>5176</v>
      </c>
      <c r="Q1503" s="152"/>
      <c r="R1503" s="164"/>
      <c r="S1503" s="139"/>
      <c r="T1503" s="165"/>
      <c r="U1503" s="624"/>
      <c r="V1503" s="624"/>
      <c r="W1503" s="239">
        <v>100000000</v>
      </c>
      <c r="X1503" s="240">
        <f>100000000-4542630-35284331</f>
        <v>60173039</v>
      </c>
      <c r="Y1503" s="7">
        <f t="shared" si="85"/>
        <v>0</v>
      </c>
      <c r="Z1503" s="306">
        <f t="shared" si="84"/>
        <v>60173039</v>
      </c>
      <c r="AA1503" s="192">
        <v>44400</v>
      </c>
      <c r="AB1503" s="762" t="s">
        <v>3077</v>
      </c>
      <c r="AC1503" s="652"/>
      <c r="AD1503" s="258">
        <v>1</v>
      </c>
      <c r="AE1503" s="187">
        <v>0</v>
      </c>
      <c r="AF1503" s="205">
        <f t="shared" si="86"/>
        <v>1</v>
      </c>
      <c r="AG1503" s="279">
        <v>8</v>
      </c>
      <c r="AH1503" s="279" t="s">
        <v>3605</v>
      </c>
      <c r="AI1503" s="279"/>
      <c r="AJ1503" s="279" t="s">
        <v>1188</v>
      </c>
      <c r="AK1503" s="30" t="s">
        <v>1177</v>
      </c>
      <c r="AL1503" s="93" t="s">
        <v>1178</v>
      </c>
    </row>
    <row r="1504" spans="1:38" ht="15" customHeight="1" x14ac:dyDescent="0.3">
      <c r="A1504" s="181" t="s">
        <v>160</v>
      </c>
      <c r="B1504" s="153" t="s">
        <v>227</v>
      </c>
      <c r="C1504" s="135">
        <v>2</v>
      </c>
      <c r="D1504" s="11" t="s">
        <v>225</v>
      </c>
      <c r="E1504" s="168">
        <v>43034</v>
      </c>
      <c r="F1504" s="136">
        <v>2017</v>
      </c>
      <c r="G1504" s="178" t="s">
        <v>243</v>
      </c>
      <c r="H1504" s="204" t="s">
        <v>244</v>
      </c>
      <c r="I1504" s="136" t="s">
        <v>38</v>
      </c>
      <c r="J1504" s="181" t="s">
        <v>81</v>
      </c>
      <c r="K1504" s="197" t="s">
        <v>5178</v>
      </c>
      <c r="L1504" s="197" t="s">
        <v>28</v>
      </c>
      <c r="M1504" s="197" t="s">
        <v>42</v>
      </c>
      <c r="N1504" s="138" t="s">
        <v>5179</v>
      </c>
      <c r="O1504" s="694" t="s">
        <v>5180</v>
      </c>
      <c r="P1504" s="197" t="s">
        <v>5181</v>
      </c>
      <c r="Q1504" s="220"/>
      <c r="R1504" s="218"/>
      <c r="S1504" s="649"/>
      <c r="T1504" s="241"/>
      <c r="U1504" s="776"/>
      <c r="V1504" s="776"/>
      <c r="W1504" s="242">
        <v>10000000</v>
      </c>
      <c r="X1504" s="189">
        <v>0</v>
      </c>
      <c r="Y1504" s="7">
        <f t="shared" si="85"/>
        <v>0</v>
      </c>
      <c r="Z1504" s="7">
        <f t="shared" si="84"/>
        <v>0</v>
      </c>
      <c r="AA1504" s="229"/>
      <c r="AB1504" s="503" t="s">
        <v>3592</v>
      </c>
      <c r="AC1504" s="222"/>
      <c r="AD1504" s="196"/>
      <c r="AE1504" s="196">
        <v>0</v>
      </c>
      <c r="AF1504" s="210">
        <f t="shared" si="86"/>
        <v>0</v>
      </c>
      <c r="AG1504" s="197" t="s">
        <v>3604</v>
      </c>
      <c r="AH1504" s="197" t="s">
        <v>245</v>
      </c>
      <c r="AI1504" s="197"/>
      <c r="AJ1504" s="197" t="s">
        <v>1188</v>
      </c>
      <c r="AK1504" s="197" t="s">
        <v>3457</v>
      </c>
      <c r="AL1504" s="138" t="s">
        <v>1178</v>
      </c>
    </row>
    <row r="1505" spans="1:38" ht="15" customHeight="1" x14ac:dyDescent="0.3">
      <c r="A1505" s="181" t="s">
        <v>22</v>
      </c>
      <c r="B1505" s="120" t="s">
        <v>105</v>
      </c>
      <c r="C1505" s="107">
        <v>34</v>
      </c>
      <c r="D1505" s="11" t="s">
        <v>5936</v>
      </c>
      <c r="E1505" s="114">
        <v>43173</v>
      </c>
      <c r="F1505" s="12">
        <v>2018</v>
      </c>
      <c r="G1505" s="142" t="s">
        <v>5182</v>
      </c>
      <c r="H1505" s="162" t="s">
        <v>5183</v>
      </c>
      <c r="I1505" s="107" t="s">
        <v>38</v>
      </c>
      <c r="J1505" s="32" t="s">
        <v>26</v>
      </c>
      <c r="K1505" s="197" t="s">
        <v>111</v>
      </c>
      <c r="L1505" s="264" t="s">
        <v>28</v>
      </c>
      <c r="M1505" s="264" t="s">
        <v>42</v>
      </c>
      <c r="N1505" s="310" t="s">
        <v>82</v>
      </c>
      <c r="O1505" s="831" t="s">
        <v>5184</v>
      </c>
      <c r="P1505" s="783" t="s">
        <v>5185</v>
      </c>
      <c r="Q1505" s="15" t="s">
        <v>282</v>
      </c>
      <c r="R1505" s="218">
        <v>43886</v>
      </c>
      <c r="S1505" s="16" t="s">
        <v>44</v>
      </c>
      <c r="T1505" s="133">
        <v>44407</v>
      </c>
      <c r="U1505" s="623"/>
      <c r="V1505" s="624"/>
      <c r="W1505" s="242">
        <v>142000000</v>
      </c>
      <c r="X1505" s="243">
        <v>0</v>
      </c>
      <c r="Y1505" s="7">
        <f t="shared" si="85"/>
        <v>0</v>
      </c>
      <c r="Z1505" s="7">
        <f t="shared" si="84"/>
        <v>0</v>
      </c>
      <c r="AA1505" s="229"/>
      <c r="AB1505" s="564" t="s">
        <v>1073</v>
      </c>
      <c r="AC1505" s="693"/>
      <c r="AD1505" s="196"/>
      <c r="AE1505" s="187">
        <v>0</v>
      </c>
      <c r="AF1505" s="205">
        <f t="shared" si="86"/>
        <v>0</v>
      </c>
      <c r="AG1505" s="138">
        <v>8</v>
      </c>
      <c r="AH1505" s="197" t="s">
        <v>5163</v>
      </c>
      <c r="AI1505" s="138"/>
      <c r="AJ1505" s="138" t="s">
        <v>1188</v>
      </c>
      <c r="AK1505" s="181" t="s">
        <v>1177</v>
      </c>
      <c r="AL1505" s="138" t="s">
        <v>1178</v>
      </c>
    </row>
    <row r="1506" spans="1:38" ht="15" customHeight="1" x14ac:dyDescent="0.3">
      <c r="A1506" s="181" t="s">
        <v>22</v>
      </c>
      <c r="B1506" s="120" t="s">
        <v>197</v>
      </c>
      <c r="C1506" s="107">
        <v>6</v>
      </c>
      <c r="D1506" s="12" t="s">
        <v>190</v>
      </c>
      <c r="E1506" s="114">
        <v>43293</v>
      </c>
      <c r="F1506" s="12">
        <v>2018</v>
      </c>
      <c r="G1506" s="142" t="s">
        <v>5187</v>
      </c>
      <c r="H1506" s="162" t="s">
        <v>5188</v>
      </c>
      <c r="I1506" s="107" t="s">
        <v>38</v>
      </c>
      <c r="J1506" s="32" t="s">
        <v>26</v>
      </c>
      <c r="K1506" s="264" t="s">
        <v>86</v>
      </c>
      <c r="L1506" s="264" t="s">
        <v>28</v>
      </c>
      <c r="M1506" s="264" t="s">
        <v>42</v>
      </c>
      <c r="N1506" s="310" t="s">
        <v>82</v>
      </c>
      <c r="O1506" s="831" t="s">
        <v>5189</v>
      </c>
      <c r="P1506" s="783" t="s">
        <v>5190</v>
      </c>
      <c r="Q1506" s="15" t="s">
        <v>282</v>
      </c>
      <c r="R1506" s="231">
        <v>44097</v>
      </c>
      <c r="S1506" s="16" t="s">
        <v>44</v>
      </c>
      <c r="T1506" s="268">
        <v>44589</v>
      </c>
      <c r="U1506" s="803"/>
      <c r="V1506" s="803"/>
      <c r="W1506" s="242">
        <v>40000000</v>
      </c>
      <c r="X1506" s="240">
        <v>0</v>
      </c>
      <c r="Y1506" s="7">
        <f t="shared" si="85"/>
        <v>0</v>
      </c>
      <c r="Z1506" s="7">
        <f t="shared" si="84"/>
        <v>0</v>
      </c>
      <c r="AA1506" s="192"/>
      <c r="AB1506" s="564" t="s">
        <v>2595</v>
      </c>
      <c r="AC1506" s="693"/>
      <c r="AD1506" s="258"/>
      <c r="AE1506" s="187">
        <v>0</v>
      </c>
      <c r="AF1506" s="205">
        <f t="shared" si="86"/>
        <v>0</v>
      </c>
      <c r="AG1506" s="181">
        <v>8</v>
      </c>
      <c r="AH1506" s="264" t="s">
        <v>5167</v>
      </c>
      <c r="AI1506" s="138"/>
      <c r="AJ1506" s="197" t="s">
        <v>1188</v>
      </c>
      <c r="AK1506" s="197" t="s">
        <v>1177</v>
      </c>
      <c r="AL1506" s="138" t="s">
        <v>1178</v>
      </c>
    </row>
    <row r="1507" spans="1:38" ht="15" customHeight="1" x14ac:dyDescent="0.3">
      <c r="A1507" s="181" t="s">
        <v>22</v>
      </c>
      <c r="B1507" s="265" t="s">
        <v>2049</v>
      </c>
      <c r="C1507" s="245" t="s">
        <v>240</v>
      </c>
      <c r="D1507" s="11" t="s">
        <v>225</v>
      </c>
      <c r="E1507" s="247">
        <v>43047</v>
      </c>
      <c r="F1507" s="246">
        <v>2017</v>
      </c>
      <c r="G1507" s="792" t="s">
        <v>5192</v>
      </c>
      <c r="H1507" s="792" t="s">
        <v>5193</v>
      </c>
      <c r="I1507" s="246" t="s">
        <v>38</v>
      </c>
      <c r="J1507" s="32" t="s">
        <v>26</v>
      </c>
      <c r="K1507" s="264" t="s">
        <v>111</v>
      </c>
      <c r="L1507" s="264" t="s">
        <v>28</v>
      </c>
      <c r="M1507" s="264" t="s">
        <v>42</v>
      </c>
      <c r="N1507" s="310" t="s">
        <v>82</v>
      </c>
      <c r="O1507" s="832" t="s">
        <v>5194</v>
      </c>
      <c r="P1507" s="794" t="s">
        <v>5195</v>
      </c>
      <c r="Q1507" s="15" t="s">
        <v>282</v>
      </c>
      <c r="R1507" s="231">
        <v>44272</v>
      </c>
      <c r="S1507" s="16" t="s">
        <v>44</v>
      </c>
      <c r="T1507" s="232">
        <v>44545</v>
      </c>
      <c r="U1507" s="776"/>
      <c r="V1507" s="776"/>
      <c r="W1507" s="242">
        <v>12500000</v>
      </c>
      <c r="X1507" s="185">
        <v>0</v>
      </c>
      <c r="Y1507" s="7">
        <f t="shared" si="85"/>
        <v>0</v>
      </c>
      <c r="Z1507" s="7">
        <f t="shared" si="84"/>
        <v>0</v>
      </c>
      <c r="AA1507" s="192">
        <v>44520</v>
      </c>
      <c r="AB1507" s="504" t="s">
        <v>6115</v>
      </c>
      <c r="AC1507" s="138"/>
      <c r="AD1507" s="196">
        <v>0</v>
      </c>
      <c r="AE1507" s="187">
        <v>0</v>
      </c>
      <c r="AF1507" s="210">
        <f t="shared" si="86"/>
        <v>0</v>
      </c>
      <c r="AG1507" s="197"/>
      <c r="AH1507" s="264" t="s">
        <v>5172</v>
      </c>
      <c r="AI1507" s="197"/>
      <c r="AJ1507" s="197" t="s">
        <v>1188</v>
      </c>
      <c r="AK1507" s="197" t="s">
        <v>1177</v>
      </c>
      <c r="AL1507" s="93" t="s">
        <v>1178</v>
      </c>
    </row>
    <row r="1508" spans="1:38" ht="15" customHeight="1" x14ac:dyDescent="0.3">
      <c r="A1508" s="181" t="s">
        <v>22</v>
      </c>
      <c r="B1508" s="265" t="s">
        <v>233</v>
      </c>
      <c r="C1508" s="245">
        <v>1</v>
      </c>
      <c r="D1508" s="11" t="s">
        <v>225</v>
      </c>
      <c r="E1508" s="247">
        <v>42761</v>
      </c>
      <c r="F1508" s="246">
        <v>2017</v>
      </c>
      <c r="G1508" s="792" t="s">
        <v>5196</v>
      </c>
      <c r="H1508" s="792" t="s">
        <v>5197</v>
      </c>
      <c r="I1508" s="30" t="s">
        <v>38</v>
      </c>
      <c r="J1508" s="32" t="s">
        <v>26</v>
      </c>
      <c r="K1508" s="264" t="s">
        <v>4714</v>
      </c>
      <c r="L1508" s="264" t="s">
        <v>5198</v>
      </c>
      <c r="M1508" s="137" t="s">
        <v>804</v>
      </c>
      <c r="N1508" s="138" t="s">
        <v>82</v>
      </c>
      <c r="O1508" s="832" t="s">
        <v>5199</v>
      </c>
      <c r="P1508" s="811" t="s">
        <v>5200</v>
      </c>
      <c r="Q1508" s="15" t="s">
        <v>35</v>
      </c>
      <c r="R1508" s="231">
        <v>43357</v>
      </c>
      <c r="S1508" s="16" t="s">
        <v>35</v>
      </c>
      <c r="T1508" s="232">
        <v>43557</v>
      </c>
      <c r="U1508" s="776"/>
      <c r="V1508" s="776"/>
      <c r="W1508" s="242">
        <v>148000000</v>
      </c>
      <c r="X1508" s="185">
        <f>148000000-121719103</f>
        <v>26280897</v>
      </c>
      <c r="Y1508" s="7">
        <f t="shared" si="85"/>
        <v>0</v>
      </c>
      <c r="Z1508" s="7">
        <f t="shared" si="84"/>
        <v>26280897</v>
      </c>
      <c r="AA1508" s="229">
        <v>44494</v>
      </c>
      <c r="AB1508" s="604" t="s">
        <v>3744</v>
      </c>
      <c r="AC1508" s="163"/>
      <c r="AD1508" s="196">
        <v>1</v>
      </c>
      <c r="AE1508" s="187">
        <v>0</v>
      </c>
      <c r="AF1508" s="210">
        <f t="shared" si="86"/>
        <v>1</v>
      </c>
      <c r="AG1508" s="197">
        <v>8</v>
      </c>
      <c r="AH1508" s="197" t="s">
        <v>5177</v>
      </c>
      <c r="AI1508" s="197"/>
      <c r="AJ1508" s="197" t="s">
        <v>1188</v>
      </c>
      <c r="AK1508" s="30" t="s">
        <v>99</v>
      </c>
      <c r="AL1508" s="93" t="s">
        <v>1178</v>
      </c>
    </row>
    <row r="1509" spans="1:38" ht="15" customHeight="1" x14ac:dyDescent="0.3">
      <c r="A1509" s="181" t="s">
        <v>22</v>
      </c>
      <c r="B1509" s="145" t="s">
        <v>5127</v>
      </c>
      <c r="C1509" s="135" t="s">
        <v>3604</v>
      </c>
      <c r="D1509" s="11" t="s">
        <v>5936</v>
      </c>
      <c r="E1509" s="168">
        <v>41575</v>
      </c>
      <c r="F1509" s="136">
        <v>2013</v>
      </c>
      <c r="G1509" s="178" t="s">
        <v>5201</v>
      </c>
      <c r="H1509" s="204"/>
      <c r="I1509" s="33" t="s">
        <v>33</v>
      </c>
      <c r="J1509" s="32" t="s">
        <v>26</v>
      </c>
      <c r="K1509" s="264" t="s">
        <v>27</v>
      </c>
      <c r="L1509" s="746" t="s">
        <v>109</v>
      </c>
      <c r="M1509" s="137" t="s">
        <v>804</v>
      </c>
      <c r="N1509" s="30" t="s">
        <v>29</v>
      </c>
      <c r="O1509" s="693" t="s">
        <v>5202</v>
      </c>
      <c r="P1509" s="718" t="s">
        <v>5203</v>
      </c>
      <c r="Q1509" s="15" t="s">
        <v>35</v>
      </c>
      <c r="R1509" s="132">
        <v>42291</v>
      </c>
      <c r="S1509" s="16" t="s">
        <v>35</v>
      </c>
      <c r="T1509" s="133">
        <v>43027</v>
      </c>
      <c r="U1509" s="623"/>
      <c r="V1509" s="624"/>
      <c r="W1509" s="242">
        <v>150000000</v>
      </c>
      <c r="X1509" s="243">
        <f>150000000-150000000</f>
        <v>0</v>
      </c>
      <c r="Y1509" s="7">
        <f t="shared" si="85"/>
        <v>0</v>
      </c>
      <c r="Z1509" s="7">
        <f t="shared" si="84"/>
        <v>0</v>
      </c>
      <c r="AA1509" s="192">
        <v>44540</v>
      </c>
      <c r="AB1509" s="503" t="s">
        <v>6160</v>
      </c>
      <c r="AC1509" s="222"/>
      <c r="AD1509" s="196">
        <v>1</v>
      </c>
      <c r="AE1509" s="187">
        <v>0</v>
      </c>
      <c r="AF1509" s="210">
        <f t="shared" si="86"/>
        <v>1</v>
      </c>
      <c r="AG1509" s="138">
        <v>8</v>
      </c>
      <c r="AH1509" s="138"/>
      <c r="AI1509" s="138"/>
      <c r="AJ1509" s="138" t="s">
        <v>1188</v>
      </c>
      <c r="AK1509" s="30" t="s">
        <v>99</v>
      </c>
      <c r="AL1509" s="138" t="s">
        <v>1178</v>
      </c>
    </row>
    <row r="1510" spans="1:38" ht="15" customHeight="1" x14ac:dyDescent="0.3">
      <c r="A1510" s="181" t="s">
        <v>22</v>
      </c>
      <c r="B1510" s="297" t="s">
        <v>105</v>
      </c>
      <c r="C1510" s="245">
        <v>17</v>
      </c>
      <c r="D1510" s="11" t="s">
        <v>5936</v>
      </c>
      <c r="E1510" s="247">
        <v>43038</v>
      </c>
      <c r="F1510" s="246">
        <v>2017</v>
      </c>
      <c r="G1510" s="792" t="s">
        <v>5204</v>
      </c>
      <c r="H1510" s="792" t="s">
        <v>5205</v>
      </c>
      <c r="I1510" s="246" t="s">
        <v>38</v>
      </c>
      <c r="J1510" s="248" t="s">
        <v>81</v>
      </c>
      <c r="K1510" s="264" t="s">
        <v>5206</v>
      </c>
      <c r="L1510" s="264" t="s">
        <v>28</v>
      </c>
      <c r="M1510" s="264" t="s">
        <v>42</v>
      </c>
      <c r="N1510" s="310" t="s">
        <v>82</v>
      </c>
      <c r="O1510" s="832" t="s">
        <v>5207</v>
      </c>
      <c r="P1510" s="794" t="s">
        <v>5208</v>
      </c>
      <c r="Q1510" s="15" t="s">
        <v>282</v>
      </c>
      <c r="R1510" s="218">
        <v>43602</v>
      </c>
      <c r="S1510" s="16" t="s">
        <v>44</v>
      </c>
      <c r="T1510" s="133">
        <v>44448</v>
      </c>
      <c r="U1510" s="623"/>
      <c r="V1510" s="624"/>
      <c r="W1510" s="239">
        <v>56000000</v>
      </c>
      <c r="X1510" s="243">
        <v>0</v>
      </c>
      <c r="Y1510" s="7">
        <f t="shared" si="85"/>
        <v>0</v>
      </c>
      <c r="Z1510" s="7">
        <f t="shared" si="84"/>
        <v>0</v>
      </c>
      <c r="AA1510" s="267"/>
      <c r="AB1510" s="513" t="s">
        <v>3232</v>
      </c>
      <c r="AC1510" s="147"/>
      <c r="AD1510" s="187">
        <v>0</v>
      </c>
      <c r="AE1510" s="187">
        <v>0</v>
      </c>
      <c r="AF1510" s="205">
        <f t="shared" si="86"/>
        <v>0</v>
      </c>
      <c r="AG1510" s="181">
        <v>8</v>
      </c>
      <c r="AH1510" s="264" t="s">
        <v>5186</v>
      </c>
      <c r="AI1510" s="138"/>
      <c r="AJ1510" s="138" t="s">
        <v>1188</v>
      </c>
      <c r="AK1510" s="181" t="s">
        <v>1185</v>
      </c>
      <c r="AL1510" s="138" t="s">
        <v>1178</v>
      </c>
    </row>
    <row r="1511" spans="1:38" ht="15" customHeight="1" x14ac:dyDescent="0.3">
      <c r="A1511" s="181" t="s">
        <v>22</v>
      </c>
      <c r="B1511" s="293" t="s">
        <v>197</v>
      </c>
      <c r="C1511" s="135">
        <v>5</v>
      </c>
      <c r="D1511" s="136" t="s">
        <v>190</v>
      </c>
      <c r="E1511" s="168">
        <v>43364</v>
      </c>
      <c r="F1511" s="136">
        <v>2018</v>
      </c>
      <c r="G1511" s="178" t="s">
        <v>5211</v>
      </c>
      <c r="H1511" s="204" t="s">
        <v>5212</v>
      </c>
      <c r="I1511" s="135" t="s">
        <v>38</v>
      </c>
      <c r="J1511" s="32" t="s">
        <v>26</v>
      </c>
      <c r="K1511" s="197" t="s">
        <v>111</v>
      </c>
      <c r="L1511" s="197" t="s">
        <v>28</v>
      </c>
      <c r="M1511" s="197" t="s">
        <v>42</v>
      </c>
      <c r="N1511" s="138" t="s">
        <v>82</v>
      </c>
      <c r="O1511" s="831" t="s">
        <v>5213</v>
      </c>
      <c r="P1511" s="783" t="s">
        <v>5214</v>
      </c>
      <c r="Q1511" s="15" t="s">
        <v>282</v>
      </c>
      <c r="R1511" s="231">
        <v>43689</v>
      </c>
      <c r="S1511" s="16" t="s">
        <v>44</v>
      </c>
      <c r="T1511" s="268">
        <v>44575</v>
      </c>
      <c r="U1511" s="803"/>
      <c r="V1511" s="803"/>
      <c r="W1511" s="242">
        <v>18000000</v>
      </c>
      <c r="X1511" s="240">
        <v>0</v>
      </c>
      <c r="Y1511" s="7">
        <f t="shared" si="85"/>
        <v>0</v>
      </c>
      <c r="Z1511" s="7">
        <f t="shared" si="84"/>
        <v>0</v>
      </c>
      <c r="AA1511" s="192"/>
      <c r="AB1511" s="564" t="s">
        <v>2595</v>
      </c>
      <c r="AC1511" s="693"/>
      <c r="AD1511" s="258"/>
      <c r="AE1511" s="187">
        <v>0</v>
      </c>
      <c r="AF1511" s="205">
        <f t="shared" si="86"/>
        <v>0</v>
      </c>
      <c r="AG1511" s="181">
        <v>8</v>
      </c>
      <c r="AH1511" s="264" t="s">
        <v>5191</v>
      </c>
      <c r="AI1511" s="138"/>
      <c r="AJ1511" s="197" t="s">
        <v>1188</v>
      </c>
      <c r="AK1511" s="197" t="s">
        <v>1185</v>
      </c>
      <c r="AL1511" s="200" t="s">
        <v>1178</v>
      </c>
    </row>
    <row r="1512" spans="1:38" ht="15" customHeight="1" x14ac:dyDescent="0.3">
      <c r="A1512" s="248" t="s">
        <v>140</v>
      </c>
      <c r="B1512" s="153" t="s">
        <v>220</v>
      </c>
      <c r="C1512" s="308">
        <v>2</v>
      </c>
      <c r="D1512" s="307" t="s">
        <v>190</v>
      </c>
      <c r="E1512" s="309">
        <v>44440</v>
      </c>
      <c r="F1512" s="310">
        <v>2021</v>
      </c>
      <c r="G1512" s="307" t="s">
        <v>5216</v>
      </c>
      <c r="H1512" s="261" t="s">
        <v>5217</v>
      </c>
      <c r="I1512" s="310" t="s">
        <v>38</v>
      </c>
      <c r="J1512" s="307" t="s">
        <v>81</v>
      </c>
      <c r="K1512" s="264" t="s">
        <v>163</v>
      </c>
      <c r="L1512" s="310" t="s">
        <v>28</v>
      </c>
      <c r="M1512" s="307" t="s">
        <v>42</v>
      </c>
      <c r="N1512" s="553" t="s">
        <v>122</v>
      </c>
      <c r="O1512" s="833" t="s">
        <v>5218</v>
      </c>
      <c r="P1512" s="310" t="s">
        <v>5219</v>
      </c>
      <c r="Q1512" s="15" t="s">
        <v>282</v>
      </c>
      <c r="R1512" s="231">
        <v>44508</v>
      </c>
      <c r="S1512" s="16" t="s">
        <v>44</v>
      </c>
      <c r="T1512" s="268">
        <v>44518</v>
      </c>
      <c r="U1512" s="803"/>
      <c r="V1512" s="803"/>
      <c r="W1512" s="242">
        <v>10000000</v>
      </c>
      <c r="X1512" s="261"/>
      <c r="Y1512" s="7">
        <f t="shared" si="85"/>
        <v>0</v>
      </c>
      <c r="Z1512" s="7">
        <f t="shared" si="84"/>
        <v>0</v>
      </c>
      <c r="AA1512" s="261"/>
      <c r="AB1512" s="503" t="s">
        <v>3960</v>
      </c>
      <c r="AC1512" s="222"/>
      <c r="AD1512" s="258"/>
      <c r="AE1512" s="195">
        <v>0</v>
      </c>
      <c r="AF1512" s="310"/>
      <c r="AG1512" s="307">
        <v>10</v>
      </c>
      <c r="AH1512" s="261" t="s">
        <v>6161</v>
      </c>
      <c r="AI1512" s="310"/>
      <c r="AJ1512" s="307" t="s">
        <v>1188</v>
      </c>
      <c r="AK1512" s="261" t="s">
        <v>1177</v>
      </c>
      <c r="AL1512" s="310" t="s">
        <v>1178</v>
      </c>
    </row>
    <row r="1513" spans="1:38" ht="15" customHeight="1" x14ac:dyDescent="0.3">
      <c r="A1513" s="248" t="s">
        <v>140</v>
      </c>
      <c r="B1513" s="266" t="s">
        <v>211</v>
      </c>
      <c r="C1513" s="266">
        <v>3</v>
      </c>
      <c r="D1513" s="248" t="s">
        <v>190</v>
      </c>
      <c r="E1513" s="309">
        <v>44473</v>
      </c>
      <c r="F1513" s="310">
        <v>2021</v>
      </c>
      <c r="G1513" s="307" t="s">
        <v>5220</v>
      </c>
      <c r="H1513" s="301" t="s">
        <v>5221</v>
      </c>
      <c r="I1513" s="310" t="s">
        <v>38</v>
      </c>
      <c r="J1513" s="307" t="s">
        <v>81</v>
      </c>
      <c r="K1513" s="264" t="s">
        <v>163</v>
      </c>
      <c r="L1513" s="310" t="s">
        <v>28</v>
      </c>
      <c r="M1513" s="307" t="s">
        <v>42</v>
      </c>
      <c r="N1513" s="553" t="s">
        <v>122</v>
      </c>
      <c r="O1513" s="834" t="s">
        <v>5222</v>
      </c>
      <c r="P1513" s="835" t="s">
        <v>5223</v>
      </c>
      <c r="Q1513" s="15" t="s">
        <v>282</v>
      </c>
      <c r="R1513" s="230" t="s">
        <v>5224</v>
      </c>
      <c r="S1513" s="16" t="s">
        <v>44</v>
      </c>
      <c r="T1513" s="268">
        <v>44623</v>
      </c>
      <c r="U1513" s="803"/>
      <c r="V1513" s="803"/>
      <c r="W1513" s="242">
        <v>5000000</v>
      </c>
      <c r="X1513" s="261"/>
      <c r="Y1513" s="7">
        <f t="shared" si="85"/>
        <v>0</v>
      </c>
      <c r="Z1513" s="7">
        <f t="shared" si="84"/>
        <v>0</v>
      </c>
      <c r="AA1513" s="261"/>
      <c r="AB1513" s="503" t="s">
        <v>3960</v>
      </c>
      <c r="AC1513" s="222"/>
      <c r="AD1513" s="258"/>
      <c r="AE1513" s="195">
        <v>0</v>
      </c>
      <c r="AF1513" s="310"/>
      <c r="AG1513" s="307">
        <v>8</v>
      </c>
      <c r="AH1513" s="261"/>
      <c r="AI1513" s="310"/>
      <c r="AJ1513" s="307" t="s">
        <v>1188</v>
      </c>
      <c r="AK1513" s="261" t="s">
        <v>1177</v>
      </c>
      <c r="AL1513" s="310" t="s">
        <v>1178</v>
      </c>
    </row>
    <row r="1514" spans="1:38" ht="15" customHeight="1" x14ac:dyDescent="0.3">
      <c r="A1514" s="248" t="s">
        <v>140</v>
      </c>
      <c r="B1514" s="145" t="s">
        <v>116</v>
      </c>
      <c r="C1514" s="135"/>
      <c r="D1514" s="11" t="s">
        <v>5936</v>
      </c>
      <c r="E1514" s="168">
        <v>43893</v>
      </c>
      <c r="F1514" s="246">
        <v>2020</v>
      </c>
      <c r="G1514" s="247" t="s">
        <v>5225</v>
      </c>
      <c r="H1514" s="836" t="s">
        <v>5226</v>
      </c>
      <c r="I1514" s="245" t="s">
        <v>38</v>
      </c>
      <c r="J1514" s="248" t="s">
        <v>81</v>
      </c>
      <c r="K1514" s="264" t="s">
        <v>163</v>
      </c>
      <c r="L1514" s="264" t="s">
        <v>28</v>
      </c>
      <c r="M1514" s="264" t="s">
        <v>42</v>
      </c>
      <c r="N1514" s="310" t="s">
        <v>122</v>
      </c>
      <c r="O1514" s="831" t="s">
        <v>5078</v>
      </c>
      <c r="P1514" s="827" t="s">
        <v>5227</v>
      </c>
      <c r="Q1514" s="220"/>
      <c r="R1514" s="218"/>
      <c r="S1514" s="16" t="s">
        <v>35</v>
      </c>
      <c r="T1514" s="133"/>
      <c r="U1514" s="623"/>
      <c r="V1514" s="624"/>
      <c r="W1514" s="242">
        <v>4000000</v>
      </c>
      <c r="X1514" s="243"/>
      <c r="Y1514" s="7">
        <f t="shared" si="85"/>
        <v>0</v>
      </c>
      <c r="Z1514" s="7">
        <f t="shared" si="84"/>
        <v>0</v>
      </c>
      <c r="AA1514" s="229"/>
      <c r="AB1514" s="503" t="s">
        <v>3960</v>
      </c>
      <c r="AC1514" s="222"/>
      <c r="AD1514" s="196"/>
      <c r="AE1514" s="187">
        <v>0</v>
      </c>
      <c r="AF1514" s="205"/>
      <c r="AG1514" s="138">
        <v>10</v>
      </c>
      <c r="AH1514" s="197"/>
      <c r="AI1514" s="138"/>
      <c r="AJ1514" s="138" t="s">
        <v>1188</v>
      </c>
      <c r="AK1514" s="181" t="s">
        <v>1177</v>
      </c>
      <c r="AL1514" s="138" t="s">
        <v>1178</v>
      </c>
    </row>
    <row r="1515" spans="1:38" ht="15" customHeight="1" x14ac:dyDescent="0.3">
      <c r="A1515" s="181" t="s">
        <v>22</v>
      </c>
      <c r="B1515" s="181" t="s">
        <v>23</v>
      </c>
      <c r="C1515" s="184">
        <v>7</v>
      </c>
      <c r="D1515" s="11" t="s">
        <v>24</v>
      </c>
      <c r="E1515" s="192">
        <v>42928</v>
      </c>
      <c r="F1515" s="181">
        <v>2017</v>
      </c>
      <c r="G1515" s="181" t="s">
        <v>5229</v>
      </c>
      <c r="H1515" s="217" t="s">
        <v>5230</v>
      </c>
      <c r="I1515" s="12" t="s">
        <v>38</v>
      </c>
      <c r="J1515" s="32" t="s">
        <v>26</v>
      </c>
      <c r="K1515" s="197" t="s">
        <v>50</v>
      </c>
      <c r="L1515" s="138" t="s">
        <v>56</v>
      </c>
      <c r="M1515" s="279" t="s">
        <v>42</v>
      </c>
      <c r="N1515" s="181" t="s">
        <v>82</v>
      </c>
      <c r="O1515" s="764" t="s">
        <v>5231</v>
      </c>
      <c r="P1515" s="815" t="s">
        <v>5232</v>
      </c>
      <c r="Q1515" s="15" t="s">
        <v>282</v>
      </c>
      <c r="R1515" s="164">
        <v>43251</v>
      </c>
      <c r="S1515" s="16" t="s">
        <v>44</v>
      </c>
      <c r="T1515" s="165">
        <v>43560</v>
      </c>
      <c r="U1515" s="624"/>
      <c r="V1515" s="624"/>
      <c r="W1515" s="239">
        <v>97000000</v>
      </c>
      <c r="X1515" s="240">
        <v>0</v>
      </c>
      <c r="Y1515" s="7">
        <f t="shared" si="85"/>
        <v>0</v>
      </c>
      <c r="Z1515" s="7">
        <f t="shared" si="84"/>
        <v>0</v>
      </c>
      <c r="AA1515" s="192"/>
      <c r="AB1515" s="762" t="s">
        <v>3077</v>
      </c>
      <c r="AC1515" s="652"/>
      <c r="AD1515" s="258">
        <v>0</v>
      </c>
      <c r="AE1515" s="187">
        <v>0</v>
      </c>
      <c r="AF1515" s="205">
        <f t="shared" ref="AF1515:AF1520" si="87">AE1515+AD1515</f>
        <v>0</v>
      </c>
      <c r="AG1515" s="279">
        <v>8</v>
      </c>
      <c r="AH1515" s="279" t="s">
        <v>5209</v>
      </c>
      <c r="AI1515" s="181"/>
      <c r="AJ1515" s="279" t="s">
        <v>1188</v>
      </c>
      <c r="AK1515" s="30" t="s">
        <v>1185</v>
      </c>
      <c r="AL1515" s="93" t="s">
        <v>1178</v>
      </c>
    </row>
    <row r="1516" spans="1:38" ht="15" customHeight="1" x14ac:dyDescent="0.3">
      <c r="A1516" s="181" t="s">
        <v>22</v>
      </c>
      <c r="B1516" s="181" t="s">
        <v>5210</v>
      </c>
      <c r="C1516" s="184">
        <v>1</v>
      </c>
      <c r="D1516" s="11" t="s">
        <v>24</v>
      </c>
      <c r="E1516" s="192">
        <v>43182</v>
      </c>
      <c r="F1516" s="181">
        <v>2018</v>
      </c>
      <c r="G1516" s="181" t="s">
        <v>5233</v>
      </c>
      <c r="H1516" s="217" t="s">
        <v>5234</v>
      </c>
      <c r="I1516" s="12" t="s">
        <v>38</v>
      </c>
      <c r="J1516" s="32" t="s">
        <v>26</v>
      </c>
      <c r="K1516" s="197" t="s">
        <v>50</v>
      </c>
      <c r="L1516" s="138" t="s">
        <v>56</v>
      </c>
      <c r="M1516" s="279" t="s">
        <v>42</v>
      </c>
      <c r="N1516" s="181" t="s">
        <v>82</v>
      </c>
      <c r="O1516" s="695" t="s">
        <v>5235</v>
      </c>
      <c r="P1516" s="815" t="s">
        <v>5236</v>
      </c>
      <c r="Q1516" s="15" t="s">
        <v>282</v>
      </c>
      <c r="R1516" s="164">
        <v>43559</v>
      </c>
      <c r="S1516" s="16" t="s">
        <v>44</v>
      </c>
      <c r="T1516" s="165">
        <v>43754</v>
      </c>
      <c r="U1516" s="624"/>
      <c r="V1516" s="624"/>
      <c r="W1516" s="239">
        <v>85000000</v>
      </c>
      <c r="X1516" s="240">
        <v>0</v>
      </c>
      <c r="Y1516" s="7">
        <f t="shared" si="85"/>
        <v>0</v>
      </c>
      <c r="Z1516" s="7">
        <f t="shared" si="84"/>
        <v>0</v>
      </c>
      <c r="AA1516" s="192"/>
      <c r="AB1516" s="762" t="s">
        <v>3077</v>
      </c>
      <c r="AC1516" s="652"/>
      <c r="AD1516" s="258">
        <v>0</v>
      </c>
      <c r="AE1516" s="187">
        <v>0</v>
      </c>
      <c r="AF1516" s="205">
        <f t="shared" si="87"/>
        <v>0</v>
      </c>
      <c r="AG1516" s="279">
        <v>8</v>
      </c>
      <c r="AH1516" s="279" t="s">
        <v>5215</v>
      </c>
      <c r="AI1516" s="279"/>
      <c r="AJ1516" s="279" t="s">
        <v>1188</v>
      </c>
      <c r="AK1516" s="30" t="s">
        <v>1185</v>
      </c>
      <c r="AL1516" s="93" t="s">
        <v>1178</v>
      </c>
    </row>
    <row r="1517" spans="1:38" ht="15" customHeight="1" x14ac:dyDescent="0.3">
      <c r="A1517" s="30" t="s">
        <v>140</v>
      </c>
      <c r="B1517" s="120" t="s">
        <v>227</v>
      </c>
      <c r="C1517" s="107">
        <v>10</v>
      </c>
      <c r="D1517" s="11" t="s">
        <v>225</v>
      </c>
      <c r="E1517" s="114">
        <v>41926</v>
      </c>
      <c r="F1517" s="12">
        <v>2014</v>
      </c>
      <c r="G1517" s="142" t="s">
        <v>5237</v>
      </c>
      <c r="H1517" s="204" t="s">
        <v>5238</v>
      </c>
      <c r="I1517" s="12" t="s">
        <v>38</v>
      </c>
      <c r="J1517" s="30" t="s">
        <v>81</v>
      </c>
      <c r="K1517" s="264" t="s">
        <v>163</v>
      </c>
      <c r="L1517" s="746" t="s">
        <v>28</v>
      </c>
      <c r="M1517" s="197" t="s">
        <v>42</v>
      </c>
      <c r="N1517" s="138" t="s">
        <v>122</v>
      </c>
      <c r="O1517" s="694" t="s">
        <v>5239</v>
      </c>
      <c r="P1517" s="197" t="s">
        <v>5240</v>
      </c>
      <c r="Q1517" s="15" t="s">
        <v>282</v>
      </c>
      <c r="R1517" s="231">
        <v>43536</v>
      </c>
      <c r="S1517" s="241"/>
      <c r="T1517" s="241"/>
      <c r="U1517" s="776"/>
      <c r="V1517" s="776"/>
      <c r="W1517" s="242">
        <v>5000000</v>
      </c>
      <c r="X1517" s="259">
        <v>0</v>
      </c>
      <c r="Y1517" s="7">
        <f t="shared" si="85"/>
        <v>0</v>
      </c>
      <c r="Z1517" s="7">
        <f t="shared" si="84"/>
        <v>0</v>
      </c>
      <c r="AA1517" s="229"/>
      <c r="AB1517" s="504" t="s">
        <v>6115</v>
      </c>
      <c r="AC1517" s="138"/>
      <c r="AD1517" s="196">
        <v>0</v>
      </c>
      <c r="AE1517" s="187">
        <v>0</v>
      </c>
      <c r="AF1517" s="210">
        <f t="shared" si="87"/>
        <v>0</v>
      </c>
      <c r="AG1517" s="188">
        <v>8</v>
      </c>
      <c r="AH1517" s="197"/>
      <c r="AI1517" s="736" t="s">
        <v>3698</v>
      </c>
      <c r="AJ1517" s="197" t="s">
        <v>1188</v>
      </c>
      <c r="AK1517" s="279" t="s">
        <v>1185</v>
      </c>
      <c r="AL1517" s="138" t="s">
        <v>1178</v>
      </c>
    </row>
    <row r="1518" spans="1:38" ht="15" customHeight="1" x14ac:dyDescent="0.3">
      <c r="A1518" s="248" t="s">
        <v>22</v>
      </c>
      <c r="B1518" s="297" t="s">
        <v>228</v>
      </c>
      <c r="C1518" s="107">
        <v>3</v>
      </c>
      <c r="D1518" s="11" t="s">
        <v>225</v>
      </c>
      <c r="E1518" s="114">
        <v>44418</v>
      </c>
      <c r="F1518" s="12">
        <v>2021</v>
      </c>
      <c r="G1518" s="142" t="s">
        <v>5241</v>
      </c>
      <c r="H1518" s="373" t="s">
        <v>5242</v>
      </c>
      <c r="I1518" s="33" t="s">
        <v>33</v>
      </c>
      <c r="J1518" s="32" t="s">
        <v>26</v>
      </c>
      <c r="K1518" s="264" t="s">
        <v>27</v>
      </c>
      <c r="L1518" s="305" t="s">
        <v>28</v>
      </c>
      <c r="M1518" s="137" t="s">
        <v>804</v>
      </c>
      <c r="N1518" s="30" t="s">
        <v>29</v>
      </c>
      <c r="O1518" s="837" t="s">
        <v>5243</v>
      </c>
      <c r="P1518" s="838" t="s">
        <v>5244</v>
      </c>
      <c r="Q1518" s="220"/>
      <c r="R1518" s="218"/>
      <c r="S1518" s="649"/>
      <c r="T1518" s="241"/>
      <c r="U1518" s="776"/>
      <c r="V1518" s="776"/>
      <c r="W1518" s="242">
        <v>50000000</v>
      </c>
      <c r="X1518" s="185"/>
      <c r="Y1518" s="7">
        <f t="shared" si="85"/>
        <v>50000000</v>
      </c>
      <c r="Z1518" s="7">
        <f t="shared" si="84"/>
        <v>50000000</v>
      </c>
      <c r="AA1518" s="233"/>
      <c r="AB1518" s="504" t="s">
        <v>6115</v>
      </c>
      <c r="AC1518" s="138"/>
      <c r="AD1518" s="196">
        <v>0</v>
      </c>
      <c r="AE1518" s="187">
        <v>1</v>
      </c>
      <c r="AF1518" s="205">
        <f t="shared" si="87"/>
        <v>1</v>
      </c>
      <c r="AG1518" s="197">
        <v>10</v>
      </c>
      <c r="AH1518" s="197" t="s">
        <v>241</v>
      </c>
      <c r="AI1518" s="197"/>
      <c r="AJ1518" s="197" t="s">
        <v>1188</v>
      </c>
      <c r="AK1518" s="197" t="s">
        <v>1177</v>
      </c>
      <c r="AL1518" s="93" t="s">
        <v>1178</v>
      </c>
    </row>
    <row r="1519" spans="1:38" ht="15" customHeight="1" x14ac:dyDescent="0.3">
      <c r="A1519" s="248" t="s">
        <v>22</v>
      </c>
      <c r="B1519" s="138" t="s">
        <v>116</v>
      </c>
      <c r="C1519" s="138">
        <v>1</v>
      </c>
      <c r="D1519" s="11" t="s">
        <v>5936</v>
      </c>
      <c r="E1519" s="302">
        <v>43888</v>
      </c>
      <c r="F1519" s="138">
        <v>2020</v>
      </c>
      <c r="G1519" s="138" t="s">
        <v>5246</v>
      </c>
      <c r="H1519" s="138" t="s">
        <v>5247</v>
      </c>
      <c r="I1519" s="245" t="s">
        <v>38</v>
      </c>
      <c r="J1519" s="32" t="s">
        <v>26</v>
      </c>
      <c r="K1519" s="197" t="s">
        <v>57</v>
      </c>
      <c r="L1519" s="138" t="s">
        <v>28</v>
      </c>
      <c r="M1519" s="310" t="s">
        <v>42</v>
      </c>
      <c r="N1519" s="310" t="s">
        <v>43</v>
      </c>
      <c r="O1519" s="693" t="s">
        <v>5248</v>
      </c>
      <c r="P1519" s="138" t="s">
        <v>5249</v>
      </c>
      <c r="Q1519" s="15" t="s">
        <v>282</v>
      </c>
      <c r="R1519" s="164">
        <v>44579</v>
      </c>
      <c r="S1519" s="16" t="s">
        <v>44</v>
      </c>
      <c r="T1519" s="165">
        <v>44644</v>
      </c>
      <c r="U1519" s="624"/>
      <c r="V1519" s="624"/>
      <c r="W1519" s="242">
        <v>35000000</v>
      </c>
      <c r="X1519" s="243"/>
      <c r="Y1519" s="7">
        <f t="shared" si="85"/>
        <v>0</v>
      </c>
      <c r="Z1519" s="7">
        <f t="shared" si="84"/>
        <v>0</v>
      </c>
      <c r="AA1519" s="229"/>
      <c r="AB1519" s="503" t="s">
        <v>3960</v>
      </c>
      <c r="AC1519" s="222"/>
      <c r="AD1519" s="187">
        <v>0</v>
      </c>
      <c r="AE1519" s="187">
        <v>0</v>
      </c>
      <c r="AF1519" s="205">
        <f t="shared" si="87"/>
        <v>0</v>
      </c>
      <c r="AG1519" s="197">
        <v>8</v>
      </c>
      <c r="AH1519" s="310" t="s">
        <v>5228</v>
      </c>
      <c r="AI1519" s="197"/>
      <c r="AJ1519" s="197" t="s">
        <v>1188</v>
      </c>
      <c r="AK1519" s="30" t="s">
        <v>1177</v>
      </c>
      <c r="AL1519" s="138" t="s">
        <v>1178</v>
      </c>
    </row>
    <row r="1520" spans="1:38" ht="15" customHeight="1" x14ac:dyDescent="0.3">
      <c r="A1520" s="248" t="s">
        <v>140</v>
      </c>
      <c r="B1520" s="297" t="s">
        <v>4816</v>
      </c>
      <c r="C1520" s="107">
        <v>1</v>
      </c>
      <c r="D1520" s="11" t="s">
        <v>225</v>
      </c>
      <c r="E1520" s="114">
        <v>43862</v>
      </c>
      <c r="F1520" s="12">
        <v>2020</v>
      </c>
      <c r="G1520" s="142" t="s">
        <v>5250</v>
      </c>
      <c r="H1520" s="373" t="s">
        <v>5251</v>
      </c>
      <c r="I1520" s="107" t="s">
        <v>38</v>
      </c>
      <c r="J1520" s="32" t="s">
        <v>26</v>
      </c>
      <c r="K1520" s="264" t="s">
        <v>163</v>
      </c>
      <c r="L1520" s="361" t="s">
        <v>28</v>
      </c>
      <c r="M1520" s="361" t="s">
        <v>42</v>
      </c>
      <c r="N1520" s="310" t="s">
        <v>122</v>
      </c>
      <c r="O1520" s="839" t="s">
        <v>5252</v>
      </c>
      <c r="P1520" s="783" t="s">
        <v>5253</v>
      </c>
      <c r="Q1520" s="15" t="s">
        <v>282</v>
      </c>
      <c r="R1520" s="218">
        <v>44372</v>
      </c>
      <c r="S1520" s="16" t="s">
        <v>44</v>
      </c>
      <c r="T1520" s="232">
        <v>44600</v>
      </c>
      <c r="U1520" s="776"/>
      <c r="V1520" s="776"/>
      <c r="W1520" s="242">
        <v>2000000</v>
      </c>
      <c r="X1520" s="185">
        <v>0</v>
      </c>
      <c r="Y1520" s="7">
        <f t="shared" si="85"/>
        <v>0</v>
      </c>
      <c r="Z1520" s="7">
        <f t="shared" si="84"/>
        <v>0</v>
      </c>
      <c r="AA1520" s="233"/>
      <c r="AB1520" s="503" t="s">
        <v>3960</v>
      </c>
      <c r="AC1520" s="222"/>
      <c r="AD1520" s="196"/>
      <c r="AE1520" s="187">
        <v>0</v>
      </c>
      <c r="AF1520" s="210">
        <f t="shared" si="87"/>
        <v>0</v>
      </c>
      <c r="AG1520" s="197">
        <v>8</v>
      </c>
      <c r="AH1520" s="197"/>
      <c r="AI1520" s="197"/>
      <c r="AJ1520" s="197" t="s">
        <v>1188</v>
      </c>
      <c r="AK1520" s="197" t="s">
        <v>1177</v>
      </c>
      <c r="AL1520" s="93" t="s">
        <v>1178</v>
      </c>
    </row>
    <row r="1521" spans="1:38" ht="15" customHeight="1" x14ac:dyDescent="0.3">
      <c r="A1521" s="248" t="s">
        <v>140</v>
      </c>
      <c r="B1521" s="145" t="s">
        <v>116</v>
      </c>
      <c r="C1521" s="135"/>
      <c r="D1521" s="11" t="s">
        <v>5936</v>
      </c>
      <c r="E1521" s="247">
        <v>43893</v>
      </c>
      <c r="F1521" s="246">
        <v>2020</v>
      </c>
      <c r="G1521" s="247" t="s">
        <v>5254</v>
      </c>
      <c r="H1521" s="247" t="s">
        <v>5226</v>
      </c>
      <c r="I1521" s="245" t="s">
        <v>38</v>
      </c>
      <c r="J1521" s="245" t="s">
        <v>81</v>
      </c>
      <c r="K1521" s="264" t="s">
        <v>163</v>
      </c>
      <c r="L1521" s="264" t="s">
        <v>28</v>
      </c>
      <c r="M1521" s="264" t="s">
        <v>42</v>
      </c>
      <c r="N1521" s="310" t="s">
        <v>122</v>
      </c>
      <c r="O1521" s="832" t="s">
        <v>5078</v>
      </c>
      <c r="P1521" s="840" t="s">
        <v>5255</v>
      </c>
      <c r="Q1521" s="15" t="s">
        <v>35</v>
      </c>
      <c r="R1521" s="218">
        <v>44573</v>
      </c>
      <c r="S1521" s="16" t="s">
        <v>35</v>
      </c>
      <c r="T1521" s="133">
        <v>44582</v>
      </c>
      <c r="U1521" s="623"/>
      <c r="V1521" s="624"/>
      <c r="W1521" s="242">
        <v>5000000</v>
      </c>
      <c r="X1521" s="243"/>
      <c r="Y1521" s="7">
        <f t="shared" si="85"/>
        <v>0</v>
      </c>
      <c r="Z1521" s="7">
        <f t="shared" si="84"/>
        <v>0</v>
      </c>
      <c r="AA1521" s="229"/>
      <c r="AB1521" s="503" t="s">
        <v>3960</v>
      </c>
      <c r="AC1521" s="222"/>
      <c r="AD1521" s="196"/>
      <c r="AE1521" s="187">
        <v>0</v>
      </c>
      <c r="AF1521" s="205"/>
      <c r="AG1521" s="138">
        <v>10</v>
      </c>
      <c r="AH1521" s="264"/>
      <c r="AI1521" s="138"/>
      <c r="AJ1521" s="138" t="s">
        <v>1188</v>
      </c>
      <c r="AK1521" s="181" t="s">
        <v>1177</v>
      </c>
      <c r="AL1521" s="138" t="s">
        <v>1178</v>
      </c>
    </row>
    <row r="1522" spans="1:38" ht="15" customHeight="1" x14ac:dyDescent="0.3">
      <c r="A1522" s="181" t="s">
        <v>22</v>
      </c>
      <c r="B1522" s="297" t="s">
        <v>105</v>
      </c>
      <c r="C1522" s="245">
        <v>25</v>
      </c>
      <c r="D1522" s="11" t="s">
        <v>5936</v>
      </c>
      <c r="E1522" s="247">
        <v>43039</v>
      </c>
      <c r="F1522" s="246">
        <v>2017</v>
      </c>
      <c r="G1522" s="792" t="s">
        <v>5257</v>
      </c>
      <c r="H1522" s="792" t="s">
        <v>5258</v>
      </c>
      <c r="I1522" s="246" t="s">
        <v>38</v>
      </c>
      <c r="J1522" s="32" t="s">
        <v>26</v>
      </c>
      <c r="K1522" s="264" t="s">
        <v>71</v>
      </c>
      <c r="L1522" s="264" t="s">
        <v>28</v>
      </c>
      <c r="M1522" s="264" t="s">
        <v>42</v>
      </c>
      <c r="N1522" s="181" t="s">
        <v>73</v>
      </c>
      <c r="O1522" s="832" t="s">
        <v>5259</v>
      </c>
      <c r="P1522" s="822" t="s">
        <v>5260</v>
      </c>
      <c r="Q1522" s="15" t="s">
        <v>282</v>
      </c>
      <c r="R1522" s="218">
        <v>44433</v>
      </c>
      <c r="S1522" s="16" t="s">
        <v>44</v>
      </c>
      <c r="T1522" s="133">
        <v>44651</v>
      </c>
      <c r="U1522" s="623"/>
      <c r="V1522" s="624"/>
      <c r="W1522" s="242">
        <v>30000000</v>
      </c>
      <c r="X1522" s="243">
        <v>0</v>
      </c>
      <c r="Y1522" s="7">
        <f t="shared" si="85"/>
        <v>0</v>
      </c>
      <c r="Z1522" s="7">
        <f t="shared" si="84"/>
        <v>0</v>
      </c>
      <c r="AA1522" s="192">
        <v>44515</v>
      </c>
      <c r="AB1522" s="564" t="s">
        <v>1073</v>
      </c>
      <c r="AC1522" s="693"/>
      <c r="AD1522" s="196">
        <v>0</v>
      </c>
      <c r="AE1522" s="187">
        <v>0</v>
      </c>
      <c r="AF1522" s="205">
        <f>AE1522+AD1522</f>
        <v>0</v>
      </c>
      <c r="AG1522" s="138">
        <v>8</v>
      </c>
      <c r="AH1522" s="264" t="s">
        <v>5090</v>
      </c>
      <c r="AI1522" s="138"/>
      <c r="AJ1522" s="138" t="s">
        <v>1188</v>
      </c>
      <c r="AK1522" s="181" t="s">
        <v>1177</v>
      </c>
      <c r="AL1522" s="138" t="s">
        <v>1178</v>
      </c>
    </row>
    <row r="1523" spans="1:38" ht="15" customHeight="1" x14ac:dyDescent="0.3">
      <c r="A1523" s="181" t="s">
        <v>22</v>
      </c>
      <c r="B1523" s="297" t="s">
        <v>105</v>
      </c>
      <c r="C1523" s="245">
        <v>25</v>
      </c>
      <c r="D1523" s="11" t="s">
        <v>5936</v>
      </c>
      <c r="E1523" s="247">
        <v>42996</v>
      </c>
      <c r="F1523" s="246">
        <v>2017</v>
      </c>
      <c r="G1523" s="792" t="s">
        <v>5261</v>
      </c>
      <c r="H1523" s="792" t="s">
        <v>5262</v>
      </c>
      <c r="I1523" s="33" t="s">
        <v>33</v>
      </c>
      <c r="J1523" s="32" t="s">
        <v>26</v>
      </c>
      <c r="K1523" s="264" t="s">
        <v>27</v>
      </c>
      <c r="L1523" s="264" t="s">
        <v>109</v>
      </c>
      <c r="M1523" s="137" t="s">
        <v>804</v>
      </c>
      <c r="N1523" s="30" t="s">
        <v>29</v>
      </c>
      <c r="O1523" s="832" t="s">
        <v>5263</v>
      </c>
      <c r="P1523" s="822" t="s">
        <v>5264</v>
      </c>
      <c r="Q1523" s="220"/>
      <c r="R1523" s="218"/>
      <c r="S1523" s="400"/>
      <c r="T1523" s="133"/>
      <c r="U1523" s="623"/>
      <c r="V1523" s="624"/>
      <c r="W1523" s="242">
        <v>150000000</v>
      </c>
      <c r="X1523" s="243">
        <f>150000000-86304307</f>
        <v>63695693</v>
      </c>
      <c r="Y1523" s="7">
        <f t="shared" si="85"/>
        <v>0</v>
      </c>
      <c r="Z1523" s="201">
        <f t="shared" si="84"/>
        <v>63695693</v>
      </c>
      <c r="AA1523" s="229">
        <v>44745</v>
      </c>
      <c r="AB1523" s="513" t="s">
        <v>3232</v>
      </c>
      <c r="AC1523" s="147"/>
      <c r="AD1523" s="196">
        <v>1</v>
      </c>
      <c r="AE1523" s="187">
        <v>0</v>
      </c>
      <c r="AF1523" s="205">
        <f>AE1523+AD1523</f>
        <v>1</v>
      </c>
      <c r="AG1523" s="138">
        <v>8</v>
      </c>
      <c r="AH1523" s="264" t="s">
        <v>5245</v>
      </c>
      <c r="AI1523" s="138"/>
      <c r="AJ1523" s="138" t="s">
        <v>1188</v>
      </c>
      <c r="AK1523" s="181" t="s">
        <v>1177</v>
      </c>
      <c r="AL1523" s="138" t="s">
        <v>1178</v>
      </c>
    </row>
    <row r="1524" spans="1:38" ht="15" customHeight="1" x14ac:dyDescent="0.3">
      <c r="A1524" s="181" t="s">
        <v>22</v>
      </c>
      <c r="B1524" s="145" t="s">
        <v>105</v>
      </c>
      <c r="C1524" s="135">
        <v>10</v>
      </c>
      <c r="D1524" s="11" t="s">
        <v>5936</v>
      </c>
      <c r="E1524" s="168">
        <v>43496</v>
      </c>
      <c r="F1524" s="136">
        <v>2019</v>
      </c>
      <c r="G1524" s="168" t="s">
        <v>5265</v>
      </c>
      <c r="H1524" s="168" t="s">
        <v>5266</v>
      </c>
      <c r="I1524" s="135" t="s">
        <v>38</v>
      </c>
      <c r="J1524" s="32" t="s">
        <v>26</v>
      </c>
      <c r="K1524" s="197" t="s">
        <v>57</v>
      </c>
      <c r="L1524" s="197" t="s">
        <v>28</v>
      </c>
      <c r="M1524" s="197" t="s">
        <v>42</v>
      </c>
      <c r="N1524" s="138" t="s">
        <v>43</v>
      </c>
      <c r="O1524" s="831" t="s">
        <v>5267</v>
      </c>
      <c r="P1524" s="826" t="s">
        <v>5268</v>
      </c>
      <c r="Q1524" s="220"/>
      <c r="R1524" s="218"/>
      <c r="S1524" s="400"/>
      <c r="T1524" s="133"/>
      <c r="U1524" s="623"/>
      <c r="V1524" s="624"/>
      <c r="W1524" s="242">
        <v>40000000</v>
      </c>
      <c r="X1524" s="243">
        <v>0</v>
      </c>
      <c r="Y1524" s="7">
        <f t="shared" si="85"/>
        <v>0</v>
      </c>
      <c r="Z1524" s="7">
        <f t="shared" si="84"/>
        <v>0</v>
      </c>
      <c r="AA1524" s="229"/>
      <c r="AB1524" s="564" t="s">
        <v>1073</v>
      </c>
      <c r="AC1524" s="693"/>
      <c r="AD1524" s="196"/>
      <c r="AE1524" s="187">
        <v>0</v>
      </c>
      <c r="AF1524" s="205">
        <f>AE1524+AD1524</f>
        <v>0</v>
      </c>
      <c r="AG1524" s="138">
        <v>8</v>
      </c>
      <c r="AH1524" s="264" t="s">
        <v>6158</v>
      </c>
      <c r="AI1524" s="138"/>
      <c r="AJ1524" s="138" t="s">
        <v>1188</v>
      </c>
      <c r="AK1524" s="181" t="s">
        <v>1177</v>
      </c>
      <c r="AL1524" s="138" t="s">
        <v>1178</v>
      </c>
    </row>
    <row r="1525" spans="1:38" ht="15" customHeight="1" x14ac:dyDescent="0.3">
      <c r="A1525" s="248" t="s">
        <v>22</v>
      </c>
      <c r="B1525" s="181" t="s">
        <v>39</v>
      </c>
      <c r="C1525" s="138">
        <v>2</v>
      </c>
      <c r="D1525" s="11" t="s">
        <v>24</v>
      </c>
      <c r="E1525" s="192"/>
      <c r="F1525" s="181">
        <v>2019</v>
      </c>
      <c r="G1525" s="181" t="s">
        <v>5270</v>
      </c>
      <c r="H1525" s="217" t="s">
        <v>5271</v>
      </c>
      <c r="I1525" s="33" t="s">
        <v>33</v>
      </c>
      <c r="J1525" s="32" t="s">
        <v>26</v>
      </c>
      <c r="K1525" s="264" t="s">
        <v>27</v>
      </c>
      <c r="L1525" s="765" t="s">
        <v>72</v>
      </c>
      <c r="M1525" s="137" t="s">
        <v>804</v>
      </c>
      <c r="N1525" s="30" t="s">
        <v>29</v>
      </c>
      <c r="O1525" s="694" t="s">
        <v>5272</v>
      </c>
      <c r="P1525" s="815" t="s">
        <v>5273</v>
      </c>
      <c r="Q1525" s="15" t="s">
        <v>35</v>
      </c>
      <c r="R1525" s="164">
        <v>44043</v>
      </c>
      <c r="S1525" s="16" t="s">
        <v>35</v>
      </c>
      <c r="T1525" s="165">
        <v>44134</v>
      </c>
      <c r="U1525" s="624"/>
      <c r="V1525" s="624"/>
      <c r="W1525" s="239">
        <v>200000000</v>
      </c>
      <c r="X1525" s="304">
        <f>200000000-2672577-46910412</f>
        <v>150417011</v>
      </c>
      <c r="Y1525" s="7">
        <f t="shared" si="85"/>
        <v>0</v>
      </c>
      <c r="Z1525" s="7">
        <f t="shared" si="84"/>
        <v>150417011</v>
      </c>
      <c r="AA1525" s="192">
        <v>44400</v>
      </c>
      <c r="AB1525" s="762" t="s">
        <v>3077</v>
      </c>
      <c r="AC1525" s="652"/>
      <c r="AD1525" s="258">
        <v>1</v>
      </c>
      <c r="AE1525" s="187">
        <v>0</v>
      </c>
      <c r="AF1525" s="205">
        <v>1</v>
      </c>
      <c r="AG1525" s="279">
        <v>8</v>
      </c>
      <c r="AH1525" s="279" t="s">
        <v>3605</v>
      </c>
      <c r="AI1525" s="197"/>
      <c r="AJ1525" s="279" t="s">
        <v>1188</v>
      </c>
      <c r="AK1525" s="30" t="s">
        <v>1177</v>
      </c>
      <c r="AL1525" s="93" t="s">
        <v>1178</v>
      </c>
    </row>
    <row r="1526" spans="1:38" ht="15" customHeight="1" x14ac:dyDescent="0.3">
      <c r="A1526" s="181" t="s">
        <v>22</v>
      </c>
      <c r="B1526" s="112" t="s">
        <v>2083</v>
      </c>
      <c r="C1526" s="107">
        <v>2</v>
      </c>
      <c r="D1526" s="11" t="s">
        <v>5936</v>
      </c>
      <c r="E1526" s="114">
        <v>43320</v>
      </c>
      <c r="F1526" s="246">
        <v>2018</v>
      </c>
      <c r="G1526" s="142" t="s">
        <v>5274</v>
      </c>
      <c r="H1526" s="162" t="s">
        <v>5274</v>
      </c>
      <c r="I1526" s="33" t="s">
        <v>33</v>
      </c>
      <c r="J1526" s="32" t="s">
        <v>26</v>
      </c>
      <c r="K1526" s="264" t="s">
        <v>27</v>
      </c>
      <c r="L1526" s="264" t="s">
        <v>109</v>
      </c>
      <c r="M1526" s="137" t="s">
        <v>804</v>
      </c>
      <c r="N1526" s="30" t="s">
        <v>29</v>
      </c>
      <c r="O1526" s="694" t="s">
        <v>5275</v>
      </c>
      <c r="P1526" s="783" t="s">
        <v>5276</v>
      </c>
      <c r="Q1526" s="15" t="s">
        <v>35</v>
      </c>
      <c r="R1526" s="218"/>
      <c r="S1526" s="16" t="s">
        <v>35</v>
      </c>
      <c r="T1526" s="133">
        <v>44147</v>
      </c>
      <c r="U1526" s="623"/>
      <c r="V1526" s="624"/>
      <c r="W1526" s="242">
        <v>140000000</v>
      </c>
      <c r="X1526" s="311">
        <f>140000000-(49180789+2215106)</f>
        <v>88604105</v>
      </c>
      <c r="Y1526" s="7">
        <f t="shared" si="85"/>
        <v>0</v>
      </c>
      <c r="Z1526" s="298">
        <f t="shared" si="84"/>
        <v>88604105</v>
      </c>
      <c r="AA1526" s="229">
        <v>44499</v>
      </c>
      <c r="AB1526" s="503" t="s">
        <v>3960</v>
      </c>
      <c r="AC1526" s="222"/>
      <c r="AD1526" s="196">
        <v>1</v>
      </c>
      <c r="AE1526" s="187">
        <v>0</v>
      </c>
      <c r="AF1526" s="205">
        <f>AE1526+AD1526</f>
        <v>1</v>
      </c>
      <c r="AG1526" s="138">
        <v>8</v>
      </c>
      <c r="AH1526" s="197" t="s">
        <v>5256</v>
      </c>
      <c r="AI1526" s="138"/>
      <c r="AJ1526" s="138" t="s">
        <v>1188</v>
      </c>
      <c r="AK1526" s="181" t="s">
        <v>1177</v>
      </c>
      <c r="AL1526" s="138" t="s">
        <v>1178</v>
      </c>
    </row>
    <row r="1527" spans="1:38" ht="15" customHeight="1" x14ac:dyDescent="0.3">
      <c r="A1527" s="181" t="s">
        <v>22</v>
      </c>
      <c r="B1527" s="120" t="s">
        <v>105</v>
      </c>
      <c r="C1527" s="107">
        <v>14</v>
      </c>
      <c r="D1527" s="11" t="s">
        <v>5936</v>
      </c>
      <c r="E1527" s="114">
        <v>43346</v>
      </c>
      <c r="F1527" s="12">
        <v>2018</v>
      </c>
      <c r="G1527" s="142" t="s">
        <v>5277</v>
      </c>
      <c r="H1527" s="162" t="s">
        <v>5278</v>
      </c>
      <c r="I1527" s="30" t="s">
        <v>38</v>
      </c>
      <c r="J1527" s="32" t="s">
        <v>26</v>
      </c>
      <c r="K1527" s="197" t="s">
        <v>57</v>
      </c>
      <c r="L1527" s="264" t="s">
        <v>28</v>
      </c>
      <c r="M1527" s="137" t="s">
        <v>804</v>
      </c>
      <c r="N1527" s="310" t="s">
        <v>43</v>
      </c>
      <c r="O1527" s="831" t="s">
        <v>5279</v>
      </c>
      <c r="P1527" s="197" t="s">
        <v>5280</v>
      </c>
      <c r="Q1527" s="15" t="s">
        <v>35</v>
      </c>
      <c r="R1527" s="218">
        <v>44041</v>
      </c>
      <c r="S1527" s="16" t="s">
        <v>35</v>
      </c>
      <c r="T1527" s="133">
        <v>44377</v>
      </c>
      <c r="U1527" s="623"/>
      <c r="V1527" s="624"/>
      <c r="W1527" s="242">
        <v>35000000</v>
      </c>
      <c r="X1527" s="259">
        <f>-9267295+35000000</f>
        <v>25732705</v>
      </c>
      <c r="Y1527" s="7">
        <f t="shared" si="85"/>
        <v>0</v>
      </c>
      <c r="Z1527" s="7">
        <f t="shared" si="84"/>
        <v>25732705</v>
      </c>
      <c r="AA1527" s="229"/>
      <c r="AB1527" s="513" t="s">
        <v>3232</v>
      </c>
      <c r="AC1527" s="147"/>
      <c r="AD1527" s="196">
        <v>1</v>
      </c>
      <c r="AE1527" s="187">
        <v>0</v>
      </c>
      <c r="AF1527" s="205">
        <f>AE1527+AD1527</f>
        <v>1</v>
      </c>
      <c r="AG1527" s="138">
        <v>8</v>
      </c>
      <c r="AH1527" s="264" t="s">
        <v>59</v>
      </c>
      <c r="AI1527" s="138"/>
      <c r="AJ1527" s="138" t="s">
        <v>1188</v>
      </c>
      <c r="AK1527" s="181" t="s">
        <v>1177</v>
      </c>
      <c r="AL1527" s="138" t="s">
        <v>1178</v>
      </c>
    </row>
    <row r="1528" spans="1:38" ht="15" customHeight="1" x14ac:dyDescent="0.3">
      <c r="A1528" s="30" t="s">
        <v>22</v>
      </c>
      <c r="B1528" s="120" t="s">
        <v>144</v>
      </c>
      <c r="C1528" s="107">
        <v>5</v>
      </c>
      <c r="D1528" s="11" t="s">
        <v>143</v>
      </c>
      <c r="E1528" s="114">
        <v>42521</v>
      </c>
      <c r="F1528" s="142">
        <v>2016</v>
      </c>
      <c r="G1528" s="142" t="s">
        <v>5282</v>
      </c>
      <c r="H1528" s="162" t="s">
        <v>5283</v>
      </c>
      <c r="I1528" s="30" t="s">
        <v>38</v>
      </c>
      <c r="J1528" s="32" t="s">
        <v>26</v>
      </c>
      <c r="K1528" s="197" t="s">
        <v>50</v>
      </c>
      <c r="L1528" s="197" t="s">
        <v>5284</v>
      </c>
      <c r="M1528" s="137" t="s">
        <v>804</v>
      </c>
      <c r="N1528" s="138" t="s">
        <v>82</v>
      </c>
      <c r="O1528" s="694" t="s">
        <v>5285</v>
      </c>
      <c r="P1528" s="197" t="s">
        <v>5286</v>
      </c>
      <c r="Q1528" s="15" t="s">
        <v>35</v>
      </c>
      <c r="R1528" s="164">
        <v>42916</v>
      </c>
      <c r="S1528" s="139"/>
      <c r="T1528" s="165"/>
      <c r="U1528" s="624"/>
      <c r="V1528" s="624"/>
      <c r="W1528" s="242">
        <v>40000000</v>
      </c>
      <c r="X1528" s="304">
        <f>40000000-40000000</f>
        <v>0</v>
      </c>
      <c r="Y1528" s="7">
        <f t="shared" si="85"/>
        <v>0</v>
      </c>
      <c r="Z1528" s="7">
        <f t="shared" si="84"/>
        <v>0</v>
      </c>
      <c r="AA1528" s="229">
        <v>44550</v>
      </c>
      <c r="AB1528" s="467" t="s">
        <v>147</v>
      </c>
      <c r="AC1528" s="197"/>
      <c r="AD1528" s="187">
        <v>1</v>
      </c>
      <c r="AE1528" s="187">
        <v>0</v>
      </c>
      <c r="AF1528" s="205">
        <f>AE1528+AD1528</f>
        <v>1</v>
      </c>
      <c r="AG1528" s="188">
        <v>8</v>
      </c>
      <c r="AH1528" s="200" t="s">
        <v>45</v>
      </c>
      <c r="AI1528" s="736" t="s">
        <v>5287</v>
      </c>
      <c r="AJ1528" s="137" t="s">
        <v>1188</v>
      </c>
      <c r="AK1528" s="660" t="s">
        <v>1185</v>
      </c>
      <c r="AL1528" s="93" t="s">
        <v>1178</v>
      </c>
    </row>
    <row r="1529" spans="1:38" ht="15" customHeight="1" x14ac:dyDescent="0.3">
      <c r="A1529" s="324" t="s">
        <v>22</v>
      </c>
      <c r="B1529" s="312" t="s">
        <v>148</v>
      </c>
      <c r="C1529" s="313">
        <v>1</v>
      </c>
      <c r="D1529" s="11" t="s">
        <v>143</v>
      </c>
      <c r="E1529" s="315">
        <v>42318</v>
      </c>
      <c r="F1529" s="316">
        <v>2015</v>
      </c>
      <c r="G1529" s="316" t="s">
        <v>5288</v>
      </c>
      <c r="H1529" s="841" t="s">
        <v>5289</v>
      </c>
      <c r="I1529" s="314" t="s">
        <v>38</v>
      </c>
      <c r="J1529" s="32" t="s">
        <v>26</v>
      </c>
      <c r="K1529" s="842" t="s">
        <v>50</v>
      </c>
      <c r="L1529" s="842" t="s">
        <v>28</v>
      </c>
      <c r="M1529" s="842" t="s">
        <v>42</v>
      </c>
      <c r="N1529" s="326" t="s">
        <v>82</v>
      </c>
      <c r="O1529" s="843" t="s">
        <v>5290</v>
      </c>
      <c r="P1529" s="842" t="s">
        <v>5291</v>
      </c>
      <c r="Q1529" s="15" t="s">
        <v>282</v>
      </c>
      <c r="R1529" s="317">
        <v>42654</v>
      </c>
      <c r="S1529" s="16" t="s">
        <v>44</v>
      </c>
      <c r="T1529" s="317">
        <v>43334</v>
      </c>
      <c r="U1529" s="842" t="s">
        <v>44</v>
      </c>
      <c r="V1529" s="317">
        <v>44384</v>
      </c>
      <c r="W1529" s="318">
        <v>20500000</v>
      </c>
      <c r="X1529" s="318">
        <v>0</v>
      </c>
      <c r="Y1529" s="319">
        <f t="shared" si="85"/>
        <v>0</v>
      </c>
      <c r="Z1529" s="319">
        <f t="shared" si="84"/>
        <v>0</v>
      </c>
      <c r="AA1529" s="320"/>
      <c r="AB1529" s="844" t="s">
        <v>6162</v>
      </c>
      <c r="AC1529" s="842"/>
      <c r="AD1529" s="321">
        <v>0</v>
      </c>
      <c r="AE1529" s="321">
        <v>0</v>
      </c>
      <c r="AF1529" s="322">
        <f>AE1529+AD1529</f>
        <v>0</v>
      </c>
      <c r="AG1529" s="323">
        <v>8</v>
      </c>
      <c r="AH1529" s="842" t="s">
        <v>5269</v>
      </c>
      <c r="AI1529" s="842"/>
      <c r="AJ1529" s="842" t="s">
        <v>1188</v>
      </c>
      <c r="AK1529" s="30" t="s">
        <v>99</v>
      </c>
      <c r="AL1529" s="326" t="s">
        <v>1178</v>
      </c>
    </row>
    <row r="1530" spans="1:38" ht="15" customHeight="1" x14ac:dyDescent="0.3">
      <c r="A1530" s="324" t="s">
        <v>22</v>
      </c>
      <c r="B1530" s="845" t="s">
        <v>4870</v>
      </c>
      <c r="C1530" s="324">
        <v>1</v>
      </c>
      <c r="D1530" s="324" t="s">
        <v>190</v>
      </c>
      <c r="E1530" s="325">
        <v>44334</v>
      </c>
      <c r="F1530" s="326">
        <v>2021</v>
      </c>
      <c r="G1530" s="327" t="s">
        <v>5292</v>
      </c>
      <c r="H1530" s="328" t="s">
        <v>5293</v>
      </c>
      <c r="I1530" s="326" t="s">
        <v>38</v>
      </c>
      <c r="J1530" s="32" t="s">
        <v>26</v>
      </c>
      <c r="K1530" s="846" t="s">
        <v>111</v>
      </c>
      <c r="L1530" s="326" t="s">
        <v>28</v>
      </c>
      <c r="M1530" s="847" t="s">
        <v>42</v>
      </c>
      <c r="N1530" s="327" t="s">
        <v>82</v>
      </c>
      <c r="O1530" s="328" t="s">
        <v>5294</v>
      </c>
      <c r="P1530" s="326" t="s">
        <v>5295</v>
      </c>
      <c r="Q1530" s="15" t="s">
        <v>282</v>
      </c>
      <c r="R1530" s="329">
        <v>44509</v>
      </c>
      <c r="S1530" s="16" t="s">
        <v>44</v>
      </c>
      <c r="T1530" s="329">
        <v>44617</v>
      </c>
      <c r="U1530" s="326"/>
      <c r="V1530" s="326"/>
      <c r="W1530" s="330">
        <v>150000000</v>
      </c>
      <c r="X1530" s="312"/>
      <c r="Y1530" s="319">
        <f t="shared" si="85"/>
        <v>0</v>
      </c>
      <c r="Z1530" s="319">
        <f t="shared" si="84"/>
        <v>0</v>
      </c>
      <c r="AA1530" s="312"/>
      <c r="AB1530" s="503" t="s">
        <v>3960</v>
      </c>
      <c r="AC1530" s="222"/>
      <c r="AD1530" s="331"/>
      <c r="AE1530" s="321">
        <v>0</v>
      </c>
      <c r="AF1530" s="326"/>
      <c r="AG1530" s="327">
        <v>10</v>
      </c>
      <c r="AH1530" s="93" t="s">
        <v>1608</v>
      </c>
      <c r="AI1530" s="326"/>
      <c r="AJ1530" s="327" t="s">
        <v>1188</v>
      </c>
      <c r="AK1530" s="312" t="s">
        <v>1177</v>
      </c>
      <c r="AL1530" s="336" t="s">
        <v>1178</v>
      </c>
    </row>
    <row r="1531" spans="1:38" ht="15" customHeight="1" x14ac:dyDescent="0.3">
      <c r="A1531" s="324" t="s">
        <v>22</v>
      </c>
      <c r="B1531" s="312" t="s">
        <v>105</v>
      </c>
      <c r="C1531" s="313">
        <v>39</v>
      </c>
      <c r="D1531" s="11" t="s">
        <v>5936</v>
      </c>
      <c r="E1531" s="315">
        <v>43067</v>
      </c>
      <c r="F1531" s="314">
        <v>2017</v>
      </c>
      <c r="G1531" s="316" t="s">
        <v>5296</v>
      </c>
      <c r="H1531" s="841" t="s">
        <v>5297</v>
      </c>
      <c r="I1531" s="313" t="s">
        <v>38</v>
      </c>
      <c r="J1531" s="32" t="s">
        <v>26</v>
      </c>
      <c r="K1531" s="842" t="s">
        <v>111</v>
      </c>
      <c r="L1531" s="842" t="s">
        <v>28</v>
      </c>
      <c r="M1531" s="842" t="s">
        <v>42</v>
      </c>
      <c r="N1531" s="326" t="s">
        <v>82</v>
      </c>
      <c r="O1531" s="843" t="s">
        <v>5298</v>
      </c>
      <c r="P1531" s="842" t="s">
        <v>5299</v>
      </c>
      <c r="Q1531" s="15" t="s">
        <v>282</v>
      </c>
      <c r="R1531" s="329">
        <v>43868</v>
      </c>
      <c r="S1531" s="16" t="s">
        <v>44</v>
      </c>
      <c r="T1531" s="329">
        <v>44708</v>
      </c>
      <c r="U1531" s="326"/>
      <c r="V1531" s="842"/>
      <c r="W1531" s="318">
        <v>97500000</v>
      </c>
      <c r="X1531" s="318">
        <v>0</v>
      </c>
      <c r="Y1531" s="319">
        <f t="shared" si="85"/>
        <v>0</v>
      </c>
      <c r="Z1531" s="319">
        <f t="shared" si="84"/>
        <v>0</v>
      </c>
      <c r="AA1531" s="320"/>
      <c r="AB1531" s="564" t="s">
        <v>1073</v>
      </c>
      <c r="AC1531" s="693"/>
      <c r="AD1531" s="321">
        <v>0</v>
      </c>
      <c r="AE1531" s="321">
        <v>0</v>
      </c>
      <c r="AF1531" s="322">
        <f>AE1531+AD1531</f>
        <v>0</v>
      </c>
      <c r="AG1531" s="326">
        <v>8</v>
      </c>
      <c r="AH1531" s="138" t="s">
        <v>3951</v>
      </c>
      <c r="AI1531" s="326"/>
      <c r="AJ1531" s="326" t="s">
        <v>1188</v>
      </c>
      <c r="AK1531" s="324" t="s">
        <v>1177</v>
      </c>
      <c r="AL1531" s="326" t="s">
        <v>1178</v>
      </c>
    </row>
    <row r="1532" spans="1:38" ht="15" customHeight="1" x14ac:dyDescent="0.3">
      <c r="A1532" s="324" t="s">
        <v>2603</v>
      </c>
      <c r="B1532" s="332" t="s">
        <v>189</v>
      </c>
      <c r="C1532" s="313">
        <v>4</v>
      </c>
      <c r="D1532" s="314" t="s">
        <v>190</v>
      </c>
      <c r="E1532" s="315">
        <v>41446</v>
      </c>
      <c r="F1532" s="314">
        <v>2013</v>
      </c>
      <c r="G1532" s="316" t="s">
        <v>5301</v>
      </c>
      <c r="H1532" s="841" t="s">
        <v>5302</v>
      </c>
      <c r="I1532" s="33" t="s">
        <v>33</v>
      </c>
      <c r="J1532" s="32" t="s">
        <v>26</v>
      </c>
      <c r="K1532" s="842" t="s">
        <v>162</v>
      </c>
      <c r="L1532" s="848" t="s">
        <v>3996</v>
      </c>
      <c r="M1532" s="137" t="s">
        <v>804</v>
      </c>
      <c r="N1532" s="326" t="s">
        <v>119</v>
      </c>
      <c r="O1532" s="849" t="s">
        <v>5303</v>
      </c>
      <c r="P1532" s="850" t="s">
        <v>5304</v>
      </c>
      <c r="Q1532" s="15" t="s">
        <v>282</v>
      </c>
      <c r="R1532" s="333">
        <v>42146</v>
      </c>
      <c r="S1532" s="16" t="s">
        <v>35</v>
      </c>
      <c r="T1532" s="333">
        <v>42654</v>
      </c>
      <c r="U1532" s="336"/>
      <c r="V1532" s="336"/>
      <c r="W1532" s="334">
        <v>80000000</v>
      </c>
      <c r="X1532" s="330">
        <f>80000000-80000000</f>
        <v>0</v>
      </c>
      <c r="Y1532" s="319">
        <f t="shared" si="85"/>
        <v>0</v>
      </c>
      <c r="Z1532" s="319">
        <f t="shared" si="84"/>
        <v>0</v>
      </c>
      <c r="AA1532" s="335">
        <v>44392</v>
      </c>
      <c r="AB1532" s="604" t="s">
        <v>3744</v>
      </c>
      <c r="AC1532" s="163"/>
      <c r="AD1532" s="321">
        <v>1</v>
      </c>
      <c r="AE1532" s="321">
        <v>0</v>
      </c>
      <c r="AF1532" s="322">
        <f>AE1532+AD1532</f>
        <v>1</v>
      </c>
      <c r="AG1532" s="336">
        <v>8</v>
      </c>
      <c r="AH1532" s="336" t="s">
        <v>5281</v>
      </c>
      <c r="AI1532" s="336"/>
      <c r="AJ1532" s="336" t="s">
        <v>1188</v>
      </c>
      <c r="AK1532" s="30" t="s">
        <v>99</v>
      </c>
      <c r="AL1532" s="336" t="s">
        <v>1178</v>
      </c>
    </row>
    <row r="1533" spans="1:38" ht="15" customHeight="1" x14ac:dyDescent="0.3">
      <c r="A1533" s="341" t="s">
        <v>140</v>
      </c>
      <c r="B1533" s="337"/>
      <c r="C1533" s="338">
        <v>2</v>
      </c>
      <c r="D1533" s="11" t="s">
        <v>225</v>
      </c>
      <c r="E1533" s="340">
        <v>44746</v>
      </c>
      <c r="F1533" s="339">
        <v>2022</v>
      </c>
      <c r="G1533" s="851" t="s">
        <v>5305</v>
      </c>
      <c r="H1533" s="340" t="s">
        <v>5306</v>
      </c>
      <c r="I1533" s="338" t="s">
        <v>38</v>
      </c>
      <c r="J1533" s="341" t="s">
        <v>81</v>
      </c>
      <c r="K1533" s="852" t="s">
        <v>163</v>
      </c>
      <c r="L1533" s="853" t="s">
        <v>28</v>
      </c>
      <c r="M1533" s="852" t="s">
        <v>42</v>
      </c>
      <c r="N1533" s="342" t="s">
        <v>43</v>
      </c>
      <c r="O1533" s="854" t="s">
        <v>5307</v>
      </c>
      <c r="P1533" s="855" t="s">
        <v>5308</v>
      </c>
      <c r="Q1533" s="342"/>
      <c r="R1533" s="856"/>
      <c r="S1533" s="342"/>
      <c r="T1533" s="342"/>
      <c r="U1533" s="342"/>
      <c r="V1533" s="852"/>
      <c r="W1533" s="343">
        <v>5000000</v>
      </c>
      <c r="X1533" s="344"/>
      <c r="Y1533" s="345">
        <f t="shared" si="85"/>
        <v>0</v>
      </c>
      <c r="Z1533" s="345">
        <f t="shared" si="84"/>
        <v>0</v>
      </c>
      <c r="AA1533" s="346"/>
      <c r="AB1533" s="503" t="s">
        <v>3960</v>
      </c>
      <c r="AC1533" s="222"/>
      <c r="AD1533" s="347"/>
      <c r="AE1533" s="347">
        <v>0</v>
      </c>
      <c r="AF1533" s="348">
        <f>AE1533+AD1533</f>
        <v>0</v>
      </c>
      <c r="AG1533" s="342"/>
      <c r="AH1533" s="342"/>
      <c r="AI1533" s="342"/>
      <c r="AJ1533" s="342" t="s">
        <v>1188</v>
      </c>
      <c r="AK1533" s="342" t="s">
        <v>1177</v>
      </c>
      <c r="AL1533" s="342" t="s">
        <v>1178</v>
      </c>
    </row>
    <row r="1534" spans="1:38" ht="15" customHeight="1" x14ac:dyDescent="0.3">
      <c r="A1534" s="857" t="s">
        <v>22</v>
      </c>
      <c r="B1534" s="349" t="s">
        <v>105</v>
      </c>
      <c r="C1534" s="350">
        <v>25</v>
      </c>
      <c r="D1534" s="11" t="s">
        <v>5936</v>
      </c>
      <c r="E1534" s="352">
        <v>42128</v>
      </c>
      <c r="F1534" s="351">
        <v>2015</v>
      </c>
      <c r="G1534" s="858" t="s">
        <v>5309</v>
      </c>
      <c r="H1534" s="859" t="s">
        <v>5310</v>
      </c>
      <c r="I1534" s="30" t="s">
        <v>38</v>
      </c>
      <c r="J1534" s="32" t="s">
        <v>26</v>
      </c>
      <c r="K1534" s="860" t="s">
        <v>50</v>
      </c>
      <c r="L1534" s="860" t="s">
        <v>209</v>
      </c>
      <c r="M1534" s="137" t="s">
        <v>804</v>
      </c>
      <c r="N1534" s="359" t="s">
        <v>82</v>
      </c>
      <c r="O1534" s="861" t="s">
        <v>5311</v>
      </c>
      <c r="P1534" s="860" t="s">
        <v>5312</v>
      </c>
      <c r="Q1534" s="15" t="s">
        <v>35</v>
      </c>
      <c r="R1534" s="353">
        <v>43503</v>
      </c>
      <c r="S1534" s="359"/>
      <c r="T1534" s="353"/>
      <c r="U1534" s="359"/>
      <c r="V1534" s="860"/>
      <c r="W1534" s="354">
        <v>36800000</v>
      </c>
      <c r="X1534" s="354">
        <f>36800000-18867393-(17932607)</f>
        <v>0</v>
      </c>
      <c r="Y1534" s="355">
        <f t="shared" si="85"/>
        <v>0</v>
      </c>
      <c r="Z1534" s="355">
        <f t="shared" si="84"/>
        <v>0</v>
      </c>
      <c r="AA1534" s="356">
        <v>44392</v>
      </c>
      <c r="AB1534" s="564" t="s">
        <v>1073</v>
      </c>
      <c r="AC1534" s="693"/>
      <c r="AD1534" s="357">
        <v>1</v>
      </c>
      <c r="AE1534" s="357">
        <v>0</v>
      </c>
      <c r="AF1534" s="358">
        <f>AE1534+AD1534</f>
        <v>1</v>
      </c>
      <c r="AG1534" s="359">
        <v>8</v>
      </c>
      <c r="AH1534" s="200" t="s">
        <v>45</v>
      </c>
      <c r="AI1534" s="359" t="s">
        <v>5313</v>
      </c>
      <c r="AJ1534" s="359" t="s">
        <v>1188</v>
      </c>
      <c r="AK1534" s="857" t="s">
        <v>1185</v>
      </c>
      <c r="AL1534" s="359" t="s">
        <v>1178</v>
      </c>
    </row>
    <row r="1535" spans="1:38" ht="15" customHeight="1" x14ac:dyDescent="0.3">
      <c r="A1535" s="248" t="s">
        <v>140</v>
      </c>
      <c r="B1535" s="266" t="s">
        <v>197</v>
      </c>
      <c r="C1535" s="248">
        <v>6</v>
      </c>
      <c r="D1535" s="248" t="s">
        <v>190</v>
      </c>
      <c r="E1535" s="360">
        <v>44420</v>
      </c>
      <c r="F1535" s="310">
        <v>2021</v>
      </c>
      <c r="G1535" s="307" t="s">
        <v>5314</v>
      </c>
      <c r="H1535" s="862" t="s">
        <v>5315</v>
      </c>
      <c r="I1535" s="361" t="s">
        <v>38</v>
      </c>
      <c r="J1535" s="307" t="s">
        <v>81</v>
      </c>
      <c r="K1535" s="264" t="s">
        <v>163</v>
      </c>
      <c r="L1535" s="310" t="s">
        <v>28</v>
      </c>
      <c r="M1535" s="863" t="s">
        <v>42</v>
      </c>
      <c r="N1535" s="553" t="s">
        <v>122</v>
      </c>
      <c r="O1535" s="864" t="s">
        <v>5316</v>
      </c>
      <c r="P1535" s="864" t="s">
        <v>5317</v>
      </c>
      <c r="Q1535" s="15" t="s">
        <v>282</v>
      </c>
      <c r="R1535" s="218">
        <v>44706</v>
      </c>
      <c r="S1535" s="16" t="s">
        <v>44</v>
      </c>
      <c r="T1535" s="400" t="s">
        <v>5318</v>
      </c>
      <c r="U1535" s="802"/>
      <c r="V1535" s="802"/>
      <c r="W1535" s="269">
        <v>10000000</v>
      </c>
      <c r="X1535" s="301"/>
      <c r="Y1535" s="7">
        <f t="shared" si="85"/>
        <v>0</v>
      </c>
      <c r="Z1535" s="7">
        <f t="shared" si="84"/>
        <v>0</v>
      </c>
      <c r="AA1535" s="301"/>
      <c r="AB1535" s="564" t="s">
        <v>2595</v>
      </c>
      <c r="AC1535" s="693"/>
      <c r="AD1535" s="258"/>
      <c r="AE1535" s="196">
        <v>0</v>
      </c>
      <c r="AF1535" s="205">
        <f t="shared" ref="AF1535:AF1540" si="88">AE1535+AD1535</f>
        <v>0</v>
      </c>
      <c r="AG1535" s="307">
        <v>8</v>
      </c>
      <c r="AH1535" s="301"/>
      <c r="AI1535" s="310"/>
      <c r="AJ1535" s="307" t="s">
        <v>1188</v>
      </c>
      <c r="AK1535" s="301" t="s">
        <v>1177</v>
      </c>
      <c r="AL1535" s="308" t="s">
        <v>1178</v>
      </c>
    </row>
    <row r="1536" spans="1:38" ht="15" customHeight="1" x14ac:dyDescent="0.3">
      <c r="A1536" s="181" t="s">
        <v>22</v>
      </c>
      <c r="B1536" s="112" t="s">
        <v>105</v>
      </c>
      <c r="C1536" s="107">
        <v>24</v>
      </c>
      <c r="D1536" s="11" t="s">
        <v>5936</v>
      </c>
      <c r="E1536" s="114">
        <v>43195</v>
      </c>
      <c r="F1536" s="246">
        <v>2018</v>
      </c>
      <c r="G1536" s="142" t="s">
        <v>5319</v>
      </c>
      <c r="H1536" s="162" t="s">
        <v>5320</v>
      </c>
      <c r="I1536" s="107" t="s">
        <v>38</v>
      </c>
      <c r="J1536" s="32" t="s">
        <v>26</v>
      </c>
      <c r="K1536" s="264" t="s">
        <v>111</v>
      </c>
      <c r="L1536" s="264" t="s">
        <v>28</v>
      </c>
      <c r="M1536" s="264" t="s">
        <v>42</v>
      </c>
      <c r="N1536" s="310" t="s">
        <v>82</v>
      </c>
      <c r="O1536" s="694" t="s">
        <v>5321</v>
      </c>
      <c r="P1536" s="783" t="s">
        <v>5322</v>
      </c>
      <c r="Q1536" s="15" t="s">
        <v>282</v>
      </c>
      <c r="R1536" s="218">
        <v>44363</v>
      </c>
      <c r="S1536" s="16" t="s">
        <v>44</v>
      </c>
      <c r="T1536" s="133">
        <v>44680</v>
      </c>
      <c r="U1536" s="623"/>
      <c r="V1536" s="624"/>
      <c r="W1536" s="242">
        <v>22800000</v>
      </c>
      <c r="X1536" s="243">
        <v>0</v>
      </c>
      <c r="Y1536" s="7">
        <f t="shared" si="85"/>
        <v>0</v>
      </c>
      <c r="Z1536" s="7">
        <f t="shared" si="84"/>
        <v>0</v>
      </c>
      <c r="AA1536" s="229"/>
      <c r="AB1536" s="513" t="s">
        <v>3232</v>
      </c>
      <c r="AC1536" s="147"/>
      <c r="AD1536" s="196">
        <v>0</v>
      </c>
      <c r="AE1536" s="187">
        <v>0</v>
      </c>
      <c r="AF1536" s="205">
        <f t="shared" si="88"/>
        <v>0</v>
      </c>
      <c r="AG1536" s="138">
        <v>8</v>
      </c>
      <c r="AH1536" s="197" t="s">
        <v>5300</v>
      </c>
      <c r="AI1536" s="138"/>
      <c r="AJ1536" s="138" t="s">
        <v>1188</v>
      </c>
      <c r="AK1536" s="181" t="s">
        <v>1177</v>
      </c>
      <c r="AL1536" s="138" t="s">
        <v>1178</v>
      </c>
    </row>
    <row r="1537" spans="1:38" ht="15" customHeight="1" x14ac:dyDescent="0.3">
      <c r="A1537" s="865" t="s">
        <v>140</v>
      </c>
      <c r="B1537" s="153" t="s">
        <v>144</v>
      </c>
      <c r="C1537" s="107">
        <v>14</v>
      </c>
      <c r="D1537" s="11" t="s">
        <v>143</v>
      </c>
      <c r="E1537" s="108">
        <v>43208</v>
      </c>
      <c r="F1537" s="12">
        <v>2018</v>
      </c>
      <c r="G1537" s="178" t="s">
        <v>4968</v>
      </c>
      <c r="H1537" s="866" t="s">
        <v>5323</v>
      </c>
      <c r="I1537" s="33" t="s">
        <v>33</v>
      </c>
      <c r="J1537" s="30" t="s">
        <v>81</v>
      </c>
      <c r="K1537" s="264" t="s">
        <v>163</v>
      </c>
      <c r="L1537" s="137" t="s">
        <v>171</v>
      </c>
      <c r="M1537" s="137" t="s">
        <v>42</v>
      </c>
      <c r="N1537" s="93" t="s">
        <v>122</v>
      </c>
      <c r="O1537" s="694" t="s">
        <v>5324</v>
      </c>
      <c r="P1537" s="864" t="s">
        <v>5325</v>
      </c>
      <c r="Q1537" s="15" t="s">
        <v>282</v>
      </c>
      <c r="R1537" s="164">
        <v>43879</v>
      </c>
      <c r="S1537" s="16" t="s">
        <v>44</v>
      </c>
      <c r="T1537" s="165">
        <v>44719</v>
      </c>
      <c r="U1537" s="624"/>
      <c r="V1537" s="180"/>
      <c r="W1537" s="242">
        <v>5000000</v>
      </c>
      <c r="X1537" s="7">
        <v>0</v>
      </c>
      <c r="Y1537" s="7">
        <f t="shared" si="85"/>
        <v>0</v>
      </c>
      <c r="Z1537" s="7">
        <f t="shared" si="84"/>
        <v>0</v>
      </c>
      <c r="AA1537" s="192">
        <v>44402</v>
      </c>
      <c r="AB1537" s="503" t="s">
        <v>147</v>
      </c>
      <c r="AC1537" s="222"/>
      <c r="AD1537" s="187">
        <v>0</v>
      </c>
      <c r="AE1537" s="187">
        <v>0</v>
      </c>
      <c r="AF1537" s="205">
        <f t="shared" si="88"/>
        <v>0</v>
      </c>
      <c r="AG1537" s="163">
        <v>8</v>
      </c>
      <c r="AH1537" s="200" t="s">
        <v>45</v>
      </c>
      <c r="AI1537" s="718" t="s">
        <v>3698</v>
      </c>
      <c r="AJ1537" s="137" t="s">
        <v>1188</v>
      </c>
      <c r="AK1537" s="660" t="s">
        <v>1177</v>
      </c>
      <c r="AL1537" s="93" t="s">
        <v>1178</v>
      </c>
    </row>
    <row r="1538" spans="1:38" ht="15" customHeight="1" x14ac:dyDescent="0.3">
      <c r="A1538" s="181" t="s">
        <v>22</v>
      </c>
      <c r="B1538" s="297" t="s">
        <v>422</v>
      </c>
      <c r="C1538" s="245">
        <v>2</v>
      </c>
      <c r="D1538" s="246" t="s">
        <v>190</v>
      </c>
      <c r="E1538" s="247">
        <v>43111</v>
      </c>
      <c r="F1538" s="246">
        <v>2018</v>
      </c>
      <c r="G1538" s="792" t="s">
        <v>5326</v>
      </c>
      <c r="H1538" s="792" t="s">
        <v>5327</v>
      </c>
      <c r="I1538" s="246" t="s">
        <v>38</v>
      </c>
      <c r="J1538" s="32" t="s">
        <v>26</v>
      </c>
      <c r="K1538" s="264" t="s">
        <v>5328</v>
      </c>
      <c r="L1538" s="264" t="s">
        <v>28</v>
      </c>
      <c r="M1538" s="197" t="s">
        <v>42</v>
      </c>
      <c r="N1538" s="138" t="s">
        <v>43</v>
      </c>
      <c r="O1538" s="832" t="s">
        <v>5329</v>
      </c>
      <c r="P1538" s="794" t="s">
        <v>5330</v>
      </c>
      <c r="Q1538" s="15" t="s">
        <v>35</v>
      </c>
      <c r="R1538" s="362">
        <v>44738</v>
      </c>
      <c r="S1538" s="16" t="s">
        <v>35</v>
      </c>
      <c r="T1538" s="363">
        <v>44742</v>
      </c>
      <c r="U1538" s="867"/>
      <c r="V1538" s="802"/>
      <c r="W1538" s="260">
        <v>14000000</v>
      </c>
      <c r="X1538" s="253">
        <v>0</v>
      </c>
      <c r="Y1538" s="7">
        <f t="shared" si="85"/>
        <v>0</v>
      </c>
      <c r="Z1538" s="7">
        <f t="shared" si="84"/>
        <v>0</v>
      </c>
      <c r="AA1538" s="192"/>
      <c r="AB1538" s="868" t="s">
        <v>201</v>
      </c>
      <c r="AC1538" s="689"/>
      <c r="AD1538" s="258">
        <v>0</v>
      </c>
      <c r="AE1538" s="187">
        <v>0</v>
      </c>
      <c r="AF1538" s="205">
        <f t="shared" si="88"/>
        <v>0</v>
      </c>
      <c r="AG1538" s="184">
        <v>8</v>
      </c>
      <c r="AH1538" s="310" t="s">
        <v>192</v>
      </c>
      <c r="AI1538" s="200"/>
      <c r="AJ1538" s="200" t="s">
        <v>1188</v>
      </c>
      <c r="AK1538" s="138" t="s">
        <v>1177</v>
      </c>
      <c r="AL1538" s="200" t="s">
        <v>1178</v>
      </c>
    </row>
    <row r="1539" spans="1:38" ht="15" customHeight="1" x14ac:dyDescent="0.3">
      <c r="A1539" s="181" t="s">
        <v>22</v>
      </c>
      <c r="B1539" s="181" t="s">
        <v>105</v>
      </c>
      <c r="C1539" s="135">
        <v>10</v>
      </c>
      <c r="D1539" s="11" t="s">
        <v>5936</v>
      </c>
      <c r="E1539" s="168">
        <v>42285</v>
      </c>
      <c r="F1539" s="136">
        <v>2015</v>
      </c>
      <c r="G1539" s="178" t="s">
        <v>5331</v>
      </c>
      <c r="H1539" s="178" t="s">
        <v>5332</v>
      </c>
      <c r="I1539" s="33" t="s">
        <v>33</v>
      </c>
      <c r="J1539" s="32" t="s">
        <v>26</v>
      </c>
      <c r="K1539" s="197" t="s">
        <v>27</v>
      </c>
      <c r="L1539" s="197" t="s">
        <v>85</v>
      </c>
      <c r="M1539" s="137" t="s">
        <v>804</v>
      </c>
      <c r="N1539" s="30" t="s">
        <v>29</v>
      </c>
      <c r="O1539" s="831" t="s">
        <v>5333</v>
      </c>
      <c r="P1539" s="811" t="s">
        <v>6163</v>
      </c>
      <c r="Q1539" s="15" t="s">
        <v>35</v>
      </c>
      <c r="R1539" s="218">
        <v>43342</v>
      </c>
      <c r="S1539" s="16" t="s">
        <v>35</v>
      </c>
      <c r="T1539" s="133">
        <v>43368</v>
      </c>
      <c r="U1539" s="623"/>
      <c r="V1539" s="624"/>
      <c r="W1539" s="239">
        <v>50000000</v>
      </c>
      <c r="X1539" s="311">
        <f>50000000-(2112000+47888000)</f>
        <v>0</v>
      </c>
      <c r="Y1539" s="7">
        <f t="shared" si="85"/>
        <v>0</v>
      </c>
      <c r="Z1539" s="7">
        <f t="shared" si="84"/>
        <v>0</v>
      </c>
      <c r="AA1539" s="192">
        <v>44540</v>
      </c>
      <c r="AB1539" s="513" t="s">
        <v>3232</v>
      </c>
      <c r="AC1539" s="147"/>
      <c r="AD1539" s="187">
        <v>1</v>
      </c>
      <c r="AE1539" s="187">
        <v>0</v>
      </c>
      <c r="AF1539" s="205">
        <f t="shared" si="88"/>
        <v>1</v>
      </c>
      <c r="AG1539" s="181">
        <v>8</v>
      </c>
      <c r="AH1539" s="264" t="s">
        <v>4632</v>
      </c>
      <c r="AI1539" s="138"/>
      <c r="AJ1539" s="138" t="s">
        <v>1188</v>
      </c>
      <c r="AK1539" s="30" t="s">
        <v>99</v>
      </c>
      <c r="AL1539" s="138" t="s">
        <v>1178</v>
      </c>
    </row>
    <row r="1540" spans="1:38" ht="15" customHeight="1" x14ac:dyDescent="0.3">
      <c r="A1540" s="248" t="s">
        <v>22</v>
      </c>
      <c r="B1540" s="244" t="s">
        <v>189</v>
      </c>
      <c r="C1540" s="245">
        <v>2</v>
      </c>
      <c r="D1540" s="246" t="s">
        <v>190</v>
      </c>
      <c r="E1540" s="247">
        <v>42254</v>
      </c>
      <c r="F1540" s="246">
        <v>2015</v>
      </c>
      <c r="G1540" s="792" t="s">
        <v>5335</v>
      </c>
      <c r="H1540" s="792" t="s">
        <v>5336</v>
      </c>
      <c r="I1540" s="33" t="s">
        <v>33</v>
      </c>
      <c r="J1540" s="32" t="s">
        <v>26</v>
      </c>
      <c r="K1540" s="264" t="s">
        <v>27</v>
      </c>
      <c r="L1540" s="264" t="s">
        <v>85</v>
      </c>
      <c r="M1540" s="137" t="s">
        <v>804</v>
      </c>
      <c r="N1540" s="30" t="s">
        <v>29</v>
      </c>
      <c r="O1540" s="869" t="s">
        <v>5337</v>
      </c>
      <c r="P1540" s="797" t="s">
        <v>5338</v>
      </c>
      <c r="Q1540" s="15" t="s">
        <v>35</v>
      </c>
      <c r="R1540" s="362">
        <v>43160</v>
      </c>
      <c r="S1540" s="16" t="s">
        <v>35</v>
      </c>
      <c r="T1540" s="363">
        <v>43593</v>
      </c>
      <c r="U1540" s="867"/>
      <c r="V1540" s="802"/>
      <c r="W1540" s="260">
        <v>150000000</v>
      </c>
      <c r="X1540" s="364">
        <f>150000000-150000000</f>
        <v>0</v>
      </c>
      <c r="Y1540" s="7">
        <f t="shared" si="85"/>
        <v>0</v>
      </c>
      <c r="Z1540" s="7">
        <f t="shared" si="84"/>
        <v>0</v>
      </c>
      <c r="AA1540" s="212">
        <v>44517</v>
      </c>
      <c r="AB1540" s="604" t="s">
        <v>3744</v>
      </c>
      <c r="AC1540" s="163"/>
      <c r="AD1540" s="196">
        <v>1</v>
      </c>
      <c r="AE1540" s="187">
        <v>0</v>
      </c>
      <c r="AF1540" s="205">
        <f t="shared" si="88"/>
        <v>1</v>
      </c>
      <c r="AG1540" s="200">
        <v>8</v>
      </c>
      <c r="AH1540" s="200" t="s">
        <v>5041</v>
      </c>
      <c r="AI1540" s="200"/>
      <c r="AJ1540" s="200" t="s">
        <v>1188</v>
      </c>
      <c r="AK1540" s="30" t="s">
        <v>99</v>
      </c>
      <c r="AL1540" s="200" t="s">
        <v>1178</v>
      </c>
    </row>
    <row r="1541" spans="1:38" ht="15" customHeight="1" x14ac:dyDescent="0.3">
      <c r="A1541" s="181" t="s">
        <v>22</v>
      </c>
      <c r="B1541" s="181" t="s">
        <v>23</v>
      </c>
      <c r="C1541" s="138">
        <v>12</v>
      </c>
      <c r="D1541" s="11" t="s">
        <v>24</v>
      </c>
      <c r="E1541" s="192">
        <v>43746</v>
      </c>
      <c r="F1541" s="181">
        <v>2019</v>
      </c>
      <c r="G1541" s="181" t="s">
        <v>5339</v>
      </c>
      <c r="H1541" s="217" t="s">
        <v>5340</v>
      </c>
      <c r="I1541" s="30" t="s">
        <v>38</v>
      </c>
      <c r="J1541" s="32" t="s">
        <v>26</v>
      </c>
      <c r="K1541" s="197" t="s">
        <v>50</v>
      </c>
      <c r="L1541" s="765" t="s">
        <v>72</v>
      </c>
      <c r="M1541" s="137" t="s">
        <v>804</v>
      </c>
      <c r="N1541" s="181" t="s">
        <v>82</v>
      </c>
      <c r="O1541" s="694" t="s">
        <v>5341</v>
      </c>
      <c r="P1541" s="815" t="s">
        <v>5342</v>
      </c>
      <c r="Q1541" s="152"/>
      <c r="R1541" s="164"/>
      <c r="S1541" s="139"/>
      <c r="T1541" s="165"/>
      <c r="U1541" s="624"/>
      <c r="V1541" s="624"/>
      <c r="W1541" s="239">
        <v>52000000</v>
      </c>
      <c r="X1541" s="330">
        <f>52000000-43000000</f>
        <v>9000000</v>
      </c>
      <c r="Y1541" s="7">
        <f t="shared" si="85"/>
        <v>0</v>
      </c>
      <c r="Z1541" s="7">
        <f t="shared" si="84"/>
        <v>9000000</v>
      </c>
      <c r="AA1541" s="192">
        <v>44788</v>
      </c>
      <c r="AB1541" s="762" t="s">
        <v>3077</v>
      </c>
      <c r="AC1541" s="652"/>
      <c r="AD1541" s="258"/>
      <c r="AE1541" s="187">
        <v>0</v>
      </c>
      <c r="AF1541" s="205">
        <v>1</v>
      </c>
      <c r="AG1541" s="279">
        <v>8</v>
      </c>
      <c r="AH1541" s="279" t="s">
        <v>74</v>
      </c>
      <c r="AI1541" s="197"/>
      <c r="AJ1541" s="279" t="s">
        <v>1188</v>
      </c>
      <c r="AK1541" s="30" t="s">
        <v>1177</v>
      </c>
      <c r="AL1541" s="93" t="s">
        <v>1178</v>
      </c>
    </row>
    <row r="1542" spans="1:38" ht="15" customHeight="1" x14ac:dyDescent="0.3">
      <c r="A1542" s="248" t="s">
        <v>22</v>
      </c>
      <c r="B1542" s="153" t="s">
        <v>23</v>
      </c>
      <c r="C1542" s="135">
        <v>5</v>
      </c>
      <c r="D1542" s="11" t="s">
        <v>24</v>
      </c>
      <c r="E1542" s="168">
        <v>44540</v>
      </c>
      <c r="F1542" s="12">
        <v>2021</v>
      </c>
      <c r="G1542" s="178" t="s">
        <v>5343</v>
      </c>
      <c r="H1542" s="204" t="s">
        <v>5344</v>
      </c>
      <c r="I1542" s="33" t="s">
        <v>33</v>
      </c>
      <c r="J1542" s="32" t="s">
        <v>26</v>
      </c>
      <c r="K1542" s="197" t="s">
        <v>27</v>
      </c>
      <c r="L1542" s="197" t="s">
        <v>40</v>
      </c>
      <c r="M1542" s="137" t="s">
        <v>804</v>
      </c>
      <c r="N1542" s="181" t="s">
        <v>29</v>
      </c>
      <c r="O1542" s="831" t="s">
        <v>5345</v>
      </c>
      <c r="P1542" s="783" t="s">
        <v>30</v>
      </c>
      <c r="Q1542" s="220" t="s">
        <v>92</v>
      </c>
      <c r="R1542" s="164"/>
      <c r="S1542" s="139"/>
      <c r="T1542" s="165"/>
      <c r="U1542" s="624"/>
      <c r="V1542" s="624"/>
      <c r="W1542" s="242">
        <v>200000000</v>
      </c>
      <c r="X1542" s="299">
        <v>-15008521</v>
      </c>
      <c r="Y1542" s="7">
        <f>IF(AE1542="","",W1542*AE1542)</f>
        <v>200000000</v>
      </c>
      <c r="Z1542" s="7">
        <f>IF(Y1542="",X1542,Y1542+X1542)</f>
        <v>184991479</v>
      </c>
      <c r="AA1542" s="192">
        <v>45168</v>
      </c>
      <c r="AB1542" s="504" t="s">
        <v>31</v>
      </c>
      <c r="AC1542" s="138"/>
      <c r="AD1542" s="187"/>
      <c r="AE1542" s="187">
        <v>1</v>
      </c>
      <c r="AF1542" s="205">
        <f>AE1542+AD1542</f>
        <v>1</v>
      </c>
      <c r="AG1542" s="197">
        <v>8</v>
      </c>
      <c r="AH1542" s="197"/>
      <c r="AI1542" s="197"/>
      <c r="AJ1542" s="197" t="s">
        <v>1188</v>
      </c>
      <c r="AK1542" s="197" t="s">
        <v>1177</v>
      </c>
      <c r="AL1542" s="310" t="s">
        <v>1178</v>
      </c>
    </row>
    <row r="1543" spans="1:38" ht="15" customHeight="1" x14ac:dyDescent="0.3">
      <c r="A1543" s="181" t="s">
        <v>22</v>
      </c>
      <c r="B1543" s="153" t="s">
        <v>208</v>
      </c>
      <c r="C1543" s="135">
        <v>1</v>
      </c>
      <c r="D1543" s="136" t="s">
        <v>190</v>
      </c>
      <c r="E1543" s="168">
        <v>41403</v>
      </c>
      <c r="F1543" s="136">
        <v>2013</v>
      </c>
      <c r="G1543" s="178" t="s">
        <v>5346</v>
      </c>
      <c r="H1543" s="204"/>
      <c r="I1543" s="33" t="s">
        <v>33</v>
      </c>
      <c r="J1543" s="32" t="s">
        <v>26</v>
      </c>
      <c r="K1543" s="264" t="s">
        <v>27</v>
      </c>
      <c r="L1543" s="746" t="s">
        <v>85</v>
      </c>
      <c r="M1543" s="137" t="s">
        <v>804</v>
      </c>
      <c r="N1543" s="30" t="s">
        <v>29</v>
      </c>
      <c r="O1543" s="694" t="s">
        <v>5347</v>
      </c>
      <c r="P1543" s="827" t="s">
        <v>5348</v>
      </c>
      <c r="Q1543" s="15" t="s">
        <v>35</v>
      </c>
      <c r="R1543" s="179">
        <v>42482</v>
      </c>
      <c r="S1543" s="16" t="s">
        <v>35</v>
      </c>
      <c r="T1543" s="191">
        <v>43361</v>
      </c>
      <c r="U1543" s="707"/>
      <c r="V1543" s="707"/>
      <c r="W1543" s="252">
        <v>90000000</v>
      </c>
      <c r="X1543" s="365">
        <f>90000000-(2400510+87599490)</f>
        <v>0</v>
      </c>
      <c r="Y1543" s="7">
        <f>IF(AE1543="","",W1543*AE1543)</f>
        <v>0</v>
      </c>
      <c r="Z1543" s="7">
        <f>IF(Y1543="",X1543,Y1543+X1543)</f>
        <v>0</v>
      </c>
      <c r="AA1543" s="192">
        <v>44515</v>
      </c>
      <c r="AB1543" s="467" t="s">
        <v>6146</v>
      </c>
      <c r="AC1543" s="197"/>
      <c r="AD1543" s="187">
        <v>1</v>
      </c>
      <c r="AE1543" s="187">
        <v>0</v>
      </c>
      <c r="AF1543" s="205">
        <f>AE1543+AD1543</f>
        <v>1</v>
      </c>
      <c r="AG1543" s="200">
        <v>8</v>
      </c>
      <c r="AH1543" s="200" t="s">
        <v>3745</v>
      </c>
      <c r="AI1543" s="200"/>
      <c r="AJ1543" s="200" t="s">
        <v>1188</v>
      </c>
      <c r="AK1543" s="30" t="s">
        <v>99</v>
      </c>
      <c r="AL1543" s="200" t="s">
        <v>1178</v>
      </c>
    </row>
    <row r="1544" spans="1:38" ht="15" customHeight="1" x14ac:dyDescent="0.3">
      <c r="A1544" s="181" t="s">
        <v>22</v>
      </c>
      <c r="B1544" s="167" t="s">
        <v>2083</v>
      </c>
      <c r="C1544" s="135" t="s">
        <v>5349</v>
      </c>
      <c r="D1544" s="11" t="s">
        <v>5936</v>
      </c>
      <c r="E1544" s="168">
        <v>42500</v>
      </c>
      <c r="F1544" s="136">
        <v>2016</v>
      </c>
      <c r="G1544" s="178" t="s">
        <v>5350</v>
      </c>
      <c r="H1544" s="178" t="s">
        <v>5351</v>
      </c>
      <c r="I1544" s="30" t="s">
        <v>38</v>
      </c>
      <c r="J1544" s="181" t="s">
        <v>81</v>
      </c>
      <c r="K1544" s="197" t="s">
        <v>75</v>
      </c>
      <c r="L1544" s="197" t="s">
        <v>5352</v>
      </c>
      <c r="M1544" s="137" t="s">
        <v>804</v>
      </c>
      <c r="N1544" s="181" t="s">
        <v>76</v>
      </c>
      <c r="O1544" s="831" t="s">
        <v>5353</v>
      </c>
      <c r="P1544" s="797" t="s">
        <v>5354</v>
      </c>
      <c r="Q1544" s="15" t="s">
        <v>35</v>
      </c>
      <c r="R1544" s="218">
        <v>42914</v>
      </c>
      <c r="S1544" s="16" t="s">
        <v>35</v>
      </c>
      <c r="T1544" s="133">
        <v>43166</v>
      </c>
      <c r="U1544" s="623" t="s">
        <v>35</v>
      </c>
      <c r="V1544" s="180">
        <v>44299</v>
      </c>
      <c r="W1544" s="242">
        <v>80000000</v>
      </c>
      <c r="X1544" s="304">
        <f>80000000+125896449-(5896449)</f>
        <v>200000000</v>
      </c>
      <c r="Y1544" s="7">
        <f>IF(AE1544="","",W1544*AE1544)</f>
        <v>0</v>
      </c>
      <c r="Z1544" s="7">
        <f>IF(Y1544="",X1544,Y1544+X1544)</f>
        <v>200000000</v>
      </c>
      <c r="AA1544" s="229">
        <v>44757</v>
      </c>
      <c r="AB1544" s="467" t="s">
        <v>6093</v>
      </c>
      <c r="AC1544" s="197"/>
      <c r="AD1544" s="196">
        <v>1</v>
      </c>
      <c r="AE1544" s="187">
        <v>0</v>
      </c>
      <c r="AF1544" s="205">
        <f>AE1544+AD1544</f>
        <v>1</v>
      </c>
      <c r="AG1544" s="138">
        <v>8</v>
      </c>
      <c r="AH1544" s="197" t="s">
        <v>5334</v>
      </c>
      <c r="AI1544" s="718" t="s">
        <v>5356</v>
      </c>
      <c r="AJ1544" s="138" t="s">
        <v>1188</v>
      </c>
      <c r="AK1544" s="30" t="s">
        <v>99</v>
      </c>
      <c r="AL1544" s="138" t="s">
        <v>1178</v>
      </c>
    </row>
    <row r="1545" spans="1:38" ht="15" customHeight="1" x14ac:dyDescent="0.3">
      <c r="A1545" s="181" t="s">
        <v>22</v>
      </c>
      <c r="B1545" s="265" t="s">
        <v>197</v>
      </c>
      <c r="C1545" s="245">
        <v>5</v>
      </c>
      <c r="D1545" s="246" t="s">
        <v>190</v>
      </c>
      <c r="E1545" s="247">
        <v>42870</v>
      </c>
      <c r="F1545" s="246">
        <v>2017</v>
      </c>
      <c r="G1545" s="792" t="s">
        <v>5357</v>
      </c>
      <c r="H1545" s="792" t="s">
        <v>5358</v>
      </c>
      <c r="I1545" s="246" t="s">
        <v>38</v>
      </c>
      <c r="J1545" s="32" t="s">
        <v>26</v>
      </c>
      <c r="K1545" s="197" t="s">
        <v>57</v>
      </c>
      <c r="L1545" s="264" t="s">
        <v>28</v>
      </c>
      <c r="M1545" s="264" t="s">
        <v>42</v>
      </c>
      <c r="N1545" s="310" t="s">
        <v>43</v>
      </c>
      <c r="O1545" s="831" t="s">
        <v>5359</v>
      </c>
      <c r="P1545" s="794" t="s">
        <v>5360</v>
      </c>
      <c r="Q1545" s="15" t="s">
        <v>282</v>
      </c>
      <c r="R1545" s="362">
        <v>43420</v>
      </c>
      <c r="S1545" s="16" t="s">
        <v>44</v>
      </c>
      <c r="T1545" s="363">
        <v>43894</v>
      </c>
      <c r="U1545" s="867" t="s">
        <v>44</v>
      </c>
      <c r="V1545" s="870">
        <v>44775</v>
      </c>
      <c r="W1545" s="260">
        <v>34000000</v>
      </c>
      <c r="X1545" s="253">
        <v>0</v>
      </c>
      <c r="Y1545" s="7">
        <f>IF(AE1545="","",W1545*AE1545)</f>
        <v>0</v>
      </c>
      <c r="Z1545" s="7">
        <f>IF(Y1545="",X1545,Y1545+X1545)</f>
        <v>0</v>
      </c>
      <c r="AA1545" s="212"/>
      <c r="AB1545" s="564" t="s">
        <v>2595</v>
      </c>
      <c r="AC1545" s="693"/>
      <c r="AD1545" s="258">
        <v>0</v>
      </c>
      <c r="AE1545" s="187">
        <v>0</v>
      </c>
      <c r="AF1545" s="205">
        <f>AE1545+AD1545</f>
        <v>0</v>
      </c>
      <c r="AG1545" s="184">
        <v>8</v>
      </c>
      <c r="AH1545" s="308" t="s">
        <v>192</v>
      </c>
      <c r="AI1545" s="200"/>
      <c r="AJ1545" s="200" t="s">
        <v>1188</v>
      </c>
      <c r="AK1545" s="138" t="s">
        <v>1185</v>
      </c>
      <c r="AL1545" s="200" t="s">
        <v>1178</v>
      </c>
    </row>
    <row r="1546" spans="1:38" ht="15" customHeight="1" x14ac:dyDescent="0.3">
      <c r="A1546" s="181" t="s">
        <v>2603</v>
      </c>
      <c r="B1546" s="145" t="s">
        <v>105</v>
      </c>
      <c r="C1546" s="135">
        <v>22</v>
      </c>
      <c r="D1546" s="11" t="s">
        <v>5936</v>
      </c>
      <c r="E1546" s="168">
        <v>40893</v>
      </c>
      <c r="F1546" s="136">
        <v>2011</v>
      </c>
      <c r="G1546" s="178" t="s">
        <v>5361</v>
      </c>
      <c r="H1546" s="204" t="s">
        <v>5362</v>
      </c>
      <c r="I1546" s="33" t="s">
        <v>33</v>
      </c>
      <c r="J1546" s="32" t="s">
        <v>191</v>
      </c>
      <c r="K1546" s="197" t="s">
        <v>5093</v>
      </c>
      <c r="L1546" s="765" t="s">
        <v>3797</v>
      </c>
      <c r="M1546" s="138" t="s">
        <v>42</v>
      </c>
      <c r="N1546" s="138" t="s">
        <v>242</v>
      </c>
      <c r="O1546" s="693" t="s">
        <v>5363</v>
      </c>
      <c r="P1546" s="718" t="s">
        <v>5364</v>
      </c>
      <c r="Q1546" s="15" t="s">
        <v>282</v>
      </c>
      <c r="R1546" s="227">
        <v>42614</v>
      </c>
      <c r="S1546" s="16" t="s">
        <v>44</v>
      </c>
      <c r="T1546" s="756">
        <v>42907</v>
      </c>
      <c r="U1546" s="737" t="s">
        <v>44</v>
      </c>
      <c r="V1546" s="786">
        <v>44103</v>
      </c>
      <c r="W1546" s="242">
        <v>8000000</v>
      </c>
      <c r="X1546" s="240">
        <v>0</v>
      </c>
      <c r="Y1546" s="7">
        <f>IF(AE1546="","",W1546*AE1546)</f>
        <v>0</v>
      </c>
      <c r="Z1546" s="7">
        <f>IF(Y1546="",X1546,Y1546+X1546)</f>
        <v>0</v>
      </c>
      <c r="AA1546" s="192">
        <v>44540</v>
      </c>
      <c r="AB1546" s="564" t="s">
        <v>1073</v>
      </c>
      <c r="AC1546" s="693"/>
      <c r="AD1546" s="187">
        <v>0</v>
      </c>
      <c r="AE1546" s="187">
        <v>0</v>
      </c>
      <c r="AF1546" s="9">
        <f>AD1546+AE1546</f>
        <v>0</v>
      </c>
      <c r="AG1546" s="30">
        <v>8</v>
      </c>
      <c r="AH1546" s="30"/>
      <c r="AI1546" s="718" t="s">
        <v>5366</v>
      </c>
      <c r="AJ1546" s="30" t="s">
        <v>1188</v>
      </c>
      <c r="AK1546" s="30" t="s">
        <v>99</v>
      </c>
      <c r="AL1546" s="30" t="s">
        <v>1178</v>
      </c>
    </row>
    <row r="1547" spans="1:38" ht="15" customHeight="1" x14ac:dyDescent="0.3">
      <c r="A1547" s="248" t="s">
        <v>140</v>
      </c>
      <c r="B1547" s="266" t="s">
        <v>3895</v>
      </c>
      <c r="C1547" s="248"/>
      <c r="D1547" s="248" t="s">
        <v>190</v>
      </c>
      <c r="E1547" s="360">
        <v>44743</v>
      </c>
      <c r="F1547" s="310">
        <v>2022</v>
      </c>
      <c r="G1547" s="307" t="s">
        <v>5367</v>
      </c>
      <c r="H1547" s="862" t="s">
        <v>5368</v>
      </c>
      <c r="I1547" s="361" t="s">
        <v>38</v>
      </c>
      <c r="J1547" s="307" t="s">
        <v>81</v>
      </c>
      <c r="K1547" s="264" t="s">
        <v>163</v>
      </c>
      <c r="L1547" s="310" t="s">
        <v>28</v>
      </c>
      <c r="M1547" s="863" t="s">
        <v>42</v>
      </c>
      <c r="N1547" s="307" t="s">
        <v>43</v>
      </c>
      <c r="O1547" s="864" t="s">
        <v>5369</v>
      </c>
      <c r="P1547" s="864" t="s">
        <v>5370</v>
      </c>
      <c r="Q1547" s="15" t="s">
        <v>35</v>
      </c>
      <c r="R1547" s="218">
        <v>44823</v>
      </c>
      <c r="S1547" s="16" t="s">
        <v>44</v>
      </c>
      <c r="T1547" s="262">
        <v>44834</v>
      </c>
      <c r="U1547" s="802"/>
      <c r="V1547" s="802"/>
      <c r="W1547" s="269">
        <v>10000000</v>
      </c>
      <c r="X1547" s="301"/>
      <c r="Y1547" s="7">
        <f t="shared" ref="Y1547:Y1580" si="89">IF(AE1547="","",W1547*AE1547)</f>
        <v>0</v>
      </c>
      <c r="Z1547" s="7">
        <f t="shared" ref="Z1547:Z1586" si="90">IF(Y1547="",X1547,Y1547+X1547)</f>
        <v>0</v>
      </c>
      <c r="AA1547" s="301"/>
      <c r="AB1547" s="503" t="s">
        <v>3960</v>
      </c>
      <c r="AC1547" s="222"/>
      <c r="AD1547" s="258">
        <v>0</v>
      </c>
      <c r="AE1547" s="196">
        <v>0</v>
      </c>
      <c r="AF1547" s="205">
        <f t="shared" ref="AF1547:AF1599" si="91">AE1547+AD1547</f>
        <v>0</v>
      </c>
      <c r="AG1547" s="307">
        <v>10</v>
      </c>
      <c r="AH1547" s="301"/>
      <c r="AI1547" s="310"/>
      <c r="AJ1547" s="307" t="s">
        <v>1188</v>
      </c>
      <c r="AK1547" s="301" t="s">
        <v>1177</v>
      </c>
      <c r="AL1547" s="308" t="s">
        <v>1178</v>
      </c>
    </row>
    <row r="1548" spans="1:38" ht="15" customHeight="1" x14ac:dyDescent="0.3">
      <c r="A1548" s="181" t="s">
        <v>140</v>
      </c>
      <c r="B1548" s="293" t="s">
        <v>148</v>
      </c>
      <c r="C1548" s="135">
        <v>7</v>
      </c>
      <c r="D1548" s="11" t="s">
        <v>143</v>
      </c>
      <c r="E1548" s="168">
        <v>43434</v>
      </c>
      <c r="F1548" s="136">
        <v>2018</v>
      </c>
      <c r="G1548" s="168" t="s">
        <v>5371</v>
      </c>
      <c r="H1548" s="168" t="s">
        <v>5372</v>
      </c>
      <c r="I1548" s="135" t="s">
        <v>38</v>
      </c>
      <c r="J1548" s="181" t="s">
        <v>81</v>
      </c>
      <c r="K1548" s="264" t="s">
        <v>163</v>
      </c>
      <c r="L1548" s="197" t="s">
        <v>28</v>
      </c>
      <c r="M1548" s="197" t="s">
        <v>42</v>
      </c>
      <c r="N1548" s="138" t="s">
        <v>122</v>
      </c>
      <c r="O1548" s="831" t="s">
        <v>5373</v>
      </c>
      <c r="P1548" s="826" t="s">
        <v>5374</v>
      </c>
      <c r="Q1548" s="220" t="s">
        <v>92</v>
      </c>
      <c r="R1548" s="164"/>
      <c r="S1548" s="139"/>
      <c r="T1548" s="165"/>
      <c r="U1548" s="624"/>
      <c r="V1548" s="180"/>
      <c r="W1548" s="242">
        <v>5000000</v>
      </c>
      <c r="X1548" s="7">
        <v>0</v>
      </c>
      <c r="Y1548" s="7">
        <f t="shared" si="89"/>
        <v>0</v>
      </c>
      <c r="Z1548" s="7">
        <f t="shared" si="90"/>
        <v>0</v>
      </c>
      <c r="AA1548" s="192"/>
      <c r="AB1548" s="503" t="s">
        <v>98</v>
      </c>
      <c r="AC1548" s="222"/>
      <c r="AD1548" s="187"/>
      <c r="AE1548" s="195">
        <v>0</v>
      </c>
      <c r="AF1548" s="205">
        <f t="shared" si="91"/>
        <v>0</v>
      </c>
      <c r="AG1548" s="163">
        <v>8</v>
      </c>
      <c r="AH1548" s="197"/>
      <c r="AI1548" s="718" t="s">
        <v>3698</v>
      </c>
      <c r="AJ1548" s="93" t="s">
        <v>1188</v>
      </c>
      <c r="AK1548" s="30" t="s">
        <v>1177</v>
      </c>
      <c r="AL1548" s="146" t="s">
        <v>1178</v>
      </c>
    </row>
    <row r="1549" spans="1:38" ht="15" customHeight="1" x14ac:dyDescent="0.3">
      <c r="A1549" s="181" t="s">
        <v>22</v>
      </c>
      <c r="B1549" s="120" t="s">
        <v>105</v>
      </c>
      <c r="C1549" s="107">
        <v>39</v>
      </c>
      <c r="D1549" s="11" t="s">
        <v>5936</v>
      </c>
      <c r="E1549" s="114">
        <v>43026</v>
      </c>
      <c r="F1549" s="246">
        <v>2017</v>
      </c>
      <c r="G1549" s="142" t="s">
        <v>5376</v>
      </c>
      <c r="H1549" s="162" t="s">
        <v>5377</v>
      </c>
      <c r="I1549" s="107" t="s">
        <v>38</v>
      </c>
      <c r="J1549" s="32" t="s">
        <v>26</v>
      </c>
      <c r="K1549" s="264" t="s">
        <v>4624</v>
      </c>
      <c r="L1549" s="264" t="s">
        <v>28</v>
      </c>
      <c r="M1549" s="264" t="s">
        <v>42</v>
      </c>
      <c r="N1549" s="310" t="s">
        <v>43</v>
      </c>
      <c r="O1549" s="694" t="s">
        <v>5378</v>
      </c>
      <c r="P1549" s="797" t="s">
        <v>5379</v>
      </c>
      <c r="Q1549" s="15" t="s">
        <v>282</v>
      </c>
      <c r="R1549" s="218">
        <v>43633</v>
      </c>
      <c r="S1549" s="16" t="s">
        <v>44</v>
      </c>
      <c r="T1549" s="133">
        <v>43642</v>
      </c>
      <c r="U1549" s="623" t="s">
        <v>5380</v>
      </c>
      <c r="V1549" s="180">
        <v>44755</v>
      </c>
      <c r="W1549" s="242">
        <v>70000000</v>
      </c>
      <c r="X1549" s="243">
        <v>0</v>
      </c>
      <c r="Y1549" s="7">
        <f t="shared" si="89"/>
        <v>0</v>
      </c>
      <c r="Z1549" s="7">
        <f t="shared" si="90"/>
        <v>0</v>
      </c>
      <c r="AA1549" s="229"/>
      <c r="AB1549" s="564" t="s">
        <v>1073</v>
      </c>
      <c r="AC1549" s="693"/>
      <c r="AD1549" s="196">
        <v>0</v>
      </c>
      <c r="AE1549" s="187">
        <v>0</v>
      </c>
      <c r="AF1549" s="205">
        <f t="shared" si="91"/>
        <v>0</v>
      </c>
      <c r="AG1549" s="138">
        <v>8</v>
      </c>
      <c r="AH1549" s="197" t="s">
        <v>5355</v>
      </c>
      <c r="AI1549" s="138"/>
      <c r="AJ1549" s="138" t="s">
        <v>1188</v>
      </c>
      <c r="AK1549" s="30" t="s">
        <v>99</v>
      </c>
      <c r="AL1549" s="138" t="s">
        <v>1178</v>
      </c>
    </row>
    <row r="1550" spans="1:38" ht="15" customHeight="1" x14ac:dyDescent="0.3">
      <c r="A1550" s="181" t="s">
        <v>22</v>
      </c>
      <c r="B1550" s="181" t="s">
        <v>23</v>
      </c>
      <c r="C1550" s="184">
        <v>16</v>
      </c>
      <c r="D1550" s="11" t="s">
        <v>24</v>
      </c>
      <c r="E1550" s="192">
        <v>42772</v>
      </c>
      <c r="F1550" s="181">
        <v>2017</v>
      </c>
      <c r="G1550" s="181" t="s">
        <v>4263</v>
      </c>
      <c r="H1550" s="217" t="s">
        <v>5381</v>
      </c>
      <c r="I1550" s="57" t="s">
        <v>6176</v>
      </c>
      <c r="J1550" s="184" t="s">
        <v>67</v>
      </c>
      <c r="K1550" s="264" t="s">
        <v>77</v>
      </c>
      <c r="L1550" s="138" t="s">
        <v>56</v>
      </c>
      <c r="M1550" s="279" t="s">
        <v>42</v>
      </c>
      <c r="N1550" s="138" t="s">
        <v>78</v>
      </c>
      <c r="O1550" s="695" t="s">
        <v>5382</v>
      </c>
      <c r="P1550" s="815" t="s">
        <v>5383</v>
      </c>
      <c r="Q1550" s="15" t="s">
        <v>282</v>
      </c>
      <c r="R1550" s="164">
        <v>43560</v>
      </c>
      <c r="S1550" s="16" t="s">
        <v>44</v>
      </c>
      <c r="T1550" s="165">
        <v>44068</v>
      </c>
      <c r="U1550" s="624"/>
      <c r="V1550" s="624"/>
      <c r="W1550" s="242">
        <v>70000000</v>
      </c>
      <c r="X1550" s="240">
        <v>0</v>
      </c>
      <c r="Y1550" s="7">
        <f t="shared" si="89"/>
        <v>0</v>
      </c>
      <c r="Z1550" s="7">
        <f t="shared" si="90"/>
        <v>0</v>
      </c>
      <c r="AA1550" s="192"/>
      <c r="AB1550" s="479" t="s">
        <v>49</v>
      </c>
      <c r="AC1550" s="480"/>
      <c r="AD1550" s="258">
        <v>0</v>
      </c>
      <c r="AE1550" s="187">
        <v>0</v>
      </c>
      <c r="AF1550" s="205">
        <f t="shared" si="91"/>
        <v>0</v>
      </c>
      <c r="AG1550" s="279">
        <v>8</v>
      </c>
      <c r="AH1550" s="279" t="s">
        <v>79</v>
      </c>
      <c r="AI1550" s="279"/>
      <c r="AJ1550" s="279" t="s">
        <v>1188</v>
      </c>
      <c r="AK1550" s="30" t="s">
        <v>1185</v>
      </c>
      <c r="AL1550" s="93" t="s">
        <v>1178</v>
      </c>
    </row>
    <row r="1551" spans="1:38" ht="15" customHeight="1" x14ac:dyDescent="0.3">
      <c r="A1551" s="181" t="s">
        <v>22</v>
      </c>
      <c r="B1551" s="265" t="s">
        <v>422</v>
      </c>
      <c r="C1551" s="245">
        <v>3</v>
      </c>
      <c r="D1551" s="246" t="s">
        <v>190</v>
      </c>
      <c r="E1551" s="247">
        <v>42830</v>
      </c>
      <c r="F1551" s="246">
        <v>2017</v>
      </c>
      <c r="G1551" s="792" t="s">
        <v>5384</v>
      </c>
      <c r="H1551" s="792" t="s">
        <v>5385</v>
      </c>
      <c r="I1551" s="246" t="s">
        <v>38</v>
      </c>
      <c r="J1551" s="32" t="s">
        <v>26</v>
      </c>
      <c r="K1551" s="264" t="s">
        <v>127</v>
      </c>
      <c r="L1551" s="264" t="s">
        <v>28</v>
      </c>
      <c r="M1551" s="264" t="s">
        <v>42</v>
      </c>
      <c r="N1551" s="310" t="s">
        <v>43</v>
      </c>
      <c r="O1551" s="871" t="s">
        <v>5386</v>
      </c>
      <c r="P1551" s="872" t="s">
        <v>5387</v>
      </c>
      <c r="Q1551" s="15" t="s">
        <v>282</v>
      </c>
      <c r="R1551" s="362">
        <v>43073</v>
      </c>
      <c r="S1551" s="16" t="s">
        <v>44</v>
      </c>
      <c r="T1551" s="363">
        <v>43894</v>
      </c>
      <c r="U1551" s="867"/>
      <c r="V1551" s="802"/>
      <c r="W1551" s="260">
        <v>53000000</v>
      </c>
      <c r="X1551" s="253">
        <v>0</v>
      </c>
      <c r="Y1551" s="7">
        <f t="shared" si="89"/>
        <v>0</v>
      </c>
      <c r="Z1551" s="7">
        <f t="shared" si="90"/>
        <v>0</v>
      </c>
      <c r="AA1551" s="192"/>
      <c r="AB1551" s="868" t="s">
        <v>201</v>
      </c>
      <c r="AC1551" s="689"/>
      <c r="AD1551" s="258">
        <v>0</v>
      </c>
      <c r="AE1551" s="187">
        <v>0</v>
      </c>
      <c r="AF1551" s="205">
        <f t="shared" si="91"/>
        <v>0</v>
      </c>
      <c r="AG1551" s="184">
        <v>8</v>
      </c>
      <c r="AH1551" s="264" t="s">
        <v>5365</v>
      </c>
      <c r="AI1551" s="184"/>
      <c r="AJ1551" s="200" t="s">
        <v>1188</v>
      </c>
      <c r="AK1551" s="138" t="s">
        <v>1185</v>
      </c>
      <c r="AL1551" s="200" t="s">
        <v>1178</v>
      </c>
    </row>
    <row r="1552" spans="1:38" ht="15" customHeight="1" x14ac:dyDescent="0.3">
      <c r="A1552" s="181" t="s">
        <v>22</v>
      </c>
      <c r="B1552" s="181" t="s">
        <v>105</v>
      </c>
      <c r="C1552" s="135">
        <v>36</v>
      </c>
      <c r="D1552" s="11" t="s">
        <v>5936</v>
      </c>
      <c r="E1552" s="168">
        <v>42472</v>
      </c>
      <c r="F1552" s="136">
        <v>2016</v>
      </c>
      <c r="G1552" s="178" t="s">
        <v>5389</v>
      </c>
      <c r="H1552" s="178" t="s">
        <v>5390</v>
      </c>
      <c r="I1552" s="136" t="s">
        <v>38</v>
      </c>
      <c r="J1552" s="32" t="s">
        <v>26</v>
      </c>
      <c r="K1552" s="197" t="s">
        <v>4358</v>
      </c>
      <c r="L1552" s="197" t="s">
        <v>28</v>
      </c>
      <c r="M1552" s="197" t="s">
        <v>42</v>
      </c>
      <c r="N1552" s="138" t="s">
        <v>82</v>
      </c>
      <c r="O1552" s="831" t="s">
        <v>5391</v>
      </c>
      <c r="P1552" s="794" t="s">
        <v>5392</v>
      </c>
      <c r="Q1552" s="15" t="s">
        <v>282</v>
      </c>
      <c r="R1552" s="218">
        <v>44305</v>
      </c>
      <c r="S1552" s="16" t="s">
        <v>44</v>
      </c>
      <c r="T1552" s="133">
        <v>44804</v>
      </c>
      <c r="U1552" s="623"/>
      <c r="V1552" s="624"/>
      <c r="W1552" s="239">
        <v>25000000</v>
      </c>
      <c r="X1552" s="243">
        <v>0</v>
      </c>
      <c r="Y1552" s="7">
        <f t="shared" si="89"/>
        <v>0</v>
      </c>
      <c r="Z1552" s="7">
        <f t="shared" si="90"/>
        <v>0</v>
      </c>
      <c r="AA1552" s="270"/>
      <c r="AB1552" s="513" t="s">
        <v>3232</v>
      </c>
      <c r="AC1552" s="147"/>
      <c r="AD1552" s="196">
        <v>0</v>
      </c>
      <c r="AE1552" s="187">
        <v>0</v>
      </c>
      <c r="AF1552" s="205">
        <f t="shared" si="91"/>
        <v>0</v>
      </c>
      <c r="AG1552" s="181">
        <v>8</v>
      </c>
      <c r="AH1552" s="250"/>
      <c r="AI1552" s="138"/>
      <c r="AJ1552" s="138" t="s">
        <v>1188</v>
      </c>
      <c r="AK1552" s="181" t="s">
        <v>1177</v>
      </c>
      <c r="AL1552" s="138" t="s">
        <v>1178</v>
      </c>
    </row>
    <row r="1553" spans="1:38" ht="15" customHeight="1" x14ac:dyDescent="0.3">
      <c r="A1553" s="30" t="s">
        <v>22</v>
      </c>
      <c r="B1553" s="112" t="s">
        <v>146</v>
      </c>
      <c r="C1553" s="107">
        <v>2</v>
      </c>
      <c r="D1553" s="11" t="s">
        <v>143</v>
      </c>
      <c r="E1553" s="360">
        <v>40877</v>
      </c>
      <c r="F1553" s="107">
        <v>2011</v>
      </c>
      <c r="G1553" s="142" t="s">
        <v>5394</v>
      </c>
      <c r="H1553" s="397" t="s">
        <v>5395</v>
      </c>
      <c r="I1553" s="57" t="s">
        <v>6176</v>
      </c>
      <c r="J1553" s="30" t="s">
        <v>67</v>
      </c>
      <c r="K1553" s="197" t="s">
        <v>207</v>
      </c>
      <c r="L1553" s="137" t="s">
        <v>3996</v>
      </c>
      <c r="M1553" s="137" t="s">
        <v>804</v>
      </c>
      <c r="N1553" s="138" t="s">
        <v>69</v>
      </c>
      <c r="O1553" s="138" t="s">
        <v>5396</v>
      </c>
      <c r="P1553" s="138" t="s">
        <v>5397</v>
      </c>
      <c r="Q1553" s="15" t="s">
        <v>35</v>
      </c>
      <c r="R1553" s="179">
        <v>42541</v>
      </c>
      <c r="S1553" s="16" t="s">
        <v>35</v>
      </c>
      <c r="T1553" s="191">
        <v>44180</v>
      </c>
      <c r="U1553" s="707"/>
      <c r="V1553" s="624"/>
      <c r="W1553" s="242">
        <v>25000000</v>
      </c>
      <c r="X1553" s="253">
        <v>25000000</v>
      </c>
      <c r="Y1553" s="7">
        <f t="shared" si="89"/>
        <v>0</v>
      </c>
      <c r="Z1553" s="7">
        <f t="shared" si="90"/>
        <v>25000000</v>
      </c>
      <c r="AA1553" s="192">
        <v>44550</v>
      </c>
      <c r="AB1553" s="706" t="s">
        <v>147</v>
      </c>
      <c r="AC1553" s="200"/>
      <c r="AD1553" s="258">
        <v>1</v>
      </c>
      <c r="AE1553" s="186">
        <v>0</v>
      </c>
      <c r="AF1553" s="205">
        <f t="shared" si="91"/>
        <v>1</v>
      </c>
      <c r="AG1553" s="200">
        <v>8</v>
      </c>
      <c r="AH1553" s="138" t="s">
        <v>5375</v>
      </c>
      <c r="AI1553" s="200"/>
      <c r="AJ1553" s="200" t="s">
        <v>1188</v>
      </c>
      <c r="AK1553" s="138" t="s">
        <v>1185</v>
      </c>
      <c r="AL1553" s="146" t="s">
        <v>1178</v>
      </c>
    </row>
    <row r="1554" spans="1:38" ht="15" customHeight="1" x14ac:dyDescent="0.3">
      <c r="A1554" s="248" t="s">
        <v>22</v>
      </c>
      <c r="B1554" s="297" t="s">
        <v>227</v>
      </c>
      <c r="C1554" s="107">
        <v>9</v>
      </c>
      <c r="D1554" s="11" t="s">
        <v>225</v>
      </c>
      <c r="E1554" s="114">
        <v>44508</v>
      </c>
      <c r="F1554" s="12">
        <v>2021</v>
      </c>
      <c r="G1554" s="142" t="s">
        <v>5398</v>
      </c>
      <c r="H1554" s="247" t="s">
        <v>5399</v>
      </c>
      <c r="I1554" s="107" t="s">
        <v>38</v>
      </c>
      <c r="J1554" s="32" t="s">
        <v>26</v>
      </c>
      <c r="K1554" s="264" t="s">
        <v>50</v>
      </c>
      <c r="L1554" s="305" t="s">
        <v>28</v>
      </c>
      <c r="M1554" s="264" t="s">
        <v>42</v>
      </c>
      <c r="N1554" s="310" t="s">
        <v>82</v>
      </c>
      <c r="O1554" s="837" t="s">
        <v>5400</v>
      </c>
      <c r="P1554" s="838" t="s">
        <v>5401</v>
      </c>
      <c r="Q1554" s="15" t="s">
        <v>282</v>
      </c>
      <c r="R1554" s="218">
        <v>44585</v>
      </c>
      <c r="S1554" s="649" t="s">
        <v>44</v>
      </c>
      <c r="T1554" s="232">
        <v>44858</v>
      </c>
      <c r="U1554" s="776"/>
      <c r="V1554" s="776"/>
      <c r="W1554" s="242">
        <v>50000000</v>
      </c>
      <c r="X1554" s="185"/>
      <c r="Y1554" s="7">
        <f t="shared" si="89"/>
        <v>0</v>
      </c>
      <c r="Z1554" s="7">
        <f t="shared" si="90"/>
        <v>0</v>
      </c>
      <c r="AA1554" s="233"/>
      <c r="AB1554" s="504" t="s">
        <v>6115</v>
      </c>
      <c r="AC1554" s="138"/>
      <c r="AD1554" s="196"/>
      <c r="AE1554" s="187">
        <v>0</v>
      </c>
      <c r="AF1554" s="205">
        <f t="shared" si="91"/>
        <v>0</v>
      </c>
      <c r="AG1554" s="197"/>
      <c r="AH1554" s="197" t="s">
        <v>5998</v>
      </c>
      <c r="AI1554" s="197"/>
      <c r="AJ1554" s="197" t="s">
        <v>1188</v>
      </c>
      <c r="AK1554" s="197" t="s">
        <v>1177</v>
      </c>
      <c r="AL1554" s="93" t="s">
        <v>1178</v>
      </c>
    </row>
    <row r="1555" spans="1:38" ht="15" customHeight="1" x14ac:dyDescent="0.3">
      <c r="A1555" s="181" t="s">
        <v>22</v>
      </c>
      <c r="B1555" s="181" t="s">
        <v>23</v>
      </c>
      <c r="C1555" s="184">
        <v>7</v>
      </c>
      <c r="D1555" s="11" t="s">
        <v>24</v>
      </c>
      <c r="E1555" s="192">
        <v>43420</v>
      </c>
      <c r="F1555" s="181">
        <v>2018</v>
      </c>
      <c r="G1555" s="181" t="s">
        <v>5403</v>
      </c>
      <c r="H1555" s="217" t="s">
        <v>5404</v>
      </c>
      <c r="I1555" s="33" t="s">
        <v>33</v>
      </c>
      <c r="J1555" s="32" t="s">
        <v>26</v>
      </c>
      <c r="K1555" s="264" t="s">
        <v>27</v>
      </c>
      <c r="L1555" s="138" t="s">
        <v>85</v>
      </c>
      <c r="M1555" s="137" t="s">
        <v>804</v>
      </c>
      <c r="N1555" s="30" t="s">
        <v>29</v>
      </c>
      <c r="O1555" s="694" t="s">
        <v>5405</v>
      </c>
      <c r="P1555" s="815" t="s">
        <v>5406</v>
      </c>
      <c r="Q1555" s="15" t="s">
        <v>282</v>
      </c>
      <c r="R1555" s="164">
        <v>43579</v>
      </c>
      <c r="S1555" s="16" t="s">
        <v>35</v>
      </c>
      <c r="T1555" s="165">
        <v>44466</v>
      </c>
      <c r="U1555" s="624"/>
      <c r="V1555" s="624"/>
      <c r="W1555" s="239">
        <v>200000000</v>
      </c>
      <c r="X1555" s="240">
        <f>-754263+200000000-80234130</f>
        <v>119011607</v>
      </c>
      <c r="Y1555" s="7">
        <f t="shared" si="89"/>
        <v>0</v>
      </c>
      <c r="Z1555" s="7">
        <f t="shared" si="90"/>
        <v>119011607</v>
      </c>
      <c r="AA1555" s="192">
        <v>44515</v>
      </c>
      <c r="AB1555" s="762" t="s">
        <v>3077</v>
      </c>
      <c r="AC1555" s="652"/>
      <c r="AD1555" s="258">
        <v>1</v>
      </c>
      <c r="AE1555" s="187">
        <v>0</v>
      </c>
      <c r="AF1555" s="205">
        <f t="shared" si="91"/>
        <v>1</v>
      </c>
      <c r="AG1555" s="279">
        <v>8</v>
      </c>
      <c r="AH1555" s="93" t="s">
        <v>2755</v>
      </c>
      <c r="AI1555" s="279"/>
      <c r="AJ1555" s="279" t="s">
        <v>1188</v>
      </c>
      <c r="AK1555" s="30" t="s">
        <v>1185</v>
      </c>
      <c r="AL1555" s="93" t="s">
        <v>1178</v>
      </c>
    </row>
    <row r="1556" spans="1:38" ht="15" customHeight="1" x14ac:dyDescent="0.3">
      <c r="A1556" s="181" t="s">
        <v>22</v>
      </c>
      <c r="B1556" s="153" t="s">
        <v>146</v>
      </c>
      <c r="C1556" s="107">
        <v>1</v>
      </c>
      <c r="D1556" s="11" t="s">
        <v>143</v>
      </c>
      <c r="E1556" s="108">
        <v>42531</v>
      </c>
      <c r="F1556" s="12">
        <v>2016</v>
      </c>
      <c r="G1556" s="178" t="s">
        <v>5407</v>
      </c>
      <c r="H1556" s="162" t="s">
        <v>5408</v>
      </c>
      <c r="I1556" s="33" t="s">
        <v>33</v>
      </c>
      <c r="J1556" s="32" t="s">
        <v>26</v>
      </c>
      <c r="K1556" s="264" t="s">
        <v>27</v>
      </c>
      <c r="L1556" s="137" t="s">
        <v>40</v>
      </c>
      <c r="M1556" s="137" t="s">
        <v>804</v>
      </c>
      <c r="N1556" s="30" t="s">
        <v>29</v>
      </c>
      <c r="O1556" s="694" t="s">
        <v>5409</v>
      </c>
      <c r="P1556" s="197" t="s">
        <v>5410</v>
      </c>
      <c r="Q1556" s="15" t="s">
        <v>35</v>
      </c>
      <c r="R1556" s="164">
        <v>43172</v>
      </c>
      <c r="S1556" s="139"/>
      <c r="T1556" s="165"/>
      <c r="U1556" s="624"/>
      <c r="V1556" s="180"/>
      <c r="W1556" s="242">
        <v>250000000</v>
      </c>
      <c r="X1556" s="7">
        <f>250000000-(148537005+5634104)</f>
        <v>95828891</v>
      </c>
      <c r="Y1556" s="7">
        <f t="shared" si="89"/>
        <v>0</v>
      </c>
      <c r="Z1556" s="7">
        <f t="shared" si="90"/>
        <v>95828891</v>
      </c>
      <c r="AA1556" s="192">
        <v>44405</v>
      </c>
      <c r="AB1556" s="503" t="s">
        <v>147</v>
      </c>
      <c r="AC1556" s="222"/>
      <c r="AD1556" s="187">
        <v>1</v>
      </c>
      <c r="AE1556" s="187">
        <v>0</v>
      </c>
      <c r="AF1556" s="205">
        <f t="shared" si="91"/>
        <v>1</v>
      </c>
      <c r="AG1556" s="163">
        <v>8</v>
      </c>
      <c r="AH1556" s="264" t="s">
        <v>5388</v>
      </c>
      <c r="AI1556" s="138"/>
      <c r="AJ1556" s="137" t="s">
        <v>1188</v>
      </c>
      <c r="AK1556" s="660" t="s">
        <v>1185</v>
      </c>
      <c r="AL1556" s="93" t="s">
        <v>1178</v>
      </c>
    </row>
    <row r="1557" spans="1:38" ht="15" customHeight="1" x14ac:dyDescent="0.3">
      <c r="A1557" s="181" t="s">
        <v>22</v>
      </c>
      <c r="B1557" s="181" t="s">
        <v>23</v>
      </c>
      <c r="C1557" s="184">
        <v>19</v>
      </c>
      <c r="D1557" s="11" t="s">
        <v>24</v>
      </c>
      <c r="E1557" s="192">
        <v>43179</v>
      </c>
      <c r="F1557" s="181">
        <v>2018</v>
      </c>
      <c r="G1557" s="181" t="s">
        <v>5411</v>
      </c>
      <c r="H1557" s="217" t="s">
        <v>5412</v>
      </c>
      <c r="I1557" s="12" t="s">
        <v>38</v>
      </c>
      <c r="J1557" s="32" t="s">
        <v>26</v>
      </c>
      <c r="K1557" s="197" t="s">
        <v>113</v>
      </c>
      <c r="L1557" s="138" t="s">
        <v>56</v>
      </c>
      <c r="M1557" s="279" t="s">
        <v>42</v>
      </c>
      <c r="N1557" s="181" t="s">
        <v>82</v>
      </c>
      <c r="O1557" s="680" t="s">
        <v>5413</v>
      </c>
      <c r="P1557" s="815" t="s">
        <v>5414</v>
      </c>
      <c r="Q1557" s="15" t="s">
        <v>282</v>
      </c>
      <c r="R1557" s="164">
        <v>44426</v>
      </c>
      <c r="S1557" s="16" t="s">
        <v>44</v>
      </c>
      <c r="T1557" s="165">
        <v>44582</v>
      </c>
      <c r="U1557" s="624"/>
      <c r="V1557" s="624"/>
      <c r="W1557" s="239">
        <v>110000000</v>
      </c>
      <c r="X1557" s="240">
        <v>0</v>
      </c>
      <c r="Y1557" s="7">
        <f t="shared" si="89"/>
        <v>0</v>
      </c>
      <c r="Z1557" s="7">
        <f t="shared" si="90"/>
        <v>0</v>
      </c>
      <c r="AA1557" s="192"/>
      <c r="AB1557" s="801" t="s">
        <v>53</v>
      </c>
      <c r="AC1557" s="192"/>
      <c r="AD1557" s="258">
        <v>0</v>
      </c>
      <c r="AE1557" s="187">
        <v>0</v>
      </c>
      <c r="AF1557" s="205">
        <f t="shared" si="91"/>
        <v>0</v>
      </c>
      <c r="AG1557" s="279">
        <v>8</v>
      </c>
      <c r="AH1557" s="279" t="s">
        <v>5393</v>
      </c>
      <c r="AI1557" s="279"/>
      <c r="AJ1557" s="279" t="s">
        <v>1188</v>
      </c>
      <c r="AK1557" s="30" t="s">
        <v>1177</v>
      </c>
      <c r="AL1557" s="93" t="s">
        <v>1178</v>
      </c>
    </row>
    <row r="1558" spans="1:38" ht="15" customHeight="1" x14ac:dyDescent="0.3">
      <c r="A1558" s="181" t="s">
        <v>2603</v>
      </c>
      <c r="B1558" s="145" t="s">
        <v>197</v>
      </c>
      <c r="C1558" s="135">
        <v>3</v>
      </c>
      <c r="D1558" s="136" t="s">
        <v>190</v>
      </c>
      <c r="E1558" s="302">
        <v>40806</v>
      </c>
      <c r="F1558" s="136">
        <v>2011</v>
      </c>
      <c r="G1558" s="138" t="s">
        <v>5415</v>
      </c>
      <c r="H1558" s="310" t="s">
        <v>5416</v>
      </c>
      <c r="I1558" s="33" t="s">
        <v>33</v>
      </c>
      <c r="J1558" s="32" t="s">
        <v>26</v>
      </c>
      <c r="K1558" s="197" t="s">
        <v>50</v>
      </c>
      <c r="L1558" s="197" t="s">
        <v>28</v>
      </c>
      <c r="M1558" s="197" t="s">
        <v>42</v>
      </c>
      <c r="N1558" s="138" t="s">
        <v>82</v>
      </c>
      <c r="O1558" s="361" t="s">
        <v>5417</v>
      </c>
      <c r="P1558" s="197" t="s">
        <v>6164</v>
      </c>
      <c r="Q1558" s="15" t="s">
        <v>282</v>
      </c>
      <c r="R1558" s="179">
        <v>41878</v>
      </c>
      <c r="S1558" s="16" t="s">
        <v>44</v>
      </c>
      <c r="T1558" s="191">
        <v>42132</v>
      </c>
      <c r="U1558" s="707"/>
      <c r="V1558" s="707"/>
      <c r="W1558" s="252">
        <v>210000000</v>
      </c>
      <c r="X1558" s="253">
        <v>0</v>
      </c>
      <c r="Y1558" s="7">
        <f t="shared" si="89"/>
        <v>0</v>
      </c>
      <c r="Z1558" s="7">
        <f t="shared" si="90"/>
        <v>0</v>
      </c>
      <c r="AA1558" s="108"/>
      <c r="AB1558" s="504" t="s">
        <v>6138</v>
      </c>
      <c r="AC1558" s="138"/>
      <c r="AD1558" s="187">
        <v>0</v>
      </c>
      <c r="AE1558" s="187">
        <v>0</v>
      </c>
      <c r="AF1558" s="205">
        <f t="shared" si="91"/>
        <v>0</v>
      </c>
      <c r="AG1558" s="200">
        <v>8</v>
      </c>
      <c r="AH1558" s="200"/>
      <c r="AI1558" s="200" t="s">
        <v>5418</v>
      </c>
      <c r="AJ1558" s="200" t="s">
        <v>1188</v>
      </c>
      <c r="AK1558" s="30" t="s">
        <v>99</v>
      </c>
      <c r="AL1558" s="200" t="s">
        <v>1178</v>
      </c>
    </row>
    <row r="1559" spans="1:38" ht="15" customHeight="1" x14ac:dyDescent="0.3">
      <c r="A1559" s="181" t="s">
        <v>160</v>
      </c>
      <c r="B1559" s="265" t="s">
        <v>148</v>
      </c>
      <c r="C1559" s="107">
        <v>2</v>
      </c>
      <c r="D1559" s="11" t="s">
        <v>143</v>
      </c>
      <c r="E1559" s="114">
        <v>43411</v>
      </c>
      <c r="F1559" s="12">
        <v>2018</v>
      </c>
      <c r="G1559" s="142" t="s">
        <v>5419</v>
      </c>
      <c r="H1559" s="162" t="s">
        <v>5420</v>
      </c>
      <c r="I1559" s="107" t="s">
        <v>38</v>
      </c>
      <c r="J1559" s="248" t="s">
        <v>81</v>
      </c>
      <c r="K1559" s="264" t="s">
        <v>75</v>
      </c>
      <c r="L1559" s="264" t="s">
        <v>28</v>
      </c>
      <c r="M1559" s="264" t="s">
        <v>42</v>
      </c>
      <c r="N1559" s="181" t="s">
        <v>76</v>
      </c>
      <c r="O1559" s="831" t="s">
        <v>5421</v>
      </c>
      <c r="P1559" s="197" t="s">
        <v>5422</v>
      </c>
      <c r="Q1559" s="15" t="s">
        <v>282</v>
      </c>
      <c r="R1559" s="164">
        <v>43761</v>
      </c>
      <c r="S1559" s="16" t="s">
        <v>44</v>
      </c>
      <c r="T1559" s="165">
        <v>44076</v>
      </c>
      <c r="U1559" s="624"/>
      <c r="V1559" s="180"/>
      <c r="W1559" s="242">
        <v>150000000</v>
      </c>
      <c r="X1559" s="185">
        <v>0</v>
      </c>
      <c r="Y1559" s="7">
        <f t="shared" si="89"/>
        <v>0</v>
      </c>
      <c r="Z1559" s="7">
        <f t="shared" si="90"/>
        <v>0</v>
      </c>
      <c r="AA1559" s="229">
        <v>44520</v>
      </c>
      <c r="AB1559" s="503" t="s">
        <v>98</v>
      </c>
      <c r="AC1559" s="222"/>
      <c r="AD1559" s="187"/>
      <c r="AE1559" s="195">
        <v>0</v>
      </c>
      <c r="AF1559" s="205">
        <f t="shared" si="91"/>
        <v>0</v>
      </c>
      <c r="AG1559" s="188">
        <v>8</v>
      </c>
      <c r="AH1559" s="197" t="s">
        <v>5402</v>
      </c>
      <c r="AI1559" s="674"/>
      <c r="AJ1559" s="137" t="s">
        <v>1188</v>
      </c>
      <c r="AK1559" s="660" t="s">
        <v>1185</v>
      </c>
      <c r="AL1559" s="93" t="s">
        <v>1178</v>
      </c>
    </row>
    <row r="1560" spans="1:38" ht="15" customHeight="1" x14ac:dyDescent="0.3">
      <c r="A1560" s="181" t="s">
        <v>140</v>
      </c>
      <c r="B1560" s="265" t="s">
        <v>422</v>
      </c>
      <c r="C1560" s="245">
        <v>1</v>
      </c>
      <c r="D1560" s="246" t="s">
        <v>190</v>
      </c>
      <c r="E1560" s="247">
        <v>43312</v>
      </c>
      <c r="F1560" s="246">
        <v>2018</v>
      </c>
      <c r="G1560" s="792" t="s">
        <v>5423</v>
      </c>
      <c r="H1560" s="792" t="s">
        <v>5424</v>
      </c>
      <c r="I1560" s="246" t="s">
        <v>38</v>
      </c>
      <c r="J1560" s="248" t="s">
        <v>81</v>
      </c>
      <c r="K1560" s="264" t="s">
        <v>163</v>
      </c>
      <c r="L1560" s="264" t="s">
        <v>28</v>
      </c>
      <c r="M1560" s="264" t="s">
        <v>42</v>
      </c>
      <c r="N1560" s="310" t="s">
        <v>122</v>
      </c>
      <c r="O1560" s="832" t="s">
        <v>5425</v>
      </c>
      <c r="P1560" s="794" t="s">
        <v>5426</v>
      </c>
      <c r="Q1560" s="15" t="s">
        <v>282</v>
      </c>
      <c r="R1560" s="362">
        <v>44658</v>
      </c>
      <c r="S1560" s="873"/>
      <c r="T1560" s="363"/>
      <c r="U1560" s="867"/>
      <c r="V1560" s="802"/>
      <c r="W1560" s="260">
        <v>5000000</v>
      </c>
      <c r="X1560" s="253">
        <v>0</v>
      </c>
      <c r="Y1560" s="7">
        <f t="shared" si="89"/>
        <v>0</v>
      </c>
      <c r="Z1560" s="7">
        <f t="shared" si="90"/>
        <v>0</v>
      </c>
      <c r="AA1560" s="192"/>
      <c r="AB1560" s="868" t="s">
        <v>201</v>
      </c>
      <c r="AC1560" s="689"/>
      <c r="AD1560" s="258">
        <v>0</v>
      </c>
      <c r="AE1560" s="187">
        <v>0</v>
      </c>
      <c r="AF1560" s="205">
        <f t="shared" si="91"/>
        <v>0</v>
      </c>
      <c r="AG1560" s="184">
        <v>8</v>
      </c>
      <c r="AH1560" s="264"/>
      <c r="AI1560" s="719" t="s">
        <v>3698</v>
      </c>
      <c r="AJ1560" s="200" t="s">
        <v>1188</v>
      </c>
      <c r="AK1560" s="138" t="s">
        <v>1177</v>
      </c>
      <c r="AL1560" s="200" t="s">
        <v>1178</v>
      </c>
    </row>
    <row r="1561" spans="1:38" ht="15" customHeight="1" x14ac:dyDescent="0.3">
      <c r="A1561" s="181" t="s">
        <v>160</v>
      </c>
      <c r="B1561" s="297" t="s">
        <v>105</v>
      </c>
      <c r="C1561" s="245">
        <v>18</v>
      </c>
      <c r="D1561" s="11" t="s">
        <v>5936</v>
      </c>
      <c r="E1561" s="247">
        <v>43123</v>
      </c>
      <c r="F1561" s="246">
        <v>2018</v>
      </c>
      <c r="G1561" s="792" t="s">
        <v>5428</v>
      </c>
      <c r="H1561" s="792" t="s">
        <v>5429</v>
      </c>
      <c r="I1561" s="33" t="s">
        <v>33</v>
      </c>
      <c r="J1561" s="32" t="s">
        <v>26</v>
      </c>
      <c r="K1561" s="264" t="s">
        <v>27</v>
      </c>
      <c r="L1561" s="264" t="s">
        <v>85</v>
      </c>
      <c r="M1561" s="137" t="s">
        <v>804</v>
      </c>
      <c r="N1561" s="30" t="s">
        <v>29</v>
      </c>
      <c r="O1561" s="832" t="s">
        <v>5430</v>
      </c>
      <c r="P1561" s="822" t="s">
        <v>5431</v>
      </c>
      <c r="Q1561" s="15" t="s">
        <v>35</v>
      </c>
      <c r="R1561" s="218">
        <v>43579</v>
      </c>
      <c r="S1561" s="16" t="s">
        <v>35</v>
      </c>
      <c r="T1561" s="133">
        <v>44439</v>
      </c>
      <c r="U1561" s="623"/>
      <c r="V1561" s="624"/>
      <c r="W1561" s="242">
        <v>250000000</v>
      </c>
      <c r="X1561" s="243">
        <f>250000000-1308121</f>
        <v>248691879</v>
      </c>
      <c r="Y1561" s="7">
        <f t="shared" si="89"/>
        <v>0</v>
      </c>
      <c r="Z1561" s="7">
        <f t="shared" si="90"/>
        <v>248691879</v>
      </c>
      <c r="AA1561" s="192">
        <v>44392</v>
      </c>
      <c r="AB1561" s="564" t="s">
        <v>1073</v>
      </c>
      <c r="AC1561" s="693"/>
      <c r="AD1561" s="196">
        <v>1</v>
      </c>
      <c r="AE1561" s="187">
        <v>0</v>
      </c>
      <c r="AF1561" s="205">
        <f t="shared" si="91"/>
        <v>1</v>
      </c>
      <c r="AG1561" s="138">
        <v>8</v>
      </c>
      <c r="AH1561" s="264" t="s">
        <v>5245</v>
      </c>
      <c r="AI1561" s="138"/>
      <c r="AJ1561" s="138" t="s">
        <v>1188</v>
      </c>
      <c r="AK1561" s="181" t="s">
        <v>1185</v>
      </c>
      <c r="AL1561" s="138" t="s">
        <v>1178</v>
      </c>
    </row>
    <row r="1562" spans="1:38" ht="15" customHeight="1" x14ac:dyDescent="0.3">
      <c r="A1562" s="181" t="s">
        <v>22</v>
      </c>
      <c r="B1562" s="297" t="s">
        <v>212</v>
      </c>
      <c r="C1562" s="245" t="s">
        <v>240</v>
      </c>
      <c r="D1562" s="246" t="s">
        <v>190</v>
      </c>
      <c r="E1562" s="247">
        <v>42898</v>
      </c>
      <c r="F1562" s="246">
        <v>2017</v>
      </c>
      <c r="G1562" s="792" t="s">
        <v>5433</v>
      </c>
      <c r="H1562" s="792" t="s">
        <v>5434</v>
      </c>
      <c r="I1562" s="33" t="s">
        <v>33</v>
      </c>
      <c r="J1562" s="32" t="s">
        <v>26</v>
      </c>
      <c r="K1562" s="264" t="s">
        <v>27</v>
      </c>
      <c r="L1562" s="264" t="s">
        <v>109</v>
      </c>
      <c r="M1562" s="137" t="s">
        <v>804</v>
      </c>
      <c r="N1562" s="30" t="s">
        <v>29</v>
      </c>
      <c r="O1562" s="871" t="s">
        <v>5435</v>
      </c>
      <c r="P1562" s="872" t="s">
        <v>5436</v>
      </c>
      <c r="Q1562" s="15" t="s">
        <v>35</v>
      </c>
      <c r="R1562" s="362">
        <v>43058</v>
      </c>
      <c r="S1562" s="16" t="s">
        <v>35</v>
      </c>
      <c r="T1562" s="363">
        <v>44134</v>
      </c>
      <c r="U1562" s="867"/>
      <c r="V1562" s="802"/>
      <c r="W1562" s="260">
        <v>300000000</v>
      </c>
      <c r="X1562" s="253">
        <f>300000000-43985391</f>
        <v>256014609</v>
      </c>
      <c r="Y1562" s="7">
        <f t="shared" si="89"/>
        <v>0</v>
      </c>
      <c r="Z1562" s="7">
        <f t="shared" si="90"/>
        <v>256014609</v>
      </c>
      <c r="AA1562" s="192">
        <v>44515</v>
      </c>
      <c r="AB1562" s="564" t="s">
        <v>2595</v>
      </c>
      <c r="AC1562" s="693"/>
      <c r="AD1562" s="258">
        <v>1</v>
      </c>
      <c r="AE1562" s="187">
        <v>0</v>
      </c>
      <c r="AF1562" s="205">
        <f t="shared" si="91"/>
        <v>1</v>
      </c>
      <c r="AG1562" s="184">
        <v>8</v>
      </c>
      <c r="AH1562" s="308"/>
      <c r="AI1562" s="200"/>
      <c r="AJ1562" s="200" t="s">
        <v>1188</v>
      </c>
      <c r="AK1562" s="138" t="s">
        <v>1185</v>
      </c>
      <c r="AL1562" s="200" t="s">
        <v>1178</v>
      </c>
    </row>
    <row r="1563" spans="1:38" ht="15" customHeight="1" x14ac:dyDescent="0.3">
      <c r="A1563" s="181" t="s">
        <v>22</v>
      </c>
      <c r="B1563" s="265" t="s">
        <v>105</v>
      </c>
      <c r="C1563" s="245">
        <v>21</v>
      </c>
      <c r="D1563" s="11" t="s">
        <v>5936</v>
      </c>
      <c r="E1563" s="247">
        <v>42797</v>
      </c>
      <c r="F1563" s="246">
        <v>2017</v>
      </c>
      <c r="G1563" s="792" t="s">
        <v>5437</v>
      </c>
      <c r="H1563" s="792" t="s">
        <v>5438</v>
      </c>
      <c r="I1563" s="246" t="s">
        <v>38</v>
      </c>
      <c r="J1563" s="32" t="s">
        <v>26</v>
      </c>
      <c r="K1563" s="264" t="s">
        <v>136</v>
      </c>
      <c r="L1563" s="264" t="s">
        <v>28</v>
      </c>
      <c r="M1563" s="264" t="s">
        <v>42</v>
      </c>
      <c r="N1563" s="310" t="s">
        <v>82</v>
      </c>
      <c r="O1563" s="832" t="s">
        <v>5439</v>
      </c>
      <c r="P1563" s="794" t="s">
        <v>5440</v>
      </c>
      <c r="Q1563" s="15" t="s">
        <v>282</v>
      </c>
      <c r="R1563" s="218">
        <v>43494</v>
      </c>
      <c r="S1563" s="16" t="s">
        <v>44</v>
      </c>
      <c r="T1563" s="133">
        <v>43628</v>
      </c>
      <c r="U1563" s="623"/>
      <c r="V1563" s="624"/>
      <c r="W1563" s="239">
        <v>72000000</v>
      </c>
      <c r="X1563" s="243">
        <v>0</v>
      </c>
      <c r="Y1563" s="7">
        <f t="shared" si="89"/>
        <v>0</v>
      </c>
      <c r="Z1563" s="7">
        <f t="shared" si="90"/>
        <v>0</v>
      </c>
      <c r="AA1563" s="192">
        <v>44392</v>
      </c>
      <c r="AB1563" s="513" t="s">
        <v>3232</v>
      </c>
      <c r="AC1563" s="147"/>
      <c r="AD1563" s="187">
        <v>0</v>
      </c>
      <c r="AE1563" s="187">
        <v>0</v>
      </c>
      <c r="AF1563" s="205">
        <f t="shared" si="91"/>
        <v>0</v>
      </c>
      <c r="AG1563" s="181">
        <v>8</v>
      </c>
      <c r="AH1563" s="200" t="s">
        <v>45</v>
      </c>
      <c r="AI1563" s="138"/>
      <c r="AJ1563" s="138" t="s">
        <v>1188</v>
      </c>
      <c r="AK1563" s="30" t="s">
        <v>99</v>
      </c>
      <c r="AL1563" s="138" t="s">
        <v>1178</v>
      </c>
    </row>
    <row r="1564" spans="1:38" ht="15" customHeight="1" x14ac:dyDescent="0.3">
      <c r="A1564" s="30" t="s">
        <v>22</v>
      </c>
      <c r="B1564" s="30" t="s">
        <v>23</v>
      </c>
      <c r="C1564" s="146">
        <v>17</v>
      </c>
      <c r="D1564" s="11" t="s">
        <v>24</v>
      </c>
      <c r="E1564" s="108">
        <v>42429</v>
      </c>
      <c r="F1564" s="30">
        <v>2016</v>
      </c>
      <c r="G1564" s="30" t="s">
        <v>5441</v>
      </c>
      <c r="H1564" s="162" t="s">
        <v>5442</v>
      </c>
      <c r="I1564" s="30" t="s">
        <v>38</v>
      </c>
      <c r="J1564" s="32" t="s">
        <v>26</v>
      </c>
      <c r="K1564" s="137" t="s">
        <v>86</v>
      </c>
      <c r="L1564" s="93" t="s">
        <v>209</v>
      </c>
      <c r="M1564" s="137" t="s">
        <v>804</v>
      </c>
      <c r="N1564" s="181" t="s">
        <v>82</v>
      </c>
      <c r="O1564" s="874" t="s">
        <v>5443</v>
      </c>
      <c r="P1564" s="138" t="s">
        <v>6165</v>
      </c>
      <c r="Q1564" s="15" t="s">
        <v>35</v>
      </c>
      <c r="R1564" s="132">
        <v>42768</v>
      </c>
      <c r="S1564" s="16" t="s">
        <v>35</v>
      </c>
      <c r="T1564" s="139"/>
      <c r="U1564" s="624"/>
      <c r="V1564" s="624"/>
      <c r="W1564" s="239">
        <v>45000000</v>
      </c>
      <c r="X1564" s="240">
        <f>45000000-(24283667+13325694)</f>
        <v>7390639</v>
      </c>
      <c r="Y1564" s="7">
        <f t="shared" si="89"/>
        <v>0</v>
      </c>
      <c r="Z1564" s="7">
        <f t="shared" si="90"/>
        <v>7390639</v>
      </c>
      <c r="AA1564" s="192">
        <v>44515</v>
      </c>
      <c r="AB1564" s="762" t="s">
        <v>3077</v>
      </c>
      <c r="AC1564" s="652"/>
      <c r="AD1564" s="187">
        <v>1</v>
      </c>
      <c r="AE1564" s="187">
        <v>0</v>
      </c>
      <c r="AF1564" s="205">
        <f t="shared" si="91"/>
        <v>1</v>
      </c>
      <c r="AG1564" s="30">
        <v>8</v>
      </c>
      <c r="AH1564" s="200" t="s">
        <v>45</v>
      </c>
      <c r="AI1564" s="138"/>
      <c r="AJ1564" s="30" t="s">
        <v>1188</v>
      </c>
      <c r="AK1564" s="30" t="s">
        <v>1185</v>
      </c>
      <c r="AL1564" s="93" t="s">
        <v>1178</v>
      </c>
    </row>
    <row r="1565" spans="1:38" ht="15" customHeight="1" x14ac:dyDescent="0.3">
      <c r="A1565" s="248" t="s">
        <v>22</v>
      </c>
      <c r="B1565" s="153" t="s">
        <v>23</v>
      </c>
      <c r="C1565" s="135">
        <v>18</v>
      </c>
      <c r="D1565" s="11" t="s">
        <v>24</v>
      </c>
      <c r="E1565" s="168">
        <v>44114</v>
      </c>
      <c r="F1565" s="12">
        <v>2020</v>
      </c>
      <c r="G1565" s="178" t="s">
        <v>5445</v>
      </c>
      <c r="H1565" s="204" t="s">
        <v>5446</v>
      </c>
      <c r="I1565" s="30" t="s">
        <v>38</v>
      </c>
      <c r="J1565" s="32" t="s">
        <v>26</v>
      </c>
      <c r="K1565" s="264" t="s">
        <v>93</v>
      </c>
      <c r="L1565" s="264" t="s">
        <v>28</v>
      </c>
      <c r="M1565" s="137" t="s">
        <v>804</v>
      </c>
      <c r="N1565" s="310" t="s">
        <v>43</v>
      </c>
      <c r="O1565" s="831" t="s">
        <v>94</v>
      </c>
      <c r="P1565" s="783" t="s">
        <v>5447</v>
      </c>
      <c r="Q1565" s="220" t="s">
        <v>92</v>
      </c>
      <c r="R1565" s="164"/>
      <c r="S1565" s="139"/>
      <c r="T1565" s="165"/>
      <c r="U1565" s="624"/>
      <c r="V1565" s="624"/>
      <c r="W1565" s="242">
        <v>170000000</v>
      </c>
      <c r="X1565" s="299">
        <v>-125000000</v>
      </c>
      <c r="Y1565" s="7">
        <f t="shared" si="89"/>
        <v>170000000</v>
      </c>
      <c r="Z1565" s="7">
        <f t="shared" si="90"/>
        <v>45000000</v>
      </c>
      <c r="AA1565" s="192">
        <v>44910</v>
      </c>
      <c r="AB1565" s="479" t="s">
        <v>49</v>
      </c>
      <c r="AC1565" s="480"/>
      <c r="AD1565" s="187">
        <v>0</v>
      </c>
      <c r="AE1565" s="187">
        <v>1</v>
      </c>
      <c r="AF1565" s="205">
        <f t="shared" si="91"/>
        <v>1</v>
      </c>
      <c r="AG1565" s="197">
        <v>8</v>
      </c>
      <c r="AH1565" s="200" t="s">
        <v>45</v>
      </c>
      <c r="AI1565" s="197"/>
      <c r="AJ1565" s="197" t="s">
        <v>1188</v>
      </c>
      <c r="AK1565" s="197" t="s">
        <v>1177</v>
      </c>
      <c r="AL1565" s="93" t="s">
        <v>1178</v>
      </c>
    </row>
    <row r="1566" spans="1:38" ht="15" customHeight="1" x14ac:dyDescent="0.3">
      <c r="A1566" s="248" t="s">
        <v>22</v>
      </c>
      <c r="B1566" s="153" t="s">
        <v>23</v>
      </c>
      <c r="C1566" s="135">
        <v>21</v>
      </c>
      <c r="D1566" s="11" t="s">
        <v>24</v>
      </c>
      <c r="E1566" s="168">
        <v>43887</v>
      </c>
      <c r="F1566" s="12">
        <v>2020</v>
      </c>
      <c r="G1566" s="178" t="s">
        <v>5448</v>
      </c>
      <c r="H1566" s="204" t="s">
        <v>5449</v>
      </c>
      <c r="I1566" s="30" t="s">
        <v>38</v>
      </c>
      <c r="J1566" s="32" t="s">
        <v>26</v>
      </c>
      <c r="K1566" s="264" t="s">
        <v>93</v>
      </c>
      <c r="L1566" s="264" t="s">
        <v>28</v>
      </c>
      <c r="M1566" s="137" t="s">
        <v>804</v>
      </c>
      <c r="N1566" s="310" t="s">
        <v>82</v>
      </c>
      <c r="O1566" s="831" t="s">
        <v>94</v>
      </c>
      <c r="P1566" s="783" t="s">
        <v>5450</v>
      </c>
      <c r="Q1566" s="220" t="s">
        <v>92</v>
      </c>
      <c r="R1566" s="164"/>
      <c r="S1566" s="139"/>
      <c r="T1566" s="165"/>
      <c r="U1566" s="624"/>
      <c r="V1566" s="624"/>
      <c r="W1566" s="242">
        <v>163000000</v>
      </c>
      <c r="X1566" s="299">
        <v>-33000000</v>
      </c>
      <c r="Y1566" s="366">
        <f t="shared" si="89"/>
        <v>163000000</v>
      </c>
      <c r="Z1566" s="7">
        <f t="shared" si="90"/>
        <v>130000000</v>
      </c>
      <c r="AA1566" s="192"/>
      <c r="AB1566" s="479" t="s">
        <v>49</v>
      </c>
      <c r="AC1566" s="480"/>
      <c r="AD1566" s="187">
        <v>0</v>
      </c>
      <c r="AE1566" s="187">
        <v>1</v>
      </c>
      <c r="AF1566" s="205">
        <f t="shared" si="91"/>
        <v>1</v>
      </c>
      <c r="AG1566" s="197">
        <v>8</v>
      </c>
      <c r="AH1566" s="197" t="s">
        <v>5427</v>
      </c>
      <c r="AI1566" s="197"/>
      <c r="AJ1566" s="197" t="s">
        <v>1188</v>
      </c>
      <c r="AK1566" s="197" t="s">
        <v>1177</v>
      </c>
      <c r="AL1566" s="93" t="s">
        <v>1178</v>
      </c>
    </row>
    <row r="1567" spans="1:38" ht="15" customHeight="1" x14ac:dyDescent="0.3">
      <c r="A1567" s="181" t="s">
        <v>22</v>
      </c>
      <c r="B1567" s="112" t="s">
        <v>105</v>
      </c>
      <c r="C1567" s="107">
        <v>22</v>
      </c>
      <c r="D1567" s="11" t="s">
        <v>5936</v>
      </c>
      <c r="E1567" s="114">
        <v>43263</v>
      </c>
      <c r="F1567" s="246">
        <v>2018</v>
      </c>
      <c r="G1567" s="142" t="s">
        <v>5452</v>
      </c>
      <c r="H1567" s="162" t="s">
        <v>5453</v>
      </c>
      <c r="I1567" s="107" t="s">
        <v>38</v>
      </c>
      <c r="J1567" s="32" t="s">
        <v>26</v>
      </c>
      <c r="K1567" s="264" t="s">
        <v>4624</v>
      </c>
      <c r="L1567" s="264" t="s">
        <v>28</v>
      </c>
      <c r="M1567" s="264" t="s">
        <v>42</v>
      </c>
      <c r="N1567" s="310" t="s">
        <v>43</v>
      </c>
      <c r="O1567" s="694" t="s">
        <v>5454</v>
      </c>
      <c r="P1567" s="783" t="s">
        <v>5455</v>
      </c>
      <c r="Q1567" s="220"/>
      <c r="R1567" s="218"/>
      <c r="S1567" s="400"/>
      <c r="T1567" s="133"/>
      <c r="U1567" s="623"/>
      <c r="V1567" s="624"/>
      <c r="W1567" s="242">
        <v>31000000</v>
      </c>
      <c r="X1567" s="243">
        <v>0</v>
      </c>
      <c r="Y1567" s="7">
        <f t="shared" si="89"/>
        <v>0</v>
      </c>
      <c r="Z1567" s="7">
        <f t="shared" si="90"/>
        <v>0</v>
      </c>
      <c r="AA1567" s="229"/>
      <c r="AB1567" s="564" t="s">
        <v>1073</v>
      </c>
      <c r="AC1567" s="693"/>
      <c r="AD1567" s="196">
        <v>0</v>
      </c>
      <c r="AE1567" s="187">
        <v>0</v>
      </c>
      <c r="AF1567" s="205">
        <f t="shared" si="91"/>
        <v>0</v>
      </c>
      <c r="AG1567" s="138">
        <v>8</v>
      </c>
      <c r="AH1567" s="197" t="s">
        <v>5432</v>
      </c>
      <c r="AI1567" s="138"/>
      <c r="AJ1567" s="138" t="s">
        <v>1188</v>
      </c>
      <c r="AK1567" s="181" t="s">
        <v>1177</v>
      </c>
      <c r="AL1567" s="138" t="s">
        <v>1178</v>
      </c>
    </row>
    <row r="1568" spans="1:38" ht="15" customHeight="1" x14ac:dyDescent="0.3">
      <c r="A1568" s="181" t="s">
        <v>22</v>
      </c>
      <c r="B1568" s="255" t="s">
        <v>229</v>
      </c>
      <c r="C1568" s="135">
        <v>1</v>
      </c>
      <c r="D1568" s="11" t="s">
        <v>225</v>
      </c>
      <c r="E1568" s="168">
        <v>42797</v>
      </c>
      <c r="F1568" s="136">
        <v>2017</v>
      </c>
      <c r="G1568" s="178" t="s">
        <v>5456</v>
      </c>
      <c r="H1568" s="178" t="s">
        <v>5457</v>
      </c>
      <c r="I1568" s="136" t="s">
        <v>38</v>
      </c>
      <c r="J1568" s="32" t="s">
        <v>26</v>
      </c>
      <c r="K1568" s="197" t="s">
        <v>4714</v>
      </c>
      <c r="L1568" s="197" t="s">
        <v>28</v>
      </c>
      <c r="M1568" s="197" t="s">
        <v>42</v>
      </c>
      <c r="N1568" s="138" t="s">
        <v>82</v>
      </c>
      <c r="O1568" s="831" t="s">
        <v>5458</v>
      </c>
      <c r="P1568" s="794" t="s">
        <v>5459</v>
      </c>
      <c r="Q1568" s="230"/>
      <c r="R1568" s="231"/>
      <c r="S1568" s="272"/>
      <c r="T1568" s="268"/>
      <c r="U1568" s="803"/>
      <c r="V1568" s="803"/>
      <c r="W1568" s="242">
        <v>97600000</v>
      </c>
      <c r="X1568" s="243">
        <v>0</v>
      </c>
      <c r="Y1568" s="7">
        <f t="shared" si="89"/>
        <v>0</v>
      </c>
      <c r="Z1568" s="7">
        <f t="shared" si="90"/>
        <v>0</v>
      </c>
      <c r="AA1568" s="192"/>
      <c r="AB1568" s="604" t="s">
        <v>3744</v>
      </c>
      <c r="AC1568" s="163"/>
      <c r="AD1568" s="258">
        <v>0</v>
      </c>
      <c r="AE1568" s="187">
        <v>0</v>
      </c>
      <c r="AF1568" s="205">
        <f t="shared" si="91"/>
        <v>0</v>
      </c>
      <c r="AG1568" s="279">
        <v>8</v>
      </c>
      <c r="AH1568" s="279" t="s">
        <v>4721</v>
      </c>
      <c r="AI1568" s="197"/>
      <c r="AJ1568" s="197" t="s">
        <v>1188</v>
      </c>
      <c r="AK1568" s="197" t="s">
        <v>1177</v>
      </c>
      <c r="AL1568" s="138" t="s">
        <v>1178</v>
      </c>
    </row>
    <row r="1569" spans="1:38" ht="15" customHeight="1" x14ac:dyDescent="0.3">
      <c r="A1569" s="181" t="s">
        <v>22</v>
      </c>
      <c r="B1569" s="181" t="s">
        <v>189</v>
      </c>
      <c r="C1569" s="135">
        <v>1</v>
      </c>
      <c r="D1569" s="136" t="s">
        <v>190</v>
      </c>
      <c r="E1569" s="168">
        <v>42661</v>
      </c>
      <c r="F1569" s="136">
        <v>2016</v>
      </c>
      <c r="G1569" s="178" t="s">
        <v>5460</v>
      </c>
      <c r="H1569" s="178" t="s">
        <v>5461</v>
      </c>
      <c r="I1569" s="30" t="s">
        <v>38</v>
      </c>
      <c r="J1569" s="32" t="s">
        <v>26</v>
      </c>
      <c r="K1569" s="264" t="s">
        <v>27</v>
      </c>
      <c r="L1569" s="197" t="s">
        <v>85</v>
      </c>
      <c r="M1569" s="137" t="s">
        <v>804</v>
      </c>
      <c r="N1569" s="30" t="s">
        <v>29</v>
      </c>
      <c r="O1569" s="831" t="s">
        <v>5462</v>
      </c>
      <c r="P1569" s="794" t="s">
        <v>5463</v>
      </c>
      <c r="Q1569" s="15" t="s">
        <v>35</v>
      </c>
      <c r="R1569" s="362">
        <v>43426</v>
      </c>
      <c r="S1569" s="16" t="s">
        <v>35</v>
      </c>
      <c r="T1569" s="363">
        <v>43754</v>
      </c>
      <c r="U1569" s="867"/>
      <c r="V1569" s="802"/>
      <c r="W1569" s="242">
        <v>150000000</v>
      </c>
      <c r="X1569" s="253">
        <v>51134729</v>
      </c>
      <c r="Y1569" s="7">
        <f t="shared" si="89"/>
        <v>0</v>
      </c>
      <c r="Z1569" s="7">
        <f t="shared" si="90"/>
        <v>51134729</v>
      </c>
      <c r="AA1569" s="192">
        <v>44520</v>
      </c>
      <c r="AB1569" s="604" t="s">
        <v>3744</v>
      </c>
      <c r="AC1569" s="163"/>
      <c r="AD1569" s="258">
        <v>1</v>
      </c>
      <c r="AE1569" s="187">
        <v>0</v>
      </c>
      <c r="AF1569" s="205">
        <f t="shared" si="91"/>
        <v>1</v>
      </c>
      <c r="AG1569" s="184">
        <v>8</v>
      </c>
      <c r="AH1569" s="308" t="s">
        <v>3745</v>
      </c>
      <c r="AI1569" s="184"/>
      <c r="AJ1569" s="200" t="s">
        <v>1188</v>
      </c>
      <c r="AK1569" s="138" t="s">
        <v>1185</v>
      </c>
      <c r="AL1569" s="200" t="s">
        <v>1178</v>
      </c>
    </row>
    <row r="1570" spans="1:38" ht="15" customHeight="1" x14ac:dyDescent="0.3">
      <c r="A1570" s="181" t="s">
        <v>22</v>
      </c>
      <c r="B1570" s="265" t="s">
        <v>229</v>
      </c>
      <c r="C1570" s="245">
        <v>2</v>
      </c>
      <c r="D1570" s="11" t="s">
        <v>225</v>
      </c>
      <c r="E1570" s="247">
        <v>43010</v>
      </c>
      <c r="F1570" s="246">
        <v>2017</v>
      </c>
      <c r="G1570" s="792" t="s">
        <v>5464</v>
      </c>
      <c r="H1570" s="792" t="s">
        <v>5465</v>
      </c>
      <c r="I1570" s="246" t="s">
        <v>38</v>
      </c>
      <c r="J1570" s="32" t="s">
        <v>26</v>
      </c>
      <c r="K1570" s="264" t="s">
        <v>5466</v>
      </c>
      <c r="L1570" s="264" t="s">
        <v>28</v>
      </c>
      <c r="M1570" s="264" t="s">
        <v>42</v>
      </c>
      <c r="N1570" s="310" t="s">
        <v>82</v>
      </c>
      <c r="O1570" s="832" t="s">
        <v>5467</v>
      </c>
      <c r="P1570" s="822" t="s">
        <v>5468</v>
      </c>
      <c r="Q1570" s="15" t="s">
        <v>282</v>
      </c>
      <c r="R1570" s="218">
        <v>43559</v>
      </c>
      <c r="S1570" s="16" t="s">
        <v>44</v>
      </c>
      <c r="T1570" s="232">
        <v>43776</v>
      </c>
      <c r="U1570" s="776"/>
      <c r="V1570" s="776"/>
      <c r="W1570" s="242">
        <v>40000000</v>
      </c>
      <c r="X1570" s="185">
        <v>0</v>
      </c>
      <c r="Y1570" s="7">
        <f t="shared" si="89"/>
        <v>0</v>
      </c>
      <c r="Z1570" s="7">
        <f t="shared" si="90"/>
        <v>0</v>
      </c>
      <c r="AA1570" s="233"/>
      <c r="AB1570" s="604" t="s">
        <v>3744</v>
      </c>
      <c r="AC1570" s="163"/>
      <c r="AD1570" s="196">
        <v>0</v>
      </c>
      <c r="AE1570" s="187">
        <v>0</v>
      </c>
      <c r="AF1570" s="205">
        <f t="shared" si="91"/>
        <v>0</v>
      </c>
      <c r="AG1570" s="197">
        <v>8</v>
      </c>
      <c r="AH1570" s="264" t="s">
        <v>5444</v>
      </c>
      <c r="AI1570" s="197"/>
      <c r="AJ1570" s="197" t="s">
        <v>1188</v>
      </c>
      <c r="AK1570" s="197" t="s">
        <v>1185</v>
      </c>
      <c r="AL1570" s="93" t="s">
        <v>1178</v>
      </c>
    </row>
    <row r="1571" spans="1:38" ht="15" customHeight="1" x14ac:dyDescent="0.3">
      <c r="A1571" s="181" t="s">
        <v>22</v>
      </c>
      <c r="B1571" s="297" t="s">
        <v>189</v>
      </c>
      <c r="C1571" s="245">
        <v>6</v>
      </c>
      <c r="D1571" s="246" t="s">
        <v>190</v>
      </c>
      <c r="E1571" s="247">
        <v>43048</v>
      </c>
      <c r="F1571" s="246">
        <v>2017</v>
      </c>
      <c r="G1571" s="792" t="s">
        <v>215</v>
      </c>
      <c r="H1571" s="792" t="s">
        <v>216</v>
      </c>
      <c r="I1571" s="33" t="s">
        <v>33</v>
      </c>
      <c r="J1571" s="32" t="s">
        <v>26</v>
      </c>
      <c r="K1571" s="264" t="s">
        <v>27</v>
      </c>
      <c r="L1571" s="264" t="s">
        <v>109</v>
      </c>
      <c r="M1571" s="137" t="s">
        <v>804</v>
      </c>
      <c r="N1571" s="30" t="s">
        <v>29</v>
      </c>
      <c r="O1571" s="832" t="s">
        <v>217</v>
      </c>
      <c r="P1571" s="794" t="s">
        <v>218</v>
      </c>
      <c r="Q1571" s="15" t="s">
        <v>35</v>
      </c>
      <c r="R1571" s="362">
        <v>43487</v>
      </c>
      <c r="S1571" s="16" t="s">
        <v>35</v>
      </c>
      <c r="T1571" s="363">
        <v>43768</v>
      </c>
      <c r="U1571" s="867"/>
      <c r="V1571" s="802"/>
      <c r="W1571" s="260">
        <v>150000000</v>
      </c>
      <c r="X1571" s="253">
        <v>147416278</v>
      </c>
      <c r="Y1571" s="7">
        <f t="shared" si="89"/>
        <v>0</v>
      </c>
      <c r="Z1571" s="7">
        <f t="shared" si="90"/>
        <v>147416278</v>
      </c>
      <c r="AA1571" s="212">
        <v>44402</v>
      </c>
      <c r="AB1571" s="604" t="s">
        <v>3744</v>
      </c>
      <c r="AC1571" s="163"/>
      <c r="AD1571" s="258">
        <v>1</v>
      </c>
      <c r="AE1571" s="187">
        <v>0</v>
      </c>
      <c r="AF1571" s="205">
        <f t="shared" si="91"/>
        <v>1</v>
      </c>
      <c r="AG1571" s="184">
        <v>8</v>
      </c>
      <c r="AH1571" s="264"/>
      <c r="AI1571" s="200"/>
      <c r="AJ1571" s="200" t="s">
        <v>1188</v>
      </c>
      <c r="AK1571" s="138" t="s">
        <v>1185</v>
      </c>
      <c r="AL1571" s="200" t="s">
        <v>1178</v>
      </c>
    </row>
    <row r="1572" spans="1:38" ht="15" customHeight="1" x14ac:dyDescent="0.3">
      <c r="A1572" s="248" t="s">
        <v>22</v>
      </c>
      <c r="B1572" s="181" t="s">
        <v>189</v>
      </c>
      <c r="C1572" s="135">
        <v>6</v>
      </c>
      <c r="D1572" s="136" t="s">
        <v>190</v>
      </c>
      <c r="E1572" s="168">
        <v>42496</v>
      </c>
      <c r="F1572" s="136">
        <v>2016</v>
      </c>
      <c r="G1572" s="178" t="s">
        <v>5469</v>
      </c>
      <c r="H1572" s="178" t="s">
        <v>5470</v>
      </c>
      <c r="I1572" s="33" t="s">
        <v>33</v>
      </c>
      <c r="J1572" s="32" t="s">
        <v>26</v>
      </c>
      <c r="K1572" s="264" t="s">
        <v>27</v>
      </c>
      <c r="L1572" s="197" t="s">
        <v>85</v>
      </c>
      <c r="M1572" s="137" t="s">
        <v>804</v>
      </c>
      <c r="N1572" s="30" t="s">
        <v>29</v>
      </c>
      <c r="O1572" s="831" t="s">
        <v>5471</v>
      </c>
      <c r="P1572" s="794" t="s">
        <v>5472</v>
      </c>
      <c r="Q1572" s="15" t="s">
        <v>35</v>
      </c>
      <c r="R1572" s="362">
        <v>42942</v>
      </c>
      <c r="S1572" s="16" t="s">
        <v>35</v>
      </c>
      <c r="T1572" s="363">
        <v>43753</v>
      </c>
      <c r="U1572" s="867"/>
      <c r="V1572" s="802"/>
      <c r="W1572" s="242">
        <v>50000000</v>
      </c>
      <c r="X1572" s="253">
        <f>27373675-2576550</f>
        <v>24797125</v>
      </c>
      <c r="Y1572" s="7">
        <f t="shared" si="89"/>
        <v>0</v>
      </c>
      <c r="Z1572" s="7">
        <f t="shared" si="90"/>
        <v>24797125</v>
      </c>
      <c r="AA1572" s="192">
        <v>44405</v>
      </c>
      <c r="AB1572" s="604" t="s">
        <v>3744</v>
      </c>
      <c r="AC1572" s="163"/>
      <c r="AD1572" s="258">
        <v>1</v>
      </c>
      <c r="AE1572" s="187">
        <v>0</v>
      </c>
      <c r="AF1572" s="205">
        <f t="shared" si="91"/>
        <v>1</v>
      </c>
      <c r="AG1572" s="184">
        <v>8</v>
      </c>
      <c r="AH1572" s="184" t="s">
        <v>5451</v>
      </c>
      <c r="AI1572" s="719" t="s">
        <v>5473</v>
      </c>
      <c r="AJ1572" s="200" t="s">
        <v>1188</v>
      </c>
      <c r="AK1572" s="138" t="s">
        <v>1185</v>
      </c>
      <c r="AL1572" s="200" t="s">
        <v>1178</v>
      </c>
    </row>
    <row r="1573" spans="1:38" ht="15" customHeight="1" x14ac:dyDescent="0.3">
      <c r="A1573" s="181" t="s">
        <v>22</v>
      </c>
      <c r="B1573" s="145" t="s">
        <v>105</v>
      </c>
      <c r="C1573" s="135">
        <v>20</v>
      </c>
      <c r="D1573" s="11" t="s">
        <v>5936</v>
      </c>
      <c r="E1573" s="168">
        <v>41486</v>
      </c>
      <c r="F1573" s="136">
        <v>2013</v>
      </c>
      <c r="G1573" s="178" t="s">
        <v>5474</v>
      </c>
      <c r="H1573" s="204" t="s">
        <v>5475</v>
      </c>
      <c r="I1573" s="33" t="s">
        <v>33</v>
      </c>
      <c r="J1573" s="32" t="s">
        <v>26</v>
      </c>
      <c r="K1573" s="264" t="s">
        <v>27</v>
      </c>
      <c r="L1573" s="746" t="s">
        <v>109</v>
      </c>
      <c r="M1573" s="137" t="s">
        <v>804</v>
      </c>
      <c r="N1573" s="30" t="s">
        <v>29</v>
      </c>
      <c r="O1573" s="693" t="s">
        <v>5476</v>
      </c>
      <c r="P1573" s="718" t="s">
        <v>5477</v>
      </c>
      <c r="Q1573" s="15" t="s">
        <v>282</v>
      </c>
      <c r="R1573" s="132">
        <v>41810</v>
      </c>
      <c r="S1573" s="16" t="s">
        <v>35</v>
      </c>
      <c r="T1573" s="133">
        <v>42194</v>
      </c>
      <c r="U1573" s="623"/>
      <c r="V1573" s="624"/>
      <c r="W1573" s="242">
        <v>50000000</v>
      </c>
      <c r="X1573" s="243">
        <f>50000000-50000000</f>
        <v>0</v>
      </c>
      <c r="Y1573" s="7">
        <f t="shared" si="89"/>
        <v>0</v>
      </c>
      <c r="Z1573" s="7">
        <f t="shared" si="90"/>
        <v>0</v>
      </c>
      <c r="AA1573" s="192">
        <v>44400</v>
      </c>
      <c r="AB1573" s="503" t="s">
        <v>6156</v>
      </c>
      <c r="AC1573" s="222"/>
      <c r="AD1573" s="196">
        <v>1</v>
      </c>
      <c r="AE1573" s="187">
        <v>0</v>
      </c>
      <c r="AF1573" s="205">
        <f t="shared" si="91"/>
        <v>1</v>
      </c>
      <c r="AG1573" s="138">
        <v>8</v>
      </c>
      <c r="AH1573" s="138"/>
      <c r="AI1573" s="138"/>
      <c r="AJ1573" s="138" t="s">
        <v>1188</v>
      </c>
      <c r="AK1573" s="30" t="s">
        <v>99</v>
      </c>
      <c r="AL1573" s="138" t="s">
        <v>1178</v>
      </c>
    </row>
    <row r="1574" spans="1:38" ht="15" customHeight="1" x14ac:dyDescent="0.3">
      <c r="A1574" s="181" t="s">
        <v>22</v>
      </c>
      <c r="B1574" s="153" t="s">
        <v>105</v>
      </c>
      <c r="C1574" s="135">
        <v>10</v>
      </c>
      <c r="D1574" s="11" t="s">
        <v>5936</v>
      </c>
      <c r="E1574" s="168">
        <v>40094</v>
      </c>
      <c r="F1574" s="136">
        <v>2009</v>
      </c>
      <c r="G1574" s="178" t="s">
        <v>5479</v>
      </c>
      <c r="H1574" s="204" t="s">
        <v>5480</v>
      </c>
      <c r="I1574" s="33" t="s">
        <v>33</v>
      </c>
      <c r="J1574" s="32" t="s">
        <v>26</v>
      </c>
      <c r="K1574" s="197" t="s">
        <v>162</v>
      </c>
      <c r="L1574" s="197" t="s">
        <v>40</v>
      </c>
      <c r="M1574" s="137" t="s">
        <v>804</v>
      </c>
      <c r="N1574" s="138" t="s">
        <v>170</v>
      </c>
      <c r="O1574" s="694" t="s">
        <v>5481</v>
      </c>
      <c r="P1574" s="736" t="s">
        <v>5482</v>
      </c>
      <c r="Q1574" s="15" t="s">
        <v>282</v>
      </c>
      <c r="R1574" s="227">
        <v>40602</v>
      </c>
      <c r="S1574" s="16" t="s">
        <v>35</v>
      </c>
      <c r="T1574" s="756">
        <v>41121</v>
      </c>
      <c r="U1574" s="737" t="s">
        <v>35</v>
      </c>
      <c r="V1574" s="786">
        <v>43411</v>
      </c>
      <c r="W1574" s="242">
        <v>90000000</v>
      </c>
      <c r="X1574" s="295">
        <v>0</v>
      </c>
      <c r="Y1574" s="7">
        <f t="shared" si="89"/>
        <v>0</v>
      </c>
      <c r="Z1574" s="7">
        <f t="shared" si="90"/>
        <v>0</v>
      </c>
      <c r="AA1574" s="192">
        <v>44540</v>
      </c>
      <c r="AB1574" s="564" t="s">
        <v>1073</v>
      </c>
      <c r="AC1574" s="693"/>
      <c r="AD1574" s="187">
        <v>1</v>
      </c>
      <c r="AE1574" s="187">
        <v>0</v>
      </c>
      <c r="AF1574" s="205">
        <f t="shared" si="91"/>
        <v>1</v>
      </c>
      <c r="AG1574" s="30">
        <v>8</v>
      </c>
      <c r="AH1574" s="30" t="s">
        <v>125</v>
      </c>
      <c r="AI1574" s="718" t="s">
        <v>5483</v>
      </c>
      <c r="AJ1574" s="30" t="s">
        <v>1188</v>
      </c>
      <c r="AK1574" s="30" t="s">
        <v>99</v>
      </c>
      <c r="AL1574" s="30" t="s">
        <v>1178</v>
      </c>
    </row>
    <row r="1575" spans="1:38" ht="15" customHeight="1" x14ac:dyDescent="0.3">
      <c r="A1575" s="181" t="s">
        <v>22</v>
      </c>
      <c r="B1575" s="293" t="s">
        <v>189</v>
      </c>
      <c r="C1575" s="135">
        <v>5</v>
      </c>
      <c r="D1575" s="136" t="s">
        <v>190</v>
      </c>
      <c r="E1575" s="168">
        <v>43579</v>
      </c>
      <c r="F1575" s="136">
        <v>2019</v>
      </c>
      <c r="G1575" s="168" t="s">
        <v>5484</v>
      </c>
      <c r="H1575" s="168" t="s">
        <v>5485</v>
      </c>
      <c r="I1575" s="135" t="s">
        <v>38</v>
      </c>
      <c r="J1575" s="32" t="s">
        <v>26</v>
      </c>
      <c r="K1575" s="197" t="s">
        <v>135</v>
      </c>
      <c r="L1575" s="197" t="s">
        <v>28</v>
      </c>
      <c r="M1575" s="197" t="s">
        <v>42</v>
      </c>
      <c r="N1575" s="138" t="s">
        <v>82</v>
      </c>
      <c r="O1575" s="831" t="s">
        <v>178</v>
      </c>
      <c r="P1575" s="826" t="s">
        <v>5486</v>
      </c>
      <c r="Q1575" s="15" t="s">
        <v>282</v>
      </c>
      <c r="R1575" s="362">
        <v>44323</v>
      </c>
      <c r="S1575" s="16" t="s">
        <v>44</v>
      </c>
      <c r="T1575" s="363">
        <v>44811</v>
      </c>
      <c r="U1575" s="867"/>
      <c r="V1575" s="802"/>
      <c r="W1575" s="242">
        <v>90000000</v>
      </c>
      <c r="X1575" s="216">
        <v>0</v>
      </c>
      <c r="Y1575" s="7">
        <f t="shared" si="89"/>
        <v>0</v>
      </c>
      <c r="Z1575" s="7">
        <f t="shared" si="90"/>
        <v>0</v>
      </c>
      <c r="AA1575" s="90"/>
      <c r="AB1575" s="604" t="s">
        <v>3744</v>
      </c>
      <c r="AC1575" s="163"/>
      <c r="AD1575" s="196"/>
      <c r="AE1575" s="196">
        <v>0</v>
      </c>
      <c r="AF1575" s="205">
        <f t="shared" si="91"/>
        <v>0</v>
      </c>
      <c r="AG1575" s="200">
        <v>8</v>
      </c>
      <c r="AH1575" s="197" t="s">
        <v>112</v>
      </c>
      <c r="AI1575" s="875"/>
      <c r="AJ1575" s="200" t="s">
        <v>1188</v>
      </c>
      <c r="AK1575" s="138" t="s">
        <v>1177</v>
      </c>
      <c r="AL1575" s="146" t="s">
        <v>1178</v>
      </c>
    </row>
    <row r="1576" spans="1:38" ht="15" customHeight="1" x14ac:dyDescent="0.3">
      <c r="A1576" s="181" t="s">
        <v>22</v>
      </c>
      <c r="B1576" s="255" t="s">
        <v>227</v>
      </c>
      <c r="C1576" s="135">
        <v>10</v>
      </c>
      <c r="D1576" s="11" t="s">
        <v>225</v>
      </c>
      <c r="E1576" s="168">
        <v>42548</v>
      </c>
      <c r="F1576" s="136">
        <v>2016</v>
      </c>
      <c r="G1576" s="178" t="s">
        <v>5487</v>
      </c>
      <c r="H1576" s="178" t="s">
        <v>5488</v>
      </c>
      <c r="I1576" s="136" t="s">
        <v>38</v>
      </c>
      <c r="J1576" s="32" t="s">
        <v>26</v>
      </c>
      <c r="K1576" s="197" t="s">
        <v>5489</v>
      </c>
      <c r="L1576" s="197" t="s">
        <v>28</v>
      </c>
      <c r="M1576" s="197" t="s">
        <v>42</v>
      </c>
      <c r="N1576" s="138" t="s">
        <v>82</v>
      </c>
      <c r="O1576" s="831" t="s">
        <v>5490</v>
      </c>
      <c r="P1576" s="794" t="s">
        <v>5491</v>
      </c>
      <c r="Q1576" s="15" t="s">
        <v>282</v>
      </c>
      <c r="R1576" s="231">
        <v>44405</v>
      </c>
      <c r="S1576" s="16" t="s">
        <v>44</v>
      </c>
      <c r="T1576" s="232">
        <v>44841</v>
      </c>
      <c r="U1576" s="776"/>
      <c r="V1576" s="776"/>
      <c r="W1576" s="242">
        <v>16000000</v>
      </c>
      <c r="X1576" s="185">
        <v>0</v>
      </c>
      <c r="Y1576" s="7">
        <f t="shared" si="89"/>
        <v>0</v>
      </c>
      <c r="Z1576" s="7">
        <f t="shared" si="90"/>
        <v>0</v>
      </c>
      <c r="AA1576" s="233"/>
      <c r="AB1576" s="504" t="s">
        <v>6115</v>
      </c>
      <c r="AC1576" s="138"/>
      <c r="AD1576" s="196">
        <v>0</v>
      </c>
      <c r="AE1576" s="187">
        <v>0</v>
      </c>
      <c r="AF1576" s="205">
        <f t="shared" si="91"/>
        <v>0</v>
      </c>
      <c r="AG1576" s="197">
        <v>8</v>
      </c>
      <c r="AH1576" s="197" t="s">
        <v>4355</v>
      </c>
      <c r="AI1576" s="197"/>
      <c r="AJ1576" s="197" t="s">
        <v>1188</v>
      </c>
      <c r="AK1576" s="197" t="s">
        <v>1177</v>
      </c>
      <c r="AL1576" s="93" t="s">
        <v>1178</v>
      </c>
    </row>
    <row r="1577" spans="1:38" ht="15" customHeight="1" x14ac:dyDescent="0.3">
      <c r="A1577" s="248" t="s">
        <v>22</v>
      </c>
      <c r="B1577" s="367" t="s">
        <v>189</v>
      </c>
      <c r="C1577" s="245">
        <v>4</v>
      </c>
      <c r="D1577" s="246" t="s">
        <v>190</v>
      </c>
      <c r="E1577" s="247">
        <v>42472</v>
      </c>
      <c r="F1577" s="246">
        <v>2016</v>
      </c>
      <c r="G1577" s="792" t="s">
        <v>5492</v>
      </c>
      <c r="H1577" s="792" t="s">
        <v>5493</v>
      </c>
      <c r="I1577" s="246" t="s">
        <v>25</v>
      </c>
      <c r="J1577" s="32" t="s">
        <v>26</v>
      </c>
      <c r="K1577" s="197" t="s">
        <v>57</v>
      </c>
      <c r="L1577" s="264" t="s">
        <v>28</v>
      </c>
      <c r="M1577" s="264" t="s">
        <v>42</v>
      </c>
      <c r="N1577" s="310" t="s">
        <v>43</v>
      </c>
      <c r="O1577" s="871" t="s">
        <v>5494</v>
      </c>
      <c r="P1577" s="732" t="s">
        <v>5495</v>
      </c>
      <c r="Q1577" s="15" t="s">
        <v>282</v>
      </c>
      <c r="R1577" s="179">
        <v>43032</v>
      </c>
      <c r="S1577" s="16" t="s">
        <v>44</v>
      </c>
      <c r="T1577" s="191">
        <v>43439</v>
      </c>
      <c r="U1577" s="707"/>
      <c r="V1577" s="623"/>
      <c r="W1577" s="269">
        <v>200000000</v>
      </c>
      <c r="X1577" s="253">
        <v>0</v>
      </c>
      <c r="Y1577" s="7">
        <f t="shared" si="89"/>
        <v>0</v>
      </c>
      <c r="Z1577" s="7">
        <f t="shared" si="90"/>
        <v>0</v>
      </c>
      <c r="AA1577" s="212">
        <v>44392</v>
      </c>
      <c r="AB1577" s="604" t="s">
        <v>3744</v>
      </c>
      <c r="AC1577" s="163"/>
      <c r="AD1577" s="196">
        <v>0</v>
      </c>
      <c r="AE1577" s="187">
        <v>0</v>
      </c>
      <c r="AF1577" s="205">
        <f t="shared" si="91"/>
        <v>0</v>
      </c>
      <c r="AG1577" s="200">
        <v>8</v>
      </c>
      <c r="AH1577" s="200"/>
      <c r="AI1577" s="200"/>
      <c r="AJ1577" s="200" t="s">
        <v>1188</v>
      </c>
      <c r="AK1577" s="30" t="s">
        <v>99</v>
      </c>
      <c r="AL1577" s="200" t="s">
        <v>1178</v>
      </c>
    </row>
    <row r="1578" spans="1:38" ht="15" customHeight="1" x14ac:dyDescent="0.3">
      <c r="A1578" s="181" t="s">
        <v>22</v>
      </c>
      <c r="B1578" s="181" t="s">
        <v>23</v>
      </c>
      <c r="C1578" s="184">
        <v>8</v>
      </c>
      <c r="D1578" s="11" t="s">
        <v>24</v>
      </c>
      <c r="E1578" s="192">
        <v>43230</v>
      </c>
      <c r="F1578" s="181">
        <v>2018</v>
      </c>
      <c r="G1578" s="181" t="s">
        <v>5497</v>
      </c>
      <c r="H1578" s="217" t="s">
        <v>5498</v>
      </c>
      <c r="I1578" s="33" t="s">
        <v>33</v>
      </c>
      <c r="J1578" s="32" t="s">
        <v>26</v>
      </c>
      <c r="K1578" s="197" t="s">
        <v>57</v>
      </c>
      <c r="L1578" s="138" t="s">
        <v>5499</v>
      </c>
      <c r="M1578" s="137" t="s">
        <v>804</v>
      </c>
      <c r="N1578" s="181" t="s">
        <v>43</v>
      </c>
      <c r="O1578" s="695" t="s">
        <v>5500</v>
      </c>
      <c r="P1578" s="815" t="s">
        <v>5501</v>
      </c>
      <c r="Q1578" s="15" t="s">
        <v>35</v>
      </c>
      <c r="R1578" s="164">
        <v>43753</v>
      </c>
      <c r="S1578" s="16" t="s">
        <v>44</v>
      </c>
      <c r="T1578" s="165">
        <v>44114</v>
      </c>
      <c r="U1578" s="624" t="s">
        <v>44</v>
      </c>
      <c r="V1578" s="180">
        <v>44972</v>
      </c>
      <c r="W1578" s="242">
        <v>250000000</v>
      </c>
      <c r="X1578" s="240">
        <v>250000000</v>
      </c>
      <c r="Y1578" s="7">
        <f t="shared" si="89"/>
        <v>0</v>
      </c>
      <c r="Z1578" s="7">
        <f t="shared" si="90"/>
        <v>250000000</v>
      </c>
      <c r="AA1578" s="192">
        <v>44526</v>
      </c>
      <c r="AB1578" s="479" t="s">
        <v>49</v>
      </c>
      <c r="AC1578" s="480"/>
      <c r="AD1578" s="258">
        <v>1</v>
      </c>
      <c r="AE1578" s="187">
        <v>0</v>
      </c>
      <c r="AF1578" s="205">
        <f t="shared" si="91"/>
        <v>1</v>
      </c>
      <c r="AG1578" s="279">
        <v>8</v>
      </c>
      <c r="AH1578" s="279" t="s">
        <v>2284</v>
      </c>
      <c r="AI1578" s="279"/>
      <c r="AJ1578" s="279" t="s">
        <v>1188</v>
      </c>
      <c r="AK1578" s="30" t="s">
        <v>1185</v>
      </c>
      <c r="AL1578" s="93" t="s">
        <v>1178</v>
      </c>
    </row>
    <row r="1579" spans="1:38" ht="15" customHeight="1" thickBot="1" x14ac:dyDescent="0.35">
      <c r="A1579" s="181" t="s">
        <v>22</v>
      </c>
      <c r="B1579" s="293" t="s">
        <v>144</v>
      </c>
      <c r="C1579" s="135">
        <v>13</v>
      </c>
      <c r="D1579" s="11" t="s">
        <v>143</v>
      </c>
      <c r="E1579" s="203">
        <v>43115</v>
      </c>
      <c r="F1579" s="202">
        <v>2017</v>
      </c>
      <c r="G1579" s="203" t="s">
        <v>5503</v>
      </c>
      <c r="H1579" s="203" t="s">
        <v>5504</v>
      </c>
      <c r="I1579" s="30" t="s">
        <v>38</v>
      </c>
      <c r="J1579" s="32" t="s">
        <v>26</v>
      </c>
      <c r="K1579" s="197" t="s">
        <v>100</v>
      </c>
      <c r="L1579" s="200" t="s">
        <v>109</v>
      </c>
      <c r="M1579" s="137" t="s">
        <v>804</v>
      </c>
      <c r="N1579" s="310" t="s">
        <v>126</v>
      </c>
      <c r="O1579" s="876" t="s">
        <v>5505</v>
      </c>
      <c r="P1579" s="877" t="s">
        <v>5506</v>
      </c>
      <c r="Q1579" s="15" t="s">
        <v>35</v>
      </c>
      <c r="R1579" s="164">
        <v>43721</v>
      </c>
      <c r="S1579" s="16" t="s">
        <v>35</v>
      </c>
      <c r="T1579" s="165"/>
      <c r="U1579" s="624"/>
      <c r="V1579" s="180"/>
      <c r="W1579" s="242">
        <v>20000000</v>
      </c>
      <c r="X1579" s="7">
        <f>20000000-16774250</f>
        <v>3225750</v>
      </c>
      <c r="Y1579" s="7">
        <f t="shared" si="89"/>
        <v>0</v>
      </c>
      <c r="Z1579" s="7">
        <f t="shared" si="90"/>
        <v>3225750</v>
      </c>
      <c r="AA1579" s="192">
        <v>44402</v>
      </c>
      <c r="AB1579" s="503" t="s">
        <v>98</v>
      </c>
      <c r="AC1579" s="222"/>
      <c r="AD1579" s="187">
        <v>1</v>
      </c>
      <c r="AE1579" s="195">
        <v>0</v>
      </c>
      <c r="AF1579" s="205">
        <f t="shared" si="91"/>
        <v>1</v>
      </c>
      <c r="AG1579" s="163">
        <v>8</v>
      </c>
      <c r="AH1579" s="200" t="s">
        <v>5478</v>
      </c>
      <c r="AI1579" s="138"/>
      <c r="AJ1579" s="93" t="s">
        <v>1188</v>
      </c>
      <c r="AK1579" s="30" t="s">
        <v>1177</v>
      </c>
      <c r="AL1579" s="146" t="s">
        <v>1178</v>
      </c>
    </row>
    <row r="1580" spans="1:38" ht="15" customHeight="1" thickBot="1" x14ac:dyDescent="0.35">
      <c r="A1580" s="248" t="s">
        <v>22</v>
      </c>
      <c r="B1580" s="145" t="s">
        <v>23</v>
      </c>
      <c r="C1580" s="135">
        <v>8</v>
      </c>
      <c r="D1580" s="11" t="s">
        <v>24</v>
      </c>
      <c r="E1580" s="168">
        <v>44126</v>
      </c>
      <c r="F1580" s="12">
        <v>2020</v>
      </c>
      <c r="G1580" s="178" t="s">
        <v>5507</v>
      </c>
      <c r="H1580" s="878" t="s">
        <v>5508</v>
      </c>
      <c r="I1580" s="107" t="s">
        <v>38</v>
      </c>
      <c r="J1580" s="32" t="s">
        <v>26</v>
      </c>
      <c r="K1580" s="137" t="s">
        <v>60</v>
      </c>
      <c r="L1580" s="264" t="s">
        <v>28</v>
      </c>
      <c r="M1580" s="264" t="s">
        <v>42</v>
      </c>
      <c r="N1580" s="310" t="s">
        <v>43</v>
      </c>
      <c r="O1580" s="694" t="s">
        <v>5509</v>
      </c>
      <c r="P1580" s="783" t="s">
        <v>5510</v>
      </c>
      <c r="Q1580" s="15" t="s">
        <v>282</v>
      </c>
      <c r="R1580" s="132">
        <v>44774</v>
      </c>
      <c r="S1580" s="16" t="s">
        <v>44</v>
      </c>
      <c r="T1580" s="133">
        <v>45034</v>
      </c>
      <c r="U1580" s="623"/>
      <c r="V1580" s="624"/>
      <c r="W1580" s="242">
        <v>69000000</v>
      </c>
      <c r="X1580" s="295">
        <v>0</v>
      </c>
      <c r="Y1580" s="7">
        <f t="shared" si="89"/>
        <v>0</v>
      </c>
      <c r="Z1580" s="7">
        <f t="shared" si="90"/>
        <v>0</v>
      </c>
      <c r="AA1580" s="229"/>
      <c r="AB1580" s="762" t="s">
        <v>3077</v>
      </c>
      <c r="AC1580" s="652"/>
      <c r="AD1580" s="187">
        <v>0</v>
      </c>
      <c r="AE1580" s="187">
        <v>0</v>
      </c>
      <c r="AF1580" s="205">
        <f t="shared" si="91"/>
        <v>0</v>
      </c>
      <c r="AG1580" s="138">
        <v>8</v>
      </c>
      <c r="AH1580" s="264" t="s">
        <v>59</v>
      </c>
      <c r="AI1580" s="138"/>
      <c r="AJ1580" s="138" t="s">
        <v>1188</v>
      </c>
      <c r="AK1580" s="138" t="s">
        <v>1177</v>
      </c>
      <c r="AL1580" s="93" t="s">
        <v>1178</v>
      </c>
    </row>
    <row r="1581" spans="1:38" ht="15" customHeight="1" x14ac:dyDescent="0.3">
      <c r="A1581" s="248" t="s">
        <v>22</v>
      </c>
      <c r="B1581" s="266" t="s">
        <v>3642</v>
      </c>
      <c r="C1581" s="248" t="s">
        <v>2962</v>
      </c>
      <c r="D1581" s="248" t="s">
        <v>190</v>
      </c>
      <c r="E1581" s="369"/>
      <c r="F1581" s="461">
        <v>2014</v>
      </c>
      <c r="G1581" s="368" t="s">
        <v>5511</v>
      </c>
      <c r="H1581" s="879">
        <v>6.8167318900120098E+22</v>
      </c>
      <c r="I1581" s="33" t="s">
        <v>33</v>
      </c>
      <c r="J1581" s="32" t="s">
        <v>26</v>
      </c>
      <c r="K1581" s="264" t="s">
        <v>27</v>
      </c>
      <c r="L1581" s="310" t="s">
        <v>85</v>
      </c>
      <c r="M1581" s="137" t="s">
        <v>804</v>
      </c>
      <c r="N1581" s="368"/>
      <c r="O1581" s="880" t="s">
        <v>5512</v>
      </c>
      <c r="P1581" s="881" t="s">
        <v>5513</v>
      </c>
      <c r="Q1581" s="15" t="s">
        <v>282</v>
      </c>
      <c r="R1581" s="370">
        <v>42118</v>
      </c>
      <c r="S1581" s="16" t="s">
        <v>44</v>
      </c>
      <c r="T1581" s="370">
        <v>42255</v>
      </c>
      <c r="U1581" s="310"/>
      <c r="V1581" s="310"/>
      <c r="W1581" s="269">
        <v>200000000</v>
      </c>
      <c r="X1581" s="299">
        <v>0</v>
      </c>
      <c r="Y1581" s="298">
        <f>IF(AE1581="","",W1581*AE1581)-170981655</f>
        <v>29018345</v>
      </c>
      <c r="Z1581" s="298">
        <f t="shared" si="90"/>
        <v>29018345</v>
      </c>
      <c r="AA1581" s="301"/>
      <c r="AB1581" s="564" t="s">
        <v>2595</v>
      </c>
      <c r="AC1581" s="693"/>
      <c r="AD1581" s="258">
        <v>0</v>
      </c>
      <c r="AE1581" s="196">
        <v>1</v>
      </c>
      <c r="AF1581" s="371">
        <f t="shared" si="91"/>
        <v>1</v>
      </c>
      <c r="AG1581" s="368">
        <v>8</v>
      </c>
      <c r="AH1581" s="301"/>
      <c r="AI1581" s="310"/>
      <c r="AJ1581" s="368"/>
      <c r="AK1581" s="301"/>
      <c r="AL1581" s="310"/>
    </row>
    <row r="1582" spans="1:38" ht="15" customHeight="1" x14ac:dyDescent="0.3">
      <c r="A1582" s="138" t="s">
        <v>22</v>
      </c>
      <c r="B1582" s="372" t="s">
        <v>105</v>
      </c>
      <c r="C1582" s="372">
        <v>13</v>
      </c>
      <c r="D1582" s="11" t="s">
        <v>5936</v>
      </c>
      <c r="E1582" s="374">
        <v>44112</v>
      </c>
      <c r="F1582" s="373">
        <v>2020</v>
      </c>
      <c r="G1582" s="373" t="s">
        <v>5515</v>
      </c>
      <c r="H1582" s="882" t="s">
        <v>5516</v>
      </c>
      <c r="I1582" s="30" t="s">
        <v>38</v>
      </c>
      <c r="J1582" s="32" t="s">
        <v>26</v>
      </c>
      <c r="K1582" s="376" t="s">
        <v>70</v>
      </c>
      <c r="L1582" s="372" t="s">
        <v>85</v>
      </c>
      <c r="M1582" s="137" t="s">
        <v>804</v>
      </c>
      <c r="N1582" s="372" t="s">
        <v>43</v>
      </c>
      <c r="O1582" s="883" t="s">
        <v>5517</v>
      </c>
      <c r="P1582" s="884" t="s">
        <v>5518</v>
      </c>
      <c r="Q1582" s="152"/>
      <c r="R1582" s="152"/>
      <c r="S1582" s="139"/>
      <c r="T1582" s="139"/>
      <c r="U1582" s="624"/>
      <c r="V1582" s="624"/>
      <c r="W1582" s="242">
        <v>170000000</v>
      </c>
      <c r="X1582" s="375">
        <v>-70000000</v>
      </c>
      <c r="Y1582" s="7">
        <f>IF(AE1582="","",W1582*AE1582)</f>
        <v>170000000</v>
      </c>
      <c r="Z1582" s="7">
        <f t="shared" si="90"/>
        <v>100000000</v>
      </c>
      <c r="AA1582" s="376"/>
      <c r="AB1582" s="885" t="s">
        <v>52</v>
      </c>
      <c r="AC1582" s="376"/>
      <c r="AD1582" s="196"/>
      <c r="AE1582" s="187">
        <v>1</v>
      </c>
      <c r="AF1582" s="205">
        <f t="shared" si="91"/>
        <v>1</v>
      </c>
      <c r="AG1582" s="376">
        <v>8</v>
      </c>
      <c r="AH1582" s="376"/>
      <c r="AI1582" s="197"/>
      <c r="AJ1582" s="197" t="s">
        <v>2308</v>
      </c>
      <c r="AK1582" s="30" t="s">
        <v>1177</v>
      </c>
      <c r="AL1582" s="138" t="s">
        <v>1178</v>
      </c>
    </row>
    <row r="1583" spans="1:38" ht="15" customHeight="1" x14ac:dyDescent="0.3">
      <c r="A1583" s="248" t="s">
        <v>22</v>
      </c>
      <c r="B1583" s="261" t="s">
        <v>144</v>
      </c>
      <c r="C1583" s="377">
        <v>1</v>
      </c>
      <c r="D1583" s="11" t="s">
        <v>143</v>
      </c>
      <c r="E1583" s="378">
        <v>43810</v>
      </c>
      <c r="F1583" s="246">
        <v>2019</v>
      </c>
      <c r="G1583" s="247" t="s">
        <v>5519</v>
      </c>
      <c r="H1583" s="247" t="s">
        <v>5520</v>
      </c>
      <c r="I1583" s="245" t="s">
        <v>38</v>
      </c>
      <c r="J1583" s="32" t="s">
        <v>26</v>
      </c>
      <c r="K1583" s="264" t="s">
        <v>111</v>
      </c>
      <c r="L1583" s="310" t="s">
        <v>28</v>
      </c>
      <c r="M1583" s="310" t="s">
        <v>42</v>
      </c>
      <c r="N1583" s="310" t="s">
        <v>82</v>
      </c>
      <c r="O1583" s="871" t="s">
        <v>5521</v>
      </c>
      <c r="P1583" s="886" t="s">
        <v>5522</v>
      </c>
      <c r="Q1583" s="15" t="s">
        <v>35</v>
      </c>
      <c r="R1583" s="164">
        <v>44280</v>
      </c>
      <c r="S1583" s="16" t="s">
        <v>44</v>
      </c>
      <c r="T1583" s="165">
        <v>44909</v>
      </c>
      <c r="U1583" s="624"/>
      <c r="V1583" s="180"/>
      <c r="W1583" s="242">
        <v>400000000</v>
      </c>
      <c r="X1583" s="216">
        <v>0</v>
      </c>
      <c r="Y1583" s="7">
        <f>IF(AE1583="","",W1583*AE1583)</f>
        <v>0</v>
      </c>
      <c r="Z1583" s="7">
        <f t="shared" si="90"/>
        <v>0</v>
      </c>
      <c r="AA1583" s="212"/>
      <c r="AB1583" s="503" t="s">
        <v>147</v>
      </c>
      <c r="AC1583" s="222"/>
      <c r="AD1583" s="187"/>
      <c r="AE1583" s="195">
        <v>0</v>
      </c>
      <c r="AF1583" s="205">
        <f t="shared" si="91"/>
        <v>0</v>
      </c>
      <c r="AG1583" s="163">
        <v>8</v>
      </c>
      <c r="AH1583" s="308" t="s">
        <v>5496</v>
      </c>
      <c r="AI1583" s="138"/>
      <c r="AJ1583" s="93" t="s">
        <v>1188</v>
      </c>
      <c r="AK1583" s="37" t="s">
        <v>1177</v>
      </c>
      <c r="AL1583" s="93" t="s">
        <v>1178</v>
      </c>
    </row>
    <row r="1584" spans="1:38" ht="15" customHeight="1" x14ac:dyDescent="0.3">
      <c r="A1584" s="887" t="s">
        <v>22</v>
      </c>
      <c r="B1584" s="255" t="s">
        <v>197</v>
      </c>
      <c r="C1584" s="135">
        <v>6</v>
      </c>
      <c r="D1584" s="136" t="s">
        <v>190</v>
      </c>
      <c r="E1584" s="168">
        <v>43593</v>
      </c>
      <c r="F1584" s="136">
        <v>2019</v>
      </c>
      <c r="G1584" s="178" t="s">
        <v>5524</v>
      </c>
      <c r="H1584" s="204" t="s">
        <v>5525</v>
      </c>
      <c r="I1584" s="135" t="s">
        <v>38</v>
      </c>
      <c r="J1584" s="32" t="s">
        <v>26</v>
      </c>
      <c r="K1584" s="197" t="s">
        <v>57</v>
      </c>
      <c r="L1584" s="197" t="s">
        <v>28</v>
      </c>
      <c r="M1584" s="197" t="s">
        <v>42</v>
      </c>
      <c r="N1584" s="138" t="s">
        <v>43</v>
      </c>
      <c r="O1584" s="831" t="s">
        <v>5526</v>
      </c>
      <c r="P1584" s="783" t="s">
        <v>5527</v>
      </c>
      <c r="Q1584" s="15" t="s">
        <v>282</v>
      </c>
      <c r="R1584" s="362">
        <v>44166</v>
      </c>
      <c r="S1584" s="16" t="s">
        <v>44</v>
      </c>
      <c r="T1584" s="363">
        <v>44608</v>
      </c>
      <c r="U1584" s="867"/>
      <c r="V1584" s="802"/>
      <c r="W1584" s="269">
        <v>47000000</v>
      </c>
      <c r="X1584" s="253">
        <v>0</v>
      </c>
      <c r="Y1584" s="7">
        <f>IF(AE1584="","",W1584*AE1584)</f>
        <v>0</v>
      </c>
      <c r="Z1584" s="7">
        <f t="shared" si="90"/>
        <v>0</v>
      </c>
      <c r="AA1584" s="192"/>
      <c r="AB1584" s="564" t="s">
        <v>2595</v>
      </c>
      <c r="AC1584" s="693"/>
      <c r="AD1584" s="258"/>
      <c r="AE1584" s="196">
        <v>0</v>
      </c>
      <c r="AF1584" s="205">
        <f t="shared" si="91"/>
        <v>0</v>
      </c>
      <c r="AG1584" s="184">
        <v>8</v>
      </c>
      <c r="AH1584" s="197" t="s">
        <v>5502</v>
      </c>
      <c r="AI1584" s="200"/>
      <c r="AJ1584" s="200" t="s">
        <v>1188</v>
      </c>
      <c r="AK1584" s="138" t="s">
        <v>1177</v>
      </c>
      <c r="AL1584" s="200" t="s">
        <v>1178</v>
      </c>
    </row>
    <row r="1585" spans="1:38" ht="15" customHeight="1" x14ac:dyDescent="0.3">
      <c r="A1585" s="181" t="s">
        <v>22</v>
      </c>
      <c r="B1585" s="181" t="s">
        <v>105</v>
      </c>
      <c r="C1585" s="379">
        <v>19</v>
      </c>
      <c r="D1585" s="11" t="s">
        <v>5936</v>
      </c>
      <c r="E1585" s="381">
        <v>42478</v>
      </c>
      <c r="F1585" s="380">
        <v>2016</v>
      </c>
      <c r="G1585" s="888" t="s">
        <v>5528</v>
      </c>
      <c r="H1585" s="178" t="s">
        <v>5529</v>
      </c>
      <c r="I1585" s="30" t="s">
        <v>38</v>
      </c>
      <c r="J1585" s="32" t="s">
        <v>26</v>
      </c>
      <c r="K1585" s="138" t="s">
        <v>4358</v>
      </c>
      <c r="L1585" s="138" t="s">
        <v>28</v>
      </c>
      <c r="M1585" s="137" t="s">
        <v>804</v>
      </c>
      <c r="N1585" s="138" t="s">
        <v>82</v>
      </c>
      <c r="O1585" s="765" t="s">
        <v>5530</v>
      </c>
      <c r="P1585" s="872" t="s">
        <v>5531</v>
      </c>
      <c r="Q1585" s="220"/>
      <c r="R1585" s="218"/>
      <c r="S1585" s="92"/>
      <c r="T1585" s="133"/>
      <c r="U1585" s="623"/>
      <c r="V1585" s="623"/>
      <c r="W1585" s="249">
        <v>70000000</v>
      </c>
      <c r="X1585" s="383">
        <v>-45000000</v>
      </c>
      <c r="Y1585" s="7">
        <f>IF(AE1585="","",W1585*AE1585)</f>
        <v>70000000</v>
      </c>
      <c r="Z1585" s="7">
        <f t="shared" si="90"/>
        <v>25000000</v>
      </c>
      <c r="AA1585" s="250"/>
      <c r="AB1585" s="564" t="s">
        <v>1073</v>
      </c>
      <c r="AC1585" s="693"/>
      <c r="AD1585" s="196">
        <v>0</v>
      </c>
      <c r="AE1585" s="186">
        <v>1</v>
      </c>
      <c r="AF1585" s="384">
        <f t="shared" si="91"/>
        <v>1</v>
      </c>
      <c r="AG1585" s="181">
        <v>8</v>
      </c>
      <c r="AH1585" s="200" t="s">
        <v>45</v>
      </c>
      <c r="AI1585" s="200"/>
      <c r="AJ1585" s="200" t="s">
        <v>1188</v>
      </c>
      <c r="AK1585" s="181" t="s">
        <v>1177</v>
      </c>
      <c r="AL1585" s="200" t="s">
        <v>1178</v>
      </c>
    </row>
    <row r="1586" spans="1:38" ht="15" customHeight="1" x14ac:dyDescent="0.3">
      <c r="A1586" s="30" t="s">
        <v>22</v>
      </c>
      <c r="B1586" s="30" t="s">
        <v>23</v>
      </c>
      <c r="C1586" s="146">
        <v>9</v>
      </c>
      <c r="D1586" s="11" t="s">
        <v>24</v>
      </c>
      <c r="E1586" s="108">
        <v>42535</v>
      </c>
      <c r="F1586" s="30">
        <v>2016</v>
      </c>
      <c r="G1586" s="30" t="s">
        <v>5532</v>
      </c>
      <c r="H1586" s="162" t="s">
        <v>5533</v>
      </c>
      <c r="I1586" s="30" t="s">
        <v>38</v>
      </c>
      <c r="J1586" s="32" t="s">
        <v>26</v>
      </c>
      <c r="K1586" s="137" t="s">
        <v>60</v>
      </c>
      <c r="L1586" s="93" t="s">
        <v>28</v>
      </c>
      <c r="M1586" s="137" t="s">
        <v>804</v>
      </c>
      <c r="N1586" s="30" t="s">
        <v>43</v>
      </c>
      <c r="O1586" s="695" t="s">
        <v>4552</v>
      </c>
      <c r="P1586" s="197" t="s">
        <v>5534</v>
      </c>
      <c r="Q1586" s="15" t="s">
        <v>282</v>
      </c>
      <c r="R1586" s="164">
        <v>44441</v>
      </c>
      <c r="S1586" s="16" t="s">
        <v>35</v>
      </c>
      <c r="T1586" s="165">
        <v>44981</v>
      </c>
      <c r="U1586" s="624"/>
      <c r="V1586" s="624"/>
      <c r="W1586" s="239">
        <v>74900000</v>
      </c>
      <c r="X1586" s="385">
        <v>-74900000</v>
      </c>
      <c r="Y1586" s="7">
        <f>IF(AE1586="","",W1586*AE1586)</f>
        <v>74900000</v>
      </c>
      <c r="Z1586" s="7">
        <f t="shared" si="90"/>
        <v>0</v>
      </c>
      <c r="AA1586" s="108"/>
      <c r="AB1586" s="479" t="s">
        <v>49</v>
      </c>
      <c r="AC1586" s="480"/>
      <c r="AD1586" s="187">
        <v>0</v>
      </c>
      <c r="AE1586" s="187">
        <v>1</v>
      </c>
      <c r="AF1586" s="205">
        <f t="shared" si="91"/>
        <v>1</v>
      </c>
      <c r="AG1586" s="386">
        <v>8</v>
      </c>
      <c r="AH1586" s="660" t="s">
        <v>58</v>
      </c>
      <c r="AI1586" s="197"/>
      <c r="AJ1586" s="660" t="s">
        <v>1188</v>
      </c>
      <c r="AK1586" s="30" t="s">
        <v>1177</v>
      </c>
      <c r="AL1586" s="93" t="s">
        <v>1178</v>
      </c>
    </row>
    <row r="1587" spans="1:38" ht="15" customHeight="1" x14ac:dyDescent="0.3">
      <c r="A1587" s="181" t="s">
        <v>22</v>
      </c>
      <c r="B1587" s="181" t="s">
        <v>23</v>
      </c>
      <c r="C1587" s="181">
        <v>10</v>
      </c>
      <c r="D1587" s="11" t="s">
        <v>24</v>
      </c>
      <c r="E1587" s="192">
        <v>43556</v>
      </c>
      <c r="F1587" s="181">
        <v>2019</v>
      </c>
      <c r="G1587" s="181" t="s">
        <v>5535</v>
      </c>
      <c r="H1587" s="217" t="s">
        <v>5536</v>
      </c>
      <c r="I1587" s="30" t="s">
        <v>38</v>
      </c>
      <c r="J1587" s="32" t="s">
        <v>26</v>
      </c>
      <c r="K1587" s="197" t="s">
        <v>50</v>
      </c>
      <c r="L1587" s="783" t="s">
        <v>72</v>
      </c>
      <c r="M1587" s="137" t="s">
        <v>804</v>
      </c>
      <c r="N1587" s="181" t="s">
        <v>82</v>
      </c>
      <c r="O1587" s="694" t="s">
        <v>5537</v>
      </c>
      <c r="P1587" s="815" t="s">
        <v>5538</v>
      </c>
      <c r="Q1587" s="220" t="s">
        <v>92</v>
      </c>
      <c r="R1587" s="164"/>
      <c r="S1587" s="139"/>
      <c r="T1587" s="165"/>
      <c r="U1587" s="624"/>
      <c r="V1587" s="624"/>
      <c r="W1587" s="239">
        <v>41000000</v>
      </c>
      <c r="X1587" s="385">
        <v>-27000000</v>
      </c>
      <c r="Y1587" s="296">
        <v>27000000</v>
      </c>
      <c r="Z1587" s="296">
        <v>0</v>
      </c>
      <c r="AA1587" s="192">
        <v>44515</v>
      </c>
      <c r="AB1587" s="762" t="s">
        <v>3077</v>
      </c>
      <c r="AC1587" s="652"/>
      <c r="AD1587" s="258"/>
      <c r="AE1587" s="187">
        <v>1</v>
      </c>
      <c r="AF1587" s="205">
        <f t="shared" si="91"/>
        <v>1</v>
      </c>
      <c r="AG1587" s="279">
        <v>8</v>
      </c>
      <c r="AH1587" s="279" t="s">
        <v>5514</v>
      </c>
      <c r="AI1587" s="279"/>
      <c r="AJ1587" s="279" t="s">
        <v>1188</v>
      </c>
      <c r="AK1587" s="660" t="s">
        <v>1177</v>
      </c>
      <c r="AL1587" s="93" t="s">
        <v>1178</v>
      </c>
    </row>
    <row r="1588" spans="1:38" ht="15" customHeight="1" x14ac:dyDescent="0.3">
      <c r="A1588" s="181" t="s">
        <v>22</v>
      </c>
      <c r="B1588" s="145" t="s">
        <v>144</v>
      </c>
      <c r="C1588" s="107">
        <v>9</v>
      </c>
      <c r="D1588" s="11" t="s">
        <v>143</v>
      </c>
      <c r="E1588" s="108">
        <v>43274</v>
      </c>
      <c r="F1588" s="12">
        <v>2018</v>
      </c>
      <c r="G1588" s="178" t="s">
        <v>4987</v>
      </c>
      <c r="H1588" s="162" t="s">
        <v>5539</v>
      </c>
      <c r="I1588" s="33" t="s">
        <v>33</v>
      </c>
      <c r="J1588" s="30" t="s">
        <v>81</v>
      </c>
      <c r="K1588" s="197" t="s">
        <v>121</v>
      </c>
      <c r="L1588" s="93" t="s">
        <v>28</v>
      </c>
      <c r="M1588" s="93" t="s">
        <v>42</v>
      </c>
      <c r="N1588" s="310" t="s">
        <v>122</v>
      </c>
      <c r="O1588" s="693" t="s">
        <v>5540</v>
      </c>
      <c r="P1588" s="138" t="s">
        <v>5541</v>
      </c>
      <c r="Q1588" s="152"/>
      <c r="R1588" s="164"/>
      <c r="S1588" s="139"/>
      <c r="T1588" s="165"/>
      <c r="U1588" s="624"/>
      <c r="V1588" s="180"/>
      <c r="W1588" s="242">
        <v>30000000</v>
      </c>
      <c r="X1588" s="7">
        <v>0</v>
      </c>
      <c r="Y1588" s="7">
        <f t="shared" ref="Y1588:Y1599" si="92">IF(AE1588="","",W1588*AE1588)</f>
        <v>0</v>
      </c>
      <c r="Z1588" s="7">
        <f t="shared" ref="Z1588:Z1599" si="93">IF(Y1588="",X1588,Y1588+X1588)</f>
        <v>0</v>
      </c>
      <c r="AA1588" s="192">
        <v>44550</v>
      </c>
      <c r="AB1588" s="503" t="s">
        <v>147</v>
      </c>
      <c r="AC1588" s="222"/>
      <c r="AD1588" s="187"/>
      <c r="AE1588" s="195">
        <v>0</v>
      </c>
      <c r="AF1588" s="205">
        <f t="shared" si="91"/>
        <v>0</v>
      </c>
      <c r="AG1588" s="163">
        <v>8</v>
      </c>
      <c r="AH1588" s="200" t="s">
        <v>45</v>
      </c>
      <c r="AI1588" s="138"/>
      <c r="AJ1588" s="93" t="s">
        <v>1188</v>
      </c>
      <c r="AK1588" s="30" t="s">
        <v>1177</v>
      </c>
      <c r="AL1588" s="146" t="s">
        <v>1178</v>
      </c>
    </row>
    <row r="1589" spans="1:38" ht="15" customHeight="1" x14ac:dyDescent="0.3">
      <c r="A1589" s="248" t="s">
        <v>22</v>
      </c>
      <c r="B1589" s="153" t="s">
        <v>23</v>
      </c>
      <c r="C1589" s="134">
        <v>12</v>
      </c>
      <c r="D1589" s="11" t="s">
        <v>24</v>
      </c>
      <c r="E1589" s="168">
        <v>44691</v>
      </c>
      <c r="F1589" s="12">
        <v>2022</v>
      </c>
      <c r="G1589" s="178" t="s">
        <v>5542</v>
      </c>
      <c r="H1589" s="204" t="s">
        <v>5543</v>
      </c>
      <c r="I1589" s="30" t="s">
        <v>38</v>
      </c>
      <c r="J1589" s="32" t="s">
        <v>26</v>
      </c>
      <c r="K1589" s="197" t="s">
        <v>50</v>
      </c>
      <c r="L1589" s="138" t="s">
        <v>40</v>
      </c>
      <c r="M1589" s="137" t="s">
        <v>804</v>
      </c>
      <c r="N1589" s="181" t="s">
        <v>43</v>
      </c>
      <c r="O1589" s="831" t="s">
        <v>5544</v>
      </c>
      <c r="P1589" s="783" t="s">
        <v>5545</v>
      </c>
      <c r="Q1589" s="220" t="s">
        <v>92</v>
      </c>
      <c r="R1589" s="164"/>
      <c r="S1589" s="139"/>
      <c r="T1589" s="165"/>
      <c r="U1589" s="624"/>
      <c r="V1589" s="624"/>
      <c r="W1589" s="242">
        <v>69000000</v>
      </c>
      <c r="X1589" s="387">
        <v>-45000000</v>
      </c>
      <c r="Y1589" s="7">
        <f t="shared" si="92"/>
        <v>69000000</v>
      </c>
      <c r="Z1589" s="7">
        <f t="shared" si="93"/>
        <v>24000000</v>
      </c>
      <c r="AA1589" s="192"/>
      <c r="AB1589" s="762" t="s">
        <v>3077</v>
      </c>
      <c r="AC1589" s="652"/>
      <c r="AD1589" s="187">
        <v>0</v>
      </c>
      <c r="AE1589" s="187">
        <v>1</v>
      </c>
      <c r="AF1589" s="205">
        <f t="shared" si="91"/>
        <v>1</v>
      </c>
      <c r="AG1589" s="197">
        <v>8</v>
      </c>
      <c r="AH1589" s="197" t="s">
        <v>5523</v>
      </c>
      <c r="AI1589" s="138"/>
      <c r="AJ1589" s="197" t="s">
        <v>1188</v>
      </c>
      <c r="AK1589" s="138" t="s">
        <v>1177</v>
      </c>
      <c r="AL1589" s="310" t="s">
        <v>1178</v>
      </c>
    </row>
    <row r="1590" spans="1:38" ht="15" customHeight="1" x14ac:dyDescent="0.3">
      <c r="A1590" s="181" t="s">
        <v>22</v>
      </c>
      <c r="B1590" s="181" t="s">
        <v>23</v>
      </c>
      <c r="C1590" s="184">
        <v>16</v>
      </c>
      <c r="D1590" s="11" t="s">
        <v>24</v>
      </c>
      <c r="E1590" s="192">
        <v>43384</v>
      </c>
      <c r="F1590" s="181">
        <v>2018</v>
      </c>
      <c r="G1590" s="181" t="s">
        <v>5547</v>
      </c>
      <c r="H1590" s="217" t="s">
        <v>5548</v>
      </c>
      <c r="I1590" s="30" t="s">
        <v>38</v>
      </c>
      <c r="J1590" s="32" t="s">
        <v>26</v>
      </c>
      <c r="K1590" s="197" t="s">
        <v>57</v>
      </c>
      <c r="L1590" s="138" t="s">
        <v>56</v>
      </c>
      <c r="M1590" s="137" t="s">
        <v>804</v>
      </c>
      <c r="N1590" s="181" t="s">
        <v>43</v>
      </c>
      <c r="O1590" s="694" t="s">
        <v>5549</v>
      </c>
      <c r="P1590" s="815" t="s">
        <v>5550</v>
      </c>
      <c r="Q1590" s="220" t="s">
        <v>92</v>
      </c>
      <c r="R1590" s="164"/>
      <c r="S1590" s="139"/>
      <c r="T1590" s="165"/>
      <c r="U1590" s="624"/>
      <c r="V1590" s="624"/>
      <c r="W1590" s="239">
        <v>14000000</v>
      </c>
      <c r="X1590" s="387">
        <v>-10000000</v>
      </c>
      <c r="Y1590" s="7">
        <f t="shared" si="92"/>
        <v>14000000</v>
      </c>
      <c r="Z1590" s="7">
        <f t="shared" si="93"/>
        <v>4000000</v>
      </c>
      <c r="AA1590" s="192">
        <v>44681</v>
      </c>
      <c r="AB1590" s="801" t="s">
        <v>53</v>
      </c>
      <c r="AC1590" s="192"/>
      <c r="AD1590" s="258">
        <v>0</v>
      </c>
      <c r="AE1590" s="187">
        <v>1</v>
      </c>
      <c r="AF1590" s="205">
        <f t="shared" si="91"/>
        <v>1</v>
      </c>
      <c r="AG1590" s="279">
        <v>8</v>
      </c>
      <c r="AH1590" s="264" t="s">
        <v>59</v>
      </c>
      <c r="AI1590" s="279"/>
      <c r="AJ1590" s="279" t="s">
        <v>1188</v>
      </c>
      <c r="AK1590" s="30" t="s">
        <v>1177</v>
      </c>
      <c r="AL1590" s="93" t="s">
        <v>1178</v>
      </c>
    </row>
    <row r="1591" spans="1:38" ht="15" customHeight="1" x14ac:dyDescent="0.3">
      <c r="A1591" s="181" t="s">
        <v>22</v>
      </c>
      <c r="B1591" s="181" t="s">
        <v>23</v>
      </c>
      <c r="C1591" s="184">
        <v>5</v>
      </c>
      <c r="D1591" s="11" t="s">
        <v>24</v>
      </c>
      <c r="E1591" s="192">
        <v>42964</v>
      </c>
      <c r="F1591" s="184">
        <v>2017</v>
      </c>
      <c r="G1591" s="181" t="s">
        <v>5551</v>
      </c>
      <c r="H1591" s="217" t="s">
        <v>5552</v>
      </c>
      <c r="I1591" s="12" t="s">
        <v>25</v>
      </c>
      <c r="J1591" s="32" t="s">
        <v>26</v>
      </c>
      <c r="K1591" s="197" t="s">
        <v>27</v>
      </c>
      <c r="L1591" s="197" t="s">
        <v>56</v>
      </c>
      <c r="M1591" s="137" t="s">
        <v>804</v>
      </c>
      <c r="N1591" s="30" t="s">
        <v>29</v>
      </c>
      <c r="O1591" s="874" t="s">
        <v>5553</v>
      </c>
      <c r="P1591" s="800" t="s">
        <v>5554</v>
      </c>
      <c r="Q1591" s="15" t="s">
        <v>35</v>
      </c>
      <c r="R1591" s="132">
        <v>43867</v>
      </c>
      <c r="S1591" s="16" t="s">
        <v>44</v>
      </c>
      <c r="T1591" s="165">
        <v>44110</v>
      </c>
      <c r="U1591" s="624"/>
      <c r="V1591" s="624"/>
      <c r="W1591" s="239">
        <v>150000000</v>
      </c>
      <c r="X1591" s="240">
        <v>0</v>
      </c>
      <c r="Y1591" s="7">
        <f t="shared" si="92"/>
        <v>150000000</v>
      </c>
      <c r="Z1591" s="7">
        <f t="shared" si="93"/>
        <v>150000000</v>
      </c>
      <c r="AA1591" s="192"/>
      <c r="AB1591" s="479" t="s">
        <v>49</v>
      </c>
      <c r="AC1591" s="480"/>
      <c r="AD1591" s="258">
        <v>0</v>
      </c>
      <c r="AE1591" s="187">
        <v>1</v>
      </c>
      <c r="AF1591" s="205">
        <f t="shared" si="91"/>
        <v>1</v>
      </c>
      <c r="AG1591" s="181">
        <v>8</v>
      </c>
      <c r="AH1591" s="181" t="s">
        <v>5209</v>
      </c>
      <c r="AI1591" s="184"/>
      <c r="AJ1591" s="181" t="s">
        <v>1188</v>
      </c>
      <c r="AK1591" s="30" t="s">
        <v>1177</v>
      </c>
      <c r="AL1591" s="93" t="s">
        <v>1178</v>
      </c>
    </row>
    <row r="1592" spans="1:38" ht="15" customHeight="1" x14ac:dyDescent="0.3">
      <c r="A1592" s="181" t="s">
        <v>22</v>
      </c>
      <c r="B1592" s="181" t="s">
        <v>23</v>
      </c>
      <c r="C1592" s="184">
        <v>14</v>
      </c>
      <c r="D1592" s="11" t="s">
        <v>24</v>
      </c>
      <c r="E1592" s="192">
        <v>43196</v>
      </c>
      <c r="F1592" s="181">
        <v>2018</v>
      </c>
      <c r="G1592" s="181" t="s">
        <v>5556</v>
      </c>
      <c r="H1592" s="217" t="s">
        <v>5557</v>
      </c>
      <c r="I1592" s="30" t="s">
        <v>38</v>
      </c>
      <c r="J1592" s="32" t="s">
        <v>26</v>
      </c>
      <c r="K1592" s="197" t="s">
        <v>55</v>
      </c>
      <c r="L1592" s="138" t="s">
        <v>56</v>
      </c>
      <c r="M1592" s="137" t="s">
        <v>804</v>
      </c>
      <c r="N1592" s="824" t="s">
        <v>43</v>
      </c>
      <c r="O1592" s="694" t="s">
        <v>5558</v>
      </c>
      <c r="P1592" s="815" t="s">
        <v>5559</v>
      </c>
      <c r="Q1592" s="15" t="s">
        <v>282</v>
      </c>
      <c r="R1592" s="164">
        <v>45158</v>
      </c>
      <c r="S1592" s="16" t="s">
        <v>44</v>
      </c>
      <c r="T1592" s="165">
        <v>45118</v>
      </c>
      <c r="U1592" s="624"/>
      <c r="V1592" s="624"/>
      <c r="W1592" s="239">
        <v>23000000</v>
      </c>
      <c r="X1592" s="201">
        <v>23000000</v>
      </c>
      <c r="Y1592" s="7">
        <f t="shared" si="92"/>
        <v>0</v>
      </c>
      <c r="Z1592" s="7">
        <f t="shared" si="93"/>
        <v>23000000</v>
      </c>
      <c r="AA1592" s="192">
        <v>44515</v>
      </c>
      <c r="AB1592" s="479" t="s">
        <v>49</v>
      </c>
      <c r="AC1592" s="480"/>
      <c r="AD1592" s="258">
        <v>1</v>
      </c>
      <c r="AE1592" s="187">
        <v>0</v>
      </c>
      <c r="AF1592" s="205">
        <f t="shared" si="91"/>
        <v>1</v>
      </c>
      <c r="AG1592" s="279">
        <v>8</v>
      </c>
      <c r="AH1592" s="200" t="s">
        <v>45</v>
      </c>
      <c r="AI1592" s="279"/>
      <c r="AJ1592" s="279" t="s">
        <v>1188</v>
      </c>
      <c r="AK1592" s="30" t="s">
        <v>1177</v>
      </c>
      <c r="AL1592" s="93" t="s">
        <v>1178</v>
      </c>
    </row>
    <row r="1593" spans="1:38" ht="15" customHeight="1" x14ac:dyDescent="0.3">
      <c r="A1593" s="248" t="s">
        <v>22</v>
      </c>
      <c r="B1593" s="266" t="s">
        <v>211</v>
      </c>
      <c r="C1593" s="248">
        <v>3</v>
      </c>
      <c r="D1593" s="248" t="s">
        <v>190</v>
      </c>
      <c r="E1593" s="360">
        <v>44726</v>
      </c>
      <c r="F1593" s="310">
        <v>2022</v>
      </c>
      <c r="G1593" s="307" t="s">
        <v>5560</v>
      </c>
      <c r="H1593" s="862" t="s">
        <v>5561</v>
      </c>
      <c r="I1593" s="30" t="s">
        <v>38</v>
      </c>
      <c r="J1593" s="32" t="s">
        <v>26</v>
      </c>
      <c r="K1593" s="197" t="s">
        <v>57</v>
      </c>
      <c r="L1593" s="264" t="s">
        <v>85</v>
      </c>
      <c r="M1593" s="137" t="s">
        <v>804</v>
      </c>
      <c r="N1593" s="307" t="s">
        <v>76</v>
      </c>
      <c r="O1593" s="864" t="s">
        <v>5562</v>
      </c>
      <c r="P1593" s="864" t="s">
        <v>5563</v>
      </c>
      <c r="Q1593" s="15" t="s">
        <v>282</v>
      </c>
      <c r="R1593" s="220"/>
      <c r="S1593" s="16" t="s">
        <v>44</v>
      </c>
      <c r="T1593" s="262">
        <v>45106</v>
      </c>
      <c r="U1593" s="802"/>
      <c r="V1593" s="802"/>
      <c r="W1593" s="269">
        <v>80000000</v>
      </c>
      <c r="X1593" s="240">
        <v>0</v>
      </c>
      <c r="Y1593" s="7">
        <f t="shared" si="92"/>
        <v>80000000</v>
      </c>
      <c r="Z1593" s="7">
        <f t="shared" si="93"/>
        <v>80000000</v>
      </c>
      <c r="AA1593" s="301"/>
      <c r="AB1593" s="889" t="s">
        <v>52</v>
      </c>
      <c r="AC1593" s="310"/>
      <c r="AD1593" s="258"/>
      <c r="AE1593" s="196">
        <v>1</v>
      </c>
      <c r="AF1593" s="205">
        <f t="shared" si="91"/>
        <v>1</v>
      </c>
      <c r="AG1593" s="307">
        <v>8</v>
      </c>
      <c r="AH1593" s="890" t="s">
        <v>3669</v>
      </c>
      <c r="AI1593" s="310"/>
      <c r="AJ1593" s="307" t="s">
        <v>1188</v>
      </c>
      <c r="AK1593" s="301" t="s">
        <v>1177</v>
      </c>
      <c r="AL1593" s="308" t="s">
        <v>1178</v>
      </c>
    </row>
    <row r="1594" spans="1:38" ht="15" customHeight="1" x14ac:dyDescent="0.3">
      <c r="A1594" s="181" t="s">
        <v>22</v>
      </c>
      <c r="B1594" s="297" t="s">
        <v>197</v>
      </c>
      <c r="C1594" s="245">
        <v>4</v>
      </c>
      <c r="D1594" s="246" t="s">
        <v>190</v>
      </c>
      <c r="E1594" s="247">
        <v>43168</v>
      </c>
      <c r="F1594" s="246">
        <v>2018</v>
      </c>
      <c r="G1594" s="792" t="s">
        <v>5564</v>
      </c>
      <c r="H1594" s="792" t="s">
        <v>5565</v>
      </c>
      <c r="I1594" s="388" t="s">
        <v>38</v>
      </c>
      <c r="J1594" s="32" t="s">
        <v>26</v>
      </c>
      <c r="K1594" s="264" t="s">
        <v>5566</v>
      </c>
      <c r="L1594" s="310" t="s">
        <v>28</v>
      </c>
      <c r="M1594" s="197" t="s">
        <v>42</v>
      </c>
      <c r="N1594" s="138" t="s">
        <v>82</v>
      </c>
      <c r="O1594" s="891" t="s">
        <v>5567</v>
      </c>
      <c r="P1594" s="892" t="s">
        <v>5568</v>
      </c>
      <c r="Q1594" s="15" t="s">
        <v>282</v>
      </c>
      <c r="R1594" s="218">
        <v>43683</v>
      </c>
      <c r="S1594" s="16" t="s">
        <v>44</v>
      </c>
      <c r="T1594" s="262">
        <v>44504</v>
      </c>
      <c r="U1594" s="802"/>
      <c r="V1594" s="802"/>
      <c r="W1594" s="269">
        <v>144000000</v>
      </c>
      <c r="X1594" s="240">
        <v>0</v>
      </c>
      <c r="Y1594" s="7">
        <f t="shared" si="92"/>
        <v>0</v>
      </c>
      <c r="Z1594" s="7">
        <f t="shared" si="93"/>
        <v>0</v>
      </c>
      <c r="AA1594" s="192"/>
      <c r="AB1594" s="564" t="s">
        <v>2595</v>
      </c>
      <c r="AC1594" s="693"/>
      <c r="AD1594" s="258">
        <v>0</v>
      </c>
      <c r="AE1594" s="187">
        <v>0</v>
      </c>
      <c r="AF1594" s="205">
        <f t="shared" si="91"/>
        <v>0</v>
      </c>
      <c r="AG1594" s="181">
        <v>8</v>
      </c>
      <c r="AH1594" s="310" t="s">
        <v>4730</v>
      </c>
      <c r="AI1594" s="138"/>
      <c r="AJ1594" s="138" t="s">
        <v>1188</v>
      </c>
      <c r="AK1594" s="138" t="s">
        <v>1185</v>
      </c>
      <c r="AL1594" s="200" t="s">
        <v>1178</v>
      </c>
    </row>
    <row r="1595" spans="1:38" ht="15" customHeight="1" x14ac:dyDescent="0.3">
      <c r="A1595" s="248" t="s">
        <v>160</v>
      </c>
      <c r="B1595" s="248" t="s">
        <v>105</v>
      </c>
      <c r="C1595" s="245">
        <v>3</v>
      </c>
      <c r="D1595" s="11" t="s">
        <v>5936</v>
      </c>
      <c r="E1595" s="247">
        <v>42480</v>
      </c>
      <c r="F1595" s="246">
        <v>2016</v>
      </c>
      <c r="G1595" s="792" t="s">
        <v>5569</v>
      </c>
      <c r="H1595" s="792" t="s">
        <v>5570</v>
      </c>
      <c r="I1595" s="33" t="s">
        <v>33</v>
      </c>
      <c r="J1595" s="32" t="s">
        <v>26</v>
      </c>
      <c r="K1595" s="264" t="s">
        <v>27</v>
      </c>
      <c r="L1595" s="264" t="s">
        <v>109</v>
      </c>
      <c r="M1595" s="137" t="s">
        <v>804</v>
      </c>
      <c r="N1595" s="30" t="s">
        <v>29</v>
      </c>
      <c r="O1595" s="832" t="s">
        <v>5571</v>
      </c>
      <c r="P1595" s="811" t="s">
        <v>5572</v>
      </c>
      <c r="Q1595" s="15" t="s">
        <v>35</v>
      </c>
      <c r="R1595" s="218">
        <v>42923</v>
      </c>
      <c r="S1595" s="16" t="s">
        <v>35</v>
      </c>
      <c r="T1595" s="133">
        <v>43151</v>
      </c>
      <c r="U1595" s="623" t="s">
        <v>35</v>
      </c>
      <c r="V1595" s="180">
        <v>44384</v>
      </c>
      <c r="W1595" s="239">
        <v>150000000</v>
      </c>
      <c r="X1595" s="304">
        <f>150000000+61775434-(11775434+138224566)</f>
        <v>61775434</v>
      </c>
      <c r="Y1595" s="7">
        <f t="shared" si="92"/>
        <v>0</v>
      </c>
      <c r="Z1595" s="7">
        <f t="shared" si="93"/>
        <v>61775434</v>
      </c>
      <c r="AA1595" s="229">
        <v>44392</v>
      </c>
      <c r="AB1595" s="513" t="s">
        <v>3232</v>
      </c>
      <c r="AC1595" s="147"/>
      <c r="AD1595" s="187">
        <v>1</v>
      </c>
      <c r="AE1595" s="187">
        <v>0</v>
      </c>
      <c r="AF1595" s="205">
        <f t="shared" si="91"/>
        <v>1</v>
      </c>
      <c r="AG1595" s="181">
        <v>8</v>
      </c>
      <c r="AH1595" s="310" t="s">
        <v>5546</v>
      </c>
      <c r="AI1595" s="138"/>
      <c r="AJ1595" s="138" t="s">
        <v>1188</v>
      </c>
      <c r="AK1595" s="30" t="s">
        <v>99</v>
      </c>
      <c r="AL1595" s="138" t="s">
        <v>1178</v>
      </c>
    </row>
    <row r="1596" spans="1:38" ht="15" customHeight="1" x14ac:dyDescent="0.3">
      <c r="A1596" s="248" t="s">
        <v>22</v>
      </c>
      <c r="B1596" s="244" t="s">
        <v>227</v>
      </c>
      <c r="C1596" s="245">
        <v>2</v>
      </c>
      <c r="D1596" s="11" t="s">
        <v>225</v>
      </c>
      <c r="E1596" s="247">
        <v>41688</v>
      </c>
      <c r="F1596" s="246">
        <v>2014</v>
      </c>
      <c r="G1596" s="792" t="s">
        <v>5574</v>
      </c>
      <c r="H1596" s="792" t="s">
        <v>5575</v>
      </c>
      <c r="I1596" s="388" t="s">
        <v>38</v>
      </c>
      <c r="J1596" s="32" t="s">
        <v>26</v>
      </c>
      <c r="K1596" s="197" t="s">
        <v>75</v>
      </c>
      <c r="L1596" s="264" t="s">
        <v>28</v>
      </c>
      <c r="M1596" s="264" t="s">
        <v>42</v>
      </c>
      <c r="N1596" s="181" t="s">
        <v>76</v>
      </c>
      <c r="O1596" s="832" t="s">
        <v>5576</v>
      </c>
      <c r="P1596" s="197" t="s">
        <v>5577</v>
      </c>
      <c r="Q1596" s="15" t="s">
        <v>282</v>
      </c>
      <c r="R1596" s="218">
        <v>43881</v>
      </c>
      <c r="S1596" s="16" t="s">
        <v>44</v>
      </c>
      <c r="T1596" s="232">
        <v>45043</v>
      </c>
      <c r="U1596" s="776"/>
      <c r="V1596" s="776"/>
      <c r="W1596" s="242">
        <v>80000000</v>
      </c>
      <c r="X1596" s="243">
        <v>0</v>
      </c>
      <c r="Y1596" s="7">
        <f t="shared" si="92"/>
        <v>0</v>
      </c>
      <c r="Z1596" s="7">
        <f t="shared" si="93"/>
        <v>0</v>
      </c>
      <c r="AA1596" s="233"/>
      <c r="AB1596" s="500" t="s">
        <v>5953</v>
      </c>
      <c r="AC1596" s="501"/>
      <c r="AD1596" s="196">
        <v>0</v>
      </c>
      <c r="AE1596" s="187">
        <v>0</v>
      </c>
      <c r="AF1596" s="205">
        <f t="shared" si="91"/>
        <v>0</v>
      </c>
      <c r="AG1596" s="197">
        <v>8</v>
      </c>
      <c r="AH1596" s="197"/>
      <c r="AI1596" s="197"/>
      <c r="AJ1596" s="197" t="s">
        <v>1188</v>
      </c>
      <c r="AK1596" s="197" t="s">
        <v>1177</v>
      </c>
      <c r="AL1596" s="93" t="s">
        <v>1178</v>
      </c>
    </row>
    <row r="1597" spans="1:38" ht="15" customHeight="1" x14ac:dyDescent="0.3">
      <c r="A1597" s="248" t="s">
        <v>22</v>
      </c>
      <c r="B1597" s="389" t="s">
        <v>144</v>
      </c>
      <c r="C1597" s="390">
        <v>4</v>
      </c>
      <c r="D1597" s="11" t="s">
        <v>143</v>
      </c>
      <c r="E1597" s="369">
        <v>43850</v>
      </c>
      <c r="F1597" s="391">
        <v>2020</v>
      </c>
      <c r="G1597" s="391" t="s">
        <v>110</v>
      </c>
      <c r="H1597" s="391" t="s">
        <v>5579</v>
      </c>
      <c r="I1597" s="390" t="s">
        <v>38</v>
      </c>
      <c r="J1597" s="32" t="s">
        <v>26</v>
      </c>
      <c r="K1597" s="390" t="s">
        <v>75</v>
      </c>
      <c r="L1597" s="390" t="s">
        <v>28</v>
      </c>
      <c r="M1597" s="264" t="s">
        <v>42</v>
      </c>
      <c r="N1597" s="181" t="s">
        <v>76</v>
      </c>
      <c r="O1597" s="893" t="s">
        <v>5580</v>
      </c>
      <c r="P1597" s="390" t="s">
        <v>5581</v>
      </c>
      <c r="Q1597" s="15" t="s">
        <v>282</v>
      </c>
      <c r="R1597" s="164">
        <v>44636</v>
      </c>
      <c r="S1597" s="16" t="s">
        <v>44</v>
      </c>
      <c r="T1597" s="165">
        <v>45063</v>
      </c>
      <c r="U1597" s="624"/>
      <c r="V1597" s="180"/>
      <c r="W1597" s="242">
        <v>300000000</v>
      </c>
      <c r="X1597" s="7">
        <v>0</v>
      </c>
      <c r="Y1597" s="7">
        <f t="shared" si="92"/>
        <v>0</v>
      </c>
      <c r="Z1597" s="7">
        <f t="shared" si="93"/>
        <v>0</v>
      </c>
      <c r="AA1597" s="192"/>
      <c r="AB1597" s="503" t="s">
        <v>6055</v>
      </c>
      <c r="AC1597" s="222"/>
      <c r="AD1597" s="187"/>
      <c r="AE1597" s="195">
        <v>0</v>
      </c>
      <c r="AF1597" s="205">
        <f t="shared" si="91"/>
        <v>0</v>
      </c>
      <c r="AG1597" s="163">
        <v>8</v>
      </c>
      <c r="AH1597" s="390" t="s">
        <v>5555</v>
      </c>
      <c r="AI1597" s="138"/>
      <c r="AJ1597" s="93" t="s">
        <v>1188</v>
      </c>
      <c r="AK1597" s="30" t="s">
        <v>1177</v>
      </c>
      <c r="AL1597" s="146" t="s">
        <v>1178</v>
      </c>
    </row>
    <row r="1598" spans="1:38" ht="15" customHeight="1" x14ac:dyDescent="0.3">
      <c r="A1598" s="248" t="s">
        <v>22</v>
      </c>
      <c r="B1598" s="248" t="s">
        <v>189</v>
      </c>
      <c r="C1598" s="248">
        <v>1</v>
      </c>
      <c r="D1598" s="248" t="s">
        <v>190</v>
      </c>
      <c r="E1598" s="360">
        <v>42240</v>
      </c>
      <c r="F1598" s="310">
        <v>2015</v>
      </c>
      <c r="G1598" s="307" t="s">
        <v>4756</v>
      </c>
      <c r="H1598" s="836" t="s">
        <v>4757</v>
      </c>
      <c r="I1598" s="33" t="s">
        <v>33</v>
      </c>
      <c r="J1598" s="32" t="s">
        <v>26</v>
      </c>
      <c r="K1598" s="197" t="s">
        <v>5582</v>
      </c>
      <c r="L1598" s="310" t="s">
        <v>85</v>
      </c>
      <c r="M1598" s="137" t="s">
        <v>804</v>
      </c>
      <c r="N1598" s="307" t="s">
        <v>124</v>
      </c>
      <c r="O1598" s="894" t="s">
        <v>4759</v>
      </c>
      <c r="P1598" s="838" t="s">
        <v>5583</v>
      </c>
      <c r="Q1598" s="15" t="s">
        <v>35</v>
      </c>
      <c r="R1598" s="218">
        <v>42647</v>
      </c>
      <c r="S1598" s="16" t="s">
        <v>35</v>
      </c>
      <c r="T1598" s="262">
        <v>43159</v>
      </c>
      <c r="U1598" s="802"/>
      <c r="V1598" s="802"/>
      <c r="W1598" s="269">
        <v>60000000</v>
      </c>
      <c r="X1598" s="240">
        <v>0</v>
      </c>
      <c r="Y1598" s="7">
        <f t="shared" si="92"/>
        <v>60000000</v>
      </c>
      <c r="Z1598" s="7">
        <f t="shared" si="93"/>
        <v>60000000</v>
      </c>
      <c r="AA1598" s="392">
        <v>45135</v>
      </c>
      <c r="AB1598" s="604" t="s">
        <v>3744</v>
      </c>
      <c r="AC1598" s="163"/>
      <c r="AD1598" s="258"/>
      <c r="AE1598" s="196">
        <v>1</v>
      </c>
      <c r="AF1598" s="205">
        <f t="shared" si="91"/>
        <v>1</v>
      </c>
      <c r="AG1598" s="307">
        <v>8</v>
      </c>
      <c r="AH1598" s="301" t="s">
        <v>4750</v>
      </c>
      <c r="AI1598" s="310"/>
      <c r="AJ1598" s="307"/>
      <c r="AK1598" s="301"/>
      <c r="AL1598" s="308"/>
    </row>
    <row r="1599" spans="1:38" ht="15" customHeight="1" x14ac:dyDescent="0.3">
      <c r="A1599" s="181" t="s">
        <v>22</v>
      </c>
      <c r="B1599" s="109" t="s">
        <v>148</v>
      </c>
      <c r="C1599" s="107">
        <v>6</v>
      </c>
      <c r="D1599" s="11" t="s">
        <v>143</v>
      </c>
      <c r="E1599" s="114">
        <v>43041</v>
      </c>
      <c r="F1599" s="142">
        <v>2017</v>
      </c>
      <c r="G1599" s="142" t="s">
        <v>5585</v>
      </c>
      <c r="H1599" s="162" t="s">
        <v>5586</v>
      </c>
      <c r="I1599" s="12" t="s">
        <v>38</v>
      </c>
      <c r="J1599" s="32" t="s">
        <v>26</v>
      </c>
      <c r="K1599" s="138" t="s">
        <v>75</v>
      </c>
      <c r="L1599" s="93" t="s">
        <v>171</v>
      </c>
      <c r="M1599" s="197" t="s">
        <v>42</v>
      </c>
      <c r="N1599" s="181" t="s">
        <v>76</v>
      </c>
      <c r="O1599" s="693" t="s">
        <v>5587</v>
      </c>
      <c r="P1599" s="138" t="s">
        <v>5588</v>
      </c>
      <c r="Q1599" s="15" t="s">
        <v>282</v>
      </c>
      <c r="R1599" s="164">
        <v>43327</v>
      </c>
      <c r="S1599" s="16" t="s">
        <v>44</v>
      </c>
      <c r="T1599" s="165">
        <v>44329</v>
      </c>
      <c r="U1599" s="624" t="s">
        <v>44</v>
      </c>
      <c r="V1599" s="180">
        <v>44950</v>
      </c>
      <c r="W1599" s="242">
        <v>110000000</v>
      </c>
      <c r="X1599" s="7">
        <v>0</v>
      </c>
      <c r="Y1599" s="7">
        <f t="shared" si="92"/>
        <v>0</v>
      </c>
      <c r="Z1599" s="7">
        <f t="shared" si="93"/>
        <v>0</v>
      </c>
      <c r="AA1599" s="192"/>
      <c r="AB1599" s="503" t="s">
        <v>147</v>
      </c>
      <c r="AC1599" s="222"/>
      <c r="AD1599" s="187">
        <v>0</v>
      </c>
      <c r="AE1599" s="195">
        <v>0</v>
      </c>
      <c r="AF1599" s="205">
        <f t="shared" si="91"/>
        <v>0</v>
      </c>
      <c r="AG1599" s="163">
        <v>8</v>
      </c>
      <c r="AH1599" s="310" t="s">
        <v>5269</v>
      </c>
      <c r="AI1599" s="138"/>
      <c r="AJ1599" s="93" t="s">
        <v>1188</v>
      </c>
      <c r="AK1599" s="30" t="s">
        <v>1185</v>
      </c>
      <c r="AL1599" s="146" t="s">
        <v>1178</v>
      </c>
    </row>
    <row r="1600" spans="1:38" ht="15" customHeight="1" x14ac:dyDescent="0.3">
      <c r="A1600" s="248" t="s">
        <v>22</v>
      </c>
      <c r="B1600" s="181" t="s">
        <v>23</v>
      </c>
      <c r="C1600" s="135">
        <v>21</v>
      </c>
      <c r="D1600" s="11" t="s">
        <v>24</v>
      </c>
      <c r="E1600" s="168">
        <v>44758</v>
      </c>
      <c r="F1600" s="12">
        <v>2022</v>
      </c>
      <c r="G1600" s="178" t="s">
        <v>5589</v>
      </c>
      <c r="H1600" s="204" t="s">
        <v>5590</v>
      </c>
      <c r="I1600" s="30" t="s">
        <v>38</v>
      </c>
      <c r="J1600" s="32" t="s">
        <v>26</v>
      </c>
      <c r="K1600" s="137" t="s">
        <v>60</v>
      </c>
      <c r="L1600" s="310" t="s">
        <v>28</v>
      </c>
      <c r="M1600" s="137" t="s">
        <v>804</v>
      </c>
      <c r="N1600" s="181" t="s">
        <v>43</v>
      </c>
      <c r="O1600" s="831" t="s">
        <v>5591</v>
      </c>
      <c r="P1600" s="783" t="s">
        <v>30</v>
      </c>
      <c r="Q1600" s="220" t="s">
        <v>92</v>
      </c>
      <c r="R1600" s="164"/>
      <c r="S1600" s="139"/>
      <c r="T1600" s="165"/>
      <c r="U1600" s="624"/>
      <c r="V1600" s="624"/>
      <c r="W1600" s="242">
        <v>60000000</v>
      </c>
      <c r="X1600" s="385">
        <v>-30000000</v>
      </c>
      <c r="Y1600" s="7">
        <f>IF(AE1600="","",W1600*AE1600)</f>
        <v>60000000</v>
      </c>
      <c r="Z1600" s="7">
        <f>IF(Y1600="",X1600,Y1600+X1600)</f>
        <v>30000000</v>
      </c>
      <c r="AA1600" s="192"/>
      <c r="AB1600" s="564" t="s">
        <v>1073</v>
      </c>
      <c r="AC1600" s="693"/>
      <c r="AD1600" s="187"/>
      <c r="AE1600" s="393">
        <v>1</v>
      </c>
      <c r="AF1600" s="205">
        <f>AE1600+AD1600</f>
        <v>1</v>
      </c>
      <c r="AG1600" s="197">
        <v>8</v>
      </c>
      <c r="AH1600" s="197" t="s">
        <v>6166</v>
      </c>
      <c r="AI1600" s="197"/>
      <c r="AJ1600" s="197" t="s">
        <v>1188</v>
      </c>
      <c r="AK1600" s="138" t="s">
        <v>1177</v>
      </c>
      <c r="AL1600" s="310" t="s">
        <v>1178</v>
      </c>
    </row>
    <row r="1601" spans="1:38" ht="15" customHeight="1" x14ac:dyDescent="0.3">
      <c r="A1601" s="248" t="s">
        <v>22</v>
      </c>
      <c r="B1601" s="153" t="s">
        <v>23</v>
      </c>
      <c r="C1601" s="135">
        <v>1</v>
      </c>
      <c r="D1601" s="11" t="s">
        <v>24</v>
      </c>
      <c r="E1601" s="168">
        <v>44084</v>
      </c>
      <c r="F1601" s="12">
        <v>2020</v>
      </c>
      <c r="G1601" s="178" t="s">
        <v>5592</v>
      </c>
      <c r="H1601" s="204" t="s">
        <v>5593</v>
      </c>
      <c r="I1601" s="107" t="s">
        <v>38</v>
      </c>
      <c r="J1601" s="248" t="s">
        <v>81</v>
      </c>
      <c r="K1601" s="197" t="s">
        <v>5594</v>
      </c>
      <c r="L1601" s="264" t="s">
        <v>28</v>
      </c>
      <c r="M1601" s="264" t="s">
        <v>42</v>
      </c>
      <c r="N1601" s="310" t="s">
        <v>82</v>
      </c>
      <c r="O1601" s="831" t="s">
        <v>5595</v>
      </c>
      <c r="P1601" s="783" t="s">
        <v>5596</v>
      </c>
      <c r="Q1601" s="220" t="s">
        <v>92</v>
      </c>
      <c r="R1601" s="164"/>
      <c r="S1601" s="139"/>
      <c r="T1601" s="165"/>
      <c r="U1601" s="624"/>
      <c r="V1601" s="624"/>
      <c r="W1601" s="242">
        <v>18000000</v>
      </c>
      <c r="X1601" s="299">
        <v>0</v>
      </c>
      <c r="Y1601" s="7">
        <f>IF(AE1601="","",W1601*AE1601)</f>
        <v>0</v>
      </c>
      <c r="Z1601" s="7">
        <f>IF(Y1601="",X1601,Y1601+X1601)</f>
        <v>0</v>
      </c>
      <c r="AA1601" s="192"/>
      <c r="AB1601" s="504" t="s">
        <v>53</v>
      </c>
      <c r="AC1601" s="138"/>
      <c r="AD1601" s="187">
        <v>0</v>
      </c>
      <c r="AE1601" s="187">
        <v>0</v>
      </c>
      <c r="AF1601" s="205">
        <f>AE1601+AD1601</f>
        <v>0</v>
      </c>
      <c r="AG1601" s="197">
        <v>8</v>
      </c>
      <c r="AH1601" s="197" t="s">
        <v>5573</v>
      </c>
      <c r="AI1601" s="197"/>
      <c r="AJ1601" s="197" t="s">
        <v>1188</v>
      </c>
      <c r="AK1601" s="197" t="s">
        <v>1177</v>
      </c>
      <c r="AL1601" s="93" t="s">
        <v>1178</v>
      </c>
    </row>
    <row r="1602" spans="1:38" ht="15" customHeight="1" x14ac:dyDescent="0.3">
      <c r="A1602" s="30" t="s">
        <v>22</v>
      </c>
      <c r="B1602" s="120" t="s">
        <v>146</v>
      </c>
      <c r="C1602" s="107">
        <v>2</v>
      </c>
      <c r="D1602" s="11" t="s">
        <v>143</v>
      </c>
      <c r="E1602" s="114">
        <v>41162</v>
      </c>
      <c r="F1602" s="107">
        <v>2012</v>
      </c>
      <c r="G1602" s="142" t="s">
        <v>5597</v>
      </c>
      <c r="H1602" s="162" t="s">
        <v>5598</v>
      </c>
      <c r="I1602" s="33" t="s">
        <v>33</v>
      </c>
      <c r="J1602" s="32" t="s">
        <v>26</v>
      </c>
      <c r="K1602" s="264" t="s">
        <v>27</v>
      </c>
      <c r="L1602" s="137" t="s">
        <v>87</v>
      </c>
      <c r="M1602" s="137" t="s">
        <v>804</v>
      </c>
      <c r="N1602" s="30" t="s">
        <v>29</v>
      </c>
      <c r="O1602" s="693" t="s">
        <v>5599</v>
      </c>
      <c r="P1602" s="736" t="s">
        <v>5600</v>
      </c>
      <c r="Q1602" s="15" t="s">
        <v>282</v>
      </c>
      <c r="R1602" s="179">
        <v>41731</v>
      </c>
      <c r="S1602" s="16" t="s">
        <v>35</v>
      </c>
      <c r="T1602" s="191">
        <v>43424</v>
      </c>
      <c r="U1602" s="707"/>
      <c r="V1602" s="624"/>
      <c r="W1602" s="242">
        <v>80000000</v>
      </c>
      <c r="X1602" s="385">
        <f>80000000-(19937565+60062435)</f>
        <v>0</v>
      </c>
      <c r="Y1602" s="7">
        <f>IF(AE1602="","",W1602*AE1602)</f>
        <v>0</v>
      </c>
      <c r="Z1602" s="7">
        <f>IF(Y1602="",X1602,Y1602+X1602)</f>
        <v>0</v>
      </c>
      <c r="AA1602" s="192">
        <v>44523</v>
      </c>
      <c r="AB1602" s="504" t="s">
        <v>6162</v>
      </c>
      <c r="AC1602" s="138"/>
      <c r="AD1602" s="187">
        <v>1</v>
      </c>
      <c r="AE1602" s="187">
        <v>0</v>
      </c>
      <c r="AF1602" s="205">
        <f>AE1602+AD1602</f>
        <v>1</v>
      </c>
      <c r="AG1602" s="138">
        <v>8</v>
      </c>
      <c r="AH1602" s="138" t="s">
        <v>5578</v>
      </c>
      <c r="AI1602" s="200"/>
      <c r="AJ1602" s="200" t="s">
        <v>1188</v>
      </c>
      <c r="AK1602" s="30" t="s">
        <v>99</v>
      </c>
      <c r="AL1602" s="146" t="s">
        <v>1178</v>
      </c>
    </row>
    <row r="1603" spans="1:38" ht="15" customHeight="1" x14ac:dyDescent="0.3">
      <c r="A1603" s="248" t="s">
        <v>22</v>
      </c>
      <c r="B1603" s="153" t="s">
        <v>105</v>
      </c>
      <c r="C1603" s="135">
        <v>28</v>
      </c>
      <c r="D1603" s="11" t="s">
        <v>5936</v>
      </c>
      <c r="E1603" s="247">
        <v>43861</v>
      </c>
      <c r="F1603" s="246">
        <v>2020</v>
      </c>
      <c r="G1603" s="247" t="s">
        <v>5602</v>
      </c>
      <c r="H1603" s="419" t="s">
        <v>5603</v>
      </c>
      <c r="I1603" s="245" t="s">
        <v>38</v>
      </c>
      <c r="J1603" s="32" t="s">
        <v>26</v>
      </c>
      <c r="K1603" s="197" t="s">
        <v>100</v>
      </c>
      <c r="L1603" s="310" t="s">
        <v>28</v>
      </c>
      <c r="M1603" s="310" t="s">
        <v>42</v>
      </c>
      <c r="N1603" s="310" t="s">
        <v>126</v>
      </c>
      <c r="O1603" s="871" t="s">
        <v>5604</v>
      </c>
      <c r="P1603" s="886" t="s">
        <v>5605</v>
      </c>
      <c r="Q1603" s="15" t="s">
        <v>282</v>
      </c>
      <c r="R1603" s="218">
        <v>44853</v>
      </c>
      <c r="S1603" s="16" t="s">
        <v>44</v>
      </c>
      <c r="T1603" s="133">
        <v>45077</v>
      </c>
      <c r="U1603" s="623"/>
      <c r="V1603" s="623"/>
      <c r="W1603" s="269">
        <v>80000000</v>
      </c>
      <c r="X1603" s="240">
        <v>0</v>
      </c>
      <c r="Y1603" s="7">
        <f>IF(AE1603="","",W1603*AE1603)</f>
        <v>0</v>
      </c>
      <c r="Z1603" s="7">
        <f>IF(Y1603="",X1603,Y1603+X1603)</f>
        <v>0</v>
      </c>
      <c r="AA1603" s="192"/>
      <c r="AB1603" s="513" t="s">
        <v>3232</v>
      </c>
      <c r="AC1603" s="147"/>
      <c r="AD1603" s="196"/>
      <c r="AE1603" s="196">
        <v>0</v>
      </c>
      <c r="AF1603" s="205">
        <f>AE1603+AD1603</f>
        <v>0</v>
      </c>
      <c r="AG1603" s="138">
        <v>8</v>
      </c>
      <c r="AH1603" s="310" t="s">
        <v>4237</v>
      </c>
      <c r="AI1603" s="138"/>
      <c r="AJ1603" s="138" t="s">
        <v>1188</v>
      </c>
      <c r="AK1603" s="181" t="s">
        <v>1177</v>
      </c>
      <c r="AL1603" s="138" t="s">
        <v>1178</v>
      </c>
    </row>
    <row r="1604" spans="1:38" ht="15" customHeight="1" x14ac:dyDescent="0.3">
      <c r="A1604" s="181" t="s">
        <v>22</v>
      </c>
      <c r="B1604" s="153" t="s">
        <v>144</v>
      </c>
      <c r="C1604" s="107">
        <v>4</v>
      </c>
      <c r="D1604" s="11" t="s">
        <v>143</v>
      </c>
      <c r="E1604" s="108">
        <v>42604</v>
      </c>
      <c r="F1604" s="246">
        <v>2016</v>
      </c>
      <c r="G1604" s="178" t="s">
        <v>5606</v>
      </c>
      <c r="H1604" s="162" t="s">
        <v>5607</v>
      </c>
      <c r="I1604" s="57" t="s">
        <v>6176</v>
      </c>
      <c r="J1604" s="248" t="s">
        <v>67</v>
      </c>
      <c r="K1604" s="197" t="s">
        <v>68</v>
      </c>
      <c r="L1604" s="137" t="s">
        <v>171</v>
      </c>
      <c r="M1604" s="137" t="s">
        <v>42</v>
      </c>
      <c r="N1604" s="93" t="s">
        <v>69</v>
      </c>
      <c r="O1604" s="694" t="s">
        <v>5608</v>
      </c>
      <c r="P1604" s="197" t="s">
        <v>5609</v>
      </c>
      <c r="Q1604" s="15" t="s">
        <v>282</v>
      </c>
      <c r="R1604" s="164">
        <v>43304</v>
      </c>
      <c r="S1604" s="16" t="s">
        <v>44</v>
      </c>
      <c r="T1604" s="165"/>
      <c r="U1604" s="624"/>
      <c r="V1604" s="180"/>
      <c r="W1604" s="242">
        <v>20000000</v>
      </c>
      <c r="X1604" s="7">
        <v>0</v>
      </c>
      <c r="Y1604" s="7">
        <f t="shared" ref="Y1604:Y1654" si="94">IF(AE1604="","",W1604*AE1604)</f>
        <v>0</v>
      </c>
      <c r="Z1604" s="7">
        <f t="shared" ref="Z1604:Z1654" si="95">IF(Y1604="",X1604,Y1604+X1604)</f>
        <v>0</v>
      </c>
      <c r="AA1604" s="192">
        <v>44402</v>
      </c>
      <c r="AB1604" s="503" t="s">
        <v>147</v>
      </c>
      <c r="AC1604" s="222"/>
      <c r="AD1604" s="187">
        <v>0</v>
      </c>
      <c r="AE1604" s="187">
        <v>0</v>
      </c>
      <c r="AF1604" s="205">
        <f t="shared" ref="AF1604:AF1616" si="96">AE1604+AD1604</f>
        <v>0</v>
      </c>
      <c r="AG1604" s="163">
        <v>8</v>
      </c>
      <c r="AH1604" s="264" t="s">
        <v>5584</v>
      </c>
      <c r="AI1604" s="138"/>
      <c r="AJ1604" s="137" t="s">
        <v>1188</v>
      </c>
      <c r="AK1604" s="660" t="s">
        <v>1185</v>
      </c>
      <c r="AL1604" s="146" t="s">
        <v>1178</v>
      </c>
    </row>
    <row r="1605" spans="1:38" ht="15" customHeight="1" x14ac:dyDescent="0.3">
      <c r="A1605" s="138" t="s">
        <v>22</v>
      </c>
      <c r="B1605" s="308" t="s">
        <v>105</v>
      </c>
      <c r="C1605" s="138">
        <v>25</v>
      </c>
      <c r="D1605" s="11" t="s">
        <v>5936</v>
      </c>
      <c r="E1605" s="302">
        <v>44495</v>
      </c>
      <c r="F1605" s="310">
        <v>2021</v>
      </c>
      <c r="G1605" s="138" t="s">
        <v>5611</v>
      </c>
      <c r="H1605" s="836" t="s">
        <v>5612</v>
      </c>
      <c r="I1605" s="138" t="s">
        <v>38</v>
      </c>
      <c r="J1605" s="32" t="s">
        <v>26</v>
      </c>
      <c r="K1605" s="197" t="s">
        <v>57</v>
      </c>
      <c r="L1605" s="264" t="s">
        <v>28</v>
      </c>
      <c r="M1605" s="197" t="s">
        <v>42</v>
      </c>
      <c r="N1605" s="310" t="s">
        <v>43</v>
      </c>
      <c r="O1605" s="837" t="s">
        <v>5613</v>
      </c>
      <c r="P1605" s="895" t="s">
        <v>5614</v>
      </c>
      <c r="Q1605" s="91"/>
      <c r="R1605" s="91"/>
      <c r="S1605" s="92"/>
      <c r="T1605" s="92"/>
      <c r="U1605" s="623"/>
      <c r="V1605" s="624"/>
      <c r="W1605" s="242">
        <v>80000000</v>
      </c>
      <c r="X1605" s="243">
        <v>0</v>
      </c>
      <c r="Y1605" s="7">
        <f t="shared" si="94"/>
        <v>0</v>
      </c>
      <c r="Z1605" s="7">
        <f t="shared" si="95"/>
        <v>0</v>
      </c>
      <c r="AA1605" s="264"/>
      <c r="AB1605" s="467" t="s">
        <v>52</v>
      </c>
      <c r="AC1605" s="197"/>
      <c r="AD1605" s="196"/>
      <c r="AE1605" s="187">
        <v>0</v>
      </c>
      <c r="AF1605" s="205">
        <f t="shared" si="96"/>
        <v>0</v>
      </c>
      <c r="AG1605" s="138">
        <v>8</v>
      </c>
      <c r="AH1605" s="264" t="s">
        <v>6158</v>
      </c>
      <c r="AI1605" s="138"/>
      <c r="AJ1605" s="138" t="s">
        <v>2308</v>
      </c>
      <c r="AK1605" s="30" t="s">
        <v>1177</v>
      </c>
      <c r="AL1605" s="138" t="s">
        <v>1178</v>
      </c>
    </row>
    <row r="1606" spans="1:38" ht="15" customHeight="1" x14ac:dyDescent="0.3">
      <c r="A1606" s="181" t="s">
        <v>22</v>
      </c>
      <c r="B1606" s="265" t="s">
        <v>227</v>
      </c>
      <c r="C1606" s="107">
        <v>15</v>
      </c>
      <c r="D1606" s="11" t="s">
        <v>225</v>
      </c>
      <c r="E1606" s="114">
        <v>43623</v>
      </c>
      <c r="F1606" s="12">
        <v>2021</v>
      </c>
      <c r="G1606" s="114" t="s">
        <v>5615</v>
      </c>
      <c r="H1606" s="114" t="s">
        <v>5616</v>
      </c>
      <c r="I1606" s="57" t="s">
        <v>6176</v>
      </c>
      <c r="J1606" s="248" t="s">
        <v>67</v>
      </c>
      <c r="K1606" s="264" t="s">
        <v>117</v>
      </c>
      <c r="L1606" s="264" t="s">
        <v>28</v>
      </c>
      <c r="M1606" s="264" t="s">
        <v>42</v>
      </c>
      <c r="N1606" s="310" t="s">
        <v>69</v>
      </c>
      <c r="O1606" s="832" t="s">
        <v>5617</v>
      </c>
      <c r="P1606" s="783" t="s">
        <v>5618</v>
      </c>
      <c r="Q1606" s="15" t="s">
        <v>282</v>
      </c>
      <c r="R1606" s="218">
        <v>44448</v>
      </c>
      <c r="S1606" s="16" t="s">
        <v>44</v>
      </c>
      <c r="T1606" s="232">
        <v>45146</v>
      </c>
      <c r="U1606" s="776"/>
      <c r="V1606" s="776"/>
      <c r="W1606" s="242">
        <v>10000000</v>
      </c>
      <c r="X1606" s="185">
        <v>0</v>
      </c>
      <c r="Y1606" s="7">
        <f t="shared" si="94"/>
        <v>0</v>
      </c>
      <c r="Z1606" s="7">
        <f t="shared" si="95"/>
        <v>0</v>
      </c>
      <c r="AA1606" s="233"/>
      <c r="AB1606" s="504" t="s">
        <v>6115</v>
      </c>
      <c r="AC1606" s="138"/>
      <c r="AD1606" s="196"/>
      <c r="AE1606" s="187">
        <v>0</v>
      </c>
      <c r="AF1606" s="205">
        <f t="shared" si="96"/>
        <v>0</v>
      </c>
      <c r="AG1606" s="197">
        <v>8</v>
      </c>
      <c r="AH1606" s="197"/>
      <c r="AI1606" s="197"/>
      <c r="AJ1606" s="197" t="s">
        <v>1188</v>
      </c>
      <c r="AK1606" s="197" t="s">
        <v>1177</v>
      </c>
      <c r="AL1606" s="93" t="s">
        <v>1178</v>
      </c>
    </row>
    <row r="1607" spans="1:38" ht="15" customHeight="1" x14ac:dyDescent="0.3">
      <c r="A1607" s="181" t="s">
        <v>22</v>
      </c>
      <c r="B1607" s="265" t="s">
        <v>105</v>
      </c>
      <c r="C1607" s="107">
        <v>39</v>
      </c>
      <c r="D1607" s="11" t="s">
        <v>5936</v>
      </c>
      <c r="E1607" s="114">
        <v>43346</v>
      </c>
      <c r="F1607" s="12">
        <v>2018</v>
      </c>
      <c r="G1607" s="142" t="s">
        <v>5620</v>
      </c>
      <c r="H1607" s="162" t="s">
        <v>5621</v>
      </c>
      <c r="I1607" s="107" t="s">
        <v>38</v>
      </c>
      <c r="J1607" s="32" t="s">
        <v>26</v>
      </c>
      <c r="K1607" s="197" t="s">
        <v>57</v>
      </c>
      <c r="L1607" s="264" t="s">
        <v>28</v>
      </c>
      <c r="M1607" s="264" t="s">
        <v>42</v>
      </c>
      <c r="N1607" s="310" t="s">
        <v>43</v>
      </c>
      <c r="O1607" s="831" t="s">
        <v>5622</v>
      </c>
      <c r="P1607" s="805" t="s">
        <v>5623</v>
      </c>
      <c r="Q1607" s="15" t="s">
        <v>282</v>
      </c>
      <c r="R1607" s="218">
        <v>43859</v>
      </c>
      <c r="S1607" s="16" t="s">
        <v>44</v>
      </c>
      <c r="T1607" s="133">
        <v>44074</v>
      </c>
      <c r="U1607" s="623" t="s">
        <v>44</v>
      </c>
      <c r="V1607" s="180">
        <v>45069</v>
      </c>
      <c r="W1607" s="242">
        <v>50000000</v>
      </c>
      <c r="X1607" s="243">
        <v>0</v>
      </c>
      <c r="Y1607" s="7">
        <f t="shared" si="94"/>
        <v>0</v>
      </c>
      <c r="Z1607" s="7">
        <f t="shared" si="95"/>
        <v>0</v>
      </c>
      <c r="AA1607" s="229">
        <v>44515</v>
      </c>
      <c r="AB1607" s="513" t="s">
        <v>3232</v>
      </c>
      <c r="AC1607" s="147"/>
      <c r="AD1607" s="196"/>
      <c r="AE1607" s="187">
        <v>0</v>
      </c>
      <c r="AF1607" s="205">
        <f t="shared" si="96"/>
        <v>0</v>
      </c>
      <c r="AG1607" s="138">
        <v>8</v>
      </c>
      <c r="AH1607" s="264" t="s">
        <v>59</v>
      </c>
      <c r="AI1607" s="138"/>
      <c r="AJ1607" s="138" t="s">
        <v>1188</v>
      </c>
      <c r="AK1607" s="181" t="s">
        <v>1177</v>
      </c>
      <c r="AL1607" s="138" t="s">
        <v>1178</v>
      </c>
    </row>
    <row r="1608" spans="1:38" ht="15" customHeight="1" x14ac:dyDescent="0.3">
      <c r="A1608" s="181" t="s">
        <v>160</v>
      </c>
      <c r="B1608" s="297" t="s">
        <v>229</v>
      </c>
      <c r="C1608" s="245">
        <v>1</v>
      </c>
      <c r="D1608" s="11" t="s">
        <v>225</v>
      </c>
      <c r="E1608" s="247">
        <v>43080</v>
      </c>
      <c r="F1608" s="246">
        <v>2017</v>
      </c>
      <c r="G1608" s="792" t="s">
        <v>5624</v>
      </c>
      <c r="H1608" s="896" t="s">
        <v>5625</v>
      </c>
      <c r="I1608" s="30" t="s">
        <v>38</v>
      </c>
      <c r="J1608" s="32" t="s">
        <v>26</v>
      </c>
      <c r="K1608" s="264" t="s">
        <v>5566</v>
      </c>
      <c r="L1608" s="264" t="s">
        <v>231</v>
      </c>
      <c r="M1608" s="137" t="s">
        <v>804</v>
      </c>
      <c r="N1608" s="310" t="s">
        <v>82</v>
      </c>
      <c r="O1608" s="832" t="s">
        <v>5626</v>
      </c>
      <c r="P1608" s="897" t="s">
        <v>5627</v>
      </c>
      <c r="Q1608" s="15" t="s">
        <v>35</v>
      </c>
      <c r="R1608" s="218">
        <v>44722</v>
      </c>
      <c r="S1608" s="16" t="s">
        <v>35</v>
      </c>
      <c r="T1608" s="232">
        <v>45054</v>
      </c>
      <c r="U1608" s="776"/>
      <c r="V1608" s="776"/>
      <c r="W1608" s="242">
        <v>45000000</v>
      </c>
      <c r="X1608" s="394">
        <v>-7665122</v>
      </c>
      <c r="Y1608" s="7">
        <f t="shared" si="94"/>
        <v>45000000</v>
      </c>
      <c r="Z1608" s="7">
        <f t="shared" si="95"/>
        <v>37334878</v>
      </c>
      <c r="AA1608" s="229">
        <v>44405</v>
      </c>
      <c r="AB1608" s="604" t="s">
        <v>3744</v>
      </c>
      <c r="AC1608" s="163"/>
      <c r="AD1608" s="196">
        <v>0</v>
      </c>
      <c r="AE1608" s="187">
        <v>1</v>
      </c>
      <c r="AF1608" s="205">
        <f t="shared" si="96"/>
        <v>1</v>
      </c>
      <c r="AG1608" s="197">
        <v>8</v>
      </c>
      <c r="AH1608" s="197" t="s">
        <v>4721</v>
      </c>
      <c r="AI1608" s="197"/>
      <c r="AJ1608" s="197" t="s">
        <v>1188</v>
      </c>
      <c r="AK1608" s="197" t="s">
        <v>1177</v>
      </c>
      <c r="AL1608" s="93" t="s">
        <v>1178</v>
      </c>
    </row>
    <row r="1609" spans="1:38" ht="15" customHeight="1" x14ac:dyDescent="0.3">
      <c r="A1609" s="181" t="s">
        <v>22</v>
      </c>
      <c r="B1609" s="266" t="s">
        <v>5601</v>
      </c>
      <c r="C1609" s="245" t="s">
        <v>5629</v>
      </c>
      <c r="D1609" s="246" t="s">
        <v>190</v>
      </c>
      <c r="E1609" s="247">
        <v>42558</v>
      </c>
      <c r="F1609" s="246">
        <v>2016</v>
      </c>
      <c r="G1609" s="792" t="s">
        <v>5630</v>
      </c>
      <c r="H1609" s="181" t="s">
        <v>5631</v>
      </c>
      <c r="I1609" s="30" t="s">
        <v>38</v>
      </c>
      <c r="J1609" s="32" t="s">
        <v>26</v>
      </c>
      <c r="K1609" s="264" t="s">
        <v>5632</v>
      </c>
      <c r="L1609" s="264" t="s">
        <v>87</v>
      </c>
      <c r="M1609" s="137" t="s">
        <v>804</v>
      </c>
      <c r="N1609" s="138" t="s">
        <v>43</v>
      </c>
      <c r="O1609" s="832" t="s">
        <v>5633</v>
      </c>
      <c r="P1609" s="811" t="s">
        <v>5634</v>
      </c>
      <c r="Q1609" s="15" t="s">
        <v>35</v>
      </c>
      <c r="R1609" s="218">
        <v>42685</v>
      </c>
      <c r="S1609" s="16" t="s">
        <v>44</v>
      </c>
      <c r="T1609" s="262">
        <v>42788</v>
      </c>
      <c r="U1609" s="802" t="s">
        <v>35</v>
      </c>
      <c r="V1609" s="870">
        <v>44811</v>
      </c>
      <c r="W1609" s="269">
        <v>250000000</v>
      </c>
      <c r="X1609" s="395">
        <f>250000000-(3604003+1080310)</f>
        <v>245315687</v>
      </c>
      <c r="Y1609" s="7">
        <f t="shared" si="94"/>
        <v>0</v>
      </c>
      <c r="Z1609" s="7">
        <f t="shared" si="95"/>
        <v>245315687</v>
      </c>
      <c r="AA1609" s="192">
        <v>44617</v>
      </c>
      <c r="AB1609" s="503" t="s">
        <v>6167</v>
      </c>
      <c r="AC1609" s="222"/>
      <c r="AD1609" s="258">
        <v>1</v>
      </c>
      <c r="AE1609" s="196">
        <v>0</v>
      </c>
      <c r="AF1609" s="205">
        <f t="shared" si="96"/>
        <v>1</v>
      </c>
      <c r="AG1609" s="181">
        <v>8</v>
      </c>
      <c r="AH1609" s="200" t="s">
        <v>45</v>
      </c>
      <c r="AI1609" s="181"/>
      <c r="AJ1609" s="138" t="s">
        <v>1188</v>
      </c>
      <c r="AK1609" s="30" t="s">
        <v>99</v>
      </c>
      <c r="AL1609" s="200" t="s">
        <v>1178</v>
      </c>
    </row>
    <row r="1610" spans="1:38" ht="15" customHeight="1" x14ac:dyDescent="0.3">
      <c r="A1610" s="138" t="s">
        <v>22</v>
      </c>
      <c r="B1610" s="372" t="s">
        <v>105</v>
      </c>
      <c r="C1610" s="372">
        <v>8</v>
      </c>
      <c r="D1610" s="11" t="s">
        <v>5936</v>
      </c>
      <c r="E1610" s="374">
        <v>44827</v>
      </c>
      <c r="F1610" s="373">
        <v>2022</v>
      </c>
      <c r="G1610" s="373" t="s">
        <v>5635</v>
      </c>
      <c r="H1610" s="836" t="s">
        <v>5636</v>
      </c>
      <c r="I1610" s="30" t="s">
        <v>38</v>
      </c>
      <c r="J1610" s="32" t="s">
        <v>26</v>
      </c>
      <c r="K1610" s="376" t="s">
        <v>70</v>
      </c>
      <c r="L1610" s="372" t="s">
        <v>28</v>
      </c>
      <c r="M1610" s="137" t="s">
        <v>804</v>
      </c>
      <c r="N1610" s="372" t="s">
        <v>43</v>
      </c>
      <c r="O1610" s="898" t="s">
        <v>5637</v>
      </c>
      <c r="P1610" s="884" t="s">
        <v>5638</v>
      </c>
      <c r="Q1610" s="152"/>
      <c r="R1610" s="152"/>
      <c r="S1610" s="139"/>
      <c r="T1610" s="139"/>
      <c r="U1610" s="624"/>
      <c r="V1610" s="624"/>
      <c r="W1610" s="242">
        <v>200000000</v>
      </c>
      <c r="X1610" s="396"/>
      <c r="Y1610" s="7">
        <f t="shared" si="94"/>
        <v>0</v>
      </c>
      <c r="Z1610" s="7">
        <f t="shared" si="95"/>
        <v>0</v>
      </c>
      <c r="AA1610" s="376"/>
      <c r="AB1610" s="885" t="s">
        <v>52</v>
      </c>
      <c r="AC1610" s="376"/>
      <c r="AD1610" s="196"/>
      <c r="AE1610" s="187">
        <v>0</v>
      </c>
      <c r="AF1610" s="205">
        <f t="shared" si="96"/>
        <v>0</v>
      </c>
      <c r="AG1610" s="376">
        <v>8</v>
      </c>
      <c r="AH1610" s="376" t="s">
        <v>5610</v>
      </c>
      <c r="AI1610" s="197"/>
      <c r="AJ1610" s="197" t="s">
        <v>2308</v>
      </c>
      <c r="AK1610" s="30" t="s">
        <v>1177</v>
      </c>
      <c r="AL1610" s="138" t="s">
        <v>1178</v>
      </c>
    </row>
    <row r="1611" spans="1:38" ht="15" customHeight="1" x14ac:dyDescent="0.3">
      <c r="A1611" s="181" t="s">
        <v>22</v>
      </c>
      <c r="B1611" s="181" t="s">
        <v>23</v>
      </c>
      <c r="C1611" s="138">
        <v>20</v>
      </c>
      <c r="D1611" s="11" t="s">
        <v>24</v>
      </c>
      <c r="E1611" s="192">
        <v>43537</v>
      </c>
      <c r="F1611" s="181">
        <v>2019</v>
      </c>
      <c r="G1611" s="181" t="s">
        <v>5639</v>
      </c>
      <c r="H1611" s="217" t="s">
        <v>5640</v>
      </c>
      <c r="I1611" s="33" t="s">
        <v>33</v>
      </c>
      <c r="J1611" s="181" t="s">
        <v>81</v>
      </c>
      <c r="K1611" s="197" t="s">
        <v>71</v>
      </c>
      <c r="L1611" s="783" t="s">
        <v>72</v>
      </c>
      <c r="M1611" s="279" t="s">
        <v>42</v>
      </c>
      <c r="N1611" s="181" t="s">
        <v>73</v>
      </c>
      <c r="O1611" s="694" t="s">
        <v>5641</v>
      </c>
      <c r="P1611" s="815" t="s">
        <v>5642</v>
      </c>
      <c r="Q1611" s="15" t="s">
        <v>282</v>
      </c>
      <c r="R1611" s="164">
        <v>45087</v>
      </c>
      <c r="S1611" s="16" t="s">
        <v>44</v>
      </c>
      <c r="T1611" s="165">
        <v>45222</v>
      </c>
      <c r="U1611" s="624"/>
      <c r="V1611" s="624"/>
      <c r="W1611" s="239">
        <v>36000000</v>
      </c>
      <c r="X1611" s="240">
        <v>0</v>
      </c>
      <c r="Y1611" s="7">
        <f t="shared" si="94"/>
        <v>0</v>
      </c>
      <c r="Z1611" s="7">
        <f t="shared" si="95"/>
        <v>0</v>
      </c>
      <c r="AA1611" s="192"/>
      <c r="AB1611" s="479" t="s">
        <v>49</v>
      </c>
      <c r="AC1611" s="480"/>
      <c r="AD1611" s="258"/>
      <c r="AE1611" s="187">
        <v>0</v>
      </c>
      <c r="AF1611" s="205">
        <f t="shared" si="96"/>
        <v>0</v>
      </c>
      <c r="AG1611" s="279">
        <v>8</v>
      </c>
      <c r="AH1611" s="279" t="s">
        <v>74</v>
      </c>
      <c r="AI1611" s="197"/>
      <c r="AJ1611" s="279" t="s">
        <v>1188</v>
      </c>
      <c r="AK1611" s="660" t="s">
        <v>1177</v>
      </c>
      <c r="AL1611" s="93" t="s">
        <v>1178</v>
      </c>
    </row>
    <row r="1612" spans="1:38" ht="15" customHeight="1" x14ac:dyDescent="0.3">
      <c r="A1612" s="248" t="s">
        <v>22</v>
      </c>
      <c r="B1612" s="261" t="s">
        <v>422</v>
      </c>
      <c r="C1612" s="245">
        <v>4</v>
      </c>
      <c r="D1612" s="246" t="s">
        <v>190</v>
      </c>
      <c r="E1612" s="360">
        <v>43663</v>
      </c>
      <c r="F1612" s="397">
        <v>2019</v>
      </c>
      <c r="G1612" s="397" t="s">
        <v>5643</v>
      </c>
      <c r="H1612" s="899" t="s">
        <v>5644</v>
      </c>
      <c r="I1612" s="398" t="s">
        <v>38</v>
      </c>
      <c r="J1612" s="32" t="s">
        <v>26</v>
      </c>
      <c r="K1612" s="813" t="s">
        <v>111</v>
      </c>
      <c r="L1612" s="398" t="s">
        <v>28</v>
      </c>
      <c r="M1612" s="264" t="s">
        <v>42</v>
      </c>
      <c r="N1612" s="310" t="s">
        <v>82</v>
      </c>
      <c r="O1612" s="900" t="s">
        <v>5645</v>
      </c>
      <c r="P1612" s="398" t="s">
        <v>5646</v>
      </c>
      <c r="Q1612" s="15" t="s">
        <v>282</v>
      </c>
      <c r="R1612" s="218"/>
      <c r="S1612" s="16" t="s">
        <v>44</v>
      </c>
      <c r="T1612" s="262">
        <v>45008</v>
      </c>
      <c r="U1612" s="802"/>
      <c r="V1612" s="802"/>
      <c r="W1612" s="269">
        <v>90000000</v>
      </c>
      <c r="X1612" s="240">
        <v>0</v>
      </c>
      <c r="Y1612" s="7">
        <f t="shared" si="94"/>
        <v>0</v>
      </c>
      <c r="Z1612" s="7">
        <f t="shared" si="95"/>
        <v>0</v>
      </c>
      <c r="AA1612" s="192"/>
      <c r="AB1612" s="503" t="s">
        <v>201</v>
      </c>
      <c r="AC1612" s="222"/>
      <c r="AD1612" s="258"/>
      <c r="AE1612" s="196">
        <v>0</v>
      </c>
      <c r="AF1612" s="205">
        <f t="shared" si="96"/>
        <v>0</v>
      </c>
      <c r="AG1612" s="181">
        <v>8</v>
      </c>
      <c r="AH1612" s="398" t="s">
        <v>5619</v>
      </c>
      <c r="AI1612" s="138"/>
      <c r="AJ1612" s="138" t="s">
        <v>1188</v>
      </c>
      <c r="AK1612" s="138" t="s">
        <v>1177</v>
      </c>
      <c r="AL1612" s="146" t="s">
        <v>1178</v>
      </c>
    </row>
    <row r="1613" spans="1:38" ht="15" customHeight="1" x14ac:dyDescent="0.3">
      <c r="A1613" s="181" t="s">
        <v>22</v>
      </c>
      <c r="B1613" s="293" t="s">
        <v>105</v>
      </c>
      <c r="C1613" s="135">
        <v>29</v>
      </c>
      <c r="D1613" s="11" t="s">
        <v>5936</v>
      </c>
      <c r="E1613" s="168">
        <v>43627</v>
      </c>
      <c r="F1613" s="136">
        <v>2019</v>
      </c>
      <c r="G1613" s="178" t="s">
        <v>5648</v>
      </c>
      <c r="H1613" s="204" t="s">
        <v>5649</v>
      </c>
      <c r="I1613" s="30" t="s">
        <v>38</v>
      </c>
      <c r="J1613" s="32" t="s">
        <v>26</v>
      </c>
      <c r="K1613" s="197" t="s">
        <v>111</v>
      </c>
      <c r="L1613" s="138" t="s">
        <v>28</v>
      </c>
      <c r="M1613" s="137" t="s">
        <v>804</v>
      </c>
      <c r="N1613" s="310" t="s">
        <v>82</v>
      </c>
      <c r="O1613" s="765" t="s">
        <v>5650</v>
      </c>
      <c r="P1613" s="765" t="s">
        <v>5651</v>
      </c>
      <c r="Q1613" s="15" t="s">
        <v>35</v>
      </c>
      <c r="R1613" s="362">
        <v>44335</v>
      </c>
      <c r="S1613" s="16" t="s">
        <v>35</v>
      </c>
      <c r="T1613" s="191">
        <v>45016</v>
      </c>
      <c r="U1613" s="707"/>
      <c r="V1613" s="624"/>
      <c r="W1613" s="242">
        <v>125000000</v>
      </c>
      <c r="X1613" s="253">
        <v>-101856147</v>
      </c>
      <c r="Y1613" s="7">
        <f t="shared" si="94"/>
        <v>125000000</v>
      </c>
      <c r="Z1613" s="7">
        <f t="shared" si="95"/>
        <v>23143853</v>
      </c>
      <c r="AA1613" s="212">
        <v>44392</v>
      </c>
      <c r="AB1613" s="564" t="s">
        <v>1073</v>
      </c>
      <c r="AC1613" s="693"/>
      <c r="AD1613" s="196"/>
      <c r="AE1613" s="196">
        <v>1</v>
      </c>
      <c r="AF1613" s="205">
        <f t="shared" si="96"/>
        <v>1</v>
      </c>
      <c r="AG1613" s="200">
        <v>8</v>
      </c>
      <c r="AH1613" s="264" t="s">
        <v>59</v>
      </c>
      <c r="AI1613" s="200"/>
      <c r="AJ1613" s="138" t="s">
        <v>1188</v>
      </c>
      <c r="AK1613" s="181" t="s">
        <v>1177</v>
      </c>
      <c r="AL1613" s="138" t="s">
        <v>1178</v>
      </c>
    </row>
    <row r="1614" spans="1:38" ht="15" customHeight="1" x14ac:dyDescent="0.3">
      <c r="A1614" s="181" t="s">
        <v>22</v>
      </c>
      <c r="B1614" s="297" t="s">
        <v>189</v>
      </c>
      <c r="C1614" s="245">
        <v>4</v>
      </c>
      <c r="D1614" s="246" t="s">
        <v>190</v>
      </c>
      <c r="E1614" s="247">
        <v>43237</v>
      </c>
      <c r="F1614" s="246">
        <v>2018</v>
      </c>
      <c r="G1614" s="792" t="s">
        <v>5652</v>
      </c>
      <c r="H1614" s="792" t="s">
        <v>5653</v>
      </c>
      <c r="I1614" s="246" t="s">
        <v>38</v>
      </c>
      <c r="J1614" s="32" t="s">
        <v>26</v>
      </c>
      <c r="K1614" s="264" t="s">
        <v>111</v>
      </c>
      <c r="L1614" s="310" t="s">
        <v>28</v>
      </c>
      <c r="M1614" s="264" t="s">
        <v>42</v>
      </c>
      <c r="N1614" s="310" t="s">
        <v>82</v>
      </c>
      <c r="O1614" s="871" t="s">
        <v>5654</v>
      </c>
      <c r="P1614" s="897" t="s">
        <v>5655</v>
      </c>
      <c r="Q1614" s="15" t="s">
        <v>282</v>
      </c>
      <c r="R1614" s="218"/>
      <c r="S1614" s="16" t="s">
        <v>44</v>
      </c>
      <c r="T1614" s="262"/>
      <c r="U1614" s="802" t="s">
        <v>44</v>
      </c>
      <c r="V1614" s="870">
        <v>45182</v>
      </c>
      <c r="W1614" s="269">
        <v>220000000</v>
      </c>
      <c r="X1614" s="240">
        <v>0</v>
      </c>
      <c r="Y1614" s="7">
        <f t="shared" si="94"/>
        <v>0</v>
      </c>
      <c r="Z1614" s="7">
        <f t="shared" si="95"/>
        <v>0</v>
      </c>
      <c r="AA1614" s="192"/>
      <c r="AB1614" s="604" t="s">
        <v>3744</v>
      </c>
      <c r="AC1614" s="163"/>
      <c r="AD1614" s="258">
        <v>0</v>
      </c>
      <c r="AE1614" s="187">
        <v>0</v>
      </c>
      <c r="AF1614" s="205">
        <f t="shared" si="96"/>
        <v>0</v>
      </c>
      <c r="AG1614" s="181">
        <v>8</v>
      </c>
      <c r="AH1614" s="310" t="s">
        <v>5628</v>
      </c>
      <c r="AI1614" s="138"/>
      <c r="AJ1614" s="138" t="s">
        <v>1188</v>
      </c>
      <c r="AK1614" s="138" t="s">
        <v>1177</v>
      </c>
      <c r="AL1614" s="200" t="s">
        <v>1178</v>
      </c>
    </row>
    <row r="1615" spans="1:38" ht="15" customHeight="1" x14ac:dyDescent="0.3">
      <c r="A1615" s="181" t="s">
        <v>22</v>
      </c>
      <c r="B1615" s="265" t="s">
        <v>105</v>
      </c>
      <c r="C1615" s="245">
        <v>25</v>
      </c>
      <c r="D1615" s="11" t="s">
        <v>5936</v>
      </c>
      <c r="E1615" s="247">
        <v>42619</v>
      </c>
      <c r="F1615" s="246">
        <v>2016</v>
      </c>
      <c r="G1615" s="792" t="s">
        <v>5656</v>
      </c>
      <c r="H1615" s="901" t="s">
        <v>5657</v>
      </c>
      <c r="I1615" s="246" t="s">
        <v>38</v>
      </c>
      <c r="J1615" s="32" t="s">
        <v>26</v>
      </c>
      <c r="K1615" s="264" t="s">
        <v>111</v>
      </c>
      <c r="L1615" s="310" t="s">
        <v>28</v>
      </c>
      <c r="M1615" s="310" t="s">
        <v>42</v>
      </c>
      <c r="N1615" s="310" t="s">
        <v>82</v>
      </c>
      <c r="O1615" s="871" t="s">
        <v>5658</v>
      </c>
      <c r="P1615" s="872" t="s">
        <v>5659</v>
      </c>
      <c r="Q1615" s="15" t="s">
        <v>282</v>
      </c>
      <c r="R1615" s="362"/>
      <c r="S1615" s="16" t="s">
        <v>44</v>
      </c>
      <c r="T1615" s="191">
        <v>45138</v>
      </c>
      <c r="U1615" s="707"/>
      <c r="V1615" s="624"/>
      <c r="W1615" s="239">
        <v>73000000</v>
      </c>
      <c r="X1615" s="253">
        <v>0</v>
      </c>
      <c r="Y1615" s="7">
        <f t="shared" si="94"/>
        <v>0</v>
      </c>
      <c r="Z1615" s="7">
        <f t="shared" si="95"/>
        <v>0</v>
      </c>
      <c r="AA1615" s="212">
        <v>44540</v>
      </c>
      <c r="AB1615" s="564" t="s">
        <v>1073</v>
      </c>
      <c r="AC1615" s="693"/>
      <c r="AD1615" s="187">
        <v>0</v>
      </c>
      <c r="AE1615" s="196">
        <v>0</v>
      </c>
      <c r="AF1615" s="205">
        <f t="shared" si="96"/>
        <v>0</v>
      </c>
      <c r="AG1615" s="184">
        <v>8</v>
      </c>
      <c r="AH1615" s="310" t="s">
        <v>112</v>
      </c>
      <c r="AI1615" s="200"/>
      <c r="AJ1615" s="138" t="s">
        <v>1188</v>
      </c>
      <c r="AK1615" s="181" t="s">
        <v>1177</v>
      </c>
      <c r="AL1615" s="138" t="s">
        <v>1178</v>
      </c>
    </row>
    <row r="1616" spans="1:38" ht="15" customHeight="1" x14ac:dyDescent="0.3">
      <c r="A1616" s="181" t="s">
        <v>22</v>
      </c>
      <c r="B1616" s="399" t="s">
        <v>105</v>
      </c>
      <c r="C1616" s="135">
        <v>19</v>
      </c>
      <c r="D1616" s="11" t="s">
        <v>5936</v>
      </c>
      <c r="E1616" s="168">
        <v>42038</v>
      </c>
      <c r="F1616" s="380">
        <v>2015</v>
      </c>
      <c r="G1616" s="178" t="s">
        <v>5661</v>
      </c>
      <c r="H1616" s="902" t="s">
        <v>5662</v>
      </c>
      <c r="I1616" s="57" t="s">
        <v>6176</v>
      </c>
      <c r="J1616" s="279" t="s">
        <v>67</v>
      </c>
      <c r="K1616" s="310" t="s">
        <v>77</v>
      </c>
      <c r="L1616" s="197" t="s">
        <v>28</v>
      </c>
      <c r="M1616" s="138" t="s">
        <v>42</v>
      </c>
      <c r="N1616" s="138" t="s">
        <v>78</v>
      </c>
      <c r="O1616" s="694" t="s">
        <v>5663</v>
      </c>
      <c r="P1616" s="138" t="s">
        <v>5664</v>
      </c>
      <c r="Q1616" s="15" t="s">
        <v>282</v>
      </c>
      <c r="R1616" s="231"/>
      <c r="S1616" s="16" t="s">
        <v>44</v>
      </c>
      <c r="T1616" s="165">
        <v>45217</v>
      </c>
      <c r="U1616" s="624"/>
      <c r="V1616" s="624"/>
      <c r="W1616" s="242">
        <v>50000000</v>
      </c>
      <c r="X1616" s="243">
        <v>0</v>
      </c>
      <c r="Y1616" s="7">
        <f t="shared" si="94"/>
        <v>0</v>
      </c>
      <c r="Z1616" s="7">
        <f t="shared" si="95"/>
        <v>0</v>
      </c>
      <c r="AA1616" s="233"/>
      <c r="AB1616" s="513" t="s">
        <v>3232</v>
      </c>
      <c r="AC1616" s="147"/>
      <c r="AD1616" s="196">
        <v>0</v>
      </c>
      <c r="AE1616" s="187">
        <v>0</v>
      </c>
      <c r="AF1616" s="205">
        <f t="shared" si="96"/>
        <v>0</v>
      </c>
      <c r="AG1616" s="138">
        <v>8</v>
      </c>
      <c r="AH1616" s="660"/>
      <c r="AI1616" s="197"/>
      <c r="AJ1616" s="197" t="s">
        <v>1188</v>
      </c>
      <c r="AK1616" s="181" t="s">
        <v>1177</v>
      </c>
      <c r="AL1616" s="138" t="s">
        <v>1178</v>
      </c>
    </row>
    <row r="1617" spans="1:38" ht="15" customHeight="1" x14ac:dyDescent="0.3">
      <c r="A1617" s="181" t="s">
        <v>22</v>
      </c>
      <c r="B1617" s="248" t="s">
        <v>23</v>
      </c>
      <c r="C1617" s="245">
        <v>8</v>
      </c>
      <c r="D1617" s="11" t="s">
        <v>24</v>
      </c>
      <c r="E1617" s="168">
        <v>44002</v>
      </c>
      <c r="F1617" s="12">
        <v>2020</v>
      </c>
      <c r="G1617" s="178" t="s">
        <v>5666</v>
      </c>
      <c r="H1617" s="204" t="s">
        <v>5667</v>
      </c>
      <c r="I1617" s="107" t="s">
        <v>38</v>
      </c>
      <c r="J1617" s="32" t="s">
        <v>26</v>
      </c>
      <c r="K1617" s="376" t="s">
        <v>104</v>
      </c>
      <c r="L1617" s="264" t="s">
        <v>28</v>
      </c>
      <c r="M1617" s="376" t="s">
        <v>42</v>
      </c>
      <c r="N1617" s="372" t="s">
        <v>43</v>
      </c>
      <c r="O1617" s="839" t="s">
        <v>5668</v>
      </c>
      <c r="P1617" s="783" t="s">
        <v>5669</v>
      </c>
      <c r="Q1617" s="15" t="s">
        <v>282</v>
      </c>
      <c r="R1617" s="132">
        <v>45258</v>
      </c>
      <c r="S1617" s="92"/>
      <c r="T1617" s="133"/>
      <c r="U1617" s="623"/>
      <c r="V1617" s="624"/>
      <c r="W1617" s="242">
        <v>7000000</v>
      </c>
      <c r="X1617" s="299">
        <v>0</v>
      </c>
      <c r="Y1617" s="7" t="str">
        <f t="shared" si="94"/>
        <v/>
      </c>
      <c r="Z1617" s="7">
        <f t="shared" si="95"/>
        <v>0</v>
      </c>
      <c r="AA1617" s="192"/>
      <c r="AB1617" s="889" t="s">
        <v>31</v>
      </c>
      <c r="AC1617" s="310"/>
      <c r="AD1617" s="187"/>
      <c r="AE1617" s="187"/>
      <c r="AF1617" s="205">
        <v>0</v>
      </c>
      <c r="AG1617" s="138">
        <v>8</v>
      </c>
      <c r="AH1617" s="197" t="s">
        <v>5573</v>
      </c>
      <c r="AI1617" s="138"/>
      <c r="AJ1617" s="138" t="s">
        <v>2308</v>
      </c>
      <c r="AK1617" s="138" t="s">
        <v>5670</v>
      </c>
      <c r="AL1617" s="310" t="s">
        <v>1178</v>
      </c>
    </row>
    <row r="1618" spans="1:38" ht="15" customHeight="1" x14ac:dyDescent="0.3">
      <c r="A1618" s="181" t="s">
        <v>22</v>
      </c>
      <c r="B1618" s="297" t="s">
        <v>506</v>
      </c>
      <c r="C1618" s="245">
        <v>3</v>
      </c>
      <c r="D1618" s="11" t="s">
        <v>225</v>
      </c>
      <c r="E1618" s="247">
        <v>43161</v>
      </c>
      <c r="F1618" s="246">
        <v>2018</v>
      </c>
      <c r="G1618" s="792" t="s">
        <v>5671</v>
      </c>
      <c r="H1618" s="792" t="s">
        <v>5672</v>
      </c>
      <c r="I1618" s="246" t="s">
        <v>38</v>
      </c>
      <c r="J1618" s="32" t="s">
        <v>26</v>
      </c>
      <c r="K1618" s="264" t="s">
        <v>111</v>
      </c>
      <c r="L1618" s="361" t="s">
        <v>28</v>
      </c>
      <c r="M1618" s="264" t="s">
        <v>42</v>
      </c>
      <c r="N1618" s="310" t="s">
        <v>82</v>
      </c>
      <c r="O1618" s="891" t="s">
        <v>5673</v>
      </c>
      <c r="P1618" s="794" t="s">
        <v>5674</v>
      </c>
      <c r="Q1618" s="220"/>
      <c r="R1618" s="220"/>
      <c r="S1618" s="649"/>
      <c r="T1618" s="241"/>
      <c r="U1618" s="776"/>
      <c r="V1618" s="776"/>
      <c r="W1618" s="242">
        <v>22000000</v>
      </c>
      <c r="X1618" s="185">
        <v>0</v>
      </c>
      <c r="Y1618" s="7">
        <f t="shared" si="94"/>
        <v>0</v>
      </c>
      <c r="Z1618" s="7">
        <f t="shared" si="95"/>
        <v>0</v>
      </c>
      <c r="AA1618" s="229">
        <v>44520</v>
      </c>
      <c r="AB1618" s="467" t="s">
        <v>4165</v>
      </c>
      <c r="AC1618" s="197"/>
      <c r="AD1618" s="196">
        <v>0</v>
      </c>
      <c r="AE1618" s="187">
        <v>0</v>
      </c>
      <c r="AF1618" s="205">
        <f>AE1618+AD1618</f>
        <v>0</v>
      </c>
      <c r="AG1618" s="197">
        <v>8</v>
      </c>
      <c r="AH1618" s="264" t="s">
        <v>5647</v>
      </c>
      <c r="AI1618" s="197"/>
      <c r="AJ1618" s="197" t="s">
        <v>1188</v>
      </c>
      <c r="AK1618" s="197" t="s">
        <v>1177</v>
      </c>
      <c r="AL1618" s="93" t="s">
        <v>1178</v>
      </c>
    </row>
    <row r="1619" spans="1:38" ht="15" customHeight="1" x14ac:dyDescent="0.3">
      <c r="A1619" s="181" t="s">
        <v>140</v>
      </c>
      <c r="B1619" s="293" t="s">
        <v>199</v>
      </c>
      <c r="C1619" s="135">
        <v>1</v>
      </c>
      <c r="D1619" s="136" t="s">
        <v>190</v>
      </c>
      <c r="E1619" s="168">
        <v>42851</v>
      </c>
      <c r="F1619" s="136">
        <v>2017</v>
      </c>
      <c r="G1619" s="178" t="s">
        <v>5675</v>
      </c>
      <c r="H1619" s="178" t="s">
        <v>5676</v>
      </c>
      <c r="I1619" s="136" t="s">
        <v>38</v>
      </c>
      <c r="J1619" s="181" t="s">
        <v>81</v>
      </c>
      <c r="K1619" s="835" t="s">
        <v>163</v>
      </c>
      <c r="L1619" s="197" t="s">
        <v>28</v>
      </c>
      <c r="M1619" s="197" t="s">
        <v>42</v>
      </c>
      <c r="N1619" s="138" t="s">
        <v>122</v>
      </c>
      <c r="O1619" s="831" t="s">
        <v>5677</v>
      </c>
      <c r="P1619" s="794" t="s">
        <v>5678</v>
      </c>
      <c r="Q1619" s="220"/>
      <c r="R1619" s="218"/>
      <c r="S1619" s="400"/>
      <c r="T1619" s="262"/>
      <c r="U1619" s="802"/>
      <c r="V1619" s="802"/>
      <c r="W1619" s="269">
        <v>5000000</v>
      </c>
      <c r="X1619" s="240">
        <v>0</v>
      </c>
      <c r="Y1619" s="7">
        <f t="shared" si="94"/>
        <v>0</v>
      </c>
      <c r="Z1619" s="7">
        <f t="shared" si="95"/>
        <v>0</v>
      </c>
      <c r="AA1619" s="192"/>
      <c r="AB1619" s="479" t="s">
        <v>200</v>
      </c>
      <c r="AC1619" s="480"/>
      <c r="AD1619" s="258">
        <v>0</v>
      </c>
      <c r="AE1619" s="187">
        <v>0</v>
      </c>
      <c r="AF1619" s="205">
        <f>AE1619+AD1619</f>
        <v>0</v>
      </c>
      <c r="AG1619" s="181">
        <v>8</v>
      </c>
      <c r="AH1619" s="279"/>
      <c r="AI1619" s="718" t="s">
        <v>4665</v>
      </c>
      <c r="AJ1619" s="138" t="s">
        <v>1188</v>
      </c>
      <c r="AK1619" s="138" t="s">
        <v>1177</v>
      </c>
      <c r="AL1619" s="200" t="s">
        <v>1178</v>
      </c>
    </row>
    <row r="1620" spans="1:38" ht="15" customHeight="1" x14ac:dyDescent="0.3">
      <c r="A1620" s="181" t="s">
        <v>140</v>
      </c>
      <c r="B1620" s="2" t="s">
        <v>6172</v>
      </c>
      <c r="C1620" s="135" t="s">
        <v>5680</v>
      </c>
      <c r="D1620" s="136" t="s">
        <v>190</v>
      </c>
      <c r="E1620" s="168">
        <v>42537</v>
      </c>
      <c r="F1620" s="136">
        <v>2016</v>
      </c>
      <c r="G1620" s="178" t="s">
        <v>5681</v>
      </c>
      <c r="H1620" s="178"/>
      <c r="I1620" s="136" t="s">
        <v>38</v>
      </c>
      <c r="J1620" s="181" t="s">
        <v>81</v>
      </c>
      <c r="K1620" s="264" t="s">
        <v>163</v>
      </c>
      <c r="L1620" s="197" t="s">
        <v>209</v>
      </c>
      <c r="M1620" s="197" t="s">
        <v>42</v>
      </c>
      <c r="N1620" s="138" t="s">
        <v>122</v>
      </c>
      <c r="O1620" s="839" t="s">
        <v>5682</v>
      </c>
      <c r="P1620" s="783" t="s">
        <v>5683</v>
      </c>
      <c r="Q1620" s="220"/>
      <c r="R1620" s="218"/>
      <c r="S1620" s="400"/>
      <c r="T1620" s="400"/>
      <c r="U1620" s="802"/>
      <c r="V1620" s="802"/>
      <c r="W1620" s="269">
        <v>5000000</v>
      </c>
      <c r="X1620" s="240">
        <v>0</v>
      </c>
      <c r="Y1620" s="7">
        <f t="shared" si="94"/>
        <v>0</v>
      </c>
      <c r="Z1620" s="7">
        <f t="shared" si="95"/>
        <v>0</v>
      </c>
      <c r="AA1620" s="192"/>
      <c r="AB1620" s="564" t="s">
        <v>2595</v>
      </c>
      <c r="AC1620" s="693"/>
      <c r="AD1620" s="196">
        <v>0</v>
      </c>
      <c r="AE1620" s="187">
        <v>0</v>
      </c>
      <c r="AF1620" s="205">
        <f>AE1620+AD1620</f>
        <v>0</v>
      </c>
      <c r="AG1620" s="138">
        <v>8</v>
      </c>
      <c r="AH1620" s="197"/>
      <c r="AI1620" s="718" t="s">
        <v>3698</v>
      </c>
      <c r="AJ1620" s="138" t="s">
        <v>1188</v>
      </c>
      <c r="AK1620" s="138" t="s">
        <v>1177</v>
      </c>
      <c r="AL1620" s="200" t="s">
        <v>1178</v>
      </c>
    </row>
    <row r="1621" spans="1:38" ht="15" customHeight="1" x14ac:dyDescent="0.3">
      <c r="A1621" s="181" t="s">
        <v>22</v>
      </c>
      <c r="B1621" s="297" t="s">
        <v>197</v>
      </c>
      <c r="C1621" s="245">
        <v>6</v>
      </c>
      <c r="D1621" s="246" t="s">
        <v>190</v>
      </c>
      <c r="E1621" s="247">
        <v>43168</v>
      </c>
      <c r="F1621" s="246">
        <v>2018</v>
      </c>
      <c r="G1621" s="792" t="s">
        <v>5684</v>
      </c>
      <c r="H1621" s="792" t="s">
        <v>5685</v>
      </c>
      <c r="I1621" s="388" t="s">
        <v>38</v>
      </c>
      <c r="J1621" s="248" t="s">
        <v>81</v>
      </c>
      <c r="K1621" s="264" t="s">
        <v>214</v>
      </c>
      <c r="L1621" s="310" t="s">
        <v>28</v>
      </c>
      <c r="M1621" s="264" t="s">
        <v>42</v>
      </c>
      <c r="N1621" s="310" t="s">
        <v>82</v>
      </c>
      <c r="O1621" s="871" t="s">
        <v>5686</v>
      </c>
      <c r="P1621" s="892" t="s">
        <v>5687</v>
      </c>
      <c r="Q1621" s="15" t="s">
        <v>282</v>
      </c>
      <c r="R1621" s="218">
        <v>43691</v>
      </c>
      <c r="S1621" s="400"/>
      <c r="T1621" s="262"/>
      <c r="U1621" s="802"/>
      <c r="V1621" s="802"/>
      <c r="W1621" s="269">
        <v>88000000</v>
      </c>
      <c r="X1621" s="240">
        <v>0</v>
      </c>
      <c r="Y1621" s="7">
        <f t="shared" si="94"/>
        <v>0</v>
      </c>
      <c r="Z1621" s="7">
        <f t="shared" si="95"/>
        <v>0</v>
      </c>
      <c r="AA1621" s="192"/>
      <c r="AB1621" s="564" t="s">
        <v>2595</v>
      </c>
      <c r="AC1621" s="693"/>
      <c r="AD1621" s="258">
        <v>0</v>
      </c>
      <c r="AE1621" s="187">
        <v>0</v>
      </c>
      <c r="AF1621" s="205">
        <f>AE1621+AD1621</f>
        <v>0</v>
      </c>
      <c r="AG1621" s="181">
        <v>8</v>
      </c>
      <c r="AH1621" s="310" t="s">
        <v>5660</v>
      </c>
      <c r="AI1621" s="138"/>
      <c r="AJ1621" s="138" t="s">
        <v>1188</v>
      </c>
      <c r="AK1621" s="138" t="s">
        <v>1185</v>
      </c>
      <c r="AL1621" s="200" t="s">
        <v>1178</v>
      </c>
    </row>
    <row r="1622" spans="1:38" ht="15" customHeight="1" x14ac:dyDescent="0.3">
      <c r="A1622" s="248" t="s">
        <v>22</v>
      </c>
      <c r="B1622" s="120" t="s">
        <v>159</v>
      </c>
      <c r="C1622" s="107">
        <v>1</v>
      </c>
      <c r="D1622" s="11" t="s">
        <v>143</v>
      </c>
      <c r="E1622" s="114">
        <v>43312</v>
      </c>
      <c r="F1622" s="12">
        <v>2018</v>
      </c>
      <c r="G1622" s="142" t="s">
        <v>5688</v>
      </c>
      <c r="H1622" s="162" t="s">
        <v>5689</v>
      </c>
      <c r="I1622" s="33" t="s">
        <v>33</v>
      </c>
      <c r="J1622" s="32" t="s">
        <v>26</v>
      </c>
      <c r="K1622" s="264" t="s">
        <v>27</v>
      </c>
      <c r="L1622" s="264" t="s">
        <v>109</v>
      </c>
      <c r="M1622" s="137" t="s">
        <v>804</v>
      </c>
      <c r="N1622" s="30" t="s">
        <v>29</v>
      </c>
      <c r="O1622" s="694" t="s">
        <v>5690</v>
      </c>
      <c r="P1622" s="138" t="s">
        <v>5691</v>
      </c>
      <c r="Q1622" s="15" t="s">
        <v>35</v>
      </c>
      <c r="R1622" s="132"/>
      <c r="S1622" s="16" t="s">
        <v>35</v>
      </c>
      <c r="T1622" s="133"/>
      <c r="U1622" s="623"/>
      <c r="V1622" s="180"/>
      <c r="W1622" s="401">
        <v>603078139</v>
      </c>
      <c r="X1622" s="402">
        <f>400000000+209000000+3631147-(5921861+601709286+580000)</f>
        <v>4420000</v>
      </c>
      <c r="Y1622" s="7">
        <f t="shared" si="94"/>
        <v>0</v>
      </c>
      <c r="Z1622" s="402">
        <f t="shared" si="95"/>
        <v>4420000</v>
      </c>
      <c r="AA1622" s="192">
        <v>45102</v>
      </c>
      <c r="AB1622" s="503" t="s">
        <v>98</v>
      </c>
      <c r="AC1622" s="222"/>
      <c r="AD1622" s="187">
        <v>1</v>
      </c>
      <c r="AE1622" s="187">
        <v>0</v>
      </c>
      <c r="AF1622" s="205">
        <f t="shared" ref="AF1622:AF1654" si="97">AE1622+AD1622</f>
        <v>1</v>
      </c>
      <c r="AG1622" s="163">
        <v>8</v>
      </c>
      <c r="AH1622" s="138" t="s">
        <v>5665</v>
      </c>
      <c r="AI1622" s="138"/>
      <c r="AJ1622" s="93" t="s">
        <v>1188</v>
      </c>
      <c r="AK1622" s="30" t="s">
        <v>1177</v>
      </c>
      <c r="AL1622" s="93" t="s">
        <v>1178</v>
      </c>
    </row>
    <row r="1623" spans="1:38" ht="15" customHeight="1" x14ac:dyDescent="0.3">
      <c r="A1623" s="248" t="s">
        <v>22</v>
      </c>
      <c r="B1623" s="265" t="s">
        <v>23</v>
      </c>
      <c r="C1623" s="107">
        <v>3</v>
      </c>
      <c r="D1623" s="11" t="s">
        <v>24</v>
      </c>
      <c r="E1623" s="114">
        <v>44075</v>
      </c>
      <c r="F1623" s="12">
        <v>2020</v>
      </c>
      <c r="G1623" s="142" t="s">
        <v>5693</v>
      </c>
      <c r="H1623" s="204" t="s">
        <v>5694</v>
      </c>
      <c r="I1623" s="30" t="s">
        <v>38</v>
      </c>
      <c r="J1623" s="32" t="s">
        <v>26</v>
      </c>
      <c r="K1623" s="264" t="s">
        <v>93</v>
      </c>
      <c r="L1623" s="264" t="s">
        <v>28</v>
      </c>
      <c r="M1623" s="137" t="s">
        <v>804</v>
      </c>
      <c r="N1623" s="310" t="s">
        <v>82</v>
      </c>
      <c r="O1623" s="831" t="s">
        <v>94</v>
      </c>
      <c r="P1623" s="783" t="s">
        <v>5695</v>
      </c>
      <c r="Q1623" s="220" t="s">
        <v>92</v>
      </c>
      <c r="R1623" s="903"/>
      <c r="S1623" s="241"/>
      <c r="T1623" s="241"/>
      <c r="U1623" s="776"/>
      <c r="V1623" s="776"/>
      <c r="W1623" s="242">
        <v>180000000</v>
      </c>
      <c r="X1623" s="403">
        <v>-90000000</v>
      </c>
      <c r="Y1623" s="7">
        <f t="shared" si="94"/>
        <v>180000000</v>
      </c>
      <c r="Z1623" s="7">
        <f t="shared" si="95"/>
        <v>90000000</v>
      </c>
      <c r="AA1623" s="108"/>
      <c r="AB1623" s="479" t="s">
        <v>49</v>
      </c>
      <c r="AC1623" s="480"/>
      <c r="AD1623" s="196"/>
      <c r="AE1623" s="187">
        <v>1</v>
      </c>
      <c r="AF1623" s="205">
        <f t="shared" si="97"/>
        <v>1</v>
      </c>
      <c r="AG1623" s="197">
        <v>8</v>
      </c>
      <c r="AH1623" s="197" t="s">
        <v>54</v>
      </c>
      <c r="AI1623" s="197"/>
      <c r="AJ1623" s="197" t="s">
        <v>1188</v>
      </c>
      <c r="AK1623" s="197" t="s">
        <v>1177</v>
      </c>
      <c r="AL1623" s="93" t="s">
        <v>1178</v>
      </c>
    </row>
    <row r="1624" spans="1:38" ht="15" customHeight="1" x14ac:dyDescent="0.3">
      <c r="A1624" s="181" t="s">
        <v>22</v>
      </c>
      <c r="B1624" s="255" t="s">
        <v>105</v>
      </c>
      <c r="C1624" s="135">
        <v>4</v>
      </c>
      <c r="D1624" s="11" t="s">
        <v>5936</v>
      </c>
      <c r="E1624" s="168">
        <v>43634</v>
      </c>
      <c r="F1624" s="136">
        <v>2019</v>
      </c>
      <c r="G1624" s="168" t="s">
        <v>5697</v>
      </c>
      <c r="H1624" s="168" t="s">
        <v>5698</v>
      </c>
      <c r="I1624" s="135" t="s">
        <v>38</v>
      </c>
      <c r="J1624" s="32" t="s">
        <v>26</v>
      </c>
      <c r="K1624" s="197" t="s">
        <v>57</v>
      </c>
      <c r="L1624" s="197" t="s">
        <v>28</v>
      </c>
      <c r="M1624" s="197" t="s">
        <v>42</v>
      </c>
      <c r="N1624" s="138" t="s">
        <v>43</v>
      </c>
      <c r="O1624" s="831" t="s">
        <v>5699</v>
      </c>
      <c r="P1624" s="826" t="s">
        <v>5700</v>
      </c>
      <c r="Q1624" s="15" t="s">
        <v>282</v>
      </c>
      <c r="R1624" s="218">
        <v>44377</v>
      </c>
      <c r="S1624" s="16" t="s">
        <v>44</v>
      </c>
      <c r="T1624" s="133">
        <v>44986</v>
      </c>
      <c r="U1624" s="623"/>
      <c r="V1624" s="624"/>
      <c r="W1624" s="242">
        <v>244000000</v>
      </c>
      <c r="X1624" s="243">
        <v>0</v>
      </c>
      <c r="Y1624" s="7">
        <f t="shared" si="94"/>
        <v>0</v>
      </c>
      <c r="Z1624" s="7">
        <f t="shared" si="95"/>
        <v>0</v>
      </c>
      <c r="AA1624" s="229">
        <v>44515</v>
      </c>
      <c r="AB1624" s="513" t="s">
        <v>3232</v>
      </c>
      <c r="AC1624" s="147"/>
      <c r="AD1624" s="196"/>
      <c r="AE1624" s="187">
        <v>0</v>
      </c>
      <c r="AF1624" s="205">
        <f t="shared" si="97"/>
        <v>0</v>
      </c>
      <c r="AG1624" s="138">
        <v>8</v>
      </c>
      <c r="AH1624" s="264" t="s">
        <v>59</v>
      </c>
      <c r="AI1624" s="138"/>
      <c r="AJ1624" s="138" t="s">
        <v>1188</v>
      </c>
      <c r="AK1624" s="181" t="s">
        <v>1177</v>
      </c>
      <c r="AL1624" s="138" t="s">
        <v>1178</v>
      </c>
    </row>
    <row r="1625" spans="1:38" ht="15" customHeight="1" x14ac:dyDescent="0.3">
      <c r="A1625" s="248" t="s">
        <v>22</v>
      </c>
      <c r="B1625" s="301" t="s">
        <v>105</v>
      </c>
      <c r="C1625" s="245">
        <v>5</v>
      </c>
      <c r="D1625" s="11" t="s">
        <v>5936</v>
      </c>
      <c r="E1625" s="168">
        <v>44064</v>
      </c>
      <c r="F1625" s="246">
        <v>2020</v>
      </c>
      <c r="G1625" s="247" t="s">
        <v>5702</v>
      </c>
      <c r="H1625" s="247" t="s">
        <v>5703</v>
      </c>
      <c r="I1625" s="245" t="s">
        <v>38</v>
      </c>
      <c r="J1625" s="32" t="s">
        <v>26</v>
      </c>
      <c r="K1625" s="197" t="s">
        <v>57</v>
      </c>
      <c r="L1625" s="264" t="s">
        <v>28</v>
      </c>
      <c r="M1625" s="264" t="s">
        <v>42</v>
      </c>
      <c r="N1625" s="310" t="s">
        <v>43</v>
      </c>
      <c r="O1625" s="832" t="s">
        <v>5704</v>
      </c>
      <c r="P1625" s="827" t="s">
        <v>5705</v>
      </c>
      <c r="Q1625" s="15" t="s">
        <v>35</v>
      </c>
      <c r="R1625" s="132"/>
      <c r="S1625" s="92"/>
      <c r="T1625" s="133"/>
      <c r="U1625" s="623"/>
      <c r="V1625" s="624"/>
      <c r="W1625" s="242">
        <v>150000000</v>
      </c>
      <c r="X1625" s="243"/>
      <c r="Y1625" s="7">
        <f t="shared" si="94"/>
        <v>0</v>
      </c>
      <c r="Z1625" s="7">
        <f t="shared" si="95"/>
        <v>0</v>
      </c>
      <c r="AA1625" s="192"/>
      <c r="AB1625" s="513" t="s">
        <v>3232</v>
      </c>
      <c r="AC1625" s="147"/>
      <c r="AD1625" s="187"/>
      <c r="AE1625" s="187">
        <v>0</v>
      </c>
      <c r="AF1625" s="205">
        <f t="shared" si="97"/>
        <v>0</v>
      </c>
      <c r="AG1625" s="138">
        <v>0</v>
      </c>
      <c r="AH1625" s="264" t="s">
        <v>5679</v>
      </c>
      <c r="AI1625" s="138"/>
      <c r="AJ1625" s="138" t="s">
        <v>1188</v>
      </c>
      <c r="AK1625" s="30" t="s">
        <v>1177</v>
      </c>
      <c r="AL1625" s="138" t="s">
        <v>1178</v>
      </c>
    </row>
    <row r="1626" spans="1:38" ht="15" customHeight="1" x14ac:dyDescent="0.3">
      <c r="A1626" s="181" t="s">
        <v>22</v>
      </c>
      <c r="B1626" s="181" t="s">
        <v>23</v>
      </c>
      <c r="C1626" s="138">
        <v>1</v>
      </c>
      <c r="D1626" s="11" t="s">
        <v>24</v>
      </c>
      <c r="E1626" s="192">
        <v>43593</v>
      </c>
      <c r="F1626" s="181">
        <v>2019</v>
      </c>
      <c r="G1626" s="181" t="s">
        <v>4937</v>
      </c>
      <c r="H1626" s="217" t="s">
        <v>5706</v>
      </c>
      <c r="I1626" s="30" t="s">
        <v>38</v>
      </c>
      <c r="J1626" s="32" t="s">
        <v>26</v>
      </c>
      <c r="K1626" s="197" t="s">
        <v>100</v>
      </c>
      <c r="L1626" s="197" t="s">
        <v>34</v>
      </c>
      <c r="M1626" s="137" t="s">
        <v>804</v>
      </c>
      <c r="N1626" s="248" t="s">
        <v>82</v>
      </c>
      <c r="O1626" s="694" t="s">
        <v>5707</v>
      </c>
      <c r="P1626" s="815" t="s">
        <v>5708</v>
      </c>
      <c r="Q1626" s="15" t="s">
        <v>35</v>
      </c>
      <c r="R1626" s="164">
        <v>44371</v>
      </c>
      <c r="S1626" s="139"/>
      <c r="T1626" s="165"/>
      <c r="U1626" s="624"/>
      <c r="V1626" s="624"/>
      <c r="W1626" s="239">
        <v>113000000</v>
      </c>
      <c r="X1626" s="404">
        <f>113000000-10515900</f>
        <v>102484100</v>
      </c>
      <c r="Y1626" s="7">
        <f t="shared" si="94"/>
        <v>0</v>
      </c>
      <c r="Z1626" s="7">
        <f t="shared" si="95"/>
        <v>102484100</v>
      </c>
      <c r="AA1626" s="192"/>
      <c r="AB1626" s="801" t="s">
        <v>36</v>
      </c>
      <c r="AC1626" s="192"/>
      <c r="AD1626" s="258">
        <v>1</v>
      </c>
      <c r="AE1626" s="187">
        <v>0</v>
      </c>
      <c r="AF1626" s="205">
        <f t="shared" si="97"/>
        <v>1</v>
      </c>
      <c r="AG1626" s="279">
        <v>8</v>
      </c>
      <c r="AH1626" s="200" t="s">
        <v>45</v>
      </c>
      <c r="AI1626" s="197"/>
      <c r="AJ1626" s="279" t="s">
        <v>1188</v>
      </c>
      <c r="AK1626" s="660" t="s">
        <v>1177</v>
      </c>
      <c r="AL1626" s="93" t="s">
        <v>1178</v>
      </c>
    </row>
    <row r="1627" spans="1:38" ht="15" customHeight="1" x14ac:dyDescent="0.3">
      <c r="A1627" s="248" t="s">
        <v>22</v>
      </c>
      <c r="B1627" s="181" t="s">
        <v>39</v>
      </c>
      <c r="C1627" s="135">
        <v>2</v>
      </c>
      <c r="D1627" s="11" t="s">
        <v>24</v>
      </c>
      <c r="E1627" s="168">
        <v>44785</v>
      </c>
      <c r="F1627" s="12">
        <v>2022</v>
      </c>
      <c r="G1627" s="178" t="s">
        <v>5710</v>
      </c>
      <c r="H1627" s="204" t="s">
        <v>5711</v>
      </c>
      <c r="I1627" s="107" t="s">
        <v>38</v>
      </c>
      <c r="J1627" s="32" t="s">
        <v>26</v>
      </c>
      <c r="K1627" s="137" t="s">
        <v>60</v>
      </c>
      <c r="L1627" s="310" t="s">
        <v>28</v>
      </c>
      <c r="M1627" s="264" t="s">
        <v>42</v>
      </c>
      <c r="N1627" s="181" t="s">
        <v>43</v>
      </c>
      <c r="O1627" s="831" t="s">
        <v>5712</v>
      </c>
      <c r="P1627" s="783" t="s">
        <v>30</v>
      </c>
      <c r="Q1627" s="15" t="s">
        <v>282</v>
      </c>
      <c r="R1627" s="164">
        <v>44897</v>
      </c>
      <c r="S1627" s="16" t="s">
        <v>44</v>
      </c>
      <c r="T1627" s="165">
        <v>45107</v>
      </c>
      <c r="U1627" s="624"/>
      <c r="V1627" s="624"/>
      <c r="W1627" s="242">
        <v>150000000</v>
      </c>
      <c r="X1627" s="299">
        <v>0</v>
      </c>
      <c r="Y1627" s="7">
        <f t="shared" si="94"/>
        <v>0</v>
      </c>
      <c r="Z1627" s="7">
        <f t="shared" si="95"/>
        <v>0</v>
      </c>
      <c r="AA1627" s="192"/>
      <c r="AB1627" s="762" t="s">
        <v>3077</v>
      </c>
      <c r="AC1627" s="652"/>
      <c r="AD1627" s="187"/>
      <c r="AE1627" s="187">
        <v>0</v>
      </c>
      <c r="AF1627" s="205">
        <f t="shared" si="97"/>
        <v>0</v>
      </c>
      <c r="AG1627" s="197">
        <v>8</v>
      </c>
      <c r="AH1627" s="197" t="s">
        <v>5523</v>
      </c>
      <c r="AI1627" s="197"/>
      <c r="AJ1627" s="197" t="s">
        <v>1188</v>
      </c>
      <c r="AK1627" s="138" t="s">
        <v>1177</v>
      </c>
      <c r="AL1627" s="310" t="s">
        <v>1178</v>
      </c>
    </row>
    <row r="1628" spans="1:38" ht="15" customHeight="1" x14ac:dyDescent="0.3">
      <c r="A1628" s="181" t="s">
        <v>22</v>
      </c>
      <c r="B1628" s="265" t="s">
        <v>105</v>
      </c>
      <c r="C1628" s="245">
        <v>39</v>
      </c>
      <c r="D1628" s="11" t="s">
        <v>5936</v>
      </c>
      <c r="E1628" s="247">
        <v>42970</v>
      </c>
      <c r="F1628" s="246">
        <v>2017</v>
      </c>
      <c r="G1628" s="792" t="s">
        <v>5713</v>
      </c>
      <c r="H1628" s="792" t="s">
        <v>5714</v>
      </c>
      <c r="I1628" s="33" t="s">
        <v>33</v>
      </c>
      <c r="J1628" s="32" t="s">
        <v>26</v>
      </c>
      <c r="K1628" s="264" t="s">
        <v>118</v>
      </c>
      <c r="L1628" s="310" t="s">
        <v>85</v>
      </c>
      <c r="M1628" s="137" t="s">
        <v>804</v>
      </c>
      <c r="N1628" s="138" t="s">
        <v>119</v>
      </c>
      <c r="O1628" s="871" t="s">
        <v>5715</v>
      </c>
      <c r="P1628" s="897" t="s">
        <v>5716</v>
      </c>
      <c r="Q1628" s="15" t="s">
        <v>282</v>
      </c>
      <c r="R1628" s="231"/>
      <c r="S1628" s="272"/>
      <c r="T1628" s="165"/>
      <c r="U1628" s="624"/>
      <c r="V1628" s="624"/>
      <c r="W1628" s="242">
        <v>80000000</v>
      </c>
      <c r="X1628" s="243">
        <v>80000000</v>
      </c>
      <c r="Y1628" s="7">
        <f t="shared" si="94"/>
        <v>0</v>
      </c>
      <c r="Z1628" s="7">
        <f t="shared" si="95"/>
        <v>80000000</v>
      </c>
      <c r="AA1628" s="229">
        <v>44788</v>
      </c>
      <c r="AB1628" s="513" t="s">
        <v>3232</v>
      </c>
      <c r="AC1628" s="147"/>
      <c r="AD1628" s="196">
        <v>1</v>
      </c>
      <c r="AE1628" s="187">
        <v>0</v>
      </c>
      <c r="AF1628" s="205">
        <f t="shared" si="97"/>
        <v>1</v>
      </c>
      <c r="AG1628" s="197">
        <v>8</v>
      </c>
      <c r="AH1628" s="197" t="s">
        <v>5355</v>
      </c>
      <c r="AI1628" s="197"/>
      <c r="AJ1628" s="197" t="s">
        <v>1188</v>
      </c>
      <c r="AK1628" s="181" t="s">
        <v>1185</v>
      </c>
      <c r="AL1628" s="138" t="s">
        <v>1178</v>
      </c>
    </row>
    <row r="1629" spans="1:38" ht="15" customHeight="1" x14ac:dyDescent="0.3">
      <c r="A1629" s="248" t="s">
        <v>22</v>
      </c>
      <c r="B1629" s="153" t="s">
        <v>105</v>
      </c>
      <c r="C1629" s="138">
        <v>38</v>
      </c>
      <c r="D1629" s="11" t="s">
        <v>5936</v>
      </c>
      <c r="E1629" s="302">
        <v>44111</v>
      </c>
      <c r="F1629" s="138">
        <v>2020</v>
      </c>
      <c r="G1629" s="138" t="s">
        <v>5718</v>
      </c>
      <c r="H1629" s="138" t="s">
        <v>5719</v>
      </c>
      <c r="I1629" s="33" t="s">
        <v>33</v>
      </c>
      <c r="J1629" s="32" t="s">
        <v>26</v>
      </c>
      <c r="K1629" s="264" t="s">
        <v>27</v>
      </c>
      <c r="L1629" s="197" t="s">
        <v>28</v>
      </c>
      <c r="M1629" s="137" t="s">
        <v>804</v>
      </c>
      <c r="N1629" s="30" t="s">
        <v>29</v>
      </c>
      <c r="O1629" s="694" t="s">
        <v>5720</v>
      </c>
      <c r="P1629" s="197" t="s">
        <v>5721</v>
      </c>
      <c r="Q1629" s="91"/>
      <c r="R1629" s="132"/>
      <c r="S1629" s="92"/>
      <c r="T1629" s="133"/>
      <c r="U1629" s="623"/>
      <c r="V1629" s="624"/>
      <c r="W1629" s="242">
        <v>25000000</v>
      </c>
      <c r="X1629" s="243">
        <v>-25000000</v>
      </c>
      <c r="Y1629" s="405">
        <f t="shared" si="94"/>
        <v>25000000</v>
      </c>
      <c r="Z1629" s="7">
        <f t="shared" si="95"/>
        <v>0</v>
      </c>
      <c r="AA1629" s="229"/>
      <c r="AB1629" s="564" t="s">
        <v>1073</v>
      </c>
      <c r="AC1629" s="693"/>
      <c r="AD1629" s="187">
        <v>0</v>
      </c>
      <c r="AE1629" s="187">
        <v>1</v>
      </c>
      <c r="AF1629" s="205">
        <f t="shared" si="97"/>
        <v>1</v>
      </c>
      <c r="AG1629" s="138">
        <v>8</v>
      </c>
      <c r="AH1629" s="310" t="s">
        <v>5692</v>
      </c>
      <c r="AI1629" s="138"/>
      <c r="AJ1629" s="138" t="s">
        <v>1188</v>
      </c>
      <c r="AK1629" s="30" t="s">
        <v>1177</v>
      </c>
      <c r="AL1629" s="138" t="s">
        <v>1178</v>
      </c>
    </row>
    <row r="1630" spans="1:38" ht="15" customHeight="1" x14ac:dyDescent="0.3">
      <c r="A1630" s="181" t="s">
        <v>22</v>
      </c>
      <c r="B1630" s="112" t="s">
        <v>105</v>
      </c>
      <c r="C1630" s="107">
        <v>23</v>
      </c>
      <c r="D1630" s="11" t="s">
        <v>5936</v>
      </c>
      <c r="E1630" s="114">
        <v>43300</v>
      </c>
      <c r="F1630" s="12">
        <v>2018</v>
      </c>
      <c r="G1630" s="142" t="s">
        <v>5723</v>
      </c>
      <c r="H1630" s="162" t="s">
        <v>5724</v>
      </c>
      <c r="I1630" s="107" t="s">
        <v>38</v>
      </c>
      <c r="J1630" s="32" t="s">
        <v>26</v>
      </c>
      <c r="K1630" s="197" t="s">
        <v>57</v>
      </c>
      <c r="L1630" s="264" t="s">
        <v>28</v>
      </c>
      <c r="M1630" s="264" t="s">
        <v>42</v>
      </c>
      <c r="N1630" s="310" t="s">
        <v>43</v>
      </c>
      <c r="O1630" s="831" t="s">
        <v>5725</v>
      </c>
      <c r="P1630" s="197" t="s">
        <v>5726</v>
      </c>
      <c r="Q1630" s="15" t="s">
        <v>282</v>
      </c>
      <c r="R1630" s="218">
        <v>43592</v>
      </c>
      <c r="S1630" s="16" t="s">
        <v>44</v>
      </c>
      <c r="T1630" s="133" t="s">
        <v>5727</v>
      </c>
      <c r="U1630" s="623"/>
      <c r="V1630" s="624"/>
      <c r="W1630" s="242">
        <v>49000000</v>
      </c>
      <c r="X1630" s="243">
        <v>0</v>
      </c>
      <c r="Y1630" s="7">
        <f t="shared" si="94"/>
        <v>0</v>
      </c>
      <c r="Z1630" s="7">
        <f t="shared" si="95"/>
        <v>0</v>
      </c>
      <c r="AA1630" s="229"/>
      <c r="AB1630" s="564" t="s">
        <v>1073</v>
      </c>
      <c r="AC1630" s="693"/>
      <c r="AD1630" s="196"/>
      <c r="AE1630" s="187">
        <v>0</v>
      </c>
      <c r="AF1630" s="205">
        <f t="shared" si="97"/>
        <v>0</v>
      </c>
      <c r="AG1630" s="138">
        <v>8</v>
      </c>
      <c r="AH1630" s="197" t="s">
        <v>5696</v>
      </c>
      <c r="AI1630" s="138"/>
      <c r="AJ1630" s="138" t="s">
        <v>1188</v>
      </c>
      <c r="AK1630" s="181" t="s">
        <v>1185</v>
      </c>
      <c r="AL1630" s="138" t="s">
        <v>1178</v>
      </c>
    </row>
    <row r="1631" spans="1:38" ht="15" customHeight="1" x14ac:dyDescent="0.3">
      <c r="A1631" s="181" t="s">
        <v>22</v>
      </c>
      <c r="B1631" s="120" t="s">
        <v>105</v>
      </c>
      <c r="C1631" s="107">
        <v>25</v>
      </c>
      <c r="D1631" s="11" t="s">
        <v>5936</v>
      </c>
      <c r="E1631" s="114">
        <v>43305</v>
      </c>
      <c r="F1631" s="12">
        <v>2018</v>
      </c>
      <c r="G1631" s="142" t="s">
        <v>5728</v>
      </c>
      <c r="H1631" s="162" t="s">
        <v>5729</v>
      </c>
      <c r="I1631" s="107" t="s">
        <v>38</v>
      </c>
      <c r="J1631" s="32" t="s">
        <v>26</v>
      </c>
      <c r="K1631" s="264" t="s">
        <v>4624</v>
      </c>
      <c r="L1631" s="310" t="s">
        <v>28</v>
      </c>
      <c r="M1631" s="310" t="s">
        <v>42</v>
      </c>
      <c r="N1631" s="310" t="s">
        <v>43</v>
      </c>
      <c r="O1631" s="693" t="s">
        <v>5730</v>
      </c>
      <c r="P1631" s="310" t="s">
        <v>5731</v>
      </c>
      <c r="Q1631" s="15" t="s">
        <v>282</v>
      </c>
      <c r="R1631" s="231">
        <v>45078</v>
      </c>
      <c r="S1631" s="16" t="s">
        <v>44</v>
      </c>
      <c r="T1631" s="165" t="s">
        <v>5732</v>
      </c>
      <c r="U1631" s="624"/>
      <c r="V1631" s="624"/>
      <c r="W1631" s="242">
        <v>10000000</v>
      </c>
      <c r="X1631" s="243">
        <v>0</v>
      </c>
      <c r="Y1631" s="7">
        <f t="shared" si="94"/>
        <v>0</v>
      </c>
      <c r="Z1631" s="7">
        <f t="shared" si="95"/>
        <v>0</v>
      </c>
      <c r="AA1631" s="229"/>
      <c r="AB1631" s="564" t="s">
        <v>1073</v>
      </c>
      <c r="AC1631" s="693"/>
      <c r="AD1631" s="196">
        <v>0</v>
      </c>
      <c r="AE1631" s="187">
        <v>0</v>
      </c>
      <c r="AF1631" s="205">
        <f t="shared" si="97"/>
        <v>0</v>
      </c>
      <c r="AG1631" s="197">
        <v>8</v>
      </c>
      <c r="AH1631" s="197" t="s">
        <v>5701</v>
      </c>
      <c r="AI1631" s="197"/>
      <c r="AJ1631" s="197" t="s">
        <v>1188</v>
      </c>
      <c r="AK1631" s="181" t="s">
        <v>1177</v>
      </c>
      <c r="AL1631" s="138" t="s">
        <v>1178</v>
      </c>
    </row>
    <row r="1632" spans="1:38" ht="15" customHeight="1" x14ac:dyDescent="0.3">
      <c r="A1632" s="181" t="s">
        <v>22</v>
      </c>
      <c r="B1632" s="154" t="s">
        <v>105</v>
      </c>
      <c r="C1632" s="135">
        <v>27</v>
      </c>
      <c r="D1632" s="11" t="s">
        <v>5936</v>
      </c>
      <c r="E1632" s="168">
        <v>42339</v>
      </c>
      <c r="F1632" s="136">
        <v>2015</v>
      </c>
      <c r="G1632" s="178" t="s">
        <v>5734</v>
      </c>
      <c r="H1632" s="178" t="s">
        <v>5735</v>
      </c>
      <c r="I1632" s="136" t="s">
        <v>38</v>
      </c>
      <c r="J1632" s="32" t="s">
        <v>26</v>
      </c>
      <c r="K1632" s="138" t="s">
        <v>50</v>
      </c>
      <c r="L1632" s="138" t="s">
        <v>28</v>
      </c>
      <c r="M1632" s="138" t="s">
        <v>42</v>
      </c>
      <c r="N1632" s="138" t="s">
        <v>82</v>
      </c>
      <c r="O1632" s="765" t="s">
        <v>5736</v>
      </c>
      <c r="P1632" s="674" t="s">
        <v>5737</v>
      </c>
      <c r="Q1632" s="15" t="s">
        <v>282</v>
      </c>
      <c r="R1632" s="362">
        <v>42970</v>
      </c>
      <c r="S1632" s="16" t="s">
        <v>44</v>
      </c>
      <c r="T1632" s="191">
        <v>43895</v>
      </c>
      <c r="U1632" s="707" t="s">
        <v>44</v>
      </c>
      <c r="V1632" s="180">
        <v>44901</v>
      </c>
      <c r="W1632" s="242">
        <v>269000000</v>
      </c>
      <c r="X1632" s="253">
        <v>0</v>
      </c>
      <c r="Y1632" s="7">
        <f t="shared" si="94"/>
        <v>0</v>
      </c>
      <c r="Z1632" s="7">
        <f t="shared" si="95"/>
        <v>0</v>
      </c>
      <c r="AA1632" s="90"/>
      <c r="AB1632" s="564" t="s">
        <v>1073</v>
      </c>
      <c r="AC1632" s="693"/>
      <c r="AD1632" s="196">
        <v>0</v>
      </c>
      <c r="AE1632" s="187">
        <v>0</v>
      </c>
      <c r="AF1632" s="205">
        <f t="shared" si="97"/>
        <v>0</v>
      </c>
      <c r="AG1632" s="200">
        <v>8</v>
      </c>
      <c r="AH1632" s="310" t="s">
        <v>3961</v>
      </c>
      <c r="AI1632" s="200"/>
      <c r="AJ1632" s="200" t="s">
        <v>1188</v>
      </c>
      <c r="AK1632" s="181" t="s">
        <v>1185</v>
      </c>
      <c r="AL1632" s="200" t="s">
        <v>1178</v>
      </c>
    </row>
    <row r="1633" spans="1:38" ht="15" customHeight="1" thickBot="1" x14ac:dyDescent="0.35">
      <c r="A1633" s="181" t="s">
        <v>22</v>
      </c>
      <c r="B1633" s="154" t="s">
        <v>193</v>
      </c>
      <c r="C1633" s="135">
        <v>1</v>
      </c>
      <c r="D1633" s="136" t="s">
        <v>190</v>
      </c>
      <c r="E1633" s="168">
        <v>42311</v>
      </c>
      <c r="F1633" s="136">
        <v>2015</v>
      </c>
      <c r="G1633" s="178" t="s">
        <v>5739</v>
      </c>
      <c r="H1633" s="178" t="s">
        <v>5740</v>
      </c>
      <c r="I1633" s="382" t="s">
        <v>38</v>
      </c>
      <c r="J1633" s="32" t="s">
        <v>26</v>
      </c>
      <c r="K1633" s="197" t="s">
        <v>138</v>
      </c>
      <c r="L1633" s="138" t="s">
        <v>28</v>
      </c>
      <c r="M1633" s="197" t="s">
        <v>42</v>
      </c>
      <c r="N1633" s="138" t="s">
        <v>82</v>
      </c>
      <c r="O1633" s="904" t="s">
        <v>5741</v>
      </c>
      <c r="P1633" s="839" t="s">
        <v>5742</v>
      </c>
      <c r="Q1633" s="15" t="s">
        <v>282</v>
      </c>
      <c r="R1633" s="218">
        <v>42684</v>
      </c>
      <c r="S1633" s="16" t="s">
        <v>44</v>
      </c>
      <c r="T1633" s="262">
        <v>45203</v>
      </c>
      <c r="U1633" s="802"/>
      <c r="V1633" s="802"/>
      <c r="W1633" s="269">
        <v>21500000</v>
      </c>
      <c r="X1633" s="240">
        <v>0</v>
      </c>
      <c r="Y1633" s="7">
        <f t="shared" si="94"/>
        <v>0</v>
      </c>
      <c r="Z1633" s="7">
        <f t="shared" si="95"/>
        <v>0</v>
      </c>
      <c r="AA1633" s="192"/>
      <c r="AB1633" s="504" t="s">
        <v>3982</v>
      </c>
      <c r="AC1633" s="138"/>
      <c r="AD1633" s="196">
        <v>0</v>
      </c>
      <c r="AE1633" s="187">
        <v>0</v>
      </c>
      <c r="AF1633" s="205">
        <f t="shared" si="97"/>
        <v>0</v>
      </c>
      <c r="AG1633" s="138">
        <v>8</v>
      </c>
      <c r="AH1633" s="138" t="s">
        <v>5709</v>
      </c>
      <c r="AI1633" s="138"/>
      <c r="AJ1633" s="138" t="s">
        <v>1188</v>
      </c>
      <c r="AK1633" s="138" t="s">
        <v>1185</v>
      </c>
      <c r="AL1633" s="200" t="s">
        <v>1178</v>
      </c>
    </row>
    <row r="1634" spans="1:38" ht="15" customHeight="1" x14ac:dyDescent="0.3">
      <c r="A1634" s="181" t="s">
        <v>22</v>
      </c>
      <c r="B1634" s="184" t="s">
        <v>23</v>
      </c>
      <c r="C1634" s="181">
        <v>6</v>
      </c>
      <c r="D1634" s="11" t="s">
        <v>24</v>
      </c>
      <c r="E1634" s="192">
        <v>43537</v>
      </c>
      <c r="F1634" s="181">
        <v>2019</v>
      </c>
      <c r="G1634" s="181" t="s">
        <v>5743</v>
      </c>
      <c r="H1634" s="217" t="s">
        <v>5744</v>
      </c>
      <c r="I1634" s="33" t="s">
        <v>33</v>
      </c>
      <c r="J1634" s="181" t="s">
        <v>81</v>
      </c>
      <c r="K1634" s="197" t="s">
        <v>71</v>
      </c>
      <c r="L1634" s="783" t="s">
        <v>72</v>
      </c>
      <c r="M1634" s="279" t="s">
        <v>42</v>
      </c>
      <c r="N1634" s="181" t="s">
        <v>73</v>
      </c>
      <c r="O1634" s="694" t="s">
        <v>5641</v>
      </c>
      <c r="P1634" s="815" t="s">
        <v>5745</v>
      </c>
      <c r="Q1634" s="15" t="s">
        <v>282</v>
      </c>
      <c r="R1634" s="164"/>
      <c r="S1634" s="16" t="s">
        <v>44</v>
      </c>
      <c r="T1634" s="165">
        <v>45404</v>
      </c>
      <c r="U1634" s="624"/>
      <c r="V1634" s="624"/>
      <c r="W1634" s="239">
        <v>36000000</v>
      </c>
      <c r="X1634" s="243">
        <v>0</v>
      </c>
      <c r="Y1634" s="7">
        <f t="shared" si="94"/>
        <v>0</v>
      </c>
      <c r="Z1634" s="7">
        <f t="shared" si="95"/>
        <v>0</v>
      </c>
      <c r="AA1634" s="229"/>
      <c r="AB1634" s="479" t="s">
        <v>49</v>
      </c>
      <c r="AC1634" s="480"/>
      <c r="AD1634" s="258"/>
      <c r="AE1634" s="187">
        <v>0</v>
      </c>
      <c r="AF1634" s="205">
        <f t="shared" si="97"/>
        <v>0</v>
      </c>
      <c r="AG1634" s="279">
        <v>8</v>
      </c>
      <c r="AH1634" s="279" t="s">
        <v>74</v>
      </c>
      <c r="AI1634" s="197"/>
      <c r="AJ1634" s="279" t="s">
        <v>1188</v>
      </c>
      <c r="AK1634" s="660" t="s">
        <v>1177</v>
      </c>
      <c r="AL1634" s="93" t="s">
        <v>1178</v>
      </c>
    </row>
    <row r="1635" spans="1:38" ht="15" customHeight="1" x14ac:dyDescent="0.3">
      <c r="A1635" s="181" t="s">
        <v>22</v>
      </c>
      <c r="B1635" s="293" t="s">
        <v>105</v>
      </c>
      <c r="C1635" s="135">
        <v>22</v>
      </c>
      <c r="D1635" s="11" t="s">
        <v>5936</v>
      </c>
      <c r="E1635" s="168">
        <v>42591</v>
      </c>
      <c r="F1635" s="136">
        <v>2016</v>
      </c>
      <c r="G1635" s="178" t="s">
        <v>5746</v>
      </c>
      <c r="H1635" s="178" t="s">
        <v>5747</v>
      </c>
      <c r="I1635" s="136" t="s">
        <v>38</v>
      </c>
      <c r="J1635" s="32" t="s">
        <v>26</v>
      </c>
      <c r="K1635" s="197" t="s">
        <v>57</v>
      </c>
      <c r="L1635" s="197" t="s">
        <v>28</v>
      </c>
      <c r="M1635" s="197" t="s">
        <v>42</v>
      </c>
      <c r="N1635" s="138" t="s">
        <v>43</v>
      </c>
      <c r="O1635" s="831" t="s">
        <v>5748</v>
      </c>
      <c r="P1635" s="811" t="s">
        <v>5749</v>
      </c>
      <c r="Q1635" s="15" t="s">
        <v>282</v>
      </c>
      <c r="R1635" s="218">
        <v>43367</v>
      </c>
      <c r="S1635" s="16" t="s">
        <v>44</v>
      </c>
      <c r="T1635" s="133">
        <v>43565</v>
      </c>
      <c r="U1635" s="623"/>
      <c r="V1635" s="624"/>
      <c r="W1635" s="239">
        <v>24000000</v>
      </c>
      <c r="X1635" s="243">
        <v>0</v>
      </c>
      <c r="Y1635" s="7">
        <f t="shared" si="94"/>
        <v>0</v>
      </c>
      <c r="Z1635" s="7">
        <f t="shared" si="95"/>
        <v>0</v>
      </c>
      <c r="AA1635" s="267"/>
      <c r="AB1635" s="513" t="s">
        <v>3232</v>
      </c>
      <c r="AC1635" s="147"/>
      <c r="AD1635" s="187">
        <v>0</v>
      </c>
      <c r="AE1635" s="187">
        <v>0</v>
      </c>
      <c r="AF1635" s="205">
        <f t="shared" si="97"/>
        <v>0</v>
      </c>
      <c r="AG1635" s="181">
        <v>8</v>
      </c>
      <c r="AH1635" s="264" t="s">
        <v>5717</v>
      </c>
      <c r="AI1635" s="138"/>
      <c r="AJ1635" s="138" t="s">
        <v>1188</v>
      </c>
      <c r="AK1635" s="30" t="s">
        <v>99</v>
      </c>
      <c r="AL1635" s="138" t="s">
        <v>1178</v>
      </c>
    </row>
    <row r="1636" spans="1:38" ht="15" customHeight="1" x14ac:dyDescent="0.3">
      <c r="A1636" s="138" t="s">
        <v>22</v>
      </c>
      <c r="B1636" s="308" t="s">
        <v>105</v>
      </c>
      <c r="C1636" s="138">
        <v>35</v>
      </c>
      <c r="D1636" s="11" t="s">
        <v>5936</v>
      </c>
      <c r="E1636" s="302">
        <v>44484</v>
      </c>
      <c r="F1636" s="310">
        <v>2021</v>
      </c>
      <c r="G1636" s="138" t="s">
        <v>5750</v>
      </c>
      <c r="H1636" s="836" t="s">
        <v>5751</v>
      </c>
      <c r="I1636" s="138" t="s">
        <v>38</v>
      </c>
      <c r="J1636" s="32" t="s">
        <v>26</v>
      </c>
      <c r="K1636" s="138" t="s">
        <v>111</v>
      </c>
      <c r="L1636" s="310" t="s">
        <v>28</v>
      </c>
      <c r="M1636" s="138" t="s">
        <v>42</v>
      </c>
      <c r="N1636" s="138" t="s">
        <v>82</v>
      </c>
      <c r="O1636" s="838" t="s">
        <v>5752</v>
      </c>
      <c r="P1636" s="838" t="s">
        <v>5753</v>
      </c>
      <c r="Q1636" s="15" t="s">
        <v>282</v>
      </c>
      <c r="R1636" s="179">
        <v>45043</v>
      </c>
      <c r="S1636" s="16" t="s">
        <v>44</v>
      </c>
      <c r="T1636" s="191">
        <v>45230</v>
      </c>
      <c r="U1636" s="707"/>
      <c r="V1636" s="624"/>
      <c r="W1636" s="242">
        <v>60000000</v>
      </c>
      <c r="X1636" s="253">
        <v>0</v>
      </c>
      <c r="Y1636" s="7">
        <f t="shared" si="94"/>
        <v>0</v>
      </c>
      <c r="Z1636" s="7">
        <f t="shared" si="95"/>
        <v>0</v>
      </c>
      <c r="AA1636" s="308"/>
      <c r="AB1636" s="564" t="s">
        <v>1073</v>
      </c>
      <c r="AC1636" s="693"/>
      <c r="AD1636" s="196"/>
      <c r="AE1636" s="196">
        <v>0</v>
      </c>
      <c r="AF1636" s="205">
        <f t="shared" si="97"/>
        <v>0</v>
      </c>
      <c r="AG1636" s="200">
        <v>8</v>
      </c>
      <c r="AH1636" s="310" t="s">
        <v>5722</v>
      </c>
      <c r="AI1636" s="200"/>
      <c r="AJ1636" s="200" t="s">
        <v>2308</v>
      </c>
      <c r="AK1636" s="30" t="s">
        <v>1177</v>
      </c>
      <c r="AL1636" s="200" t="s">
        <v>1178</v>
      </c>
    </row>
    <row r="1637" spans="1:38" ht="15" customHeight="1" x14ac:dyDescent="0.3">
      <c r="A1637" s="181" t="s">
        <v>22</v>
      </c>
      <c r="B1637" s="181" t="s">
        <v>23</v>
      </c>
      <c r="C1637" s="181">
        <v>9</v>
      </c>
      <c r="D1637" s="11" t="s">
        <v>24</v>
      </c>
      <c r="E1637" s="192">
        <v>43621</v>
      </c>
      <c r="F1637" s="181">
        <v>2019</v>
      </c>
      <c r="G1637" s="181" t="s">
        <v>5755</v>
      </c>
      <c r="H1637" s="217" t="s">
        <v>5756</v>
      </c>
      <c r="I1637" s="33" t="s">
        <v>33</v>
      </c>
      <c r="J1637" s="181" t="s">
        <v>81</v>
      </c>
      <c r="K1637" s="197" t="s">
        <v>71</v>
      </c>
      <c r="L1637" s="783" t="s">
        <v>72</v>
      </c>
      <c r="M1637" s="279" t="s">
        <v>42</v>
      </c>
      <c r="N1637" s="181" t="s">
        <v>73</v>
      </c>
      <c r="O1637" s="694" t="s">
        <v>5641</v>
      </c>
      <c r="P1637" s="905" t="s">
        <v>5757</v>
      </c>
      <c r="Q1637" s="15" t="s">
        <v>282</v>
      </c>
      <c r="R1637" s="164">
        <v>44021</v>
      </c>
      <c r="S1637" s="16" t="s">
        <v>44</v>
      </c>
      <c r="T1637" s="165">
        <v>45427</v>
      </c>
      <c r="U1637" s="624"/>
      <c r="V1637" s="624"/>
      <c r="W1637" s="239">
        <v>36000000</v>
      </c>
      <c r="X1637" s="240">
        <v>0</v>
      </c>
      <c r="Y1637" s="7">
        <f t="shared" si="94"/>
        <v>0</v>
      </c>
      <c r="Z1637" s="7">
        <f t="shared" si="95"/>
        <v>0</v>
      </c>
      <c r="AA1637" s="192"/>
      <c r="AB1637" s="479" t="s">
        <v>49</v>
      </c>
      <c r="AC1637" s="480"/>
      <c r="AD1637" s="258"/>
      <c r="AE1637" s="187">
        <v>0</v>
      </c>
      <c r="AF1637" s="205">
        <f t="shared" si="97"/>
        <v>0</v>
      </c>
      <c r="AG1637" s="279">
        <v>8</v>
      </c>
      <c r="AH1637" s="279" t="s">
        <v>74</v>
      </c>
      <c r="AI1637" s="197"/>
      <c r="AJ1637" s="279" t="s">
        <v>1188</v>
      </c>
      <c r="AK1637" s="660" t="s">
        <v>1177</v>
      </c>
      <c r="AL1637" s="93" t="s">
        <v>1178</v>
      </c>
    </row>
    <row r="1638" spans="1:38" ht="15" customHeight="1" x14ac:dyDescent="0.3">
      <c r="A1638" s="248" t="s">
        <v>22</v>
      </c>
      <c r="B1638" s="153" t="s">
        <v>23</v>
      </c>
      <c r="C1638" s="135">
        <v>2</v>
      </c>
      <c r="D1638" s="11" t="s">
        <v>24</v>
      </c>
      <c r="E1638" s="168">
        <v>44691</v>
      </c>
      <c r="F1638" s="12">
        <v>2022</v>
      </c>
      <c r="G1638" s="178" t="s">
        <v>5758</v>
      </c>
      <c r="H1638" s="204" t="s">
        <v>5759</v>
      </c>
      <c r="I1638" s="30" t="s">
        <v>38</v>
      </c>
      <c r="J1638" s="32" t="s">
        <v>26</v>
      </c>
      <c r="K1638" s="197" t="s">
        <v>5760</v>
      </c>
      <c r="L1638" s="197" t="s">
        <v>40</v>
      </c>
      <c r="M1638" s="137" t="s">
        <v>804</v>
      </c>
      <c r="N1638" s="181" t="s">
        <v>221</v>
      </c>
      <c r="O1638" s="831" t="s">
        <v>5761</v>
      </c>
      <c r="P1638" s="783" t="s">
        <v>30</v>
      </c>
      <c r="Q1638" s="220" t="s">
        <v>92</v>
      </c>
      <c r="R1638" s="164"/>
      <c r="S1638" s="139"/>
      <c r="T1638" s="165"/>
      <c r="U1638" s="624"/>
      <c r="V1638" s="624"/>
      <c r="W1638" s="242">
        <v>85000000</v>
      </c>
      <c r="X1638" s="406">
        <v>-60000000</v>
      </c>
      <c r="Y1638" s="7">
        <f t="shared" si="94"/>
        <v>85000000</v>
      </c>
      <c r="Z1638" s="7">
        <f t="shared" si="95"/>
        <v>25000000</v>
      </c>
      <c r="AA1638" s="192"/>
      <c r="AB1638" s="772" t="s">
        <v>53</v>
      </c>
      <c r="AC1638" s="30"/>
      <c r="AD1638" s="187">
        <v>0</v>
      </c>
      <c r="AE1638" s="196">
        <v>1</v>
      </c>
      <c r="AF1638" s="205">
        <f t="shared" si="97"/>
        <v>1</v>
      </c>
      <c r="AG1638" s="197">
        <v>8</v>
      </c>
      <c r="AH1638" s="197" t="s">
        <v>5733</v>
      </c>
      <c r="AI1638" s="197"/>
      <c r="AJ1638" s="197" t="s">
        <v>1188</v>
      </c>
      <c r="AK1638" s="197" t="s">
        <v>1177</v>
      </c>
      <c r="AL1638" s="310" t="s">
        <v>1178</v>
      </c>
    </row>
    <row r="1639" spans="1:38" ht="15" customHeight="1" x14ac:dyDescent="0.3">
      <c r="A1639" s="248" t="s">
        <v>22</v>
      </c>
      <c r="B1639" s="181" t="s">
        <v>23</v>
      </c>
      <c r="C1639" s="134">
        <v>12</v>
      </c>
      <c r="D1639" s="11" t="s">
        <v>24</v>
      </c>
      <c r="E1639" s="168">
        <v>43666</v>
      </c>
      <c r="F1639" s="12">
        <v>2019</v>
      </c>
      <c r="G1639" s="178" t="s">
        <v>5763</v>
      </c>
      <c r="H1639" s="204" t="s">
        <v>5764</v>
      </c>
      <c r="I1639" s="30" t="s">
        <v>38</v>
      </c>
      <c r="J1639" s="32" t="s">
        <v>26</v>
      </c>
      <c r="K1639" s="197" t="s">
        <v>50</v>
      </c>
      <c r="L1639" s="310" t="s">
        <v>28</v>
      </c>
      <c r="M1639" s="137" t="s">
        <v>804</v>
      </c>
      <c r="N1639" s="181" t="s">
        <v>43</v>
      </c>
      <c r="O1639" s="831" t="s">
        <v>5765</v>
      </c>
      <c r="P1639" s="783" t="s">
        <v>5766</v>
      </c>
      <c r="Q1639" s="220" t="s">
        <v>92</v>
      </c>
      <c r="R1639" s="164"/>
      <c r="S1639" s="139"/>
      <c r="T1639" s="165"/>
      <c r="U1639" s="624"/>
      <c r="V1639" s="624"/>
      <c r="W1639" s="242">
        <v>100000000</v>
      </c>
      <c r="X1639" s="407">
        <v>-10000000</v>
      </c>
      <c r="Y1639" s="7">
        <f t="shared" si="94"/>
        <v>100000000</v>
      </c>
      <c r="Z1639" s="7">
        <f t="shared" si="95"/>
        <v>90000000</v>
      </c>
      <c r="AA1639" s="192"/>
      <c r="AB1639" s="762" t="s">
        <v>3077</v>
      </c>
      <c r="AC1639" s="652"/>
      <c r="AD1639" s="187"/>
      <c r="AE1639" s="187">
        <v>1</v>
      </c>
      <c r="AF1639" s="205">
        <f t="shared" si="97"/>
        <v>1</v>
      </c>
      <c r="AG1639" s="197">
        <v>8</v>
      </c>
      <c r="AH1639" s="197" t="s">
        <v>5738</v>
      </c>
      <c r="AI1639" s="197"/>
      <c r="AJ1639" s="197" t="s">
        <v>1188</v>
      </c>
      <c r="AK1639" s="138" t="s">
        <v>1177</v>
      </c>
      <c r="AL1639" s="310" t="s">
        <v>1178</v>
      </c>
    </row>
    <row r="1640" spans="1:38" ht="15" customHeight="1" x14ac:dyDescent="0.3">
      <c r="A1640" s="181" t="s">
        <v>22</v>
      </c>
      <c r="B1640" s="181" t="s">
        <v>23</v>
      </c>
      <c r="C1640" s="181">
        <v>23</v>
      </c>
      <c r="D1640" s="11" t="s">
        <v>24</v>
      </c>
      <c r="E1640" s="192">
        <v>43201</v>
      </c>
      <c r="F1640" s="181">
        <v>2018</v>
      </c>
      <c r="G1640" s="181" t="s">
        <v>5767</v>
      </c>
      <c r="H1640" s="217" t="s">
        <v>5768</v>
      </c>
      <c r="I1640" s="30" t="s">
        <v>38</v>
      </c>
      <c r="J1640" s="32" t="s">
        <v>26</v>
      </c>
      <c r="K1640" s="197" t="s">
        <v>50</v>
      </c>
      <c r="L1640" s="197" t="s">
        <v>56</v>
      </c>
      <c r="M1640" s="137" t="s">
        <v>804</v>
      </c>
      <c r="N1640" s="181" t="s">
        <v>76</v>
      </c>
      <c r="O1640" s="694" t="s">
        <v>5769</v>
      </c>
      <c r="P1640" s="815" t="s">
        <v>5770</v>
      </c>
      <c r="Q1640" s="220" t="s">
        <v>92</v>
      </c>
      <c r="R1640" s="164"/>
      <c r="S1640" s="139"/>
      <c r="T1640" s="165"/>
      <c r="U1640" s="624"/>
      <c r="V1640" s="624"/>
      <c r="W1640" s="239">
        <v>80000000</v>
      </c>
      <c r="X1640" s="407">
        <v>-43000000</v>
      </c>
      <c r="Y1640" s="7">
        <f t="shared" si="94"/>
        <v>80000000</v>
      </c>
      <c r="Z1640" s="7">
        <f t="shared" si="95"/>
        <v>37000000</v>
      </c>
      <c r="AA1640" s="192"/>
      <c r="AB1640" s="762" t="s">
        <v>3077</v>
      </c>
      <c r="AC1640" s="652"/>
      <c r="AD1640" s="258"/>
      <c r="AE1640" s="187">
        <v>1</v>
      </c>
      <c r="AF1640" s="205">
        <f t="shared" si="97"/>
        <v>1</v>
      </c>
      <c r="AG1640" s="279">
        <v>8</v>
      </c>
      <c r="AH1640" s="279" t="s">
        <v>58</v>
      </c>
      <c r="AI1640" s="279"/>
      <c r="AJ1640" s="279" t="s">
        <v>1188</v>
      </c>
      <c r="AK1640" s="660" t="s">
        <v>1177</v>
      </c>
      <c r="AL1640" s="93" t="s">
        <v>1178</v>
      </c>
    </row>
    <row r="1641" spans="1:38" ht="15" customHeight="1" x14ac:dyDescent="0.3">
      <c r="A1641" s="248" t="s">
        <v>22</v>
      </c>
      <c r="B1641" s="153" t="s">
        <v>23</v>
      </c>
      <c r="C1641" s="135">
        <v>8</v>
      </c>
      <c r="D1641" s="11" t="s">
        <v>24</v>
      </c>
      <c r="E1641" s="168">
        <v>44510</v>
      </c>
      <c r="F1641" s="246">
        <v>2021</v>
      </c>
      <c r="G1641" s="178" t="s">
        <v>5771</v>
      </c>
      <c r="H1641" s="204" t="s">
        <v>5772</v>
      </c>
      <c r="I1641" s="30" t="s">
        <v>38</v>
      </c>
      <c r="J1641" s="32" t="s">
        <v>26</v>
      </c>
      <c r="K1641" s="197" t="s">
        <v>75</v>
      </c>
      <c r="L1641" s="264" t="s">
        <v>28</v>
      </c>
      <c r="M1641" s="137" t="s">
        <v>804</v>
      </c>
      <c r="N1641" s="181" t="s">
        <v>76</v>
      </c>
      <c r="O1641" s="831" t="s">
        <v>5773</v>
      </c>
      <c r="P1641" s="783" t="s">
        <v>5774</v>
      </c>
      <c r="Q1641" s="15" t="s">
        <v>35</v>
      </c>
      <c r="R1641" s="164">
        <v>44795</v>
      </c>
      <c r="S1641" s="16" t="s">
        <v>35</v>
      </c>
      <c r="T1641" s="165">
        <v>44861</v>
      </c>
      <c r="U1641" s="624"/>
      <c r="V1641" s="624"/>
      <c r="W1641" s="242">
        <v>110000000</v>
      </c>
      <c r="X1641" s="407">
        <f>-10584867-15079860</f>
        <v>-25664727</v>
      </c>
      <c r="Y1641" s="7">
        <f t="shared" si="94"/>
        <v>110000000</v>
      </c>
      <c r="Z1641" s="7">
        <f t="shared" si="95"/>
        <v>84335273</v>
      </c>
      <c r="AA1641" s="192"/>
      <c r="AB1641" s="762" t="s">
        <v>3077</v>
      </c>
      <c r="AC1641" s="652"/>
      <c r="AD1641" s="187"/>
      <c r="AE1641" s="187">
        <v>1</v>
      </c>
      <c r="AF1641" s="205">
        <f t="shared" si="97"/>
        <v>1</v>
      </c>
      <c r="AG1641" s="197">
        <v>8</v>
      </c>
      <c r="AH1641" s="197"/>
      <c r="AI1641" s="197"/>
      <c r="AJ1641" s="197" t="s">
        <v>1188</v>
      </c>
      <c r="AK1641" s="197" t="s">
        <v>1177</v>
      </c>
      <c r="AL1641" s="310" t="s">
        <v>1178</v>
      </c>
    </row>
    <row r="1642" spans="1:38" ht="15" customHeight="1" x14ac:dyDescent="0.3">
      <c r="A1642" s="248" t="s">
        <v>22</v>
      </c>
      <c r="B1642" s="297" t="s">
        <v>227</v>
      </c>
      <c r="C1642" s="107">
        <v>17</v>
      </c>
      <c r="D1642" s="11" t="s">
        <v>225</v>
      </c>
      <c r="E1642" s="114">
        <v>43683</v>
      </c>
      <c r="F1642" s="12">
        <v>2019</v>
      </c>
      <c r="G1642" s="142" t="s">
        <v>5775</v>
      </c>
      <c r="H1642" s="906" t="s">
        <v>5776</v>
      </c>
      <c r="I1642" s="30" t="s">
        <v>38</v>
      </c>
      <c r="J1642" s="32" t="s">
        <v>26</v>
      </c>
      <c r="K1642" s="197" t="s">
        <v>55</v>
      </c>
      <c r="L1642" s="305" t="s">
        <v>28</v>
      </c>
      <c r="M1642" s="137" t="s">
        <v>804</v>
      </c>
      <c r="N1642" s="310"/>
      <c r="O1642" s="839" t="s">
        <v>5777</v>
      </c>
      <c r="P1642" s="864" t="s">
        <v>5778</v>
      </c>
      <c r="Q1642" s="15" t="s">
        <v>35</v>
      </c>
      <c r="R1642" s="218"/>
      <c r="S1642" s="649"/>
      <c r="T1642" s="241"/>
      <c r="U1642" s="776"/>
      <c r="V1642" s="776"/>
      <c r="W1642" s="242">
        <v>60000000</v>
      </c>
      <c r="X1642" s="240">
        <v>-40000000</v>
      </c>
      <c r="Y1642" s="7">
        <f t="shared" si="94"/>
        <v>60000000</v>
      </c>
      <c r="Z1642" s="7">
        <f t="shared" si="95"/>
        <v>20000000</v>
      </c>
      <c r="AA1642" s="233"/>
      <c r="AB1642" s="504" t="s">
        <v>6115</v>
      </c>
      <c r="AC1642" s="138"/>
      <c r="AD1642" s="196"/>
      <c r="AE1642" s="187">
        <v>1</v>
      </c>
      <c r="AF1642" s="205">
        <f t="shared" si="97"/>
        <v>1</v>
      </c>
      <c r="AG1642" s="197"/>
      <c r="AH1642" s="197"/>
      <c r="AI1642" s="197"/>
      <c r="AJ1642" s="197" t="s">
        <v>1188</v>
      </c>
      <c r="AK1642" s="197" t="s">
        <v>1177</v>
      </c>
      <c r="AL1642" s="93" t="s">
        <v>1178</v>
      </c>
    </row>
    <row r="1643" spans="1:38" ht="15" customHeight="1" x14ac:dyDescent="0.3">
      <c r="A1643" s="248" t="s">
        <v>22</v>
      </c>
      <c r="B1643" s="181" t="s">
        <v>23</v>
      </c>
      <c r="C1643" s="200">
        <v>12</v>
      </c>
      <c r="D1643" s="11" t="s">
        <v>24</v>
      </c>
      <c r="E1643" s="192">
        <v>43840</v>
      </c>
      <c r="F1643" s="181">
        <v>2019</v>
      </c>
      <c r="G1643" s="181" t="s">
        <v>5779</v>
      </c>
      <c r="H1643" s="217" t="s">
        <v>5780</v>
      </c>
      <c r="I1643" s="33" t="s">
        <v>33</v>
      </c>
      <c r="J1643" s="184" t="s">
        <v>81</v>
      </c>
      <c r="K1643" s="264" t="s">
        <v>27</v>
      </c>
      <c r="L1643" s="765" t="s">
        <v>72</v>
      </c>
      <c r="M1643" s="137" t="s">
        <v>804</v>
      </c>
      <c r="N1643" s="30" t="s">
        <v>29</v>
      </c>
      <c r="O1643" s="565" t="s">
        <v>5781</v>
      </c>
      <c r="P1643" s="800" t="s">
        <v>5782</v>
      </c>
      <c r="Q1643" s="15" t="s">
        <v>35</v>
      </c>
      <c r="R1643" s="132">
        <v>45063</v>
      </c>
      <c r="S1643" s="16" t="s">
        <v>35</v>
      </c>
      <c r="T1643" s="165"/>
      <c r="U1643" s="624"/>
      <c r="V1643" s="624"/>
      <c r="W1643" s="239">
        <v>250000000</v>
      </c>
      <c r="X1643" s="408">
        <f>-171883700-2179000</f>
        <v>-174062700</v>
      </c>
      <c r="Y1643" s="7">
        <f t="shared" si="94"/>
        <v>250000000</v>
      </c>
      <c r="Z1643" s="7">
        <f t="shared" si="95"/>
        <v>75937300</v>
      </c>
      <c r="AA1643" s="192"/>
      <c r="AB1643" s="801" t="s">
        <v>53</v>
      </c>
      <c r="AC1643" s="192"/>
      <c r="AD1643" s="258"/>
      <c r="AE1643" s="187">
        <v>1</v>
      </c>
      <c r="AF1643" s="205">
        <f t="shared" si="97"/>
        <v>1</v>
      </c>
      <c r="AG1643" s="181">
        <v>8</v>
      </c>
      <c r="AH1643" s="181" t="s">
        <v>5754</v>
      </c>
      <c r="AI1643" s="200"/>
      <c r="AJ1643" s="181" t="s">
        <v>1188</v>
      </c>
      <c r="AK1643" s="30" t="s">
        <v>1177</v>
      </c>
      <c r="AL1643" s="93" t="s">
        <v>1178</v>
      </c>
    </row>
    <row r="1644" spans="1:38" ht="15" customHeight="1" x14ac:dyDescent="0.3">
      <c r="A1644" s="248" t="s">
        <v>22</v>
      </c>
      <c r="B1644" s="181" t="s">
        <v>39</v>
      </c>
      <c r="C1644" s="134">
        <v>2</v>
      </c>
      <c r="D1644" s="11" t="s">
        <v>24</v>
      </c>
      <c r="E1644" s="168">
        <v>44642</v>
      </c>
      <c r="F1644" s="12">
        <v>2022</v>
      </c>
      <c r="G1644" s="178" t="s">
        <v>5783</v>
      </c>
      <c r="H1644" s="204" t="s">
        <v>5784</v>
      </c>
      <c r="I1644" s="107" t="s">
        <v>38</v>
      </c>
      <c r="J1644" s="32" t="s">
        <v>26</v>
      </c>
      <c r="K1644" s="197" t="s">
        <v>50</v>
      </c>
      <c r="L1644" s="310" t="s">
        <v>28</v>
      </c>
      <c r="M1644" s="264" t="s">
        <v>42</v>
      </c>
      <c r="N1644" s="181" t="s">
        <v>43</v>
      </c>
      <c r="O1644" s="831" t="s">
        <v>5785</v>
      </c>
      <c r="P1644" s="783" t="s">
        <v>30</v>
      </c>
      <c r="Q1644" s="15" t="s">
        <v>282</v>
      </c>
      <c r="R1644" s="164">
        <v>45226</v>
      </c>
      <c r="S1644" s="16" t="s">
        <v>44</v>
      </c>
      <c r="T1644" s="165">
        <v>45350</v>
      </c>
      <c r="U1644" s="624"/>
      <c r="V1644" s="624"/>
      <c r="W1644" s="242">
        <v>60000000</v>
      </c>
      <c r="X1644" s="299">
        <v>0</v>
      </c>
      <c r="Y1644" s="7">
        <f t="shared" si="94"/>
        <v>0</v>
      </c>
      <c r="Z1644" s="7">
        <f t="shared" si="95"/>
        <v>0</v>
      </c>
      <c r="AA1644" s="192"/>
      <c r="AB1644" s="772" t="s">
        <v>53</v>
      </c>
      <c r="AC1644" s="30"/>
      <c r="AD1644" s="187"/>
      <c r="AE1644" s="187">
        <v>0</v>
      </c>
      <c r="AF1644" s="205">
        <f t="shared" si="97"/>
        <v>0</v>
      </c>
      <c r="AG1644" s="197">
        <v>8</v>
      </c>
      <c r="AH1644" s="197" t="s">
        <v>5523</v>
      </c>
      <c r="AI1644" s="197"/>
      <c r="AJ1644" s="197" t="s">
        <v>1188</v>
      </c>
      <c r="AK1644" s="138" t="s">
        <v>1177</v>
      </c>
      <c r="AL1644" s="310" t="s">
        <v>1178</v>
      </c>
    </row>
    <row r="1645" spans="1:38" ht="15" customHeight="1" x14ac:dyDescent="0.3">
      <c r="A1645" s="138" t="s">
        <v>22</v>
      </c>
      <c r="B1645" s="310" t="s">
        <v>105</v>
      </c>
      <c r="C1645" s="138">
        <v>24</v>
      </c>
      <c r="D1645" s="11" t="s">
        <v>5936</v>
      </c>
      <c r="E1645" s="302">
        <v>44270</v>
      </c>
      <c r="F1645" s="310">
        <v>2021</v>
      </c>
      <c r="G1645" s="138" t="s">
        <v>5786</v>
      </c>
      <c r="H1645" s="836" t="s">
        <v>5787</v>
      </c>
      <c r="I1645" s="30" t="s">
        <v>38</v>
      </c>
      <c r="J1645" s="32" t="s">
        <v>26</v>
      </c>
      <c r="K1645" s="197" t="s">
        <v>113</v>
      </c>
      <c r="L1645" s="264" t="s">
        <v>28</v>
      </c>
      <c r="M1645" s="137" t="s">
        <v>804</v>
      </c>
      <c r="N1645" s="310" t="s">
        <v>43</v>
      </c>
      <c r="O1645" s="907" t="s">
        <v>5788</v>
      </c>
      <c r="P1645" s="376" t="s">
        <v>5789</v>
      </c>
      <c r="Q1645" s="91"/>
      <c r="R1645" s="91"/>
      <c r="S1645" s="92"/>
      <c r="T1645" s="92"/>
      <c r="U1645" s="623"/>
      <c r="V1645" s="624"/>
      <c r="W1645" s="242">
        <v>25000000</v>
      </c>
      <c r="X1645" s="409">
        <v>-25000000</v>
      </c>
      <c r="Y1645" s="7">
        <f t="shared" si="94"/>
        <v>25000000</v>
      </c>
      <c r="Z1645" s="7">
        <f t="shared" si="95"/>
        <v>0</v>
      </c>
      <c r="AA1645" s="310"/>
      <c r="AB1645" s="564" t="s">
        <v>1073</v>
      </c>
      <c r="AC1645" s="693"/>
      <c r="AD1645" s="196"/>
      <c r="AE1645" s="187">
        <v>1</v>
      </c>
      <c r="AF1645" s="205">
        <f t="shared" si="97"/>
        <v>1</v>
      </c>
      <c r="AG1645" s="138">
        <v>8</v>
      </c>
      <c r="AH1645" s="264" t="s">
        <v>5762</v>
      </c>
      <c r="AI1645" s="138"/>
      <c r="AJ1645" s="138" t="s">
        <v>2308</v>
      </c>
      <c r="AK1645" s="30" t="s">
        <v>1177</v>
      </c>
      <c r="AL1645" s="138" t="s">
        <v>1178</v>
      </c>
    </row>
    <row r="1646" spans="1:38" ht="15" customHeight="1" x14ac:dyDescent="0.3">
      <c r="A1646" s="248" t="s">
        <v>22</v>
      </c>
      <c r="B1646" s="153" t="s">
        <v>116</v>
      </c>
      <c r="C1646" s="135">
        <v>1</v>
      </c>
      <c r="D1646" s="11" t="s">
        <v>5936</v>
      </c>
      <c r="E1646" s="168">
        <v>44178</v>
      </c>
      <c r="F1646" s="246">
        <v>2019</v>
      </c>
      <c r="G1646" s="247" t="s">
        <v>5790</v>
      </c>
      <c r="H1646" s="217" t="s">
        <v>5790</v>
      </c>
      <c r="I1646" s="245" t="s">
        <v>38</v>
      </c>
      <c r="J1646" s="32" t="s">
        <v>26</v>
      </c>
      <c r="K1646" s="197" t="s">
        <v>57</v>
      </c>
      <c r="L1646" s="264" t="s">
        <v>28</v>
      </c>
      <c r="M1646" s="264" t="s">
        <v>42</v>
      </c>
      <c r="N1646" s="310" t="s">
        <v>43</v>
      </c>
      <c r="O1646" s="831" t="s">
        <v>114</v>
      </c>
      <c r="P1646" s="827" t="s">
        <v>5791</v>
      </c>
      <c r="Q1646" s="15" t="s">
        <v>282</v>
      </c>
      <c r="R1646" s="218">
        <v>44384</v>
      </c>
      <c r="S1646" s="16" t="s">
        <v>44</v>
      </c>
      <c r="T1646" s="133">
        <v>44735</v>
      </c>
      <c r="U1646" s="623" t="s">
        <v>44</v>
      </c>
      <c r="V1646" s="180">
        <v>45392</v>
      </c>
      <c r="W1646" s="242">
        <v>65000000</v>
      </c>
      <c r="X1646" s="243">
        <v>0</v>
      </c>
      <c r="Y1646" s="7">
        <f t="shared" si="94"/>
        <v>0</v>
      </c>
      <c r="Z1646" s="7">
        <f t="shared" si="95"/>
        <v>0</v>
      </c>
      <c r="AA1646" s="229"/>
      <c r="AB1646" s="503" t="s">
        <v>3960</v>
      </c>
      <c r="AC1646" s="222"/>
      <c r="AD1646" s="196"/>
      <c r="AE1646" s="187">
        <v>0</v>
      </c>
      <c r="AF1646" s="205">
        <f t="shared" si="97"/>
        <v>0</v>
      </c>
      <c r="AG1646" s="138">
        <v>8</v>
      </c>
      <c r="AH1646" s="264" t="s">
        <v>59</v>
      </c>
      <c r="AI1646" s="138"/>
      <c r="AJ1646" s="138" t="s">
        <v>1188</v>
      </c>
      <c r="AK1646" s="181" t="s">
        <v>1177</v>
      </c>
      <c r="AL1646" s="138" t="s">
        <v>1178</v>
      </c>
    </row>
    <row r="1647" spans="1:38" ht="15" customHeight="1" x14ac:dyDescent="0.3">
      <c r="A1647" s="181" t="s">
        <v>22</v>
      </c>
      <c r="B1647" s="265" t="s">
        <v>422</v>
      </c>
      <c r="C1647" s="245">
        <v>3</v>
      </c>
      <c r="D1647" s="246" t="s">
        <v>190</v>
      </c>
      <c r="E1647" s="247">
        <v>42864</v>
      </c>
      <c r="F1647" s="246">
        <v>2017</v>
      </c>
      <c r="G1647" s="792" t="s">
        <v>5792</v>
      </c>
      <c r="H1647" s="792" t="s">
        <v>5793</v>
      </c>
      <c r="I1647" s="30" t="s">
        <v>38</v>
      </c>
      <c r="J1647" s="32" t="s">
        <v>26</v>
      </c>
      <c r="K1647" s="264" t="s">
        <v>5794</v>
      </c>
      <c r="L1647" s="310" t="s">
        <v>5795</v>
      </c>
      <c r="M1647" s="137" t="s">
        <v>804</v>
      </c>
      <c r="N1647" s="138" t="s">
        <v>242</v>
      </c>
      <c r="O1647" s="871" t="s">
        <v>5796</v>
      </c>
      <c r="P1647" s="908" t="s">
        <v>5797</v>
      </c>
      <c r="Q1647" s="15" t="s">
        <v>35</v>
      </c>
      <c r="R1647" s="218">
        <v>43228</v>
      </c>
      <c r="S1647" s="16" t="s">
        <v>44</v>
      </c>
      <c r="T1647" s="262">
        <v>43760</v>
      </c>
      <c r="U1647" s="802" t="s">
        <v>44</v>
      </c>
      <c r="V1647" s="802" t="s">
        <v>5798</v>
      </c>
      <c r="W1647" s="269">
        <v>50000000</v>
      </c>
      <c r="X1647" s="240">
        <v>50000000</v>
      </c>
      <c r="Y1647" s="7">
        <f t="shared" si="94"/>
        <v>0</v>
      </c>
      <c r="Z1647" s="7">
        <f t="shared" si="95"/>
        <v>50000000</v>
      </c>
      <c r="AA1647" s="192">
        <v>44402</v>
      </c>
      <c r="AB1647" s="609" t="s">
        <v>201</v>
      </c>
      <c r="AC1647" s="181"/>
      <c r="AD1647" s="258">
        <v>1</v>
      </c>
      <c r="AE1647" s="187">
        <v>0</v>
      </c>
      <c r="AF1647" s="205">
        <f t="shared" si="97"/>
        <v>1</v>
      </c>
      <c r="AG1647" s="181">
        <v>8</v>
      </c>
      <c r="AH1647" s="310" t="s">
        <v>192</v>
      </c>
      <c r="AI1647" s="718" t="s">
        <v>5799</v>
      </c>
      <c r="AJ1647" s="138" t="s">
        <v>1188</v>
      </c>
      <c r="AK1647" s="30" t="s">
        <v>99</v>
      </c>
      <c r="AL1647" s="200" t="s">
        <v>1178</v>
      </c>
    </row>
    <row r="1648" spans="1:38" ht="15" customHeight="1" x14ac:dyDescent="0.3">
      <c r="A1648" s="181" t="s">
        <v>22</v>
      </c>
      <c r="B1648" s="181" t="s">
        <v>23</v>
      </c>
      <c r="C1648" s="181">
        <v>9</v>
      </c>
      <c r="D1648" s="11" t="s">
        <v>24</v>
      </c>
      <c r="E1648" s="192">
        <v>43314</v>
      </c>
      <c r="F1648" s="181">
        <v>2018</v>
      </c>
      <c r="G1648" s="181" t="s">
        <v>5800</v>
      </c>
      <c r="H1648" s="217" t="s">
        <v>5801</v>
      </c>
      <c r="I1648" s="12" t="s">
        <v>38</v>
      </c>
      <c r="J1648" s="32" t="s">
        <v>26</v>
      </c>
      <c r="K1648" s="197" t="s">
        <v>100</v>
      </c>
      <c r="L1648" s="197" t="s">
        <v>56</v>
      </c>
      <c r="M1648" s="279" t="s">
        <v>42</v>
      </c>
      <c r="N1648" s="181" t="s">
        <v>82</v>
      </c>
      <c r="O1648" s="695" t="s">
        <v>5802</v>
      </c>
      <c r="P1648" s="815" t="s">
        <v>5803</v>
      </c>
      <c r="Q1648" s="152"/>
      <c r="R1648" s="164"/>
      <c r="S1648" s="139"/>
      <c r="T1648" s="165"/>
      <c r="U1648" s="624"/>
      <c r="V1648" s="624"/>
      <c r="W1648" s="239">
        <v>50000000</v>
      </c>
      <c r="X1648" s="240">
        <v>0</v>
      </c>
      <c r="Y1648" s="7">
        <f t="shared" si="94"/>
        <v>0</v>
      </c>
      <c r="Z1648" s="7">
        <f t="shared" si="95"/>
        <v>0</v>
      </c>
      <c r="AA1648" s="192"/>
      <c r="AB1648" s="762" t="s">
        <v>3077</v>
      </c>
      <c r="AC1648" s="652"/>
      <c r="AD1648" s="258">
        <v>0</v>
      </c>
      <c r="AE1648" s="187">
        <v>0</v>
      </c>
      <c r="AF1648" s="205">
        <f t="shared" si="97"/>
        <v>0</v>
      </c>
      <c r="AG1648" s="279">
        <v>8</v>
      </c>
      <c r="AH1648" s="200" t="s">
        <v>45</v>
      </c>
      <c r="AI1648" s="279"/>
      <c r="AJ1648" s="279" t="s">
        <v>1188</v>
      </c>
      <c r="AK1648" s="660" t="s">
        <v>1177</v>
      </c>
      <c r="AL1648" s="93" t="s">
        <v>1178</v>
      </c>
    </row>
    <row r="1649" spans="1:38" ht="15" customHeight="1" x14ac:dyDescent="0.3">
      <c r="A1649" s="248" t="s">
        <v>22</v>
      </c>
      <c r="B1649" s="153" t="s">
        <v>23</v>
      </c>
      <c r="C1649" s="134">
        <v>7</v>
      </c>
      <c r="D1649" s="11" t="s">
        <v>24</v>
      </c>
      <c r="E1649" s="168">
        <v>44046</v>
      </c>
      <c r="F1649" s="12">
        <v>2020</v>
      </c>
      <c r="G1649" s="178" t="s">
        <v>5804</v>
      </c>
      <c r="H1649" s="204" t="s">
        <v>5805</v>
      </c>
      <c r="I1649" s="107" t="s">
        <v>38</v>
      </c>
      <c r="J1649" s="32" t="s">
        <v>26</v>
      </c>
      <c r="K1649" s="137" t="s">
        <v>60</v>
      </c>
      <c r="L1649" s="310" t="s">
        <v>28</v>
      </c>
      <c r="M1649" s="264" t="s">
        <v>42</v>
      </c>
      <c r="N1649" s="310" t="s">
        <v>43</v>
      </c>
      <c r="O1649" s="694" t="s">
        <v>61</v>
      </c>
      <c r="P1649" s="783" t="s">
        <v>5806</v>
      </c>
      <c r="Q1649" s="15" t="s">
        <v>282</v>
      </c>
      <c r="R1649" s="164">
        <v>44670</v>
      </c>
      <c r="S1649" s="16" t="s">
        <v>44</v>
      </c>
      <c r="T1649" s="165">
        <v>44774</v>
      </c>
      <c r="U1649" s="624"/>
      <c r="V1649" s="624"/>
      <c r="W1649" s="242">
        <v>165000000</v>
      </c>
      <c r="X1649" s="299">
        <v>0</v>
      </c>
      <c r="Y1649" s="7">
        <f t="shared" si="94"/>
        <v>0</v>
      </c>
      <c r="Z1649" s="7">
        <f t="shared" si="95"/>
        <v>0</v>
      </c>
      <c r="AA1649" s="192"/>
      <c r="AB1649" s="762" t="s">
        <v>3077</v>
      </c>
      <c r="AC1649" s="652"/>
      <c r="AD1649" s="187">
        <v>0</v>
      </c>
      <c r="AE1649" s="187">
        <v>0</v>
      </c>
      <c r="AF1649" s="205">
        <f t="shared" si="97"/>
        <v>0</v>
      </c>
      <c r="AG1649" s="197">
        <v>8</v>
      </c>
      <c r="AH1649" s="197" t="s">
        <v>58</v>
      </c>
      <c r="AI1649" s="197"/>
      <c r="AJ1649" s="197" t="s">
        <v>1188</v>
      </c>
      <c r="AK1649" s="138" t="s">
        <v>1177</v>
      </c>
      <c r="AL1649" s="93" t="s">
        <v>1178</v>
      </c>
    </row>
    <row r="1650" spans="1:38" ht="15" customHeight="1" x14ac:dyDescent="0.3">
      <c r="A1650" s="248" t="s">
        <v>22</v>
      </c>
      <c r="B1650" s="248" t="s">
        <v>23</v>
      </c>
      <c r="C1650" s="245">
        <v>10</v>
      </c>
      <c r="D1650" s="11" t="s">
        <v>24</v>
      </c>
      <c r="E1650" s="168">
        <v>45029</v>
      </c>
      <c r="F1650" s="12">
        <v>2023</v>
      </c>
      <c r="G1650" s="178" t="s">
        <v>5808</v>
      </c>
      <c r="H1650" s="204" t="s">
        <v>5809</v>
      </c>
      <c r="I1650" s="30" t="s">
        <v>38</v>
      </c>
      <c r="J1650" s="32" t="s">
        <v>26</v>
      </c>
      <c r="K1650" s="264" t="s">
        <v>93</v>
      </c>
      <c r="L1650" s="138" t="s">
        <v>101</v>
      </c>
      <c r="M1650" s="137" t="s">
        <v>804</v>
      </c>
      <c r="N1650" s="372" t="s">
        <v>43</v>
      </c>
      <c r="O1650" s="839" t="s">
        <v>5810</v>
      </c>
      <c r="P1650" s="783" t="s">
        <v>5811</v>
      </c>
      <c r="Q1650" s="220" t="s">
        <v>92</v>
      </c>
      <c r="R1650" s="132"/>
      <c r="S1650" s="92"/>
      <c r="T1650" s="133"/>
      <c r="U1650" s="623"/>
      <c r="V1650" s="624"/>
      <c r="W1650" s="242">
        <v>12000000</v>
      </c>
      <c r="X1650" s="408">
        <v>-11500000</v>
      </c>
      <c r="Y1650" s="404">
        <f t="shared" si="94"/>
        <v>12000000</v>
      </c>
      <c r="Z1650" s="7">
        <f t="shared" si="95"/>
        <v>500000</v>
      </c>
      <c r="AA1650" s="410">
        <v>45412</v>
      </c>
      <c r="AB1650" s="889" t="s">
        <v>31</v>
      </c>
      <c r="AC1650" s="310"/>
      <c r="AD1650" s="187"/>
      <c r="AE1650" s="187">
        <v>1</v>
      </c>
      <c r="AF1650" s="205">
        <f t="shared" si="97"/>
        <v>1</v>
      </c>
      <c r="AG1650" s="138">
        <v>8</v>
      </c>
      <c r="AH1650" s="138"/>
      <c r="AI1650" s="138"/>
      <c r="AJ1650" s="138" t="s">
        <v>2308</v>
      </c>
      <c r="AK1650" s="138" t="s">
        <v>5670</v>
      </c>
      <c r="AL1650" s="310" t="s">
        <v>1178</v>
      </c>
    </row>
    <row r="1651" spans="1:38" ht="15" customHeight="1" x14ac:dyDescent="0.3">
      <c r="A1651" s="248" t="s">
        <v>22</v>
      </c>
      <c r="B1651" s="248" t="s">
        <v>23</v>
      </c>
      <c r="C1651" s="245">
        <v>8</v>
      </c>
      <c r="D1651" s="11" t="s">
        <v>24</v>
      </c>
      <c r="E1651" s="168">
        <v>45209</v>
      </c>
      <c r="F1651" s="12">
        <v>2023</v>
      </c>
      <c r="G1651" s="178" t="s">
        <v>5812</v>
      </c>
      <c r="H1651" s="204" t="s">
        <v>5813</v>
      </c>
      <c r="I1651" s="30" t="s">
        <v>38</v>
      </c>
      <c r="J1651" s="32" t="s">
        <v>26</v>
      </c>
      <c r="K1651" s="264" t="s">
        <v>93</v>
      </c>
      <c r="L1651" s="264" t="s">
        <v>28</v>
      </c>
      <c r="M1651" s="137" t="s">
        <v>804</v>
      </c>
      <c r="N1651" s="372" t="s">
        <v>43</v>
      </c>
      <c r="O1651" s="839" t="s">
        <v>5814</v>
      </c>
      <c r="P1651" s="783" t="s">
        <v>5815</v>
      </c>
      <c r="Q1651" s="220" t="s">
        <v>92</v>
      </c>
      <c r="R1651" s="132"/>
      <c r="S1651" s="92"/>
      <c r="T1651" s="133"/>
      <c r="U1651" s="623"/>
      <c r="V1651" s="624"/>
      <c r="W1651" s="242">
        <v>35000000</v>
      </c>
      <c r="X1651" s="411">
        <v>-26000000</v>
      </c>
      <c r="Y1651" s="412">
        <f t="shared" si="94"/>
        <v>35000000</v>
      </c>
      <c r="Z1651" s="7">
        <f t="shared" si="95"/>
        <v>9000000</v>
      </c>
      <c r="AA1651" s="410"/>
      <c r="AB1651" s="889" t="s">
        <v>31</v>
      </c>
      <c r="AC1651" s="310"/>
      <c r="AD1651" s="187"/>
      <c r="AE1651" s="187">
        <v>1</v>
      </c>
      <c r="AF1651" s="205">
        <f t="shared" si="97"/>
        <v>1</v>
      </c>
      <c r="AG1651" s="138">
        <v>8</v>
      </c>
      <c r="AH1651" s="138" t="s">
        <v>58</v>
      </c>
      <c r="AI1651" s="138"/>
      <c r="AJ1651" s="138"/>
      <c r="AK1651" s="138"/>
      <c r="AL1651" s="310"/>
    </row>
    <row r="1652" spans="1:38" ht="15" customHeight="1" x14ac:dyDescent="0.3">
      <c r="A1652" s="248" t="s">
        <v>140</v>
      </c>
      <c r="B1652" s="266" t="s">
        <v>189</v>
      </c>
      <c r="C1652" s="248"/>
      <c r="D1652" s="248" t="s">
        <v>190</v>
      </c>
      <c r="E1652" s="360"/>
      <c r="F1652" s="310">
        <v>2022</v>
      </c>
      <c r="G1652" s="307" t="s">
        <v>5816</v>
      </c>
      <c r="H1652" s="836"/>
      <c r="I1652" s="310" t="s">
        <v>38</v>
      </c>
      <c r="J1652" s="307" t="s">
        <v>81</v>
      </c>
      <c r="K1652" s="674" t="s">
        <v>163</v>
      </c>
      <c r="L1652" s="264" t="s">
        <v>28</v>
      </c>
      <c r="M1652" s="863" t="s">
        <v>42</v>
      </c>
      <c r="N1652" s="307" t="s">
        <v>122</v>
      </c>
      <c r="O1652" s="837" t="s">
        <v>5817</v>
      </c>
      <c r="P1652" s="895" t="s">
        <v>5818</v>
      </c>
      <c r="Q1652" s="220"/>
      <c r="R1652" s="220"/>
      <c r="S1652" s="400"/>
      <c r="T1652" s="400"/>
      <c r="U1652" s="802"/>
      <c r="V1652" s="802"/>
      <c r="W1652" s="269">
        <v>10000000</v>
      </c>
      <c r="X1652" s="240">
        <v>0</v>
      </c>
      <c r="Y1652" s="7">
        <f t="shared" si="94"/>
        <v>0</v>
      </c>
      <c r="Z1652" s="7">
        <f t="shared" si="95"/>
        <v>0</v>
      </c>
      <c r="AA1652" s="301"/>
      <c r="AB1652" s="503" t="s">
        <v>3960</v>
      </c>
      <c r="AC1652" s="222"/>
      <c r="AD1652" s="258"/>
      <c r="AE1652" s="196">
        <v>0</v>
      </c>
      <c r="AF1652" s="205">
        <f t="shared" si="97"/>
        <v>0</v>
      </c>
      <c r="AG1652" s="307">
        <v>10</v>
      </c>
      <c r="AH1652" s="890"/>
      <c r="AI1652" s="310"/>
      <c r="AJ1652" s="307" t="s">
        <v>1188</v>
      </c>
      <c r="AK1652" s="301" t="s">
        <v>1177</v>
      </c>
      <c r="AL1652" s="308" t="s">
        <v>1178</v>
      </c>
    </row>
    <row r="1653" spans="1:38" ht="15" customHeight="1" x14ac:dyDescent="0.3">
      <c r="A1653" s="138" t="s">
        <v>22</v>
      </c>
      <c r="B1653" s="413" t="s">
        <v>105</v>
      </c>
      <c r="C1653" s="372">
        <v>24</v>
      </c>
      <c r="D1653" s="11" t="s">
        <v>5936</v>
      </c>
      <c r="E1653" s="374">
        <v>44302</v>
      </c>
      <c r="F1653" s="373">
        <v>2021</v>
      </c>
      <c r="G1653" s="373" t="s">
        <v>5819</v>
      </c>
      <c r="H1653" s="373" t="s">
        <v>5820</v>
      </c>
      <c r="I1653" s="30" t="s">
        <v>38</v>
      </c>
      <c r="J1653" s="32" t="s">
        <v>26</v>
      </c>
      <c r="K1653" s="376" t="s">
        <v>70</v>
      </c>
      <c r="L1653" s="372" t="s">
        <v>85</v>
      </c>
      <c r="M1653" s="137" t="s">
        <v>804</v>
      </c>
      <c r="N1653" s="372" t="s">
        <v>43</v>
      </c>
      <c r="O1653" s="894" t="s">
        <v>5821</v>
      </c>
      <c r="P1653" s="372" t="s">
        <v>5822</v>
      </c>
      <c r="Q1653" s="220" t="s">
        <v>92</v>
      </c>
      <c r="R1653" s="152"/>
      <c r="S1653" s="139"/>
      <c r="T1653" s="139"/>
      <c r="U1653" s="624"/>
      <c r="V1653" s="624"/>
      <c r="W1653" s="242">
        <v>120000000</v>
      </c>
      <c r="X1653" s="414">
        <v>-30000000</v>
      </c>
      <c r="Y1653" s="7">
        <f t="shared" si="94"/>
        <v>120000000</v>
      </c>
      <c r="Z1653" s="7">
        <f t="shared" si="95"/>
        <v>90000000</v>
      </c>
      <c r="AA1653" s="909">
        <v>45894</v>
      </c>
      <c r="AB1653" s="564" t="s">
        <v>1073</v>
      </c>
      <c r="AC1653" s="693"/>
      <c r="AD1653" s="196"/>
      <c r="AE1653" s="187">
        <v>1</v>
      </c>
      <c r="AF1653" s="205">
        <f t="shared" si="97"/>
        <v>1</v>
      </c>
      <c r="AG1653" s="376">
        <v>8</v>
      </c>
      <c r="AH1653" s="264" t="s">
        <v>59</v>
      </c>
      <c r="AI1653" s="197"/>
      <c r="AJ1653" s="197" t="s">
        <v>2308</v>
      </c>
      <c r="AK1653" s="30" t="s">
        <v>1177</v>
      </c>
      <c r="AL1653" s="138" t="s">
        <v>1178</v>
      </c>
    </row>
    <row r="1654" spans="1:38" ht="15" customHeight="1" x14ac:dyDescent="0.3">
      <c r="A1654" s="248" t="s">
        <v>22</v>
      </c>
      <c r="B1654" s="200" t="s">
        <v>105</v>
      </c>
      <c r="C1654" s="138">
        <v>2</v>
      </c>
      <c r="D1654" s="11" t="s">
        <v>5936</v>
      </c>
      <c r="E1654" s="302">
        <v>43818</v>
      </c>
      <c r="F1654" s="138">
        <v>2019</v>
      </c>
      <c r="G1654" s="138" t="s">
        <v>5824</v>
      </c>
      <c r="H1654" s="138" t="s">
        <v>5825</v>
      </c>
      <c r="I1654" s="30" t="s">
        <v>38</v>
      </c>
      <c r="J1654" s="32" t="s">
        <v>26</v>
      </c>
      <c r="K1654" s="197" t="s">
        <v>134</v>
      </c>
      <c r="L1654" s="138" t="s">
        <v>28</v>
      </c>
      <c r="M1654" s="137" t="s">
        <v>804</v>
      </c>
      <c r="N1654" s="138" t="s">
        <v>82</v>
      </c>
      <c r="O1654" s="138" t="s">
        <v>5826</v>
      </c>
      <c r="P1654" s="138" t="s">
        <v>5827</v>
      </c>
      <c r="Q1654" s="220" t="s">
        <v>92</v>
      </c>
      <c r="R1654" s="179"/>
      <c r="S1654" s="144"/>
      <c r="T1654" s="191"/>
      <c r="U1654" s="707"/>
      <c r="V1654" s="624"/>
      <c r="W1654" s="242">
        <v>65000000</v>
      </c>
      <c r="X1654" s="415">
        <v>-50000000</v>
      </c>
      <c r="Y1654" s="7">
        <f t="shared" si="94"/>
        <v>65000000</v>
      </c>
      <c r="Z1654" s="412">
        <f t="shared" si="95"/>
        <v>15000000</v>
      </c>
      <c r="AA1654" s="212"/>
      <c r="AB1654" s="564" t="s">
        <v>1073</v>
      </c>
      <c r="AC1654" s="693"/>
      <c r="AD1654" s="187"/>
      <c r="AE1654" s="187">
        <v>1</v>
      </c>
      <c r="AF1654" s="205">
        <f t="shared" si="97"/>
        <v>1</v>
      </c>
      <c r="AG1654" s="200">
        <v>8</v>
      </c>
      <c r="AH1654" s="200" t="s">
        <v>45</v>
      </c>
      <c r="AI1654" s="200"/>
      <c r="AJ1654" s="200" t="s">
        <v>1188</v>
      </c>
      <c r="AK1654" s="30" t="s">
        <v>1177</v>
      </c>
      <c r="AL1654" s="200" t="s">
        <v>1178</v>
      </c>
    </row>
    <row r="1655" spans="1:38" ht="15" customHeight="1" x14ac:dyDescent="0.3">
      <c r="A1655" s="181" t="s">
        <v>22</v>
      </c>
      <c r="B1655" s="153" t="s">
        <v>422</v>
      </c>
      <c r="C1655" s="135">
        <v>2</v>
      </c>
      <c r="D1655" s="136" t="s">
        <v>190</v>
      </c>
      <c r="E1655" s="168">
        <v>43735</v>
      </c>
      <c r="F1655" s="136">
        <v>2019</v>
      </c>
      <c r="G1655" s="168" t="s">
        <v>5829</v>
      </c>
      <c r="H1655" s="168" t="s">
        <v>5830</v>
      </c>
      <c r="I1655" s="30" t="s">
        <v>38</v>
      </c>
      <c r="J1655" s="32" t="s">
        <v>26</v>
      </c>
      <c r="K1655" s="197" t="s">
        <v>57</v>
      </c>
      <c r="L1655" s="197" t="s">
        <v>28</v>
      </c>
      <c r="M1655" s="137" t="s">
        <v>804</v>
      </c>
      <c r="N1655" s="138" t="s">
        <v>43</v>
      </c>
      <c r="O1655" s="831" t="s">
        <v>5116</v>
      </c>
      <c r="P1655" s="826" t="s">
        <v>5831</v>
      </c>
      <c r="Q1655" s="15" t="s">
        <v>35</v>
      </c>
      <c r="R1655" s="362">
        <v>44858</v>
      </c>
      <c r="S1655" s="16" t="s">
        <v>35</v>
      </c>
      <c r="T1655" s="191">
        <v>45233</v>
      </c>
      <c r="U1655" s="910"/>
      <c r="V1655" s="911"/>
      <c r="W1655" s="269">
        <v>50000000</v>
      </c>
      <c r="X1655" s="416">
        <f>-33251041-3160000</f>
        <v>-36411041</v>
      </c>
      <c r="Y1655" s="7">
        <f>IF(AE1655="","",W1655*AE1655)</f>
        <v>50000000</v>
      </c>
      <c r="Z1655" s="7">
        <f>IF(Y1655="",X1655,Y1655+X1655)</f>
        <v>13588959</v>
      </c>
      <c r="AA1655" s="806"/>
      <c r="AB1655" s="768" t="s">
        <v>201</v>
      </c>
      <c r="AC1655" s="565"/>
      <c r="AD1655" s="912"/>
      <c r="AE1655" s="196">
        <v>1</v>
      </c>
      <c r="AF1655" s="205">
        <f>AE1655+AD1655</f>
        <v>1</v>
      </c>
      <c r="AG1655" s="200">
        <v>8</v>
      </c>
      <c r="AH1655" s="197" t="s">
        <v>192</v>
      </c>
      <c r="AI1655" s="913"/>
      <c r="AJ1655" s="184" t="s">
        <v>1188</v>
      </c>
      <c r="AK1655" s="181" t="s">
        <v>1177</v>
      </c>
      <c r="AL1655" s="184" t="s">
        <v>1178</v>
      </c>
    </row>
    <row r="1656" spans="1:38" ht="15" customHeight="1" x14ac:dyDescent="0.3">
      <c r="A1656" s="181" t="s">
        <v>22</v>
      </c>
      <c r="B1656" s="297" t="s">
        <v>212</v>
      </c>
      <c r="C1656" s="245" t="s">
        <v>240</v>
      </c>
      <c r="D1656" s="246" t="s">
        <v>190</v>
      </c>
      <c r="E1656" s="247">
        <v>43165</v>
      </c>
      <c r="F1656" s="246">
        <v>2017</v>
      </c>
      <c r="G1656" s="792" t="s">
        <v>5832</v>
      </c>
      <c r="H1656" s="792" t="s">
        <v>4308</v>
      </c>
      <c r="I1656" s="33" t="s">
        <v>33</v>
      </c>
      <c r="J1656" s="32" t="s">
        <v>26</v>
      </c>
      <c r="K1656" s="264" t="s">
        <v>27</v>
      </c>
      <c r="L1656" s="264" t="s">
        <v>109</v>
      </c>
      <c r="M1656" s="137" t="s">
        <v>804</v>
      </c>
      <c r="N1656" s="30" t="s">
        <v>29</v>
      </c>
      <c r="O1656" s="871" t="s">
        <v>5833</v>
      </c>
      <c r="P1656" s="872" t="s">
        <v>5834</v>
      </c>
      <c r="Q1656" s="15" t="s">
        <v>35</v>
      </c>
      <c r="R1656" s="362">
        <v>43343</v>
      </c>
      <c r="S1656" s="16" t="s">
        <v>35</v>
      </c>
      <c r="T1656" s="363"/>
      <c r="U1656" s="867"/>
      <c r="V1656" s="867"/>
      <c r="W1656" s="260">
        <v>140000000</v>
      </c>
      <c r="X1656" s="417">
        <f>150000000-(9628163+120973766)</f>
        <v>19398071</v>
      </c>
      <c r="Y1656" s="7">
        <f>IF(AE1656="","",W1656*AE1656)</f>
        <v>0</v>
      </c>
      <c r="Z1656" s="7">
        <f>IF(Y1656="",X1656,Y1656+X1656)</f>
        <v>19398071</v>
      </c>
      <c r="AA1656" s="192">
        <v>44402</v>
      </c>
      <c r="AB1656" s="564" t="s">
        <v>2595</v>
      </c>
      <c r="AC1656" s="693"/>
      <c r="AD1656" s="258">
        <v>1</v>
      </c>
      <c r="AE1656" s="187">
        <v>0</v>
      </c>
      <c r="AF1656" s="205">
        <f>AE1656+AD1656</f>
        <v>1</v>
      </c>
      <c r="AG1656" s="184">
        <v>8</v>
      </c>
      <c r="AH1656" s="308" t="s">
        <v>5807</v>
      </c>
      <c r="AI1656" s="200"/>
      <c r="AJ1656" s="200" t="s">
        <v>1188</v>
      </c>
      <c r="AK1656" s="200" t="s">
        <v>1185</v>
      </c>
      <c r="AL1656" s="200" t="s">
        <v>1178</v>
      </c>
    </row>
    <row r="1657" spans="1:38" ht="15" customHeight="1" thickBot="1" x14ac:dyDescent="0.35">
      <c r="A1657" s="181" t="s">
        <v>22</v>
      </c>
      <c r="B1657" s="255" t="s">
        <v>105</v>
      </c>
      <c r="C1657" s="379">
        <v>7</v>
      </c>
      <c r="D1657" s="11" t="s">
        <v>5936</v>
      </c>
      <c r="E1657" s="381">
        <v>42943</v>
      </c>
      <c r="F1657" s="380">
        <v>2017</v>
      </c>
      <c r="G1657" s="888" t="s">
        <v>5836</v>
      </c>
      <c r="H1657" s="178" t="s">
        <v>5837</v>
      </c>
      <c r="I1657" s="382" t="s">
        <v>38</v>
      </c>
      <c r="J1657" s="32" t="s">
        <v>26</v>
      </c>
      <c r="K1657" s="738" t="s">
        <v>4714</v>
      </c>
      <c r="L1657" s="138" t="s">
        <v>28</v>
      </c>
      <c r="M1657" s="138" t="s">
        <v>42</v>
      </c>
      <c r="N1657" s="197" t="s">
        <v>82</v>
      </c>
      <c r="O1657" s="904" t="s">
        <v>5838</v>
      </c>
      <c r="P1657" s="892" t="s">
        <v>5839</v>
      </c>
      <c r="Q1657" s="15" t="s">
        <v>35</v>
      </c>
      <c r="R1657" s="218">
        <v>43293</v>
      </c>
      <c r="S1657" s="16" t="s">
        <v>35</v>
      </c>
      <c r="T1657" s="133">
        <v>44957</v>
      </c>
      <c r="U1657" s="623"/>
      <c r="V1657" s="623"/>
      <c r="W1657" s="249">
        <v>46000000</v>
      </c>
      <c r="X1657" s="418">
        <v>0</v>
      </c>
      <c r="Y1657" s="7">
        <f>IF(AE1657="","",W1657*AE1657)</f>
        <v>0</v>
      </c>
      <c r="Z1657" s="7">
        <f>IF(Y1657="",X1657,Y1657+X1657)</f>
        <v>0</v>
      </c>
      <c r="AA1657" s="192">
        <v>44392</v>
      </c>
      <c r="AB1657" s="564" t="s">
        <v>1073</v>
      </c>
      <c r="AC1657" s="693"/>
      <c r="AD1657" s="187">
        <v>0</v>
      </c>
      <c r="AE1657" s="186">
        <v>0</v>
      </c>
      <c r="AF1657" s="384">
        <f>AE1657+AD1657</f>
        <v>0</v>
      </c>
      <c r="AG1657" s="181">
        <v>8</v>
      </c>
      <c r="AH1657" s="200" t="s">
        <v>45</v>
      </c>
      <c r="AI1657" s="719" t="s">
        <v>5840</v>
      </c>
      <c r="AJ1657" s="200" t="s">
        <v>1188</v>
      </c>
      <c r="AK1657" s="181" t="s">
        <v>1185</v>
      </c>
      <c r="AL1657" s="200" t="s">
        <v>1178</v>
      </c>
    </row>
    <row r="1658" spans="1:38" ht="15" customHeight="1" x14ac:dyDescent="0.3">
      <c r="A1658" s="181" t="s">
        <v>22</v>
      </c>
      <c r="B1658" s="120" t="s">
        <v>105</v>
      </c>
      <c r="C1658" s="107">
        <v>19</v>
      </c>
      <c r="D1658" s="11" t="s">
        <v>5936</v>
      </c>
      <c r="E1658" s="114">
        <v>43244</v>
      </c>
      <c r="F1658" s="12">
        <v>2018</v>
      </c>
      <c r="G1658" s="142" t="s">
        <v>5841</v>
      </c>
      <c r="H1658" s="162" t="s">
        <v>5842</v>
      </c>
      <c r="I1658" s="107" t="s">
        <v>38</v>
      </c>
      <c r="J1658" s="32" t="s">
        <v>26</v>
      </c>
      <c r="K1658" s="264" t="s">
        <v>4624</v>
      </c>
      <c r="L1658" s="310" t="s">
        <v>28</v>
      </c>
      <c r="M1658" s="310" t="s">
        <v>42</v>
      </c>
      <c r="N1658" s="310" t="s">
        <v>43</v>
      </c>
      <c r="O1658" s="914" t="s">
        <v>5843</v>
      </c>
      <c r="P1658" s="138" t="s">
        <v>5844</v>
      </c>
      <c r="Q1658" s="15" t="s">
        <v>282</v>
      </c>
      <c r="R1658" s="231">
        <v>44986</v>
      </c>
      <c r="S1658" s="16" t="s">
        <v>44</v>
      </c>
      <c r="T1658" s="165">
        <v>45412</v>
      </c>
      <c r="U1658" s="624"/>
      <c r="V1658" s="624"/>
      <c r="W1658" s="242">
        <v>26000000</v>
      </c>
      <c r="X1658" s="243">
        <v>0</v>
      </c>
      <c r="Y1658" s="7">
        <f t="shared" ref="Y1658:Y1666" si="98">IF(AE1658="","",W1658*AE1658)</f>
        <v>0</v>
      </c>
      <c r="Z1658" s="7">
        <f t="shared" ref="Z1658:Z1666" si="99">IF(Y1658="",X1658,Y1658+X1658)</f>
        <v>0</v>
      </c>
      <c r="AA1658" s="229"/>
      <c r="AB1658" s="513" t="s">
        <v>3232</v>
      </c>
      <c r="AC1658" s="147"/>
      <c r="AD1658" s="196"/>
      <c r="AE1658" s="187">
        <v>0</v>
      </c>
      <c r="AF1658" s="205">
        <f t="shared" ref="AF1658:AF1672" si="100">AE1658+AD1658</f>
        <v>0</v>
      </c>
      <c r="AG1658" s="197">
        <v>8</v>
      </c>
      <c r="AH1658" s="93" t="s">
        <v>1608</v>
      </c>
      <c r="AI1658" s="197"/>
      <c r="AJ1658" s="10"/>
      <c r="AK1658" s="481"/>
      <c r="AL1658" s="481"/>
    </row>
    <row r="1659" spans="1:38" ht="15" customHeight="1" x14ac:dyDescent="0.3">
      <c r="A1659" s="181" t="s">
        <v>22</v>
      </c>
      <c r="B1659" s="120" t="s">
        <v>105</v>
      </c>
      <c r="C1659" s="177">
        <v>9</v>
      </c>
      <c r="D1659" s="11" t="s">
        <v>5936</v>
      </c>
      <c r="E1659" s="419">
        <v>43084</v>
      </c>
      <c r="F1659" s="420">
        <v>2017</v>
      </c>
      <c r="G1659" s="915" t="s">
        <v>5845</v>
      </c>
      <c r="H1659" s="162" t="s">
        <v>5846</v>
      </c>
      <c r="I1659" s="421" t="s">
        <v>38</v>
      </c>
      <c r="J1659" s="32" t="s">
        <v>26</v>
      </c>
      <c r="K1659" s="264" t="s">
        <v>139</v>
      </c>
      <c r="L1659" s="264" t="s">
        <v>28</v>
      </c>
      <c r="M1659" s="264" t="s">
        <v>42</v>
      </c>
      <c r="N1659" s="264" t="s">
        <v>82</v>
      </c>
      <c r="O1659" s="138" t="s">
        <v>5847</v>
      </c>
      <c r="P1659" s="765" t="s">
        <v>5848</v>
      </c>
      <c r="Q1659" s="15" t="s">
        <v>35</v>
      </c>
      <c r="R1659" s="218">
        <v>43992</v>
      </c>
      <c r="S1659" s="16" t="s">
        <v>35</v>
      </c>
      <c r="T1659" s="133">
        <v>44742</v>
      </c>
      <c r="U1659" s="623"/>
      <c r="V1659" s="623"/>
      <c r="W1659" s="269">
        <v>17000000</v>
      </c>
      <c r="X1659" s="240">
        <v>0</v>
      </c>
      <c r="Y1659" s="7">
        <f t="shared" si="98"/>
        <v>0</v>
      </c>
      <c r="Z1659" s="7">
        <f t="shared" si="99"/>
        <v>0</v>
      </c>
      <c r="AA1659" s="192"/>
      <c r="AB1659" s="564" t="s">
        <v>1073</v>
      </c>
      <c r="AC1659" s="693"/>
      <c r="AD1659" s="196">
        <v>0</v>
      </c>
      <c r="AE1659" s="186">
        <v>0</v>
      </c>
      <c r="AF1659" s="384">
        <f t="shared" si="100"/>
        <v>0</v>
      </c>
      <c r="AG1659" s="138">
        <v>8</v>
      </c>
      <c r="AH1659" s="200" t="s">
        <v>45</v>
      </c>
      <c r="AI1659" s="200"/>
      <c r="AJ1659" s="10"/>
      <c r="AK1659" s="481"/>
      <c r="AL1659" s="481"/>
    </row>
    <row r="1660" spans="1:38" ht="15" customHeight="1" x14ac:dyDescent="0.3">
      <c r="A1660" s="181" t="s">
        <v>160</v>
      </c>
      <c r="B1660" s="297" t="s">
        <v>224</v>
      </c>
      <c r="C1660" s="245">
        <v>18</v>
      </c>
      <c r="D1660" s="11" t="s">
        <v>225</v>
      </c>
      <c r="E1660" s="247">
        <v>43216</v>
      </c>
      <c r="F1660" s="246">
        <v>2018</v>
      </c>
      <c r="G1660" s="792" t="s">
        <v>5849</v>
      </c>
      <c r="H1660" s="792" t="s">
        <v>5850</v>
      </c>
      <c r="I1660" s="33" t="s">
        <v>33</v>
      </c>
      <c r="J1660" s="32" t="s">
        <v>26</v>
      </c>
      <c r="K1660" s="264" t="s">
        <v>118</v>
      </c>
      <c r="L1660" s="264" t="s">
        <v>85</v>
      </c>
      <c r="M1660" s="137" t="s">
        <v>804</v>
      </c>
      <c r="N1660" s="138" t="s">
        <v>119</v>
      </c>
      <c r="O1660" s="832" t="s">
        <v>5851</v>
      </c>
      <c r="P1660" s="822" t="s">
        <v>5852</v>
      </c>
      <c r="Q1660" s="15" t="s">
        <v>282</v>
      </c>
      <c r="R1660" s="218">
        <v>43760</v>
      </c>
      <c r="S1660" s="16" t="s">
        <v>35</v>
      </c>
      <c r="T1660" s="232">
        <v>44503</v>
      </c>
      <c r="U1660" s="776"/>
      <c r="V1660" s="776"/>
      <c r="W1660" s="242">
        <v>50000000</v>
      </c>
      <c r="X1660" s="422">
        <f>50000000+30000000-(2432243)</f>
        <v>77567757</v>
      </c>
      <c r="Y1660" s="7">
        <f t="shared" si="98"/>
        <v>0</v>
      </c>
      <c r="Z1660" s="423">
        <f t="shared" si="99"/>
        <v>77567757</v>
      </c>
      <c r="AA1660" s="229">
        <v>44520</v>
      </c>
      <c r="AB1660" s="500" t="s">
        <v>5953</v>
      </c>
      <c r="AC1660" s="501"/>
      <c r="AD1660" s="196">
        <v>1</v>
      </c>
      <c r="AE1660" s="187">
        <v>0</v>
      </c>
      <c r="AF1660" s="205">
        <f t="shared" si="100"/>
        <v>1</v>
      </c>
      <c r="AG1660" s="197">
        <v>8</v>
      </c>
      <c r="AH1660" s="197" t="s">
        <v>5823</v>
      </c>
      <c r="AI1660" s="197"/>
      <c r="AJ1660" s="10"/>
      <c r="AK1660" s="481"/>
      <c r="AL1660" s="481"/>
    </row>
    <row r="1661" spans="1:38" ht="15" customHeight="1" x14ac:dyDescent="0.3">
      <c r="A1661" s="181" t="s">
        <v>22</v>
      </c>
      <c r="B1661" s="154" t="s">
        <v>105</v>
      </c>
      <c r="C1661" s="135">
        <v>9</v>
      </c>
      <c r="D1661" s="11" t="s">
        <v>5936</v>
      </c>
      <c r="E1661" s="168">
        <v>42270</v>
      </c>
      <c r="F1661" s="136">
        <v>2015</v>
      </c>
      <c r="G1661" s="178" t="s">
        <v>5853</v>
      </c>
      <c r="H1661" s="178" t="s">
        <v>5854</v>
      </c>
      <c r="I1661" s="136" t="s">
        <v>38</v>
      </c>
      <c r="J1661" s="32" t="s">
        <v>26</v>
      </c>
      <c r="K1661" s="197" t="s">
        <v>57</v>
      </c>
      <c r="L1661" s="197" t="s">
        <v>28</v>
      </c>
      <c r="M1661" s="197" t="s">
        <v>42</v>
      </c>
      <c r="N1661" s="138" t="s">
        <v>43</v>
      </c>
      <c r="O1661" s="831" t="s">
        <v>5855</v>
      </c>
      <c r="P1661" s="783" t="s">
        <v>5856</v>
      </c>
      <c r="Q1661" s="15" t="s">
        <v>282</v>
      </c>
      <c r="R1661" s="218">
        <v>43329</v>
      </c>
      <c r="S1661" s="16" t="s">
        <v>44</v>
      </c>
      <c r="T1661" s="133">
        <v>44834</v>
      </c>
      <c r="U1661" s="623"/>
      <c r="V1661" s="624"/>
      <c r="W1661" s="242">
        <v>16000000</v>
      </c>
      <c r="X1661" s="243">
        <v>0</v>
      </c>
      <c r="Y1661" s="7">
        <f t="shared" si="98"/>
        <v>0</v>
      </c>
      <c r="Z1661" s="7">
        <f t="shared" si="99"/>
        <v>0</v>
      </c>
      <c r="AA1661" s="233"/>
      <c r="AB1661" s="513" t="s">
        <v>3232</v>
      </c>
      <c r="AC1661" s="147"/>
      <c r="AD1661" s="196">
        <v>0</v>
      </c>
      <c r="AE1661" s="187">
        <v>0</v>
      </c>
      <c r="AF1661" s="205">
        <f t="shared" si="100"/>
        <v>0</v>
      </c>
      <c r="AG1661" s="138">
        <v>8</v>
      </c>
      <c r="AH1661" s="197" t="s">
        <v>5828</v>
      </c>
      <c r="AI1661" s="138"/>
      <c r="AJ1661" s="10"/>
      <c r="AK1661" s="481"/>
      <c r="AL1661" s="481"/>
    </row>
    <row r="1662" spans="1:38" ht="15" customHeight="1" x14ac:dyDescent="0.3">
      <c r="A1662" s="181" t="s">
        <v>22</v>
      </c>
      <c r="B1662" s="145" t="s">
        <v>227</v>
      </c>
      <c r="C1662" s="135">
        <v>7</v>
      </c>
      <c r="D1662" s="11" t="s">
        <v>225</v>
      </c>
      <c r="E1662" s="168">
        <v>42173</v>
      </c>
      <c r="F1662" s="136">
        <v>2015</v>
      </c>
      <c r="G1662" s="178" t="s">
        <v>4161</v>
      </c>
      <c r="H1662" s="178" t="s">
        <v>5857</v>
      </c>
      <c r="I1662" s="136" t="s">
        <v>38</v>
      </c>
      <c r="J1662" s="32" t="s">
        <v>26</v>
      </c>
      <c r="K1662" s="197" t="s">
        <v>50</v>
      </c>
      <c r="L1662" s="693" t="s">
        <v>28</v>
      </c>
      <c r="M1662" s="197" t="s">
        <v>42</v>
      </c>
      <c r="N1662" s="138" t="s">
        <v>82</v>
      </c>
      <c r="O1662" s="694" t="s">
        <v>5858</v>
      </c>
      <c r="P1662" s="138" t="s">
        <v>5859</v>
      </c>
      <c r="Q1662" s="15" t="s">
        <v>282</v>
      </c>
      <c r="R1662" s="218">
        <v>42271</v>
      </c>
      <c r="S1662" s="16" t="s">
        <v>44</v>
      </c>
      <c r="T1662" s="232">
        <v>45470</v>
      </c>
      <c r="U1662" s="776"/>
      <c r="V1662" s="776"/>
      <c r="W1662" s="242">
        <v>44800000</v>
      </c>
      <c r="X1662" s="243">
        <v>0</v>
      </c>
      <c r="Y1662" s="7">
        <f t="shared" si="98"/>
        <v>0</v>
      </c>
      <c r="Z1662" s="7">
        <f t="shared" si="99"/>
        <v>0</v>
      </c>
      <c r="AA1662" s="233"/>
      <c r="AB1662" s="504" t="s">
        <v>6115</v>
      </c>
      <c r="AC1662" s="138"/>
      <c r="AD1662" s="196">
        <v>0</v>
      </c>
      <c r="AE1662" s="187">
        <v>0</v>
      </c>
      <c r="AF1662" s="205">
        <f t="shared" si="100"/>
        <v>0</v>
      </c>
      <c r="AG1662" s="197">
        <v>8</v>
      </c>
      <c r="AH1662" s="197" t="s">
        <v>4742</v>
      </c>
      <c r="AI1662" s="197"/>
      <c r="AJ1662" s="10"/>
      <c r="AK1662" s="481"/>
      <c r="AL1662" s="481"/>
    </row>
    <row r="1663" spans="1:38" ht="15" customHeight="1" x14ac:dyDescent="0.3">
      <c r="A1663" s="181" t="s">
        <v>22</v>
      </c>
      <c r="B1663" s="181" t="s">
        <v>23</v>
      </c>
      <c r="C1663" s="200">
        <v>13</v>
      </c>
      <c r="D1663" s="11" t="s">
        <v>24</v>
      </c>
      <c r="E1663" s="192">
        <v>43579</v>
      </c>
      <c r="F1663" s="181">
        <v>2019</v>
      </c>
      <c r="G1663" s="181" t="s">
        <v>5860</v>
      </c>
      <c r="H1663" s="217" t="s">
        <v>5861</v>
      </c>
      <c r="I1663" s="33" t="s">
        <v>33</v>
      </c>
      <c r="J1663" s="32" t="s">
        <v>26</v>
      </c>
      <c r="K1663" s="264" t="s">
        <v>27</v>
      </c>
      <c r="L1663" s="765" t="s">
        <v>72</v>
      </c>
      <c r="M1663" s="137" t="s">
        <v>804</v>
      </c>
      <c r="N1663" s="30" t="s">
        <v>29</v>
      </c>
      <c r="O1663" s="565" t="s">
        <v>5862</v>
      </c>
      <c r="P1663" s="800" t="s">
        <v>5863</v>
      </c>
      <c r="Q1663" s="15" t="s">
        <v>35</v>
      </c>
      <c r="R1663" s="132">
        <v>43994</v>
      </c>
      <c r="S1663" s="16" t="s">
        <v>35</v>
      </c>
      <c r="T1663" s="165">
        <v>45221</v>
      </c>
      <c r="U1663" s="624"/>
      <c r="V1663" s="624"/>
      <c r="W1663" s="239">
        <v>150000000</v>
      </c>
      <c r="X1663" s="406">
        <f>150000000-2800000+85000000-231391600</f>
        <v>808400</v>
      </c>
      <c r="Y1663" s="7">
        <f t="shared" si="98"/>
        <v>0</v>
      </c>
      <c r="Z1663" s="404">
        <f t="shared" si="99"/>
        <v>808400</v>
      </c>
      <c r="AA1663" s="192">
        <v>44540</v>
      </c>
      <c r="AB1663" s="801" t="s">
        <v>36</v>
      </c>
      <c r="AC1663" s="192"/>
      <c r="AD1663" s="258">
        <v>1</v>
      </c>
      <c r="AE1663" s="187">
        <v>0</v>
      </c>
      <c r="AF1663" s="205">
        <f t="shared" si="100"/>
        <v>1</v>
      </c>
      <c r="AG1663" s="181">
        <v>8</v>
      </c>
      <c r="AH1663" s="181" t="s">
        <v>5835</v>
      </c>
      <c r="AI1663" s="200"/>
      <c r="AJ1663" s="10"/>
      <c r="AK1663" s="481"/>
      <c r="AL1663" s="481"/>
    </row>
    <row r="1664" spans="1:38" ht="15" customHeight="1" x14ac:dyDescent="0.3">
      <c r="A1664" s="181" t="s">
        <v>22</v>
      </c>
      <c r="B1664" s="181" t="s">
        <v>23</v>
      </c>
      <c r="C1664" s="181">
        <v>3</v>
      </c>
      <c r="D1664" s="11" t="s">
        <v>24</v>
      </c>
      <c r="E1664" s="192">
        <v>42900</v>
      </c>
      <c r="F1664" s="181">
        <v>2017</v>
      </c>
      <c r="G1664" s="181" t="s">
        <v>5865</v>
      </c>
      <c r="H1664" s="217" t="s">
        <v>5866</v>
      </c>
      <c r="I1664" s="12" t="s">
        <v>38</v>
      </c>
      <c r="J1664" s="32" t="s">
        <v>26</v>
      </c>
      <c r="K1664" s="197" t="s">
        <v>50</v>
      </c>
      <c r="L1664" s="197" t="s">
        <v>56</v>
      </c>
      <c r="M1664" s="279" t="s">
        <v>42</v>
      </c>
      <c r="N1664" s="181" t="s">
        <v>82</v>
      </c>
      <c r="O1664" s="695" t="s">
        <v>4694</v>
      </c>
      <c r="P1664" s="815" t="s">
        <v>5867</v>
      </c>
      <c r="Q1664" s="15" t="s">
        <v>282</v>
      </c>
      <c r="R1664" s="164">
        <v>43528</v>
      </c>
      <c r="S1664" s="16" t="s">
        <v>44</v>
      </c>
      <c r="T1664" s="165"/>
      <c r="U1664" s="624"/>
      <c r="V1664" s="624"/>
      <c r="W1664" s="239">
        <v>91000000</v>
      </c>
      <c r="X1664" s="240">
        <v>0</v>
      </c>
      <c r="Y1664" s="7">
        <f t="shared" si="98"/>
        <v>0</v>
      </c>
      <c r="Z1664" s="7">
        <f t="shared" si="99"/>
        <v>0</v>
      </c>
      <c r="AA1664" s="192"/>
      <c r="AB1664" s="801" t="s">
        <v>36</v>
      </c>
      <c r="AC1664" s="192"/>
      <c r="AD1664" s="258">
        <v>0</v>
      </c>
      <c r="AE1664" s="187">
        <v>0</v>
      </c>
      <c r="AF1664" s="205">
        <f t="shared" si="100"/>
        <v>0</v>
      </c>
      <c r="AG1664" s="279">
        <v>8</v>
      </c>
      <c r="AH1664" s="279" t="s">
        <v>74</v>
      </c>
      <c r="AI1664" s="279"/>
      <c r="AJ1664" s="10"/>
      <c r="AK1664" s="481"/>
      <c r="AL1664" s="481"/>
    </row>
    <row r="1665" spans="1:38" ht="15" customHeight="1" x14ac:dyDescent="0.3">
      <c r="A1665" s="181" t="s">
        <v>22</v>
      </c>
      <c r="B1665" s="181" t="s">
        <v>23</v>
      </c>
      <c r="C1665" s="181">
        <v>14</v>
      </c>
      <c r="D1665" s="11" t="s">
        <v>24</v>
      </c>
      <c r="E1665" s="192">
        <v>42942</v>
      </c>
      <c r="F1665" s="181">
        <v>2017</v>
      </c>
      <c r="G1665" s="181" t="s">
        <v>5868</v>
      </c>
      <c r="H1665" s="217" t="s">
        <v>5869</v>
      </c>
      <c r="I1665" s="30" t="s">
        <v>38</v>
      </c>
      <c r="J1665" s="32" t="s">
        <v>26</v>
      </c>
      <c r="K1665" s="197" t="s">
        <v>102</v>
      </c>
      <c r="L1665" s="197" t="s">
        <v>5352</v>
      </c>
      <c r="M1665" s="137" t="s">
        <v>804</v>
      </c>
      <c r="N1665" s="181" t="s">
        <v>82</v>
      </c>
      <c r="O1665" s="695" t="s">
        <v>5870</v>
      </c>
      <c r="P1665" s="815" t="s">
        <v>5871</v>
      </c>
      <c r="Q1665" s="15" t="s">
        <v>35</v>
      </c>
      <c r="R1665" s="164">
        <v>43360</v>
      </c>
      <c r="S1665" s="16" t="s">
        <v>35</v>
      </c>
      <c r="T1665" s="165">
        <v>44078</v>
      </c>
      <c r="U1665" s="624"/>
      <c r="V1665" s="624"/>
      <c r="W1665" s="239">
        <v>300000000</v>
      </c>
      <c r="X1665" s="406">
        <f>(70000000+230000000)-279946119+40000000-(60053881)</f>
        <v>0</v>
      </c>
      <c r="Y1665" s="7">
        <f t="shared" si="98"/>
        <v>0</v>
      </c>
      <c r="Z1665" s="394">
        <f t="shared" si="99"/>
        <v>0</v>
      </c>
      <c r="AA1665" s="192">
        <v>44515</v>
      </c>
      <c r="AB1665" s="479" t="s">
        <v>49</v>
      </c>
      <c r="AC1665" s="480"/>
      <c r="AD1665" s="258">
        <v>1</v>
      </c>
      <c r="AE1665" s="187">
        <v>0</v>
      </c>
      <c r="AF1665" s="205">
        <f t="shared" si="100"/>
        <v>1</v>
      </c>
      <c r="AG1665" s="279">
        <v>8</v>
      </c>
      <c r="AH1665" s="200" t="s">
        <v>45</v>
      </c>
      <c r="AI1665" s="279" t="s">
        <v>5872</v>
      </c>
      <c r="AJ1665" s="10"/>
      <c r="AK1665" s="481"/>
      <c r="AL1665" s="481"/>
    </row>
    <row r="1666" spans="1:38" ht="15" customHeight="1" x14ac:dyDescent="0.3">
      <c r="A1666" s="181" t="s">
        <v>22</v>
      </c>
      <c r="B1666" s="181" t="s">
        <v>39</v>
      </c>
      <c r="C1666" s="184">
        <v>1</v>
      </c>
      <c r="D1666" s="11" t="s">
        <v>24</v>
      </c>
      <c r="E1666" s="192">
        <v>43449</v>
      </c>
      <c r="F1666" s="184">
        <v>2018</v>
      </c>
      <c r="G1666" s="181" t="s">
        <v>5873</v>
      </c>
      <c r="H1666" s="217" t="s">
        <v>5874</v>
      </c>
      <c r="I1666" s="33" t="s">
        <v>33</v>
      </c>
      <c r="J1666" s="32" t="s">
        <v>26</v>
      </c>
      <c r="K1666" s="264" t="s">
        <v>27</v>
      </c>
      <c r="L1666" s="197" t="s">
        <v>34</v>
      </c>
      <c r="M1666" s="137" t="s">
        <v>804</v>
      </c>
      <c r="N1666" s="30" t="s">
        <v>29</v>
      </c>
      <c r="O1666" s="565" t="s">
        <v>5875</v>
      </c>
      <c r="P1666" s="800" t="s">
        <v>5876</v>
      </c>
      <c r="Q1666" s="15" t="s">
        <v>35</v>
      </c>
      <c r="R1666" s="132"/>
      <c r="S1666" s="16" t="s">
        <v>35</v>
      </c>
      <c r="T1666" s="165"/>
      <c r="U1666" s="624"/>
      <c r="V1666" s="624"/>
      <c r="W1666" s="239">
        <v>150000000</v>
      </c>
      <c r="X1666" s="240">
        <f>150000000-(3521712+100897807)</f>
        <v>45580481</v>
      </c>
      <c r="Y1666" s="7">
        <f t="shared" si="98"/>
        <v>0</v>
      </c>
      <c r="Z1666" s="7">
        <f t="shared" si="99"/>
        <v>45580481</v>
      </c>
      <c r="AA1666" s="192">
        <v>44392</v>
      </c>
      <c r="AB1666" s="762" t="s">
        <v>3077</v>
      </c>
      <c r="AC1666" s="652"/>
      <c r="AD1666" s="258">
        <v>1</v>
      </c>
      <c r="AE1666" s="187">
        <v>0</v>
      </c>
      <c r="AF1666" s="205">
        <f t="shared" si="100"/>
        <v>1</v>
      </c>
      <c r="AG1666" s="181">
        <v>8</v>
      </c>
      <c r="AH1666" s="181" t="s">
        <v>5032</v>
      </c>
      <c r="AI1666" s="184"/>
      <c r="AJ1666" s="10"/>
      <c r="AK1666" s="481"/>
      <c r="AL1666" s="481"/>
    </row>
    <row r="1667" spans="1:38" ht="15" customHeight="1" x14ac:dyDescent="0.3">
      <c r="A1667" s="248" t="s">
        <v>22</v>
      </c>
      <c r="B1667" s="153" t="s">
        <v>23</v>
      </c>
      <c r="C1667" s="135">
        <v>9</v>
      </c>
      <c r="D1667" s="11" t="s">
        <v>24</v>
      </c>
      <c r="E1667" s="168">
        <v>43986</v>
      </c>
      <c r="F1667" s="12">
        <v>2020</v>
      </c>
      <c r="G1667" s="178" t="s">
        <v>5877</v>
      </c>
      <c r="H1667" s="204" t="s">
        <v>5878</v>
      </c>
      <c r="I1667" s="30" t="s">
        <v>38</v>
      </c>
      <c r="J1667" s="32" t="s">
        <v>26</v>
      </c>
      <c r="K1667" s="197" t="s">
        <v>100</v>
      </c>
      <c r="L1667" s="310" t="s">
        <v>28</v>
      </c>
      <c r="M1667" s="137" t="s">
        <v>804</v>
      </c>
      <c r="N1667" s="310" t="s">
        <v>43</v>
      </c>
      <c r="O1667" s="831" t="s">
        <v>5879</v>
      </c>
      <c r="P1667" s="783" t="s">
        <v>5880</v>
      </c>
      <c r="Q1667" s="15" t="s">
        <v>35</v>
      </c>
      <c r="R1667" s="164">
        <v>44841</v>
      </c>
      <c r="S1667" s="16" t="s">
        <v>35</v>
      </c>
      <c r="T1667" s="165">
        <v>45197</v>
      </c>
      <c r="U1667" s="624"/>
      <c r="V1667" s="624"/>
      <c r="W1667" s="242">
        <v>200000000</v>
      </c>
      <c r="X1667" s="299">
        <v>-156742511</v>
      </c>
      <c r="Y1667" s="7">
        <f>IF(AE1667="","",W1667*AE1667)</f>
        <v>200000000</v>
      </c>
      <c r="Z1667" s="7">
        <f>IF(Y1667="",X1667,Y1667+X1667)</f>
        <v>43257489</v>
      </c>
      <c r="AA1667" s="192"/>
      <c r="AB1667" s="762" t="s">
        <v>3077</v>
      </c>
      <c r="AC1667" s="652"/>
      <c r="AD1667" s="187"/>
      <c r="AE1667" s="187">
        <v>1</v>
      </c>
      <c r="AF1667" s="205">
        <f t="shared" si="100"/>
        <v>1</v>
      </c>
      <c r="AG1667" s="197">
        <v>8</v>
      </c>
      <c r="AH1667" s="200" t="s">
        <v>45</v>
      </c>
      <c r="AI1667" s="197"/>
      <c r="AJ1667" s="10"/>
      <c r="AK1667" s="481"/>
      <c r="AL1667" s="481"/>
    </row>
    <row r="1668" spans="1:38" ht="15" customHeight="1" x14ac:dyDescent="0.3">
      <c r="A1668" s="248" t="s">
        <v>22</v>
      </c>
      <c r="B1668" s="109" t="s">
        <v>144</v>
      </c>
      <c r="C1668" s="109">
        <v>6</v>
      </c>
      <c r="D1668" s="11" t="s">
        <v>143</v>
      </c>
      <c r="E1668" s="114"/>
      <c r="F1668" s="142">
        <v>2017</v>
      </c>
      <c r="G1668" s="142" t="s">
        <v>5881</v>
      </c>
      <c r="H1668" s="162" t="s">
        <v>5882</v>
      </c>
      <c r="I1668" s="30" t="s">
        <v>38</v>
      </c>
      <c r="J1668" s="32" t="s">
        <v>26</v>
      </c>
      <c r="K1668" s="197" t="s">
        <v>111</v>
      </c>
      <c r="L1668" s="93" t="s">
        <v>171</v>
      </c>
      <c r="M1668" s="137" t="s">
        <v>804</v>
      </c>
      <c r="N1668" s="138" t="s">
        <v>82</v>
      </c>
      <c r="O1668" s="693" t="s">
        <v>5883</v>
      </c>
      <c r="P1668" s="138" t="s">
        <v>5884</v>
      </c>
      <c r="Q1668" s="15" t="s">
        <v>282</v>
      </c>
      <c r="R1668" s="164">
        <v>43563</v>
      </c>
      <c r="S1668" s="16" t="s">
        <v>35</v>
      </c>
      <c r="T1668" s="165"/>
      <c r="U1668" s="624"/>
      <c r="V1668" s="180"/>
      <c r="W1668" s="242">
        <v>12000000</v>
      </c>
      <c r="X1668" s="424"/>
      <c r="Y1668" s="7">
        <f t="shared" ref="Y1668:Y1683" si="101">IF(AE1668="","",W1668*AE1668)</f>
        <v>12000000</v>
      </c>
      <c r="Z1668" s="7">
        <f t="shared" ref="Z1668:Z1683" si="102">IF(Y1668="",X1668,Y1668+X1668)</f>
        <v>12000000</v>
      </c>
      <c r="AA1668" s="212"/>
      <c r="AB1668" s="503" t="s">
        <v>98</v>
      </c>
      <c r="AC1668" s="222"/>
      <c r="AD1668" s="187">
        <v>0</v>
      </c>
      <c r="AE1668" s="195">
        <v>1</v>
      </c>
      <c r="AF1668" s="205">
        <f t="shared" si="100"/>
        <v>1</v>
      </c>
      <c r="AG1668" s="163">
        <v>8</v>
      </c>
      <c r="AH1668" s="200" t="s">
        <v>45</v>
      </c>
      <c r="AI1668" s="138"/>
      <c r="AJ1668" s="806"/>
      <c r="AK1668" s="806"/>
      <c r="AL1668" s="806"/>
    </row>
    <row r="1669" spans="1:38" ht="15" customHeight="1" x14ac:dyDescent="0.3">
      <c r="A1669" s="248" t="s">
        <v>22</v>
      </c>
      <c r="B1669" s="153" t="s">
        <v>23</v>
      </c>
      <c r="C1669" s="134">
        <v>19</v>
      </c>
      <c r="D1669" s="11" t="s">
        <v>24</v>
      </c>
      <c r="E1669" s="168">
        <v>44402</v>
      </c>
      <c r="F1669" s="12">
        <v>2021</v>
      </c>
      <c r="G1669" s="178" t="s">
        <v>5886</v>
      </c>
      <c r="H1669" s="204" t="s">
        <v>5887</v>
      </c>
      <c r="I1669" s="30" t="s">
        <v>38</v>
      </c>
      <c r="J1669" s="32" t="s">
        <v>26</v>
      </c>
      <c r="K1669" s="264" t="s">
        <v>27</v>
      </c>
      <c r="L1669" s="310" t="s">
        <v>28</v>
      </c>
      <c r="M1669" s="137" t="s">
        <v>804</v>
      </c>
      <c r="N1669" s="30" t="s">
        <v>29</v>
      </c>
      <c r="O1669" s="876" t="s">
        <v>5889</v>
      </c>
      <c r="P1669" s="765" t="s">
        <v>5890</v>
      </c>
      <c r="Q1669" s="15" t="s">
        <v>35</v>
      </c>
      <c r="R1669" s="132"/>
      <c r="S1669" s="92"/>
      <c r="T1669" s="165"/>
      <c r="U1669" s="624"/>
      <c r="V1669" s="624"/>
      <c r="W1669" s="242">
        <v>200000000</v>
      </c>
      <c r="X1669" s="425">
        <f>-2160000-20392579</f>
        <v>-22552579</v>
      </c>
      <c r="Y1669" s="7">
        <f t="shared" si="101"/>
        <v>200000000</v>
      </c>
      <c r="Z1669" s="7">
        <f t="shared" si="102"/>
        <v>177447421</v>
      </c>
      <c r="AA1669" s="192"/>
      <c r="AB1669" s="504" t="s">
        <v>31</v>
      </c>
      <c r="AC1669" s="138"/>
      <c r="AD1669" s="187"/>
      <c r="AE1669" s="187">
        <v>1</v>
      </c>
      <c r="AF1669" s="205">
        <f t="shared" si="100"/>
        <v>1</v>
      </c>
      <c r="AG1669" s="138">
        <v>8</v>
      </c>
      <c r="AH1669" s="138" t="s">
        <v>32</v>
      </c>
      <c r="AI1669" s="200"/>
      <c r="AJ1669" s="30"/>
      <c r="AK1669" s="30"/>
      <c r="AL1669" s="30"/>
    </row>
    <row r="1670" spans="1:38" ht="15" customHeight="1" x14ac:dyDescent="0.3">
      <c r="A1670" s="248" t="s">
        <v>22</v>
      </c>
      <c r="B1670" s="30" t="s">
        <v>23</v>
      </c>
      <c r="C1670" s="146">
        <v>15</v>
      </c>
      <c r="D1670" s="11" t="s">
        <v>24</v>
      </c>
      <c r="E1670" s="108">
        <v>42311</v>
      </c>
      <c r="F1670" s="37">
        <v>2015</v>
      </c>
      <c r="G1670" s="30" t="s">
        <v>5891</v>
      </c>
      <c r="H1670" s="162" t="s">
        <v>5892</v>
      </c>
      <c r="I1670" s="33" t="s">
        <v>33</v>
      </c>
      <c r="J1670" s="32" t="s">
        <v>26</v>
      </c>
      <c r="K1670" s="264" t="s">
        <v>27</v>
      </c>
      <c r="L1670" s="197" t="s">
        <v>1319</v>
      </c>
      <c r="M1670" s="137" t="s">
        <v>804</v>
      </c>
      <c r="N1670" s="30" t="s">
        <v>29</v>
      </c>
      <c r="O1670" s="874" t="s">
        <v>5893</v>
      </c>
      <c r="P1670" s="138" t="s">
        <v>5894</v>
      </c>
      <c r="Q1670" s="15" t="s">
        <v>282</v>
      </c>
      <c r="R1670" s="132">
        <v>43530</v>
      </c>
      <c r="S1670" s="16" t="s">
        <v>35</v>
      </c>
      <c r="T1670" s="139"/>
      <c r="U1670" s="624"/>
      <c r="V1670" s="624"/>
      <c r="W1670" s="239">
        <v>150000000</v>
      </c>
      <c r="X1670" s="240">
        <f>150000000-96318248</f>
        <v>53681752</v>
      </c>
      <c r="Y1670" s="7">
        <f t="shared" si="101"/>
        <v>0</v>
      </c>
      <c r="Z1670" s="7">
        <f t="shared" si="102"/>
        <v>53681752</v>
      </c>
      <c r="AA1670" s="192">
        <v>44392</v>
      </c>
      <c r="AB1670" s="479" t="s">
        <v>49</v>
      </c>
      <c r="AC1670" s="480"/>
      <c r="AD1670" s="187">
        <v>1</v>
      </c>
      <c r="AE1670" s="187">
        <v>0</v>
      </c>
      <c r="AF1670" s="205">
        <f t="shared" si="100"/>
        <v>1</v>
      </c>
      <c r="AG1670" s="30">
        <v>8</v>
      </c>
      <c r="AH1670" s="30" t="s">
        <v>5864</v>
      </c>
      <c r="AI1670" s="200"/>
      <c r="AJ1670" s="30"/>
      <c r="AK1670" s="30"/>
      <c r="AL1670" s="30"/>
    </row>
    <row r="1671" spans="1:38" ht="15" customHeight="1" x14ac:dyDescent="0.3">
      <c r="A1671" s="248" t="s">
        <v>22</v>
      </c>
      <c r="B1671" s="181" t="s">
        <v>23</v>
      </c>
      <c r="C1671" s="184">
        <v>7</v>
      </c>
      <c r="D1671" s="11" t="s">
        <v>24</v>
      </c>
      <c r="E1671" s="192">
        <v>42907</v>
      </c>
      <c r="F1671" s="184">
        <v>2017</v>
      </c>
      <c r="G1671" s="181" t="s">
        <v>5896</v>
      </c>
      <c r="H1671" s="217" t="s">
        <v>5897</v>
      </c>
      <c r="I1671" s="12" t="s">
        <v>25</v>
      </c>
      <c r="J1671" s="32" t="s">
        <v>26</v>
      </c>
      <c r="K1671" s="264" t="s">
        <v>27</v>
      </c>
      <c r="L1671" s="138" t="s">
        <v>34</v>
      </c>
      <c r="M1671" s="137" t="s">
        <v>804</v>
      </c>
      <c r="N1671" s="30" t="s">
        <v>29</v>
      </c>
      <c r="O1671" s="874" t="s">
        <v>5898</v>
      </c>
      <c r="P1671" s="800" t="s">
        <v>5899</v>
      </c>
      <c r="Q1671" s="15" t="s">
        <v>35</v>
      </c>
      <c r="R1671" s="132">
        <v>43165</v>
      </c>
      <c r="S1671" s="16" t="s">
        <v>35</v>
      </c>
      <c r="T1671" s="165">
        <v>43434</v>
      </c>
      <c r="U1671" s="624"/>
      <c r="V1671" s="624"/>
      <c r="W1671" s="239">
        <v>120000000</v>
      </c>
      <c r="X1671" s="240">
        <v>120000000</v>
      </c>
      <c r="Y1671" s="7">
        <f t="shared" si="101"/>
        <v>0</v>
      </c>
      <c r="Z1671" s="7">
        <f t="shared" si="102"/>
        <v>120000000</v>
      </c>
      <c r="AA1671" s="192">
        <v>44407</v>
      </c>
      <c r="AB1671" s="479" t="s">
        <v>49</v>
      </c>
      <c r="AC1671" s="480"/>
      <c r="AD1671" s="258">
        <v>1</v>
      </c>
      <c r="AE1671" s="187">
        <v>0</v>
      </c>
      <c r="AF1671" s="205">
        <f t="shared" si="100"/>
        <v>1</v>
      </c>
      <c r="AG1671" s="181">
        <v>8</v>
      </c>
      <c r="AH1671" s="181" t="s">
        <v>32</v>
      </c>
      <c r="AI1671" s="787" t="s">
        <v>5900</v>
      </c>
      <c r="AJ1671" s="30"/>
      <c r="AK1671" s="30"/>
      <c r="AL1671" s="30"/>
    </row>
    <row r="1672" spans="1:38" ht="15" customHeight="1" x14ac:dyDescent="0.3">
      <c r="A1672" s="248" t="s">
        <v>22</v>
      </c>
      <c r="B1672" s="181" t="s">
        <v>23</v>
      </c>
      <c r="C1672" s="184">
        <v>19</v>
      </c>
      <c r="D1672" s="11" t="s">
        <v>24</v>
      </c>
      <c r="E1672" s="192">
        <v>43403</v>
      </c>
      <c r="F1672" s="181">
        <v>2018</v>
      </c>
      <c r="G1672" s="181" t="s">
        <v>5901</v>
      </c>
      <c r="H1672" s="217" t="s">
        <v>5902</v>
      </c>
      <c r="I1672" s="12" t="s">
        <v>38</v>
      </c>
      <c r="J1672" s="32" t="s">
        <v>26</v>
      </c>
      <c r="K1672" s="197" t="s">
        <v>55</v>
      </c>
      <c r="L1672" s="138" t="s">
        <v>56</v>
      </c>
      <c r="M1672" s="279" t="s">
        <v>42</v>
      </c>
      <c r="N1672" s="181" t="s">
        <v>43</v>
      </c>
      <c r="O1672" s="694" t="s">
        <v>5903</v>
      </c>
      <c r="P1672" s="815" t="s">
        <v>5904</v>
      </c>
      <c r="Q1672" s="152"/>
      <c r="R1672" s="164"/>
      <c r="S1672" s="139"/>
      <c r="T1672" s="165"/>
      <c r="U1672" s="624"/>
      <c r="V1672" s="624"/>
      <c r="W1672" s="239">
        <v>16000000</v>
      </c>
      <c r="X1672" s="240">
        <v>0</v>
      </c>
      <c r="Y1672" s="7">
        <f t="shared" si="101"/>
        <v>0</v>
      </c>
      <c r="Z1672" s="7">
        <f t="shared" si="102"/>
        <v>0</v>
      </c>
      <c r="AA1672" s="192"/>
      <c r="AB1672" s="479" t="s">
        <v>49</v>
      </c>
      <c r="AC1672" s="480"/>
      <c r="AD1672" s="258">
        <v>0</v>
      </c>
      <c r="AE1672" s="187">
        <v>0</v>
      </c>
      <c r="AF1672" s="205">
        <f t="shared" si="100"/>
        <v>0</v>
      </c>
      <c r="AG1672" s="279">
        <v>8</v>
      </c>
      <c r="AH1672" s="200" t="s">
        <v>45</v>
      </c>
      <c r="AI1672" s="279"/>
      <c r="AJ1672" s="30"/>
      <c r="AK1672" s="30"/>
      <c r="AL1672" s="30"/>
    </row>
    <row r="1673" spans="1:38" ht="15" customHeight="1" x14ac:dyDescent="0.3">
      <c r="A1673" s="248" t="s">
        <v>22</v>
      </c>
      <c r="B1673" s="181" t="s">
        <v>23</v>
      </c>
      <c r="C1673" s="135">
        <v>3</v>
      </c>
      <c r="D1673" s="11" t="s">
        <v>24</v>
      </c>
      <c r="E1673" s="168">
        <v>44839</v>
      </c>
      <c r="F1673" s="12">
        <v>2022</v>
      </c>
      <c r="G1673" s="178" t="s">
        <v>5905</v>
      </c>
      <c r="H1673" s="204" t="s">
        <v>5906</v>
      </c>
      <c r="I1673" s="30" t="s">
        <v>38</v>
      </c>
      <c r="J1673" s="32" t="s">
        <v>26</v>
      </c>
      <c r="K1673" s="137" t="s">
        <v>60</v>
      </c>
      <c r="L1673" s="310" t="s">
        <v>28</v>
      </c>
      <c r="M1673" s="137" t="s">
        <v>804</v>
      </c>
      <c r="N1673" s="181" t="s">
        <v>43</v>
      </c>
      <c r="O1673" s="831" t="s">
        <v>5907</v>
      </c>
      <c r="P1673" s="783" t="s">
        <v>30</v>
      </c>
      <c r="Q1673" s="220" t="s">
        <v>92</v>
      </c>
      <c r="R1673" s="164"/>
      <c r="S1673" s="139"/>
      <c r="T1673" s="165"/>
      <c r="U1673" s="624"/>
      <c r="V1673" s="624"/>
      <c r="W1673" s="242">
        <v>100000000</v>
      </c>
      <c r="X1673" s="426">
        <v>-100000000</v>
      </c>
      <c r="Y1673" s="7">
        <f t="shared" si="101"/>
        <v>100000000</v>
      </c>
      <c r="Z1673" s="7">
        <f t="shared" si="102"/>
        <v>0</v>
      </c>
      <c r="AA1673" s="192"/>
      <c r="AB1673" s="479" t="s">
        <v>49</v>
      </c>
      <c r="AC1673" s="480"/>
      <c r="AD1673" s="187"/>
      <c r="AE1673" s="187">
        <v>1</v>
      </c>
      <c r="AF1673" s="205">
        <f>+AE1673</f>
        <v>1</v>
      </c>
      <c r="AG1673" s="197">
        <v>8</v>
      </c>
      <c r="AH1673" s="200" t="s">
        <v>45</v>
      </c>
      <c r="AI1673" s="197"/>
      <c r="AJ1673" s="30"/>
      <c r="AK1673" s="30"/>
      <c r="AL1673" s="30"/>
    </row>
    <row r="1674" spans="1:38" ht="15" customHeight="1" x14ac:dyDescent="0.3">
      <c r="A1674" s="248" t="s">
        <v>22</v>
      </c>
      <c r="B1674" s="181" t="s">
        <v>23</v>
      </c>
      <c r="C1674" s="138">
        <v>9</v>
      </c>
      <c r="D1674" s="11" t="s">
        <v>24</v>
      </c>
      <c r="E1674" s="192">
        <v>43593</v>
      </c>
      <c r="F1674" s="181">
        <v>2019</v>
      </c>
      <c r="G1674" s="181" t="s">
        <v>5909</v>
      </c>
      <c r="H1674" s="217" t="s">
        <v>5910</v>
      </c>
      <c r="I1674" s="12" t="s">
        <v>38</v>
      </c>
      <c r="J1674" s="32" t="s">
        <v>26</v>
      </c>
      <c r="K1674" s="197" t="s">
        <v>75</v>
      </c>
      <c r="L1674" s="783" t="s">
        <v>72</v>
      </c>
      <c r="M1674" s="279" t="s">
        <v>42</v>
      </c>
      <c r="N1674" s="181" t="s">
        <v>76</v>
      </c>
      <c r="O1674" s="694" t="s">
        <v>5911</v>
      </c>
      <c r="P1674" s="815" t="s">
        <v>5912</v>
      </c>
      <c r="Q1674" s="15" t="s">
        <v>282</v>
      </c>
      <c r="R1674" s="164">
        <v>43901</v>
      </c>
      <c r="S1674" s="16" t="s">
        <v>44</v>
      </c>
      <c r="T1674" s="165">
        <v>44267</v>
      </c>
      <c r="U1674" s="624"/>
      <c r="V1674" s="624"/>
      <c r="W1674" s="239">
        <v>95000000</v>
      </c>
      <c r="X1674" s="240">
        <v>0</v>
      </c>
      <c r="Y1674" s="7">
        <f t="shared" si="101"/>
        <v>0</v>
      </c>
      <c r="Z1674" s="7">
        <f t="shared" si="102"/>
        <v>0</v>
      </c>
      <c r="AA1674" s="192"/>
      <c r="AB1674" s="479" t="s">
        <v>49</v>
      </c>
      <c r="AC1674" s="480"/>
      <c r="AD1674" s="258"/>
      <c r="AE1674" s="187">
        <v>0</v>
      </c>
      <c r="AF1674" s="205">
        <f>AE1674+AD1674</f>
        <v>0</v>
      </c>
      <c r="AG1674" s="279">
        <v>8</v>
      </c>
      <c r="AH1674" s="200" t="s">
        <v>45</v>
      </c>
      <c r="AI1674" s="197"/>
      <c r="AJ1674" s="30"/>
      <c r="AK1674" s="30"/>
      <c r="AL1674" s="30"/>
    </row>
    <row r="1675" spans="1:38" ht="15" customHeight="1" x14ac:dyDescent="0.3">
      <c r="A1675" s="248" t="s">
        <v>22</v>
      </c>
      <c r="B1675" s="265" t="s">
        <v>23</v>
      </c>
      <c r="C1675" s="107">
        <v>9</v>
      </c>
      <c r="D1675" s="11" t="s">
        <v>24</v>
      </c>
      <c r="E1675" s="114">
        <v>43878</v>
      </c>
      <c r="F1675" s="12">
        <v>2020</v>
      </c>
      <c r="G1675" s="142" t="s">
        <v>5914</v>
      </c>
      <c r="H1675" s="204" t="s">
        <v>5915</v>
      </c>
      <c r="I1675" s="107" t="s">
        <v>38</v>
      </c>
      <c r="J1675" s="32" t="s">
        <v>26</v>
      </c>
      <c r="K1675" s="264" t="s">
        <v>93</v>
      </c>
      <c r="L1675" s="264" t="s">
        <v>28</v>
      </c>
      <c r="M1675" s="264" t="s">
        <v>42</v>
      </c>
      <c r="N1675" s="264" t="s">
        <v>82</v>
      </c>
      <c r="O1675" s="831" t="s">
        <v>94</v>
      </c>
      <c r="P1675" s="783" t="s">
        <v>5916</v>
      </c>
      <c r="Q1675" s="15" t="s">
        <v>282</v>
      </c>
      <c r="R1675" s="164">
        <v>44747</v>
      </c>
      <c r="S1675" s="241"/>
      <c r="T1675" s="241"/>
      <c r="U1675" s="776"/>
      <c r="V1675" s="776"/>
      <c r="W1675" s="242">
        <v>110000000</v>
      </c>
      <c r="X1675" s="7">
        <v>0</v>
      </c>
      <c r="Y1675" s="7">
        <f t="shared" si="101"/>
        <v>0</v>
      </c>
      <c r="Z1675" s="7">
        <f t="shared" si="102"/>
        <v>0</v>
      </c>
      <c r="AA1675" s="108"/>
      <c r="AB1675" s="762" t="s">
        <v>3077</v>
      </c>
      <c r="AC1675" s="652"/>
      <c r="AD1675" s="196"/>
      <c r="AE1675" s="187">
        <v>0</v>
      </c>
      <c r="AF1675" s="205">
        <v>0</v>
      </c>
      <c r="AG1675" s="197">
        <v>8</v>
      </c>
      <c r="AH1675" s="197" t="s">
        <v>5885</v>
      </c>
      <c r="AI1675" s="197"/>
      <c r="AJ1675" s="30"/>
      <c r="AK1675" s="30"/>
      <c r="AL1675" s="30"/>
    </row>
    <row r="1676" spans="1:38" ht="15" customHeight="1" x14ac:dyDescent="0.3">
      <c r="A1676" s="248" t="s">
        <v>22</v>
      </c>
      <c r="B1676" s="181" t="s">
        <v>39</v>
      </c>
      <c r="C1676" s="134">
        <v>1</v>
      </c>
      <c r="D1676" s="11" t="s">
        <v>24</v>
      </c>
      <c r="E1676" s="168">
        <v>44494</v>
      </c>
      <c r="F1676" s="12">
        <v>2019</v>
      </c>
      <c r="G1676" s="178" t="s">
        <v>198</v>
      </c>
      <c r="H1676" s="204" t="s">
        <v>5917</v>
      </c>
      <c r="I1676" s="107" t="s">
        <v>5888</v>
      </c>
      <c r="J1676" s="32" t="s">
        <v>26</v>
      </c>
      <c r="K1676" s="264" t="s">
        <v>27</v>
      </c>
      <c r="L1676" s="310" t="s">
        <v>28</v>
      </c>
      <c r="M1676" s="137" t="s">
        <v>804</v>
      </c>
      <c r="N1676" s="30" t="s">
        <v>29</v>
      </c>
      <c r="O1676" s="831" t="s">
        <v>5918</v>
      </c>
      <c r="P1676" s="783" t="s">
        <v>30</v>
      </c>
      <c r="Q1676" s="15" t="s">
        <v>35</v>
      </c>
      <c r="R1676" s="164">
        <v>45311</v>
      </c>
      <c r="S1676" s="16" t="s">
        <v>35</v>
      </c>
      <c r="T1676" s="165">
        <v>45407</v>
      </c>
      <c r="U1676" s="624"/>
      <c r="V1676" s="624"/>
      <c r="W1676" s="242">
        <v>150000000</v>
      </c>
      <c r="X1676" s="426">
        <f>-2600000-94478300</f>
        <v>-97078300</v>
      </c>
      <c r="Y1676" s="7">
        <f t="shared" si="101"/>
        <v>150000000</v>
      </c>
      <c r="Z1676" s="7">
        <f t="shared" si="102"/>
        <v>52921700</v>
      </c>
      <c r="AA1676" s="192"/>
      <c r="AB1676" s="504" t="s">
        <v>31</v>
      </c>
      <c r="AC1676" s="138"/>
      <c r="AD1676" s="187"/>
      <c r="AE1676" s="187">
        <v>1</v>
      </c>
      <c r="AF1676" s="205">
        <f t="shared" ref="AF1676:AF1682" si="103">AE1676+AD1676</f>
        <v>1</v>
      </c>
      <c r="AG1676" s="197">
        <v>8</v>
      </c>
      <c r="AH1676" s="197"/>
      <c r="AI1676" s="197"/>
      <c r="AJ1676" s="30"/>
      <c r="AK1676" s="30"/>
      <c r="AL1676" s="30"/>
    </row>
    <row r="1677" spans="1:38" ht="15" customHeight="1" x14ac:dyDescent="0.3">
      <c r="A1677" s="248" t="s">
        <v>22</v>
      </c>
      <c r="B1677" s="181" t="s">
        <v>23</v>
      </c>
      <c r="C1677" s="200">
        <v>20</v>
      </c>
      <c r="D1677" s="11" t="s">
        <v>24</v>
      </c>
      <c r="E1677" s="192">
        <v>43840</v>
      </c>
      <c r="F1677" s="181">
        <v>2019</v>
      </c>
      <c r="G1677" s="181" t="s">
        <v>5919</v>
      </c>
      <c r="H1677" s="217" t="s">
        <v>5920</v>
      </c>
      <c r="I1677" s="33" t="s">
        <v>33</v>
      </c>
      <c r="J1677" s="184" t="s">
        <v>81</v>
      </c>
      <c r="K1677" s="264" t="s">
        <v>27</v>
      </c>
      <c r="L1677" s="765" t="s">
        <v>72</v>
      </c>
      <c r="M1677" s="137" t="s">
        <v>804</v>
      </c>
      <c r="N1677" s="30" t="s">
        <v>29</v>
      </c>
      <c r="O1677" s="565" t="s">
        <v>5921</v>
      </c>
      <c r="P1677" s="800" t="s">
        <v>5922</v>
      </c>
      <c r="Q1677" s="15" t="s">
        <v>35</v>
      </c>
      <c r="R1677" s="132">
        <v>44714</v>
      </c>
      <c r="S1677" s="16" t="s">
        <v>35</v>
      </c>
      <c r="T1677" s="165">
        <v>45061</v>
      </c>
      <c r="U1677" s="624"/>
      <c r="V1677" s="624"/>
      <c r="W1677" s="239">
        <v>250000000</v>
      </c>
      <c r="X1677" s="427">
        <f>-177368059</f>
        <v>-177368059</v>
      </c>
      <c r="Y1677" s="7">
        <f t="shared" si="101"/>
        <v>250000000</v>
      </c>
      <c r="Z1677" s="7">
        <f t="shared" si="102"/>
        <v>72631941</v>
      </c>
      <c r="AA1677" s="192"/>
      <c r="AB1677" s="801" t="s">
        <v>53</v>
      </c>
      <c r="AC1677" s="192"/>
      <c r="AD1677" s="258"/>
      <c r="AE1677" s="187">
        <v>1</v>
      </c>
      <c r="AF1677" s="205">
        <f t="shared" si="103"/>
        <v>1</v>
      </c>
      <c r="AG1677" s="181">
        <v>8</v>
      </c>
      <c r="AH1677" s="181" t="s">
        <v>5895</v>
      </c>
      <c r="AI1677" s="200"/>
      <c r="AJ1677" s="30"/>
      <c r="AK1677" s="30"/>
      <c r="AL1677" s="30"/>
    </row>
    <row r="1678" spans="1:38" ht="15" customHeight="1" x14ac:dyDescent="0.3">
      <c r="A1678" s="248" t="s">
        <v>22</v>
      </c>
      <c r="B1678" s="181" t="s">
        <v>23</v>
      </c>
      <c r="C1678" s="181">
        <v>1</v>
      </c>
      <c r="D1678" s="11" t="s">
        <v>24</v>
      </c>
      <c r="E1678" s="192">
        <v>42845</v>
      </c>
      <c r="F1678" s="181">
        <v>2017</v>
      </c>
      <c r="G1678" s="181" t="s">
        <v>66</v>
      </c>
      <c r="H1678" s="217" t="s">
        <v>5923</v>
      </c>
      <c r="I1678" s="30" t="s">
        <v>38</v>
      </c>
      <c r="J1678" s="32" t="s">
        <v>26</v>
      </c>
      <c r="K1678" s="197" t="s">
        <v>75</v>
      </c>
      <c r="L1678" s="197" t="s">
        <v>56</v>
      </c>
      <c r="M1678" s="137" t="s">
        <v>804</v>
      </c>
      <c r="N1678" s="181" t="s">
        <v>76</v>
      </c>
      <c r="O1678" s="695" t="s">
        <v>5924</v>
      </c>
      <c r="P1678" s="916" t="s">
        <v>5925</v>
      </c>
      <c r="Q1678" s="15" t="s">
        <v>282</v>
      </c>
      <c r="R1678" s="164">
        <v>44021</v>
      </c>
      <c r="S1678" s="16" t="s">
        <v>44</v>
      </c>
      <c r="T1678" s="165">
        <v>44253</v>
      </c>
      <c r="U1678" s="624" t="s">
        <v>35</v>
      </c>
      <c r="V1678" s="917">
        <v>45219</v>
      </c>
      <c r="W1678" s="239">
        <v>370000000</v>
      </c>
      <c r="X1678" s="240">
        <v>-4333600</v>
      </c>
      <c r="Y1678" s="7">
        <f t="shared" si="101"/>
        <v>370000000</v>
      </c>
      <c r="Z1678" s="7">
        <f t="shared" si="102"/>
        <v>365666400</v>
      </c>
      <c r="AA1678" s="192">
        <v>45229</v>
      </c>
      <c r="AB1678" s="479" t="s">
        <v>49</v>
      </c>
      <c r="AC1678" s="480"/>
      <c r="AD1678" s="258">
        <v>0</v>
      </c>
      <c r="AE1678" s="187">
        <v>1</v>
      </c>
      <c r="AF1678" s="205">
        <f t="shared" si="103"/>
        <v>1</v>
      </c>
      <c r="AG1678" s="279">
        <v>8</v>
      </c>
      <c r="AH1678" s="279" t="s">
        <v>4892</v>
      </c>
      <c r="AI1678" s="279"/>
      <c r="AJ1678" s="30"/>
      <c r="AK1678" s="30"/>
      <c r="AL1678" s="30"/>
    </row>
    <row r="1679" spans="1:38" ht="15" customHeight="1" x14ac:dyDescent="0.3">
      <c r="A1679" s="248" t="s">
        <v>22</v>
      </c>
      <c r="B1679" s="153" t="s">
        <v>23</v>
      </c>
      <c r="C1679" s="134">
        <v>10</v>
      </c>
      <c r="D1679" s="11" t="s">
        <v>24</v>
      </c>
      <c r="E1679" s="168">
        <v>44247</v>
      </c>
      <c r="F1679" s="12">
        <v>2021</v>
      </c>
      <c r="G1679" s="178" t="s">
        <v>5926</v>
      </c>
      <c r="H1679" s="204" t="s">
        <v>5927</v>
      </c>
      <c r="I1679" s="107" t="s">
        <v>38</v>
      </c>
      <c r="J1679" s="32" t="s">
        <v>26</v>
      </c>
      <c r="K1679" s="197" t="s">
        <v>50</v>
      </c>
      <c r="L1679" s="310" t="s">
        <v>28</v>
      </c>
      <c r="M1679" s="264" t="s">
        <v>42</v>
      </c>
      <c r="N1679" s="181" t="s">
        <v>43</v>
      </c>
      <c r="O1679" s="831" t="s">
        <v>51</v>
      </c>
      <c r="P1679" s="783" t="s">
        <v>30</v>
      </c>
      <c r="Q1679" s="15" t="s">
        <v>282</v>
      </c>
      <c r="R1679" s="164">
        <v>45251</v>
      </c>
      <c r="S1679" s="16" t="s">
        <v>44</v>
      </c>
      <c r="T1679" s="165">
        <v>45321</v>
      </c>
      <c r="U1679" s="624" t="s">
        <v>44</v>
      </c>
      <c r="V1679" s="180">
        <v>45525</v>
      </c>
      <c r="W1679" s="242">
        <v>200000000</v>
      </c>
      <c r="X1679" s="299">
        <v>0</v>
      </c>
      <c r="Y1679" s="7">
        <f t="shared" si="101"/>
        <v>0</v>
      </c>
      <c r="Z1679" s="7">
        <f t="shared" si="102"/>
        <v>0</v>
      </c>
      <c r="AA1679" s="192"/>
      <c r="AB1679" s="564" t="s">
        <v>1073</v>
      </c>
      <c r="AC1679" s="693"/>
      <c r="AD1679" s="187"/>
      <c r="AE1679" s="187">
        <v>0</v>
      </c>
      <c r="AF1679" s="205">
        <f t="shared" si="103"/>
        <v>0</v>
      </c>
      <c r="AG1679" s="197">
        <v>10</v>
      </c>
      <c r="AH1679" s="197"/>
      <c r="AI1679" s="197"/>
      <c r="AJ1679" s="30"/>
      <c r="AK1679" s="30"/>
      <c r="AL1679" s="30"/>
    </row>
    <row r="1680" spans="1:38" ht="15" customHeight="1" x14ac:dyDescent="0.3">
      <c r="A1680" s="310" t="s">
        <v>22</v>
      </c>
      <c r="B1680" s="308" t="s">
        <v>105</v>
      </c>
      <c r="C1680" s="138">
        <v>37</v>
      </c>
      <c r="D1680" s="11" t="s">
        <v>5936</v>
      </c>
      <c r="E1680" s="302">
        <v>44467</v>
      </c>
      <c r="F1680" s="310">
        <v>2021</v>
      </c>
      <c r="G1680" s="138" t="s">
        <v>5928</v>
      </c>
      <c r="H1680" s="310" t="s">
        <v>5929</v>
      </c>
      <c r="I1680" s="138" t="s">
        <v>38</v>
      </c>
      <c r="J1680" s="32" t="s">
        <v>26</v>
      </c>
      <c r="K1680" s="197" t="s">
        <v>57</v>
      </c>
      <c r="L1680" s="264" t="s">
        <v>28</v>
      </c>
      <c r="M1680" s="197" t="s">
        <v>42</v>
      </c>
      <c r="N1680" s="310" t="s">
        <v>43</v>
      </c>
      <c r="O1680" s="869" t="s">
        <v>5930</v>
      </c>
      <c r="P1680" s="895" t="s">
        <v>5931</v>
      </c>
      <c r="Q1680" s="91"/>
      <c r="R1680" s="91"/>
      <c r="S1680" s="92"/>
      <c r="T1680" s="92"/>
      <c r="U1680" s="623"/>
      <c r="V1680" s="624"/>
      <c r="W1680" s="242">
        <v>60000000</v>
      </c>
      <c r="X1680" s="243">
        <v>0</v>
      </c>
      <c r="Y1680" s="7">
        <f t="shared" si="101"/>
        <v>0</v>
      </c>
      <c r="Z1680" s="7">
        <f t="shared" si="102"/>
        <v>0</v>
      </c>
      <c r="AA1680" s="264"/>
      <c r="AB1680" s="513" t="s">
        <v>3232</v>
      </c>
      <c r="AC1680" s="147"/>
      <c r="AD1680" s="196"/>
      <c r="AE1680" s="187">
        <v>0</v>
      </c>
      <c r="AF1680" s="205">
        <f t="shared" si="103"/>
        <v>0</v>
      </c>
      <c r="AG1680" s="138">
        <v>8</v>
      </c>
      <c r="AH1680" s="264" t="s">
        <v>5908</v>
      </c>
      <c r="AI1680" s="138"/>
      <c r="AJ1680" s="30"/>
      <c r="AK1680" s="30"/>
      <c r="AL1680" s="30"/>
    </row>
    <row r="1681" spans="1:38" ht="15" customHeight="1" x14ac:dyDescent="0.3">
      <c r="A1681" s="248" t="s">
        <v>22</v>
      </c>
      <c r="B1681" s="255" t="s">
        <v>105</v>
      </c>
      <c r="C1681" s="135">
        <v>25</v>
      </c>
      <c r="D1681" s="11" t="s">
        <v>5936</v>
      </c>
      <c r="E1681" s="168">
        <v>43594</v>
      </c>
      <c r="F1681" s="136">
        <v>2019</v>
      </c>
      <c r="G1681" s="168" t="s">
        <v>5932</v>
      </c>
      <c r="H1681" s="168" t="s">
        <v>5933</v>
      </c>
      <c r="I1681" s="135" t="s">
        <v>38</v>
      </c>
      <c r="J1681" s="32" t="s">
        <v>26</v>
      </c>
      <c r="K1681" s="197" t="s">
        <v>57</v>
      </c>
      <c r="L1681" s="197" t="s">
        <v>28</v>
      </c>
      <c r="M1681" s="197" t="s">
        <v>42</v>
      </c>
      <c r="N1681" s="138" t="s">
        <v>43</v>
      </c>
      <c r="O1681" s="831" t="s">
        <v>5934</v>
      </c>
      <c r="P1681" s="826" t="s">
        <v>5935</v>
      </c>
      <c r="Q1681" s="220"/>
      <c r="R1681" s="218"/>
      <c r="S1681" s="400"/>
      <c r="T1681" s="133"/>
      <c r="U1681" s="623"/>
      <c r="V1681" s="624"/>
      <c r="W1681" s="242">
        <v>80000000</v>
      </c>
      <c r="X1681" s="243">
        <v>0</v>
      </c>
      <c r="Y1681" s="7">
        <f t="shared" si="101"/>
        <v>0</v>
      </c>
      <c r="Z1681" s="7">
        <f t="shared" si="102"/>
        <v>0</v>
      </c>
      <c r="AA1681" s="229">
        <v>44515</v>
      </c>
      <c r="AB1681" s="564" t="s">
        <v>1073</v>
      </c>
      <c r="AC1681" s="693"/>
      <c r="AD1681" s="196"/>
      <c r="AE1681" s="187">
        <v>0</v>
      </c>
      <c r="AF1681" s="205">
        <f t="shared" si="103"/>
        <v>0</v>
      </c>
      <c r="AG1681" s="138">
        <v>8</v>
      </c>
      <c r="AH1681" s="197" t="s">
        <v>5913</v>
      </c>
      <c r="AI1681" s="197"/>
      <c r="AJ1681" s="30"/>
      <c r="AK1681" s="30"/>
      <c r="AL1681" s="30"/>
    </row>
    <row r="1682" spans="1:38" ht="15" customHeight="1" x14ac:dyDescent="0.3">
      <c r="A1682" s="248" t="s">
        <v>22</v>
      </c>
      <c r="B1682" s="181" t="s">
        <v>23</v>
      </c>
      <c r="C1682" s="181">
        <v>11</v>
      </c>
      <c r="D1682" s="11" t="s">
        <v>24</v>
      </c>
      <c r="E1682" s="192">
        <v>43271</v>
      </c>
      <c r="F1682" s="181">
        <v>2018</v>
      </c>
      <c r="G1682" s="181" t="s">
        <v>88</v>
      </c>
      <c r="H1682" s="217" t="s">
        <v>89</v>
      </c>
      <c r="I1682" s="30" t="s">
        <v>38</v>
      </c>
      <c r="J1682" s="32" t="s">
        <v>26</v>
      </c>
      <c r="K1682" s="197" t="s">
        <v>86</v>
      </c>
      <c r="L1682" s="197" t="s">
        <v>56</v>
      </c>
      <c r="M1682" s="137" t="s">
        <v>804</v>
      </c>
      <c r="N1682" s="181" t="s">
        <v>82</v>
      </c>
      <c r="O1682" s="694" t="s">
        <v>90</v>
      </c>
      <c r="P1682" s="815" t="s">
        <v>91</v>
      </c>
      <c r="Q1682" s="220" t="s">
        <v>92</v>
      </c>
      <c r="R1682" s="164"/>
      <c r="S1682" s="139"/>
      <c r="T1682" s="165"/>
      <c r="U1682" s="624"/>
      <c r="V1682" s="624"/>
      <c r="W1682" s="239">
        <v>45000000</v>
      </c>
      <c r="X1682" s="240">
        <v>-45000000</v>
      </c>
      <c r="Y1682" s="7">
        <f t="shared" si="101"/>
        <v>45000000</v>
      </c>
      <c r="Z1682" s="7">
        <f t="shared" si="102"/>
        <v>0</v>
      </c>
      <c r="AA1682" s="192"/>
      <c r="AB1682" s="801" t="s">
        <v>53</v>
      </c>
      <c r="AC1682" s="192"/>
      <c r="AD1682" s="258"/>
      <c r="AE1682" s="187">
        <v>1</v>
      </c>
      <c r="AF1682" s="428">
        <f t="shared" si="103"/>
        <v>1</v>
      </c>
      <c r="AG1682" s="279">
        <v>8</v>
      </c>
      <c r="AH1682" s="200" t="s">
        <v>45</v>
      </c>
      <c r="AI1682" s="279"/>
      <c r="AJ1682" s="30"/>
      <c r="AK1682" s="30"/>
      <c r="AL1682" s="30"/>
    </row>
    <row r="1683" spans="1:38" ht="15" customHeight="1" x14ac:dyDescent="0.3">
      <c r="A1683" s="248" t="s">
        <v>22</v>
      </c>
      <c r="B1683" s="265" t="s">
        <v>23</v>
      </c>
      <c r="C1683" s="107">
        <v>21</v>
      </c>
      <c r="D1683" s="11" t="s">
        <v>24</v>
      </c>
      <c r="E1683" s="114">
        <v>44118</v>
      </c>
      <c r="F1683" s="12">
        <v>2020</v>
      </c>
      <c r="G1683" s="142" t="s">
        <v>95</v>
      </c>
      <c r="H1683" s="204" t="s">
        <v>96</v>
      </c>
      <c r="I1683" s="107" t="s">
        <v>38</v>
      </c>
      <c r="J1683" s="32" t="s">
        <v>26</v>
      </c>
      <c r="K1683" s="264" t="s">
        <v>93</v>
      </c>
      <c r="L1683" s="264" t="s">
        <v>28</v>
      </c>
      <c r="M1683" s="264" t="s">
        <v>42</v>
      </c>
      <c r="N1683" s="310" t="s">
        <v>82</v>
      </c>
      <c r="O1683" s="831" t="s">
        <v>94</v>
      </c>
      <c r="P1683" s="783" t="s">
        <v>97</v>
      </c>
      <c r="Q1683" s="15" t="s">
        <v>282</v>
      </c>
      <c r="R1683" s="164">
        <v>44197</v>
      </c>
      <c r="S1683" s="16" t="s">
        <v>44</v>
      </c>
      <c r="T1683" s="241"/>
      <c r="U1683" s="776"/>
      <c r="V1683" s="776"/>
      <c r="W1683" s="242">
        <v>80000000</v>
      </c>
      <c r="X1683" s="7">
        <v>0</v>
      </c>
      <c r="Y1683" s="7">
        <f t="shared" si="101"/>
        <v>0</v>
      </c>
      <c r="Z1683" s="7">
        <f t="shared" si="102"/>
        <v>0</v>
      </c>
      <c r="AA1683" s="108">
        <v>46322</v>
      </c>
      <c r="AB1683" s="762" t="s">
        <v>3077</v>
      </c>
      <c r="AC1683" s="652"/>
      <c r="AD1683" s="196"/>
      <c r="AE1683" s="187">
        <v>0</v>
      </c>
      <c r="AF1683" s="205">
        <v>0</v>
      </c>
      <c r="AG1683" s="197">
        <v>8</v>
      </c>
      <c r="AH1683" s="197"/>
      <c r="AI1683" s="197"/>
      <c r="AJ1683" s="30"/>
      <c r="AK1683" s="30"/>
      <c r="AL1683" s="30"/>
    </row>
    <row r="1684" spans="1:38" x14ac:dyDescent="0.3">
      <c r="A1684" s="462" t="s">
        <v>22</v>
      </c>
      <c r="B1684" s="462" t="s">
        <v>105</v>
      </c>
      <c r="C1684" s="462">
        <v>41</v>
      </c>
      <c r="D1684" s="11" t="s">
        <v>5936</v>
      </c>
      <c r="E1684" s="464">
        <v>44796</v>
      </c>
      <c r="F1684" s="462">
        <v>2022</v>
      </c>
      <c r="G1684" s="462" t="s">
        <v>106</v>
      </c>
      <c r="H1684" s="462" t="s">
        <v>107</v>
      </c>
      <c r="I1684" s="30" t="s">
        <v>38</v>
      </c>
      <c r="J1684" s="462" t="s">
        <v>26</v>
      </c>
      <c r="K1684" s="462" t="s">
        <v>93</v>
      </c>
      <c r="L1684" s="462" t="s">
        <v>28</v>
      </c>
      <c r="M1684" s="137" t="s">
        <v>804</v>
      </c>
      <c r="N1684" s="462" t="s">
        <v>43</v>
      </c>
      <c r="O1684" s="462" t="s">
        <v>108</v>
      </c>
      <c r="P1684" s="462" t="s">
        <v>30</v>
      </c>
      <c r="Q1684" s="462" t="s">
        <v>92</v>
      </c>
      <c r="R1684" s="470"/>
      <c r="S1684" s="469"/>
      <c r="T1684" s="469"/>
      <c r="U1684" s="469"/>
      <c r="V1684" s="469"/>
      <c r="W1684" s="469">
        <v>45000000</v>
      </c>
      <c r="X1684" s="469">
        <v>0</v>
      </c>
      <c r="Y1684" s="469">
        <v>45000000</v>
      </c>
      <c r="Z1684" s="469">
        <v>45000000</v>
      </c>
      <c r="AA1684" s="470"/>
      <c r="AB1684" s="918" t="s">
        <v>52</v>
      </c>
      <c r="AC1684" s="469"/>
      <c r="AD1684" s="469"/>
      <c r="AE1684" s="469">
        <v>1</v>
      </c>
      <c r="AF1684" s="469">
        <v>1</v>
      </c>
      <c r="AG1684" s="469">
        <v>8</v>
      </c>
      <c r="AH1684" s="469" t="s">
        <v>45</v>
      </c>
      <c r="AI1684" s="469"/>
      <c r="AJ1684" s="471"/>
      <c r="AK1684" s="471"/>
      <c r="AL1684" s="471"/>
    </row>
    <row r="1685" spans="1:38" x14ac:dyDescent="0.3">
      <c r="A1685" s="462" t="s">
        <v>22</v>
      </c>
      <c r="B1685" s="462" t="s">
        <v>202</v>
      </c>
      <c r="C1685" s="462"/>
      <c r="D1685" s="462" t="s">
        <v>190</v>
      </c>
      <c r="E1685" s="464">
        <v>44781</v>
      </c>
      <c r="F1685" s="462">
        <v>2022</v>
      </c>
      <c r="G1685" s="462" t="s">
        <v>203</v>
      </c>
      <c r="H1685" s="462"/>
      <c r="I1685" s="462" t="s">
        <v>38</v>
      </c>
      <c r="J1685" s="462" t="s">
        <v>26</v>
      </c>
      <c r="K1685" s="462" t="s">
        <v>57</v>
      </c>
      <c r="L1685" s="462" t="s">
        <v>28</v>
      </c>
      <c r="M1685" s="462" t="s">
        <v>42</v>
      </c>
      <c r="N1685" s="462" t="s">
        <v>43</v>
      </c>
      <c r="O1685" s="462" t="s">
        <v>204</v>
      </c>
      <c r="P1685" s="462" t="s">
        <v>205</v>
      </c>
      <c r="Q1685" s="462"/>
      <c r="R1685" s="464"/>
      <c r="S1685" s="462"/>
      <c r="T1685" s="462"/>
      <c r="U1685" s="462"/>
      <c r="V1685" s="462"/>
      <c r="W1685" s="462">
        <v>150000000</v>
      </c>
      <c r="X1685" s="462">
        <v>0</v>
      </c>
      <c r="Y1685" s="462">
        <v>0</v>
      </c>
      <c r="Z1685" s="462">
        <v>0</v>
      </c>
      <c r="AA1685" s="464"/>
      <c r="AB1685" s="503" t="s">
        <v>3960</v>
      </c>
      <c r="AC1685" s="222"/>
      <c r="AD1685" s="462"/>
      <c r="AE1685" s="462">
        <v>0</v>
      </c>
      <c r="AF1685" s="462">
        <v>0</v>
      </c>
      <c r="AG1685" s="462">
        <v>10</v>
      </c>
      <c r="AH1685" s="462" t="s">
        <v>206</v>
      </c>
      <c r="AI1685" s="469"/>
      <c r="AJ1685" s="471"/>
      <c r="AK1685" s="471"/>
      <c r="AL1685" s="471"/>
    </row>
    <row r="1686" spans="1:38" ht="20.399999999999999" x14ac:dyDescent="0.3">
      <c r="A1686" s="462" t="s">
        <v>22</v>
      </c>
      <c r="B1686" s="462" t="s">
        <v>227</v>
      </c>
      <c r="C1686" s="462">
        <v>8</v>
      </c>
      <c r="D1686" s="462" t="s">
        <v>225</v>
      </c>
      <c r="E1686" s="464">
        <v>44459</v>
      </c>
      <c r="F1686" s="462">
        <v>2021</v>
      </c>
      <c r="G1686" s="462" t="s">
        <v>234</v>
      </c>
      <c r="H1686" s="462" t="s">
        <v>235</v>
      </c>
      <c r="I1686" s="30" t="s">
        <v>38</v>
      </c>
      <c r="J1686" s="462" t="s">
        <v>26</v>
      </c>
      <c r="K1686" s="462" t="s">
        <v>180</v>
      </c>
      <c r="L1686" s="462" t="s">
        <v>28</v>
      </c>
      <c r="M1686" s="137" t="s">
        <v>804</v>
      </c>
      <c r="N1686" s="462" t="s">
        <v>236</v>
      </c>
      <c r="O1686" s="462" t="s">
        <v>237</v>
      </c>
      <c r="P1686" s="462" t="s">
        <v>238</v>
      </c>
      <c r="Q1686" s="462" t="s">
        <v>35</v>
      </c>
      <c r="R1686" s="464">
        <v>44630</v>
      </c>
      <c r="S1686" s="462"/>
      <c r="T1686" s="462"/>
      <c r="U1686" s="462"/>
      <c r="V1686" s="462"/>
      <c r="W1686" s="462">
        <v>50000000</v>
      </c>
      <c r="X1686" s="462">
        <v>-50000000</v>
      </c>
      <c r="Y1686" s="462">
        <v>50000000</v>
      </c>
      <c r="Z1686" s="462">
        <v>0</v>
      </c>
      <c r="AA1686" s="464"/>
      <c r="AB1686" s="504" t="s">
        <v>6115</v>
      </c>
      <c r="AC1686" s="138"/>
      <c r="AD1686" s="462"/>
      <c r="AE1686" s="462">
        <v>1</v>
      </c>
      <c r="AF1686" s="462">
        <v>1</v>
      </c>
      <c r="AG1686" s="462">
        <v>8</v>
      </c>
      <c r="AH1686" s="462" t="s">
        <v>226</v>
      </c>
      <c r="AI1686" s="469"/>
      <c r="AJ1686" s="471"/>
      <c r="AK1686" s="471"/>
      <c r="AL1686" s="471"/>
    </row>
    <row r="1687" spans="1:38" x14ac:dyDescent="0.3">
      <c r="A1687" s="462" t="s">
        <v>22</v>
      </c>
      <c r="B1687" s="462" t="s">
        <v>105</v>
      </c>
      <c r="C1687" s="462">
        <v>2</v>
      </c>
      <c r="D1687" s="11" t="s">
        <v>5936</v>
      </c>
      <c r="E1687" s="464">
        <v>43508</v>
      </c>
      <c r="F1687" s="462">
        <v>2019</v>
      </c>
      <c r="G1687" s="462" t="s">
        <v>128</v>
      </c>
      <c r="H1687" s="462" t="s">
        <v>129</v>
      </c>
      <c r="I1687" s="30" t="s">
        <v>38</v>
      </c>
      <c r="J1687" s="462" t="s">
        <v>26</v>
      </c>
      <c r="K1687" s="462" t="s">
        <v>111</v>
      </c>
      <c r="L1687" s="462" t="s">
        <v>28</v>
      </c>
      <c r="M1687" s="137" t="s">
        <v>804</v>
      </c>
      <c r="N1687" s="462" t="s">
        <v>82</v>
      </c>
      <c r="O1687" s="462" t="s">
        <v>130</v>
      </c>
      <c r="P1687" s="462" t="s">
        <v>131</v>
      </c>
      <c r="Q1687" s="462"/>
      <c r="R1687" s="464"/>
      <c r="S1687" s="462"/>
      <c r="T1687" s="462"/>
      <c r="U1687" s="462"/>
      <c r="V1687" s="462"/>
      <c r="W1687" s="462">
        <v>28000000</v>
      </c>
      <c r="X1687" s="462">
        <v>0</v>
      </c>
      <c r="Y1687" s="462">
        <v>28000000</v>
      </c>
      <c r="Z1687" s="462">
        <v>28000000</v>
      </c>
      <c r="AA1687" s="464">
        <v>44515</v>
      </c>
      <c r="AB1687" s="513" t="s">
        <v>3232</v>
      </c>
      <c r="AC1687" s="147"/>
      <c r="AD1687" s="462"/>
      <c r="AE1687" s="462">
        <v>1</v>
      </c>
      <c r="AF1687" s="462">
        <v>1</v>
      </c>
      <c r="AG1687" s="462">
        <v>8</v>
      </c>
      <c r="AH1687" s="462" t="s">
        <v>59</v>
      </c>
      <c r="AI1687" s="469"/>
      <c r="AJ1687" s="471"/>
      <c r="AK1687" s="471"/>
      <c r="AL1687" s="471"/>
    </row>
    <row r="1688" spans="1:38" x14ac:dyDescent="0.3">
      <c r="A1688" s="462" t="s">
        <v>22</v>
      </c>
      <c r="B1688" s="462" t="s">
        <v>142</v>
      </c>
      <c r="C1688" s="462" t="s">
        <v>181</v>
      </c>
      <c r="D1688" s="11" t="s">
        <v>143</v>
      </c>
      <c r="E1688" s="464">
        <v>43064</v>
      </c>
      <c r="F1688" s="462">
        <v>2017</v>
      </c>
      <c r="G1688" s="462" t="s">
        <v>182</v>
      </c>
      <c r="H1688" s="462" t="s">
        <v>183</v>
      </c>
      <c r="I1688" s="462" t="s">
        <v>38</v>
      </c>
      <c r="J1688" s="462" t="s">
        <v>26</v>
      </c>
      <c r="K1688" s="462" t="s">
        <v>184</v>
      </c>
      <c r="L1688" s="462" t="s">
        <v>28</v>
      </c>
      <c r="M1688" s="462" t="s">
        <v>42</v>
      </c>
      <c r="N1688" s="462" t="s">
        <v>82</v>
      </c>
      <c r="O1688" s="462" t="s">
        <v>185</v>
      </c>
      <c r="P1688" s="462" t="s">
        <v>186</v>
      </c>
      <c r="Q1688" s="462"/>
      <c r="R1688" s="464"/>
      <c r="S1688" s="462"/>
      <c r="T1688" s="464"/>
      <c r="U1688" s="462"/>
      <c r="V1688" s="462"/>
      <c r="W1688" s="462">
        <v>15000000</v>
      </c>
      <c r="X1688" s="462">
        <v>0</v>
      </c>
      <c r="Y1688" s="462">
        <v>0</v>
      </c>
      <c r="Z1688" s="462">
        <v>0</v>
      </c>
      <c r="AA1688" s="464">
        <v>44520</v>
      </c>
      <c r="AB1688" s="919" t="s">
        <v>147</v>
      </c>
      <c r="AC1688" s="462"/>
      <c r="AD1688" s="462"/>
      <c r="AE1688" s="462">
        <v>0</v>
      </c>
      <c r="AF1688" s="462">
        <v>0</v>
      </c>
      <c r="AG1688" s="462">
        <v>8</v>
      </c>
      <c r="AH1688" s="462" t="s">
        <v>187</v>
      </c>
      <c r="AI1688" s="469"/>
      <c r="AJ1688" s="471"/>
      <c r="AK1688" s="471"/>
      <c r="AL1688" s="471"/>
    </row>
    <row r="1689" spans="1:38" x14ac:dyDescent="0.3">
      <c r="A1689" s="462" t="s">
        <v>22</v>
      </c>
      <c r="B1689" s="462" t="s">
        <v>159</v>
      </c>
      <c r="C1689" s="462" t="s">
        <v>164</v>
      </c>
      <c r="D1689" s="11" t="s">
        <v>143</v>
      </c>
      <c r="E1689" s="464">
        <v>42145</v>
      </c>
      <c r="F1689" s="462">
        <v>2014</v>
      </c>
      <c r="G1689" s="462" t="s">
        <v>165</v>
      </c>
      <c r="H1689" s="462"/>
      <c r="I1689" s="57" t="s">
        <v>6176</v>
      </c>
      <c r="J1689" s="462" t="s">
        <v>67</v>
      </c>
      <c r="K1689" s="462" t="s">
        <v>77</v>
      </c>
      <c r="L1689" s="462" t="s">
        <v>28</v>
      </c>
      <c r="M1689" s="462" t="s">
        <v>42</v>
      </c>
      <c r="N1689" s="462" t="s">
        <v>78</v>
      </c>
      <c r="O1689" s="462" t="s">
        <v>166</v>
      </c>
      <c r="P1689" s="462" t="s">
        <v>167</v>
      </c>
      <c r="Q1689" s="462"/>
      <c r="R1689" s="464"/>
      <c r="S1689" s="462"/>
      <c r="T1689" s="464"/>
      <c r="U1689" s="462"/>
      <c r="V1689" s="462"/>
      <c r="W1689" s="462">
        <v>60000000</v>
      </c>
      <c r="X1689" s="462">
        <v>0</v>
      </c>
      <c r="Y1689" s="462">
        <v>0</v>
      </c>
      <c r="Z1689" s="462">
        <v>0</v>
      </c>
      <c r="AA1689" s="464"/>
      <c r="AB1689" s="919" t="s">
        <v>147</v>
      </c>
      <c r="AC1689" s="462"/>
      <c r="AD1689" s="462">
        <v>0</v>
      </c>
      <c r="AE1689" s="462">
        <v>0</v>
      </c>
      <c r="AF1689" s="462">
        <v>0</v>
      </c>
      <c r="AG1689" s="462">
        <v>8</v>
      </c>
      <c r="AH1689" s="462" t="s">
        <v>168</v>
      </c>
      <c r="AI1689" s="469"/>
      <c r="AJ1689" s="471"/>
      <c r="AK1689" s="471"/>
      <c r="AL1689" s="471"/>
    </row>
    <row r="1690" spans="1:38" x14ac:dyDescent="0.3">
      <c r="A1690" s="462" t="s">
        <v>22</v>
      </c>
      <c r="B1690" s="462" t="s">
        <v>148</v>
      </c>
      <c r="C1690" s="462">
        <v>7</v>
      </c>
      <c r="D1690" s="11" t="s">
        <v>143</v>
      </c>
      <c r="E1690" s="464">
        <v>42927</v>
      </c>
      <c r="F1690" s="462">
        <v>2017</v>
      </c>
      <c r="G1690" s="462" t="s">
        <v>173</v>
      </c>
      <c r="H1690" s="462" t="s">
        <v>174</v>
      </c>
      <c r="I1690" s="30" t="s">
        <v>38</v>
      </c>
      <c r="J1690" s="462" t="s">
        <v>26</v>
      </c>
      <c r="K1690" s="462" t="s">
        <v>111</v>
      </c>
      <c r="L1690" s="462" t="s">
        <v>175</v>
      </c>
      <c r="M1690" s="137" t="s">
        <v>804</v>
      </c>
      <c r="N1690" s="462" t="s">
        <v>82</v>
      </c>
      <c r="O1690" s="462" t="s">
        <v>176</v>
      </c>
      <c r="P1690" s="462" t="s">
        <v>177</v>
      </c>
      <c r="Q1690" s="462" t="s">
        <v>35</v>
      </c>
      <c r="R1690" s="464">
        <v>43749</v>
      </c>
      <c r="S1690" s="462"/>
      <c r="T1690" s="464"/>
      <c r="U1690" s="462"/>
      <c r="V1690" s="462"/>
      <c r="W1690" s="462">
        <v>13000000</v>
      </c>
      <c r="X1690" s="462">
        <v>3241710</v>
      </c>
      <c r="Y1690" s="462">
        <v>0</v>
      </c>
      <c r="Z1690" s="462">
        <v>3241710</v>
      </c>
      <c r="AA1690" s="464">
        <v>44550</v>
      </c>
      <c r="AB1690" s="919" t="s">
        <v>147</v>
      </c>
      <c r="AC1690" s="462"/>
      <c r="AD1690" s="462">
        <v>1</v>
      </c>
      <c r="AE1690" s="462">
        <v>0</v>
      </c>
      <c r="AF1690" s="462">
        <v>1</v>
      </c>
      <c r="AG1690" s="462">
        <v>8</v>
      </c>
      <c r="AH1690" s="462" t="s">
        <v>45</v>
      </c>
      <c r="AI1690" s="469"/>
      <c r="AJ1690" s="471"/>
      <c r="AK1690" s="471"/>
      <c r="AL1690" s="471"/>
    </row>
    <row r="1691" spans="1:38" x14ac:dyDescent="0.3">
      <c r="A1691" s="462" t="s">
        <v>22</v>
      </c>
      <c r="B1691" s="462" t="s">
        <v>148</v>
      </c>
      <c r="C1691" s="462">
        <v>3</v>
      </c>
      <c r="D1691" s="11" t="s">
        <v>143</v>
      </c>
      <c r="E1691" s="464">
        <v>43426</v>
      </c>
      <c r="F1691" s="462">
        <v>2018</v>
      </c>
      <c r="G1691" s="462" t="s">
        <v>149</v>
      </c>
      <c r="H1691" s="462" t="s">
        <v>150</v>
      </c>
      <c r="I1691" s="33" t="s">
        <v>33</v>
      </c>
      <c r="J1691" s="462" t="s">
        <v>26</v>
      </c>
      <c r="K1691" s="462" t="s">
        <v>27</v>
      </c>
      <c r="L1691" s="462" t="s">
        <v>109</v>
      </c>
      <c r="M1691" s="137" t="s">
        <v>804</v>
      </c>
      <c r="N1691" s="462" t="s">
        <v>29</v>
      </c>
      <c r="O1691" s="462" t="s">
        <v>151</v>
      </c>
      <c r="P1691" s="462" t="s">
        <v>152</v>
      </c>
      <c r="Q1691" s="462" t="s">
        <v>35</v>
      </c>
      <c r="R1691" s="464">
        <v>44600</v>
      </c>
      <c r="S1691" s="462" t="s">
        <v>35</v>
      </c>
      <c r="T1691" s="464">
        <v>45070</v>
      </c>
      <c r="U1691" s="462"/>
      <c r="V1691" s="462"/>
      <c r="W1691" s="462">
        <v>150000000</v>
      </c>
      <c r="X1691" s="462">
        <v>107970788</v>
      </c>
      <c r="Y1691" s="462">
        <v>0</v>
      </c>
      <c r="Z1691" s="462">
        <v>107970788</v>
      </c>
      <c r="AA1691" s="464">
        <v>44905</v>
      </c>
      <c r="AB1691" s="919" t="s">
        <v>147</v>
      </c>
      <c r="AC1691" s="462"/>
      <c r="AD1691" s="462">
        <v>1</v>
      </c>
      <c r="AE1691" s="462">
        <v>0</v>
      </c>
      <c r="AF1691" s="462">
        <v>1</v>
      </c>
      <c r="AG1691" s="462">
        <v>8</v>
      </c>
      <c r="AH1691" s="462" t="s">
        <v>153</v>
      </c>
      <c r="AI1691" s="469"/>
      <c r="AJ1691" s="471"/>
      <c r="AK1691" s="471"/>
      <c r="AL1691" s="471"/>
    </row>
    <row r="1692" spans="1:38" x14ac:dyDescent="0.3">
      <c r="A1692" s="462" t="s">
        <v>22</v>
      </c>
      <c r="B1692" s="462" t="s">
        <v>148</v>
      </c>
      <c r="C1692" s="462">
        <v>3</v>
      </c>
      <c r="D1692" s="11" t="s">
        <v>143</v>
      </c>
      <c r="E1692" s="464">
        <v>43007</v>
      </c>
      <c r="F1692" s="462">
        <v>2017</v>
      </c>
      <c r="G1692" s="462" t="s">
        <v>154</v>
      </c>
      <c r="H1692" s="462" t="s">
        <v>155</v>
      </c>
      <c r="I1692" s="33" t="s">
        <v>33</v>
      </c>
      <c r="J1692" s="462" t="s">
        <v>26</v>
      </c>
      <c r="K1692" s="462" t="s">
        <v>27</v>
      </c>
      <c r="L1692" s="462" t="s">
        <v>28</v>
      </c>
      <c r="M1692" s="137" t="s">
        <v>804</v>
      </c>
      <c r="N1692" s="462" t="s">
        <v>29</v>
      </c>
      <c r="O1692" s="462" t="s">
        <v>156</v>
      </c>
      <c r="P1692" s="462" t="s">
        <v>157</v>
      </c>
      <c r="Q1692" s="462"/>
      <c r="R1692" s="464"/>
      <c r="S1692" s="462"/>
      <c r="T1692" s="464"/>
      <c r="U1692" s="462"/>
      <c r="V1692" s="462"/>
      <c r="W1692" s="462">
        <v>30000000</v>
      </c>
      <c r="X1692" s="462">
        <v>0</v>
      </c>
      <c r="Y1692" s="462">
        <v>30000000</v>
      </c>
      <c r="Z1692" s="462">
        <v>30000000</v>
      </c>
      <c r="AA1692" s="464"/>
      <c r="AB1692" s="919" t="s">
        <v>147</v>
      </c>
      <c r="AC1692" s="462"/>
      <c r="AD1692" s="462"/>
      <c r="AE1692" s="462">
        <v>1</v>
      </c>
      <c r="AF1692" s="462">
        <v>1</v>
      </c>
      <c r="AG1692" s="462">
        <v>8</v>
      </c>
      <c r="AH1692" s="462" t="s">
        <v>158</v>
      </c>
      <c r="AI1692" s="469"/>
      <c r="AJ1692" s="471"/>
      <c r="AK1692" s="471"/>
      <c r="AL1692" s="471"/>
    </row>
    <row r="1693" spans="1:38" x14ac:dyDescent="0.3">
      <c r="A1693" s="462" t="s">
        <v>22</v>
      </c>
      <c r="B1693" s="462" t="s">
        <v>23</v>
      </c>
      <c r="C1693" s="462">
        <v>13</v>
      </c>
      <c r="D1693" s="462" t="s">
        <v>24</v>
      </c>
      <c r="E1693" s="464">
        <v>44872</v>
      </c>
      <c r="F1693" s="462">
        <v>2022</v>
      </c>
      <c r="G1693" s="462" t="s">
        <v>46</v>
      </c>
      <c r="H1693" s="462" t="s">
        <v>47</v>
      </c>
      <c r="I1693" s="30" t="s">
        <v>38</v>
      </c>
      <c r="J1693" s="462" t="s">
        <v>26</v>
      </c>
      <c r="K1693" s="462" t="s">
        <v>41</v>
      </c>
      <c r="L1693" s="462" t="s">
        <v>28</v>
      </c>
      <c r="M1693" s="137" t="s">
        <v>804</v>
      </c>
      <c r="N1693" s="462" t="s">
        <v>43</v>
      </c>
      <c r="O1693" s="462" t="s">
        <v>48</v>
      </c>
      <c r="P1693" s="462" t="s">
        <v>30</v>
      </c>
      <c r="Q1693" s="462"/>
      <c r="R1693" s="464"/>
      <c r="S1693" s="462"/>
      <c r="T1693" s="464"/>
      <c r="U1693" s="462"/>
      <c r="V1693" s="462"/>
      <c r="W1693" s="462">
        <v>324000000</v>
      </c>
      <c r="X1693" s="462">
        <v>0</v>
      </c>
      <c r="Y1693" s="462">
        <v>324000000</v>
      </c>
      <c r="Z1693" s="462">
        <v>324000000</v>
      </c>
      <c r="AA1693" s="464"/>
      <c r="AB1693" s="919" t="s">
        <v>49</v>
      </c>
      <c r="AC1693" s="462"/>
      <c r="AD1693" s="462"/>
      <c r="AE1693" s="462">
        <v>1</v>
      </c>
      <c r="AF1693" s="462">
        <v>1</v>
      </c>
      <c r="AG1693" s="462">
        <v>8</v>
      </c>
      <c r="AH1693" s="462" t="s">
        <v>45</v>
      </c>
      <c r="AI1693" s="469"/>
      <c r="AJ1693" s="471"/>
      <c r="AK1693" s="471"/>
      <c r="AL1693" s="471"/>
    </row>
    <row r="1694" spans="1:38" x14ac:dyDescent="0.3">
      <c r="A1694" s="462" t="s">
        <v>22</v>
      </c>
      <c r="B1694" s="462" t="s">
        <v>23</v>
      </c>
      <c r="C1694" s="462">
        <v>25</v>
      </c>
      <c r="D1694" s="462" t="s">
        <v>24</v>
      </c>
      <c r="E1694" s="464">
        <v>44326</v>
      </c>
      <c r="F1694" s="462">
        <v>2021</v>
      </c>
      <c r="G1694" s="462" t="s">
        <v>62</v>
      </c>
      <c r="H1694" s="462" t="s">
        <v>63</v>
      </c>
      <c r="I1694" s="462" t="s">
        <v>38</v>
      </c>
      <c r="J1694" s="462" t="s">
        <v>26</v>
      </c>
      <c r="K1694" s="462" t="s">
        <v>60</v>
      </c>
      <c r="L1694" s="462" t="s">
        <v>28</v>
      </c>
      <c r="M1694" s="462" t="s">
        <v>42</v>
      </c>
      <c r="N1694" s="462" t="s">
        <v>43</v>
      </c>
      <c r="O1694" s="462" t="s">
        <v>64</v>
      </c>
      <c r="P1694" s="462" t="s">
        <v>65</v>
      </c>
      <c r="Q1694" s="462" t="s">
        <v>44</v>
      </c>
      <c r="R1694" s="464">
        <v>44825</v>
      </c>
      <c r="S1694" s="462"/>
      <c r="T1694" s="464"/>
      <c r="U1694" s="462"/>
      <c r="V1694" s="462"/>
      <c r="W1694" s="462">
        <v>115000000</v>
      </c>
      <c r="X1694" s="462">
        <v>0</v>
      </c>
      <c r="Y1694" s="462">
        <v>0</v>
      </c>
      <c r="Z1694" s="462">
        <v>0</v>
      </c>
      <c r="AA1694" s="464"/>
      <c r="AB1694" s="762" t="s">
        <v>3077</v>
      </c>
      <c r="AC1694" s="652"/>
      <c r="AD1694" s="462"/>
      <c r="AE1694" s="462">
        <v>0</v>
      </c>
      <c r="AF1694" s="462">
        <v>0</v>
      </c>
      <c r="AG1694" s="462">
        <v>8</v>
      </c>
      <c r="AH1694" s="462" t="s">
        <v>59</v>
      </c>
      <c r="AI1694" s="469"/>
      <c r="AJ1694" s="471"/>
      <c r="AK1694" s="471"/>
      <c r="AL1694" s="471"/>
    </row>
    <row r="1695" spans="1:38" x14ac:dyDescent="0.3">
      <c r="A1695" s="462" t="s">
        <v>22</v>
      </c>
      <c r="B1695" s="462" t="s">
        <v>189</v>
      </c>
      <c r="C1695" s="462">
        <v>6</v>
      </c>
      <c r="D1695" s="462" t="s">
        <v>190</v>
      </c>
      <c r="E1695" s="464">
        <v>43048</v>
      </c>
      <c r="F1695" s="462">
        <v>2017</v>
      </c>
      <c r="G1695" s="462" t="s">
        <v>215</v>
      </c>
      <c r="H1695" s="462" t="s">
        <v>216</v>
      </c>
      <c r="I1695" s="33" t="s">
        <v>33</v>
      </c>
      <c r="J1695" s="462" t="s">
        <v>26</v>
      </c>
      <c r="K1695" s="462" t="s">
        <v>27</v>
      </c>
      <c r="L1695" s="462" t="s">
        <v>109</v>
      </c>
      <c r="M1695" s="137" t="s">
        <v>804</v>
      </c>
      <c r="N1695" s="462" t="s">
        <v>29</v>
      </c>
      <c r="O1695" s="462" t="s">
        <v>217</v>
      </c>
      <c r="P1695" s="462" t="s">
        <v>218</v>
      </c>
      <c r="Q1695" s="462" t="s">
        <v>35</v>
      </c>
      <c r="R1695" s="464">
        <v>43487</v>
      </c>
      <c r="S1695" s="462" t="s">
        <v>35</v>
      </c>
      <c r="T1695" s="464">
        <v>43768</v>
      </c>
      <c r="U1695" s="462"/>
      <c r="V1695" s="462"/>
      <c r="W1695" s="462">
        <v>230416278</v>
      </c>
      <c r="X1695" s="462">
        <v>491600</v>
      </c>
      <c r="Y1695" s="462">
        <v>0</v>
      </c>
      <c r="Z1695" s="462">
        <v>491600</v>
      </c>
      <c r="AA1695" s="464">
        <v>45102</v>
      </c>
      <c r="AB1695" s="604" t="s">
        <v>3744</v>
      </c>
      <c r="AC1695" s="163"/>
      <c r="AD1695" s="462">
        <v>1</v>
      </c>
      <c r="AE1695" s="462">
        <v>0</v>
      </c>
      <c r="AF1695" s="462">
        <v>1</v>
      </c>
      <c r="AG1695" s="462">
        <v>8</v>
      </c>
      <c r="AH1695" s="462"/>
      <c r="AI1695" s="469"/>
      <c r="AJ1695" s="471"/>
      <c r="AK1695" s="471"/>
      <c r="AL1695" s="471"/>
    </row>
  </sheetData>
  <autoFilter ref="A1:AL1695" xr:uid="{43DEEF2C-EDDB-46DE-A580-61A67484DF7A}"/>
  <dataValidations count="42">
    <dataValidation type="list" allowBlank="1" showInputMessage="1" showErrorMessage="1" sqref="AK1148:AK1151 AK1655 AK1652 AK1202:AK1205 AK1633 AK1619:AK1621 AK1614 AK1612 AK1207:AK1212 AK1598 AK1593:AK1594 AK1584 AK1575 AK1571:AK1572 AK1569 AK1562 AK1559:AK1560 AK1551 AK1547 AK1545 AK1214:AK1220 AK1538 AK1535 AK1530 AK1160 AK1153 AK1055:AK1056 AK963:AK966 AK933:AK939 AK789:AK799 AK754:AK786 AK742:AK750 AK1006:AK1023 AK1185 AK704:AK722 AK725:AK740 AK888:AK898 AK1492 AK567 AK1178:AK1182 AK558:AK565 AK599:AK630 AK432:AK433 AK475:AK488 AK942 AK947:AK956 AK931 AK680:AK682 AK639:AK678 AK907:AK914 AK592:AK596 AK684:AK695 AK1142:AK1145 AK1162 AK1133:AK1140 AK1187:AK1200 AK1125:AK1126 AK981:AK983 AK1291 AK1373 AK1380 AK1173:AK1176 AK1412 AK1481 AK569:AK574 AK556 AK582:AK590 AK817 AK900:AK903 AK876:AK886 AK958:AK961 AK1026 AK1103:AK1119 AK515:AK554 AK577:AK580 AK636 AK802:AK815 AK820:AK822 AK871:AK873 AK700:AK702 AK916:AK925 AK968:AK977 AK979 AK1028:AK1045 AK1047:AK1049 AK1051:AK1052 AK1058:AK1061 AK1063:AK1066 AK1069:AK1085 AK1088:AK1090 AK1092:AK1095 AK1097:AK1098 AK1101 AK1122:AK1123 AK1128:AK1129 AK1131 AK1155:AK1158 AK1164:AK1171 AK697:AK698 AK905 AK985:AK994 AK996:AK1004" xr:uid="{FDCA083F-C48E-4CC5-80A2-EE183FE4C7DB}">
      <formula1>$AK$1:$AK$3</formula1>
    </dataValidation>
    <dataValidation type="list" allowBlank="1" showInputMessage="1" showErrorMessage="1" sqref="AL1132:AL1146 AL1652:AL1657 AL1649 AL1643:AL1647 AL1639 AL1635:AL1636 AL1627:AL1633 AL1624:AL1625 AL1619:AL1622 AL1612:AL1616 AL1609:AL1610 AL1607 AL1602:AL1605 AL1597:AL1600 AL1588:AL1595 AL1575:AL1586 AL1571:AL1573 AL1567:AL1569 AL1555:AL1564 AL1547:AL1553 AL1543:AL1545 AL1534:AL1541 AL1521:AL1532 AL1519 AL1505:AL1517 AL1498:AL1503 AL1026:AL1056 AL1006:AL1008 AL995:AL1004 AL985:AL993 AL983 AL968:AL981 AL789:AL818 AL754:AL786 AL742:AL752 AL636:AL695 AL697:AL722 AL724:AL740 AL900:AL901 AL903:AL932 AL569:AL597 AL567 AL515:AL556 AL558:AL565 AL599:AL630 AL432:AL433 AL475:AL488 AL934:AL940 AL942 AL947 AL949:AL956 AL958:AL966 AL820:AL898 AL1058 AL1060:AL1068 AL1070:AL1120 AL1122:AL1130 AL1148:AL1153 AL1155:AL1162 AL1202:AL1222 AL1164:AL1200 AL1224:AL1225 AL1227:AL1228 AL1230:AL1242 AL1244:AL1254 AL1278 AL1280:AL1286 AL1256:AL1276 AL1010:AL1024 AL1288:AL1314 AL1323:AL1331 AL1333:AL1334 AL1316:AL1321 AL1336:AL1345 AL1347:AL1374 AL1376:AL1388 AL1390:AL1395 AL1397:AL1431 AL1433 AL1435:AL1438 AL1440:AL1460 AL1462:AL1463 AL1467:AL1472 AL1474:AL1490 AL1492:AL1493 AL1496" xr:uid="{919DA1F2-91AC-4C95-A713-7435DBEEC9D9}">
      <formula1>$AL$1:$AL$2</formula1>
    </dataValidation>
    <dataValidation operator="greaterThanOrEqual" allowBlank="1" showInputMessage="1" showErrorMessage="1" errorTitle="Campo numérico" error="En este campo solo se pueden ingresar números enteros o decimales" sqref="AD1133:AE1133 AD1155:AE1155 AD1153 AD1151:AE1152 AE1002 AE1043 AE1028:AE1029 AE956 AE936:AE937 AE1011 AE1083 AE1092 AE1095 AE1100 AE1105 AE1125:AE1126 AE1119 AD1118:AD1132 AD1117:AE1117 AE1132 AD1136:AE1136 AD1137:AD1138 AE1139 AD1140:AD1141 AD1143 AD1145:AD1150 AD1161:AE1161 AD1157:AD1158 AD1172:AD1175 AD1178:AD1180 AD1183:AD1184 AD1185:AE1185 AD1186 AD1189 AD1190:AE1190 AD1191 AD1193:AE1194 AD1198 AD1202:AD1203 AD1207:AD1213 AD1195:AD1196 AD1215:AD1216 AD1221:AD1222 AA1223 AD1225 AA1226 AD1228:AD1236 AD1238:AD1239 AA1243 AD1245:AD1247 AD1254 AA1255 AD1257 AD1259 AD1263 AD1266:AD1271 AD1273:AD1278 AD1280 AF981:AF1278 AD1282:AD1284 AD1286 AD1294:AD1295 AD1297 AD1300:AD1302 AD1304:AD1306 AD1308 AD1311:AD1312 AD1315 AD1318:AD1319 AD1324:AD1327 AD1372:AD1373 AD1337 AD1340 AD1346:AD1350 AD1354 AD1356 AD1359:AD1366 AD1369:AD1370 AD1381:AD1383 AD1378:AD1379 AD1386 AD1388 AD1392:AD1395 AD1399:AD1400 AD1402:AD1403 AD1405 AD1412:AD1414 AD1419 AD1421:AD1423 AD1425 AD1427 AD1432 AD1438 AD1442:AD1443 AD1445:AD1449 AD1451:AD1453 AD1455:AD1457 AE1460 AD1465 AE1467 AD1469:AD1470 AD1474 AE1475 AD1476:AD1477 AD1481:AD1482 AD1492:AD1493 AD1495:AD1497 AD1503 AD1515:AD1516 AD1519 AD1525 AD1530 AD1532 AD1535 AD1538 AD1540:AD1543 AD1545 AD1547 AE1548 AD1550:AD1551 AD1553 AD1555 AD1557:AD1558 AF1547:AF1558 AD1559:AF1559 AD1560 AD1562 AD1564:AD1566 AD1569 AD1571:AD1572 AD1575 AD1577:AD1578 AE1579 AD1581:AD1582 AD1584 AD1586:AD1587 AE1588 AD1589:AD1594 AE1597 AD1598 AE1599 AD1600:AD1602 AD1609:AD1612 AD1614 AD1617 AD1619:AD1621 AF1560:AF1683 AD1623 AD1626:AD1628 AD1631 AD1633 AD1637:AD1641 AD1643:AD1644 AD1647:AD1653 AD1655:AD1656 AD1658:AD1659 AD1663:AD1667 AD1669:AD1679 AD1682:AD1683 AF1280:AF1545" xr:uid="{339D32CE-AA75-4661-A24F-8375CD87B43D}"/>
    <dataValidation type="list" operator="greaterThanOrEqual" allowBlank="1" showInputMessage="1" showErrorMessage="1" errorTitle="Campo numérico" error="En este campo solo se pueden ingresar números enteros o decimales" sqref="AD1139 AD1115:AD1116 AE1000:AE1001 AE1026 AE1022 AD1019:AE1020 AD1015:AD1018 AE1009 AD1006:AD1012 AD1004 AD1003:AE1003 AE987:AE988 AD979:AE979 AD968:AD978 AD980:AD1002 AE993 AD921:AD940 AE923 AD920:AE920 AD558:AE565 AD567:AE567 AD569:AE597 AD515:AE556 AD754:AE758 AD900:AD919 AE918 AE884 AE879 AD704:AE740 AD760:AD781 AD801:AD898 AD788:AD799 AD783:AD785 AD697:AE702 AD621:AE695 AD742:AE750 AD752:AE752 AE873 AD942:AE942 AD943 AD947:AD966 AD599:AE619 AE905 AE1031 AD1035:AD1055 AE1041:AE1042 AE1045 AE1051:AE1052 AE1054:AE1055 AD1057:AD1078 AE1058 AE1066 AD1104:AD1111 AD1099:AD1102 AD1083:AD1096 AD1080 AD1079:AE1079 AE1077 AE1074 AD1114:AE1114 AD1021:AD1031" xr:uid="{87BC9F63-F906-486C-8F46-99A0F679958C}">
      <formula1>$AD$1:$AD$6</formula1>
    </dataValidation>
    <dataValidation type="list" allowBlank="1" showInputMessage="1" showErrorMessage="1" error="Selecciones la ciudad de la lista" sqref="B1131:B1135 B961:B962 B872 B1151 B1149 B1001:B1002 B1067:B1073 B1058:B1062 B1055:B1056 B1051:B1053 B1045:B1048 B1040:B1043 B1029:B1034 B754:B757 B956 B952 B949:B950 B943:B946 B939:B941 B935 B925:B932 B921:B923 B899 B885:B895 B883 B880 B878 B1154 B760:B775 B820:B870 B818 B807:B816 B801:B805 B789:B799 B778:B786 B742:B750 B697:B702 B705:B720 B722 B724:B740 B691:B695 B904:B907 B909:B910 B912:B913 B915:B916 B990:B993 B874:B875 B965 B967:B972 B974:B976 B978:B980 B985:B988 B998:B999 B1007:B1008 B1010:B1011 B1013:B1016 B1019:B1022 B1026:B1027 B1075 B1077 B1079:B1082 B1084 B1086:B1092 B1095:B1099 B1102:B1103 B1105 B1124:B1127 B1121 B1119 B1116:B1117 B1112:B1114 B1137:B1138 B1142:B1144 B1165:B1167 B1170:B1171 B1156:B1163 B1174 B1176 B1178 B1181:B1182 B1184:B1186 B1192:B1193 B1197 B1199:B1200 B1204:B1206 B1213:B1214 B1217 B1219:B1220 B1224:B1226 B1228:B1229 B1232 B1236 B1238 B1248:B1250 B1252 B1255 B1257 B1260 B1270 B1279 B1024 B1281 B1284 B1287:B1288 B1292 B1297 B1300 B1302:B1303 B1307 B1309:B1310 B1316 B1322 B1327:B1332 B1339 B1343:B1344 B1346 B1354 B1367:B1369 B1373 B1382 B1384:B1385 B1387 B1389 B1393 B1398 B1400 B1403:B1406 B1416:B1417 B1420 B1422:B1424 B1426 B1428:B1429 B1440 B1442 B1445 B1449 B1451 B1458 B1466 B1472 B1481 B1495 B1499:B1500 B1504:B1506 B1526:B1527 B1531 B1536 B1539:B1540 B1542 B1546 B1549 B1552 B1565:B1567 B1569 B1572:B1574 B1581 B1587 B1601 B1607 B1611 B1617 B1622:B1624 B1626 B1629:B1630 B1637:B1638 B1640:B1641 B1646 B1648 B1650:B1651 B1659 B1664:B1665 B1674:B1675 B1678 B1681:B1683" xr:uid="{E6399665-144C-43FA-B6E4-FD1FB830BEDA}">
      <formula1>$B$1:$B$35</formula1>
    </dataValidation>
    <dataValidation type="list" allowBlank="1" showInputMessage="1" showErrorMessage="1" sqref="J925 I513 J558 J1113 J572 J1168 J871 J1155:J1157 J806:J808 J1177 J913 J1187 I1195 J1197 I1198 J766 J960 I1212 J1201 J979 J764 J873 J1218 J1225 J1084 J1232 J737 J1241 J975 J798 J1262 J1256 J813:J814 J1092 J726 J783 J1258 J1013 J724 I1282 J933 J686:J687 J1291:J1292 J705 J882 I1312 J1310 J1314 J1437 J1320:J1321 J1333:J1336 J1328 J1345 J1024 J1357 J1371 J996 J1380 J1375:J1377 I1394:I1395 J1386 J1396 J739:J740 J1411 I1414 J1408 J1418 J1403 J1351:J1352 J673 J1431 I1361:I1362 I1364 J1441 J1439 J1433:J1434 J671 J1460 J663 J631:J659 I1359 J626 J1480 J622 J1495 J1510 J1517 J1504 J617 J1051 J605 J1537 J569:J570 J587 J485:J488 J1544 J949 J585 I1551 J583 J1553 J1069:J1070 J581 J1117 J1559:J1560 J554 J549:J550 I1577 J546 J567 J955 J516 J483 J1601 J1604 J478 J1611 J1606 J1619:J1620 J922 J977 J1634 J1637 J1061 J1088 J880 J1652 J540:J541 J1028:J1029 J1125:J1126 J1021 J970 J699" xr:uid="{E825FC0D-B0EB-4AE4-BFE9-6B2D456AD758}">
      <formula1>$J$1:$J$6</formula1>
    </dataValidation>
    <dataValidation type="list" allowBlank="1" showInputMessage="1" showErrorMessage="1" sqref="F1136:F1137 F1149 F1130:F1131 F998:F1003 F1066:F1073 F1059:F1062 F1048:F1055 F1040:F1046 F1038 F1030:F1031 F903:F933 F956 F952:F954 F949:F950 F943:F947 F939:F941 F935:F937 F558:F565 F599:F695 F569:F597 F544:F556 F513:F542 F567 F704:F740 F882:F901 F871:F880 F760:F786 F820:F869 F801:F818 F788:F799 F754:F758 F742:F750 F697:F702 F959:F963 F965:F972 F974:F976 F978 F980:F981 F983 F985:F993 F996 F1005 F1007:F1012 F1015:F1016 F1026:F1028 F1076:F1078 F1080 F1082:F1083 F1086:F1088 F1090:F1091 F1095 F1099 F1102 F1104 F1127 F1124 F1114 F1112 F1161 F1163 F1157:F1158 F1172 F1174 F1178 F1184 F1186 F1202:F1203 F1206 F1213 F1225 F1229 F1232 F1238 F1257 F1270 F1276 F1279 F1019:F1024 F1284 F1287 F1297 F1300 F1302 F1304:F1306 F1319 F1322 F1324 F1327 F1346 F1354 F1356 F1370 F1382:F1383 F1385 F1388 F1393 F1400 F1405 F1413 F1422 F1442 F1445 F1449 F1451 F1540 F1574 F1153" xr:uid="{369B53D8-8480-45AD-B2FE-C4A4C57AA8F9}">
      <formula1>$F$1:$F$10</formula1>
    </dataValidation>
    <dataValidation type="list" allowBlank="1" showInputMessage="1" showErrorMessage="1" sqref="I1116 I1552 I1131 I797 I921 I911:I912 I908:I909 I905:I906 I885 I799 I810:I812 I807 I804 I801:I802 I767 I794 I789:I790 I780 I771:I772 I759:I761 I722 I717:I720 I712:I713 I689 I682 I679:I680 I676 I627 I669 I664 I551 I620:I621 I615 I586 I560:I562 I595 I584 I558 I1304 I1244:I1245 I1173:I1178 I1283 I1258:I1259 I1170:I1171 I1248:I1251 I1141:I1142 I1134:I1136 I1121 I1110:I1111 I534 I1078:I1080 I515:I516 I1060 I952 I958:I959 I1019:I1020 I1015 I964 I990:I993 I971:I972 I943 I923 I915:I917 I887 I891:I894 I874 I883 I872 I818 I738 I750 I607 I599 I1671 I536 I1034 I954:I955 I699:I701 I765 I946 I941 I979 I1269:I1271 I564:I565 I540:I541 I692:I693 I822 I785 I604 I684 I900 I969 I961:I962 I983 I934:I935 I967 I538 I1090 I1082 I1105 I1101:I1102 I1119 I1099 I623 I1160:I1162 I1165:I1167 I1144 I1148:I1149 I1197 I1191:I1193 I1208:I1209 I1203 I1206 I1180:I1182 I1189 I1221 I1199:I1200 I1238 I1276 I1262:I1263 I1185:I1186 I1010:I1012 I1273 I1233:I1234 I1230 I1300:I1301 I1313:I1314 I1324:I1325 I1289:I1296 I1306:I1310 I1341:I1346 I1348 I1350:I1351 I1327 I1355 I1329:I1335 I1357 I1373:I1376 I1384:I1387 I1397 I1413 I1392 I1380:I1382 I1417 I1440 I1442 I1434 I1431 I1451 I1456 I1445 I1461 I1463:I1464 I1423:I1424 I1468 I1370:I1371 I1427:I1428 I1406:I1411 I1320:I1321 I1496 I1488:I1489 I1504 I1500:I1501 I1517 I1510 I1227:I1228 I1485 I1522 I1529 I1507 I1365:I1367 I1266:I1267 I1224 I1218:I1219 I1563 I1318 I1153 I1576 I1070:I1072 I1591 I938:I939 I1617 I1123:I1124 I1058 I1635 I1568 I1421 I1659 I1661 I1043 I1040" xr:uid="{53DDDED3-B148-4514-B08E-2B0C01DAD4F4}">
      <formula1>$I$1:$I$6</formula1>
    </dataValidation>
    <dataValidation type="list" allowBlank="1" showInputMessage="1" showErrorMessage="1" sqref="K1147 K1002:K1005 K1066:K1068 K1062 K1041:K1060 K1038 K697:K740 K952:K956 K949 K943:K947 K940:K941 K936:K937 K926:K933 K599:K695 K569:K597 K519:K556 K567 K558:K565 K903:K905 K893:K901 K886:K890 K882:K884 K820:K880 K813:K818 K803:K810 K790:K801 K788 K767:K786 K742:K765 K908:K924 K993 K959:K960 K962:K963 K965:K972 K974:K977 K979:K981 K983 K985:K989 K996 K998:K1000 K1007:K1009 K1011:K1014 K1016 K1026:K1034 K1070:K1084 K1086:K1089 K1091:K1092 K1095:K1098 K1100 K1103:K1105 K1124:K1127 K1121 K1119 K1116:K1117 K1112:K1114 K1130:K1139 K1142:K1144 K1165:K1166 K1168 K1170:K1172 K1151:K1162 K1176 K1181:K1182 K1184:K1185 K1188 K1190 K1192:K1193 K1199:K1206 K1213:K1214 K1217 K1219:K1220 K1223 K1225:K1229 K1236 K1238:K1239 K1257 K1019:K1024 K1284 K1302 K1304 K1316 K1319 K1324 K1369:K1370 K1373 K1386 K1393 K1403 K1451 K1491 K1505" xr:uid="{56399E82-3A93-471C-A227-47C806CD79EA}">
      <formula1>$K$1:$K$19</formula1>
    </dataValidation>
    <dataValidation type="list" errorStyle="information" allowBlank="1" showInputMessage="1" showErrorMessage="1" error="Selecciones el tipo de proceso de la lista" sqref="A1145 A1579 A1577 A1574:A1575 A1572 A1569:A1570 A1565:A1567 A1562 A1558:A1560 A1554 A1551 A1547:A1549 A1545 A1542:A1543 A1540 A1526:A1536 A1524 A1518:A1521 A1514 A1511 A1504:A1506 A1502 A1494:A1497 A1490 A1486:A1487 A1483:A1484 A1481 A1478:A1479 A1475:A1476 A1473 A1470 A1467 A1462 A1460 A1451 A1449 A1445 A1441:A1443 A1438:A1439 A1432:A1433 A1422:A1424 A1420 A1413:A1415 A1405 A1400:A1401 A1393:A1397 A1390 A1388 A1385:A1386 A1382:A1383 A1378:A1379 A1373 A1369:A1370 A1359:A1364 A1356:A1357 A1352:A1354 A1350 A1346 A1341:A1342 A1329 A1327 A1322:A1324 A1319 A1315 A1312 A1304:A1306 A1302 A1300 A1297 A1293 A1289:A1290 A1287 A1284:A1285 A1281:A1282 A1018:A1024 A1279 A1274:A1277 A1270 A1262 A1257 A1253:A1254 A1251 A1241:A1242 A1244 A1237:A1239 A1235 A1231:A1232 A1227:A1229 A1225 A1222 A1218 A1215:A1216 A1212:A1213 A1206:A1207 A1202:A1203 A1198 A1195 A1189 A1186 A1183:A1184 A1177:A1178 A1174 A1172 A1157:A1158 A1163 A1161 A1141 A1136:A1137 A1112 A1114:A1116 A1118 A1120 A1124 A1104:A1109 A1102 A1099:A1100 A1093:A1096 A1090:A1091 A1080:A1088 A1026:A1028 A1015:A1016 A965:A994 A820:A921 A754:A786 A788:A799 A801:A818 A558:A565 A567 A569:A597 A513:A556 A599:A702 A923:A941 A943:A951 A953:A956 A958:A963 A704:A750 A1030:A1033 A1035:A1056 A1058:A1062 A1065:A1078 A996:A1012 A1127:A1132 A1149 A1153 A1155" xr:uid="{43281F65-7CD7-461B-89B6-76A99AAA6EBC}">
      <formula1>$A$1:$A$3</formula1>
    </dataValidation>
    <dataValidation type="list" allowBlank="1" showInputMessage="1" showErrorMessage="1" error="Seleccione la Region del listado_x000a_" sqref="D806 D1330 D517 D1058 D1151 D1007:D1008 D1104:D1105 D985 D1046 D1055 D546 D908 D936:D937 D1066 D555 D1226 D1132:D1133 D514 D537:D541 D1201:D1203 D1100 D631:D643 D763 D920 D742 D710 D1031 D956 D927:D930 D1021 D1086 D949 D884 D1119 D1168 D1125:D1126 D933 D1172 D667:D670 D1177 D1155 D1193 D1092 D1213 D1188 D879 D1117 D1239 D820:D821 D1262 D1255 D1341:D1342 D725:D739 D1241:D1243 D808 D1003 D1281 D1223 D1217:D1218 D1028:D1029 D1298 D871 D1313:D1314 D1074 D1321 D1303 D1336 D705 D1338 D1357:D1358 D1334 D1367:D1368 D1370:D1371 D532 D718 D1388 D1392 D1411 D1403:D1404 D1418 D1415 D1095 D1400 D1433:D1437 D1114 D1429:D1431 D754 D1440:D1441 D1460 D1463 D1475 D1466:D1467 D1479:D1480 D1491 D1499:D1500 D1511 D660 D1506 D587:D590 D1153 D1350:D1352 D674 D1472 D1076 D1487:D1488 D1484:D1485 D572:D574 D576 D552 D543 D795 D1375 D622:D626 D583 D601:D603 D569:D570" xr:uid="{065B915F-9A30-4375-B5DA-521C45046EAE}">
      <formula1>$D$1:$D$4</formula1>
    </dataValidation>
    <dataValidation type="list" allowBlank="1" showInputMessage="1" showErrorMessage="1" error="Selecciones la ciudad de la lista" sqref="B1145 B1128:B1129 B997 B1065 B1039 B1035:B1037 B676:B690 B951 B513:B535 B599:B619 B569:B597 B567 B537:B556 B558:B565 B621:B627 B629:B674 B973 B1006 B1018 B1085 B1093:B1094 B1106:B1107 B1109 B1120 B1115 B1183 B1195 B1198 B1207 B1212 B1215:B1216 B1222 B1235 B1254 B1274:B1275 B1282 B1312 B1359:B1364 B1378:B1379 B1383 B1394:B1395 B1414 B1438 B1443 B1470 B1476 B1532 B1543 B1558 B1562 B1577 B1656" xr:uid="{868F3B5C-0CCD-4D8A-B714-3EA3C9AF33E1}">
      <formula1>$B$1:$B$33</formula1>
    </dataValidation>
    <dataValidation allowBlank="1" showInputMessage="1" showErrorMessage="1" error="Selecciones la ciudad de la lista" sqref="B1147 B1155 B1153 B1130 B1000 B1066 B1054 B1049:B1050 B977 B1028 B675 B958:B960 B953:B955 B947 B936:B938 B933:B934 B924 B536 B917:B919 B903 B900:B901 B896:B898 B882 B879 B876:B877 B871 B817 B806 B788 B776:B777 B620 B628 B704 B721 B723 B758 B908 B911 B914 B989 B963 B966 B981 B983:B984 B996 B1003 B1005 B1009 B1012 B1023 B1074 B1459:B1465 B1078 B1083 B1100 B1076 B1136 B1139 B1141 B1168:B1169 B1172 B1104 B1187:B1190 B1194 B1201:B1203 B1210 B1218 B1223 B1227 B1231 B1237 B1239 B1241:B1244 B1251 B1246:B1247 B1253 B1044 B1261:B1262 B1270 B1276 B1280 B1285 B1289:B1290 B1293 B1296 B1304:B1306 B1177 B1313:B1314 B1323:B1324 B1333:B1336 B1338 B1341:B1342 B1256 B1351:B1353 B1355:B1357 B1370:B1371 B1374:B1377 B1645 B1388 B1390 B1642 B1345 B1401 B1407:B1411 B1413 B1415 B1418 B1430:B1431 B1433:B1437 B1396:B1397 B1441 B1450 B1454 B1439 B1467:B1468 B1471 B1473 B1475 B1478:B1480 B1680 B1483:B1491 B1494 B1496 B1498 B1501:B1502 B1507:B1512 B1660:B1662 B1514 B1517:B1518 B1655 B1520:B1524 B1652 B1528:B1529 B1537 B1534 B1548 B1554 B1556 B1563 B1568 B1570 B1575:B1576 B1579:B1580 B1584 B1588 B1593 B1599 B1604:B1606 B1608:B1609 B1634:B1635 B1618:B1619 B351 B385 B873 B1319:B1321 B1625 B1596:B1597 B1559:B1561" xr:uid="{027DA432-952A-4431-93DE-8E28DD078D7C}"/>
    <dataValidation type="list" allowBlank="1" showInputMessage="1" showErrorMessage="1" sqref="K984 J1379 J1359 J430 J1120 J402:J428 J1106 J1361 J1414" xr:uid="{21E83473-31C7-477B-892F-D3125618D714}">
      <formula1>$K$1:$K$6</formula1>
    </dataValidation>
    <dataValidation type="list" allowBlank="1" showInputMessage="1" showErrorMessage="1" sqref="K1145 K1128:K1129 K997 K1065 K1039 K1035:K1037 K951 K973 K1006 K1018 K1085 K1094 K1106:K1109 K1120 K1115 K1195 K1207 K1212 K1215:K1216 K1222 K1235 K1364 K1551 K1558 K1562 K1577" xr:uid="{EFEF6AF1-1A29-4D94-BCFF-553D3B171403}">
      <formula1>$L$1:$L$19</formula1>
    </dataValidation>
    <dataValidation type="list" allowBlank="1" showInputMessage="1" showErrorMessage="1" sqref="F1145 F1106:F1108 F997 F1065 F1037 F1035 F951 F973 F1006 F1018 F1085 F1093 F1183" xr:uid="{2C4C7E9A-DA66-423B-B621-A3C950F69673}">
      <formula1>$G$1:$G$10</formula1>
    </dataValidation>
    <dataValidation allowBlank="1" showInputMessage="1" showErrorMessage="1" error="Seleccione la Region del listado_x000a_" sqref="D1139 D1194 D1577 D1575 D1572 D1569 D1562 D1560 D1558 D1551 D1547 D1545 D1386 D1543 D1540 D1535 D1532 D1530" xr:uid="{53CA19BD-905B-4892-95E0-B647A4105B62}"/>
    <dataValidation type="list" allowBlank="1" showInputMessage="1" showErrorMessage="1" sqref="AI1112 AI1032:AI1033 AI1056 AI1082 AI1206 AI1329 AI1385 AI1420" xr:uid="{F6A5C354-46BB-4BFE-B025-12BC10C6C5C0}">
      <formula1>$AI$1:$AI$2</formula1>
    </dataValidation>
    <dataValidation type="decimal" operator="greaterThanOrEqual" allowBlank="1" showInputMessage="1" showErrorMessage="1" errorTitle="Campo numéricp" error="En este campo solo se pueden ingresar números enteros o decimales." sqref="W1080 W986 W1038 W791 W950 W475:W488 W432:W433 W401:W430 W686:W687 W904 W962 W972 W1072:W1073 W1158" xr:uid="{248B4C15-92ED-47A4-841A-E9801696B1A2}">
      <formula1>0</formula1>
    </dataValidation>
    <dataValidation type="list" allowBlank="1" showInputMessage="1" showErrorMessage="1" sqref="AL984 AL401:AL430 AK513:AK514" xr:uid="{9F361F2B-AF71-48C7-AAA7-ADA93618CA49}">
      <formula1>$AL$1:$AL$3</formula1>
    </dataValidation>
    <dataValidation type="list" allowBlank="1" showInputMessage="1" showErrorMessage="1" sqref="AI870" xr:uid="{CB4E3566-F485-4D35-A5AB-4E05F7DD7F13}">
      <formula1>$AI$1:$AI$3</formula1>
    </dataValidation>
    <dataValidation type="list" operator="greaterThanOrEqual" allowBlank="1" showInputMessage="1" showErrorMessage="1" errorTitle="Campo numérico" error="En este campo solo se pueden ingresar números enteros o decimales" sqref="AD513:AE514" xr:uid="{719F889C-1659-47F8-8DDF-27575D13C4DD}">
      <formula1>$AG$1:$AG$6</formula1>
    </dataValidation>
    <dataValidation type="decimal" operator="greaterThanOrEqual" allowBlank="1" showInputMessage="1" showErrorMessage="1" errorTitle="Campo numérico" error="En este campo solo se pueden ingresar números enteros o decimales" sqref="X475:X489 AD401:AE430 AD475:AE488 AD432:AE433 Z432:AA433 Z475:AA489 Z401:AA430 X401:X430 X432:X433" xr:uid="{400E87B7-BED7-41AC-9D35-D3AC73FC0625}">
      <formula1>0</formula1>
    </dataValidation>
    <dataValidation type="list" allowBlank="1" showInputMessage="1" showErrorMessage="1" sqref="N899 N697:N710 M558 N558:N565 M535 M515 N515:N556 M478 M475 N475:N488 N432:N433 M587 M594 M563 N569:N597 M603 M433 M673 M543 M567:N567 M482 M572 N599:N686 N688:N695" xr:uid="{0583DFF0-EEB9-4BC4-8082-F9ED755A3F6E}">
      <formula1>$M$1:$M$2</formula1>
    </dataValidation>
    <dataValidation type="list" allowBlank="1" showInputMessage="1" showErrorMessage="1" sqref="H870" xr:uid="{1F96C5EC-877C-4E4F-8456-78ADA7C4702F}">
      <formula1>$H$1:$H$6</formula1>
    </dataValidation>
    <dataValidation type="list" allowBlank="1" showInputMessage="1" showErrorMessage="1" sqref="M401:M429 N513:N514 N401:N430 M1456 M1445 M1442 M1327 M624:M626 M602 M579 M568 M505:M506 M1496 M1364:N1364 M1361" xr:uid="{0F12BF89-442F-4A2F-BBB3-30040D456513}">
      <formula1>$O$1:$O$2</formula1>
    </dataValidation>
    <dataValidation type="list" allowBlank="1" showInputMessage="1" showErrorMessage="1" sqref="I432 I484 I482 I475" xr:uid="{B1EF29CF-D800-487E-9CC3-06DDA2FFA9EA}">
      <formula1>$I$1:$I$4</formula1>
    </dataValidation>
    <dataValidation type="whole" allowBlank="1" showInputMessage="1" showErrorMessage="1" sqref="W318 W283:W284 W278:W281" xr:uid="{28DBCBED-EE58-4AAA-9EC1-AE2BBB37D0A6}">
      <formula1>100</formula1>
      <formula2>900000000</formula2>
    </dataValidation>
    <dataValidation type="list" allowBlank="1" showInputMessage="1" showErrorMessage="1" sqref="A475:A488 A432:A433 A401:A430" xr:uid="{F298513E-CF82-4843-939B-C158751570C3}">
      <formula1>$A$1:$A$2</formula1>
    </dataValidation>
    <dataValidation type="list" allowBlank="1" showInputMessage="1" showErrorMessage="1" sqref="B401:B429" xr:uid="{BA2CB890-242E-4AB9-966F-AA6DA5DF5ECC}">
      <formula1>$B$1:$B$31</formula1>
    </dataValidation>
    <dataValidation type="list" allowBlank="1" showInputMessage="1" showErrorMessage="1" sqref="D476:D477 D401 D479 D432 D483" xr:uid="{FAF650C8-717D-4399-9F92-378B650C557D}">
      <formula1>$D$1:$D$4</formula1>
    </dataValidation>
    <dataValidation type="list" allowBlank="1" showInputMessage="1" showErrorMessage="1" sqref="B475:B488 B430 B432:B433" xr:uid="{59011208-49AF-4E8C-8EC6-C8846B586C89}">
      <formula1>$B$1:$B$32</formula1>
    </dataValidation>
    <dataValidation type="whole" allowBlank="1" showInputMessage="1" showErrorMessage="1" sqref="C318 C273:C276 C278:C281 C283:C284" xr:uid="{8E1F08FC-288F-477A-8734-DC4ADCD9A9CA}">
      <formula1>1</formula1>
      <formula2>20</formula2>
    </dataValidation>
    <dataValidation type="list" allowBlank="1" showInputMessage="1" showErrorMessage="1" sqref="D283" xr:uid="{2572C970-9B70-4AA0-8C12-047804E1BD49}">
      <formula1>$AK$5:$AK$9</formula1>
    </dataValidation>
    <dataValidation type="list" allowBlank="1" showInputMessage="1" showErrorMessage="1" sqref="B283" xr:uid="{09931622-B2F1-4A81-BB99-F63B7A391873}">
      <formula1>$AL$2:$AL$34</formula1>
    </dataValidation>
    <dataValidation type="list" allowBlank="1" showInputMessage="1" showErrorMessage="1" sqref="A283" xr:uid="{ACDC1026-EA70-471A-BB5B-3FC9D3774E74}">
      <formula1>$AK$2:$AK$4</formula1>
    </dataValidation>
    <dataValidation errorStyle="information" allowBlank="1" showInputMessage="1" showErrorMessage="1" error="Selecciones el tipo de proceso de la lista" sqref="A922 A1246:A1247" xr:uid="{D8D2CC8E-2FE8-46C2-93B1-CD3BA1EB5146}"/>
    <dataValidation type="list" allowBlank="1" showInputMessage="1" showErrorMessage="1" error="Selecciones la ciudad de la lista" sqref="B1152 B1164 B1240 B1602" xr:uid="{19E437D0-32BE-4934-AEB8-FA5B5BD1F70D}">
      <formula1>#REF!</formula1>
    </dataValidation>
    <dataValidation type="list" allowBlank="1" showInputMessage="1" showErrorMessage="1" error="Seleccione la Region del listado_x000a_" sqref="D1210 D1280" xr:uid="{2AEF3EEC-4891-47C2-BD5F-0B58C277E1EB}">
      <formula1>#REF!</formula1>
    </dataValidation>
    <dataValidation type="list" allowBlank="1" showInputMessage="1" showErrorMessage="1" sqref="J1210:K1210 K1169 K1164 AL513:AL514 K283:N283 AB283:AE283" xr:uid="{D0F192D4-C6B3-4DC3-9D4C-295AAF159A12}">
      <formula1>#REF!</formula1>
    </dataValidation>
    <dataValidation type="list" operator="greaterThanOrEqual" allowBlank="1" showInputMessage="1" showErrorMessage="1" errorTitle="Campo numérico" error="En este campo solo se pueden ingresar números enteros o decimales" sqref="AA1201 AA1466" xr:uid="{C24F33C5-C6D8-4432-BF08-DA8EE65EAD16}">
      <formula1>$Y$1:$Y$6</formula1>
    </dataValidation>
    <dataValidation type="list" allowBlank="1" showInputMessage="1" showErrorMessage="1" sqref="AH1206" xr:uid="{8DF5ACA7-EE8A-4701-B118-760712071161}">
      <formula1>$AH$1:$AH$3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Terminados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Felipe Restrepo Montoya</dc:creator>
  <cp:lastModifiedBy>Jhonger David Forero Rodriguez</cp:lastModifiedBy>
  <dcterms:created xsi:type="dcterms:W3CDTF">2024-11-20T16:31:03Z</dcterms:created>
  <dcterms:modified xsi:type="dcterms:W3CDTF">2025-09-14T02:20:46Z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1bdff26-5887-4e5c-8426-6e404c233df0_Enabled">
    <vt:lpwstr>true</vt:lpwstr>
  </property>
  <property fmtid="{D5CDD505-2E9C-101B-9397-08002B2CF9AE}" pid="3" name="MSIP_Label_71bdff26-5887-4e5c-8426-6e404c233df0_SetDate">
    <vt:lpwstr>2025-06-12T20:52:19Z</vt:lpwstr>
  </property>
  <property fmtid="{D5CDD505-2E9C-101B-9397-08002B2CF9AE}" pid="4" name="MSIP_Label_71bdff26-5887-4e5c-8426-6e404c233df0_Method">
    <vt:lpwstr>Standard</vt:lpwstr>
  </property>
  <property fmtid="{D5CDD505-2E9C-101B-9397-08002B2CF9AE}" pid="5" name="MSIP_Label_71bdff26-5887-4e5c-8426-6e404c233df0_Name">
    <vt:lpwstr>71bdff26-5887-4e5c-8426-6e404c233df0</vt:lpwstr>
  </property>
  <property fmtid="{D5CDD505-2E9C-101B-9397-08002B2CF9AE}" pid="6" name="MSIP_Label_71bdff26-5887-4e5c-8426-6e404c233df0_SiteId">
    <vt:lpwstr>b5e244bd-c492-495b-8b10-61bfd453e423</vt:lpwstr>
  </property>
  <property fmtid="{D5CDD505-2E9C-101B-9397-08002B2CF9AE}" pid="7" name="MSIP_Label_71bdff26-5887-4e5c-8426-6e404c233df0_ActionId">
    <vt:lpwstr>357878c2-4ce6-41fc-ad26-87cc6cd6b4c1</vt:lpwstr>
  </property>
  <property fmtid="{D5CDD505-2E9C-101B-9397-08002B2CF9AE}" pid="8" name="MSIP_Label_71bdff26-5887-4e5c-8426-6e404c233df0_ContentBits">
    <vt:lpwstr>0</vt:lpwstr>
  </property>
</Properties>
</file>